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C:\Users\Jana.Pravdova\Documents\MSM Martin\Audit MSM Martin  2022\"/>
    </mc:Choice>
  </mc:AlternateContent>
  <xr:revisionPtr revIDLastSave="0" documentId="8_{FAD58C8A-6756-4602-B417-C4D62B6B27DC}" xr6:coauthVersionLast="47" xr6:coauthVersionMax="47" xr10:uidLastSave="{00000000-0000-0000-0000-000000000000}"/>
  <bookViews>
    <workbookView xWindow="-120" yWindow="-120" windowWidth="29040" windowHeight="15840" tabRatio="867" xr2:uid="{00000000-000D-0000-FFFF-FFFF00000000}"/>
  </bookViews>
  <sheets>
    <sheet name="CF" sheetId="148" r:id="rId1"/>
    <sheet name="Cover" sheetId="118" r:id="rId2"/>
    <sheet name="suvaha" sheetId="146" r:id="rId3"/>
    <sheet name="vysledovka" sheetId="147" r:id="rId4"/>
    <sheet name="CF calculation" sheetId="126" r:id="rId5"/>
    <sheet name="GL" sheetId="1" r:id="rId6"/>
    <sheet name="GL VLOOKUP" sheetId="149" r:id="rId7"/>
    <sheet name="GL @ 31.12.2022" sheetId="150" r:id="rId8"/>
    <sheet name="Index" sheetId="99" state="hidden" r:id="rId9"/>
    <sheet name="Check_Empty" sheetId="132" state="hidden" r:id="rId10"/>
    <sheet name="Závierka titulka" sheetId="134" state="hidden" r:id="rId11"/>
    <sheet name="Súvaha Strana 2" sheetId="135" state="hidden" r:id="rId12"/>
    <sheet name="Súvaha Strana 3" sheetId="136" state="hidden" r:id="rId13"/>
    <sheet name="Súvaha Strana 4" sheetId="137" state="hidden" r:id="rId14"/>
    <sheet name="Súvaha Strana 5" sheetId="138" state="hidden" r:id="rId15"/>
    <sheet name="Súvaha Strana 6" sheetId="139" state="hidden" r:id="rId16"/>
    <sheet name="Súvaha Strana 7" sheetId="140" state="hidden" r:id="rId17"/>
    <sheet name="Súvaha Strana 8" sheetId="141" state="hidden" r:id="rId18"/>
    <sheet name="Súvaha Strana 9" sheetId="142" state="hidden" r:id="rId19"/>
    <sheet name="VZaS - Strana 10" sheetId="143" state="hidden" r:id="rId20"/>
    <sheet name="VZaS - Strana 11" sheetId="144" state="hidden" r:id="rId21"/>
    <sheet name="VZaS - Strana 12 " sheetId="145" state="hidden" r:id="rId22"/>
  </sheets>
  <definedNames>
    <definedName name="_Fill" localSheetId="0" hidden="1">#REF!</definedName>
    <definedName name="_Fill" hidden="1">#REF!</definedName>
    <definedName name="_xlnm._FilterDatabase" localSheetId="1" hidden="1">Cover!$B$1:$E$4</definedName>
    <definedName name="_xlnm._FilterDatabase" localSheetId="5" hidden="1">GL!$B$4:$H$428</definedName>
    <definedName name="_xlnm._FilterDatabase" localSheetId="6" hidden="1">'GL VLOOKUP'!$E$2:$I$409</definedName>
    <definedName name="_xlnm._FilterDatabase" localSheetId="8" hidden="1">Index!$A$4:$F$364</definedName>
    <definedName name="_xlnm._FilterDatabase" localSheetId="10" hidden="1">'Závierka titulka'!$U$1:$AW$3</definedName>
    <definedName name="AS2DocOpenMode" hidden="1">"AS2DocumentEdit"</definedName>
    <definedName name="AS2HasNoAutoHeaderFooter" hidden="1">" "</definedName>
    <definedName name="Business_name">Cover!$C$10</definedName>
    <definedName name="CY">Cover!$E$26</definedName>
    <definedName name="CY_beginning">Index!$C$7</definedName>
    <definedName name="CY_END">Cover!$C$27</definedName>
    <definedName name="DA_3579659269900000236" hidden="1">suvaha!$M$6</definedName>
    <definedName name="DA_3626876670400000670" hidden="1">suvaha!$O$114</definedName>
    <definedName name="emf_T_number_of_employees">#REF!</definedName>
    <definedName name="ert" localSheetId="0" hidden="1">#REF!</definedName>
    <definedName name="ert" hidden="1">#REF!</definedName>
    <definedName name="Language">Cover!$B$3</definedName>
    <definedName name="_xlnm.Print_Area" localSheetId="1">Cover!$B$1:$E$33</definedName>
    <definedName name="_xlnm.Print_Area" localSheetId="2">suvaha!$B$1:$H$158</definedName>
    <definedName name="_xlnm.Print_Area" localSheetId="11">'Súvaha Strana 2'!$E$1:$CG$128</definedName>
    <definedName name="_xlnm.Print_Area" localSheetId="12">'Súvaha Strana 3'!$A$1:$CG$128</definedName>
    <definedName name="_xlnm.Print_Area" localSheetId="13">'Súvaha Strana 4'!$A$1:$CG$128</definedName>
    <definedName name="_xlnm.Print_Area" localSheetId="14">'Súvaha Strana 5'!$A$1:$CG$128</definedName>
    <definedName name="_xlnm.Print_Area" localSheetId="15">'Súvaha Strana 6'!$A$1:$CG$126</definedName>
    <definedName name="_xlnm.Print_Area" localSheetId="16">'Súvaha Strana 7'!$A$1:$CH$126</definedName>
    <definedName name="_xlnm.Print_Area" localSheetId="17">'Súvaha Strana 8'!$A$1:$CH$124</definedName>
    <definedName name="_xlnm.Print_Area" localSheetId="18">'Súvaha Strana 9'!$A$1:$CH$124</definedName>
    <definedName name="_xlnm.Print_Area" localSheetId="3">vysledovka!$B$2:$F$68</definedName>
    <definedName name="_xlnm.Print_Area" localSheetId="19">'VZaS - Strana 10'!$A$1:$CH$121</definedName>
    <definedName name="_xlnm.Print_Area" localSheetId="20">'VZaS - Strana 11'!$A$1:$CH$125</definedName>
    <definedName name="_xlnm.Print_Area" localSheetId="21">'VZaS - Strana 12 '!$A$1:$CH$81</definedName>
    <definedName name="_xlnm.Print_Area" localSheetId="10">'Závierka titulka'!$A$1:$BX$93</definedName>
    <definedName name="PY">Cover!$E$30</definedName>
    <definedName name="PY_beginning">Index!$C$8</definedName>
    <definedName name="PY_END">Cover!$C$31</definedName>
    <definedName name="T_accrued_expense_deferred_income_EN">#REF!</definedName>
    <definedName name="T_accrued_expense_deferred_income_SK">#REF!</definedName>
    <definedName name="T_assets_under_lien_1">#REF!</definedName>
    <definedName name="T_assets_under_lien_2">#REF!</definedName>
    <definedName name="T_bank_loans_EN">#REF!</definedName>
    <definedName name="T_bank_loans_SK">#REF!</definedName>
    <definedName name="T_bonds_issued_EN">#REF!</definedName>
    <definedName name="T_bonds_issued_SK">#REF!</definedName>
    <definedName name="T_borrowings_EN">#REF!</definedName>
    <definedName name="T_borrowings_SK">#REF!</definedName>
    <definedName name="T_breakdown_of_cash">#REF!</definedName>
    <definedName name="T_construction_contracts_1">#REF!</definedName>
    <definedName name="T_construction_contracts_2">#REF!</definedName>
    <definedName name="T_construction_contracts_3">#REF!</definedName>
    <definedName name="T_construction_contracts_4">#REF!</definedName>
    <definedName name="T_contingent_assets">#REF!</definedName>
    <definedName name="T_contingent_liabilities_1">#REF!</definedName>
    <definedName name="T_contingent_liabilities_2">#REF!</definedName>
    <definedName name="T_correction_item_to_assets">#REF!</definedName>
    <definedName name="T_costs_EN">#REF!</definedName>
    <definedName name="T_costs_SK">#REF!</definedName>
    <definedName name="T_current_financial_assets_under_lien">#REF!</definedName>
    <definedName name="T_debt_securities_held_to_maturity">#REF!</definedName>
    <definedName name="T_deferred_expense_accrued_income_EN">#REF!</definedName>
    <definedName name="T_deferred_expense_accrued_income_SK">#REF!</definedName>
    <definedName name="T_deferred_tax">#REF!</definedName>
    <definedName name="T_derivatives_1_EN">#REF!</definedName>
    <definedName name="T_derivatives_1_SK">#REF!</definedName>
    <definedName name="T_derivatives_2_EN">#REF!</definedName>
    <definedName name="T_derivatives_2_SK">#REF!</definedName>
    <definedName name="T_distribution_loss_settlement">#REF!</definedName>
    <definedName name="T_distribution_profit_settlement">#REF!</definedName>
    <definedName name="T_fair_value_current_financial_assets">#REF!</definedName>
    <definedName name="T_fair_value_measurement">#REF!</definedName>
    <definedName name="T_finance_lease_receivables">#REF!</definedName>
    <definedName name="T_financial_assets_breakdown_1">#REF!</definedName>
    <definedName name="T_financial_assets_breakdown_2">#REF!</definedName>
    <definedName name="T_financial_assets_under_lien">#REF!</definedName>
    <definedName name="T_changes_in_equity_1">#REF!</definedName>
    <definedName name="T_changes_in_equity_2">#REF!</definedName>
    <definedName name="T_changes_in_inventories">#REF!</definedName>
    <definedName name="T_income_and_benefits_of_members">#REF!</definedName>
    <definedName name="T_income_tax">#REF!</definedName>
    <definedName name="T_insurance_of_assets_EN">#REF!</definedName>
    <definedName name="T_insurance_of_assets_SK">#REF!</definedName>
    <definedName name="T_intangible_assets_1">#REF!</definedName>
    <definedName name="T_intangible_assets_2">#REF!</definedName>
    <definedName name="T_intercompany_loans_EN">#REF!</definedName>
    <definedName name="T_intercompany_loans_SK">#REF!</definedName>
    <definedName name="T_inventories_under_lien">#REF!</definedName>
    <definedName name="T_items_hedged_by_derivatives">#REF!</definedName>
    <definedName name="T_measurement_equity_method">#REF!</definedName>
    <definedName name="T_net_turnover">#REF!</definedName>
    <definedName name="T_noncurrent_financial_assets_1">#REF!</definedName>
    <definedName name="T_noncurrent_financial_assets_2">#REF!</definedName>
    <definedName name="T_noncurrent_financial_assets_structure_EN">#REF!</definedName>
    <definedName name="T_noncurrent_financial_assets_structure_SK">#REF!</definedName>
    <definedName name="T_number_of_employees">#REF!</definedName>
    <definedName name="T_obligations_under_finance_lease">#REF!</definedName>
    <definedName name="T_offbalance_accounts">#REF!</definedName>
    <definedName name="T_other_noncurrent_financial_assets_EN">#REF!</definedName>
    <definedName name="T_other_noncurrent_financial_assets_SK">#REF!</definedName>
    <definedName name="T_payables_maturity">#REF!</definedName>
    <definedName name="T_provided_noncurrent_borrowings">#REF!</definedName>
    <definedName name="T_provisions_current_financial_assets">#REF!</definedName>
    <definedName name="T_provisions_liabilities_1_EN">#REF!</definedName>
    <definedName name="T_provisions_liabilities_1_SK">#REF!</definedName>
    <definedName name="T_provisions_liabilities_2_EN">#REF!</definedName>
    <definedName name="T_provisions_liabilities_2_SK">#REF!</definedName>
    <definedName name="T_provisions_overview">#REF!</definedName>
    <definedName name="T_provisions_receivables">#REF!</definedName>
    <definedName name="T_real_estate_for_sale">#REF!</definedName>
    <definedName name="T_receivables_ageing_1">#REF!</definedName>
    <definedName name="T_receivables_ageing_2">#REF!</definedName>
    <definedName name="T_receivables_maturity">#REF!</definedName>
    <definedName name="T_receivables_under_lien">#REF!</definedName>
    <definedName name="T_reconciliation_of_income_tax_2">#REF!</definedName>
    <definedName name="T_related_parties_1_EN">#REF!</definedName>
    <definedName name="T_related_parties_1_SK">#REF!</definedName>
    <definedName name="T_related_parties_2_EN">#REF!</definedName>
    <definedName name="T_related_parties_2_SK">#REF!</definedName>
    <definedName name="T_research_and_development">#REF!</definedName>
    <definedName name="T_revenues_EN">#REF!</definedName>
    <definedName name="T_revenues_other_EN">#REF!</definedName>
    <definedName name="T_revenues_other_SK">#REF!</definedName>
    <definedName name="T_revenues_SK">#REF!</definedName>
    <definedName name="T_securities_for_sale">#REF!</definedName>
    <definedName name="T_social_fund_payables">#REF!</definedName>
    <definedName name="T_structure_of_shareholders1">#REF!</definedName>
    <definedName name="T_structure_of_shareholders2">#REF!</definedName>
    <definedName name="T_tangible_assets_1">#REF!</definedName>
    <definedName name="T_tangible_assets_2">#REF!</definedName>
    <definedName name="TB002b5875_58a3_4d53_bfa5_f4a8b721fdd1" hidden="1">GL!#REF!</definedName>
    <definedName name="TB00771224_5aa0_42e5_91bc_64d3bf61b05d" hidden="1">GL!#REF!</definedName>
    <definedName name="TB00dac9c7_4402_4b8c_978b_5c4d29b5256e" hidden="1">GL!#REF!</definedName>
    <definedName name="TB00eb4964_05ff_4f15_bde1_26b450282325" hidden="1">GL!$H$202</definedName>
    <definedName name="TB023ef2b5_8032_492c_adaa_43fbd5478cbd" hidden="1">GL!#REF!</definedName>
    <definedName name="TB027a4920_a44d_47bf_8f8a_f46575a11720" hidden="1">GL!$H$405</definedName>
    <definedName name="TB02b36a30_d101_4ae5_846b_5e8c19a49563" hidden="1">GL!$H$176</definedName>
    <definedName name="TB02d0fbf8_9a34_4a65_b830_3d3e3af32c15" hidden="1">GL!#REF!</definedName>
    <definedName name="TB033b32ba_2bd5_4dc5_a690_94852155bf9c" hidden="1">GL!$H$112</definedName>
    <definedName name="TB040e9e1e_916b_4a1c_80c9_792ff800b0ba" hidden="1">GL!$H$230</definedName>
    <definedName name="TB053b2f07_c7d8_4112_912c_598a1d1cc531" hidden="1">GL!$H$147</definedName>
    <definedName name="TB0540e65f_9898_4ba2_940d_ca32cfd212e5" hidden="1">GL!$H$51</definedName>
    <definedName name="TB054a2d61_19cc_4c7d_afae_d4f1c034f2c3" hidden="1">GL!#REF!</definedName>
    <definedName name="TB063b0e97_7ff6_4442_9aec_a16cc139cd0e" hidden="1">GL!#REF!</definedName>
    <definedName name="TB06a54e1d_b872_4aeb_a729_de0b2647a676" hidden="1">GL!$H$58</definedName>
    <definedName name="TB0795f249_bd32_4c7f_bc2d_1678de740e01" hidden="1">GL!$H$105</definedName>
    <definedName name="TB07b54955_b528_47ac_bfd7_c2bf50c71bfd" hidden="1">GL!#REF!</definedName>
    <definedName name="TB07bd6344_9029_4f58_8383_bd6576c40c57" hidden="1">GL!#REF!</definedName>
    <definedName name="TB080703b6_9ed3_45b5_9e4c_ffe904f89a19" hidden="1">GL!$H$395</definedName>
    <definedName name="TB082760c5_4959_49e9_b00e_972ce251d87d" hidden="1">GL!$H$124</definedName>
    <definedName name="TB0932d06c_06b3_4cb1_ad1d_11486bc83fe7" hidden="1">GL!$H$7</definedName>
    <definedName name="TB095dc9c3_497c_45c8_b22c_2ab6ed1bc3e5" hidden="1">GL!$H$185</definedName>
    <definedName name="TB09900a4c_c274_40d4_8f7e_82f57a40f20d" hidden="1">GL!$H$197</definedName>
    <definedName name="TB0a51697d_6d19_4bcb_93d0_afaf1f420b17" hidden="1">GL!#REF!</definedName>
    <definedName name="TB0a80bfee_804a_4f17_98dd_6566e825ee62" hidden="1">GL!#REF!</definedName>
    <definedName name="TB0ac88dbf_6158_4ade_a742_8421c3bb348e" hidden="1">GL!$H$347</definedName>
    <definedName name="TB0b6ac981_27c4_43b6_86c4_046dfcb31d87" hidden="1">GL!#REF!</definedName>
    <definedName name="TB0ba1c676_5d37_4848_9d6d_97f9899f00ce" hidden="1">GL!#REF!</definedName>
    <definedName name="TB0c3a7aa5_3d09_4198_9110_cdbe13a1b97d" hidden="1">GL!$H$288</definedName>
    <definedName name="TB0c6517f1_65ed_47c2_ab7e_2c09390a09ca" hidden="1">GL!#REF!</definedName>
    <definedName name="TB0ce802b4_e3dd_4f75_b527_935a7fc3fe9c" hidden="1">GL!#REF!</definedName>
    <definedName name="TB0d32a2f2_345d_4c52_a2be_b5866805485d" hidden="1">GL!$H$238</definedName>
    <definedName name="TB0d5983b4_cc17_4141_bc73_b21dcab8cc72" hidden="1">GL!#REF!</definedName>
    <definedName name="TB0d91c3a2_d283_47c3_9fe1_2bbfd48232a3" hidden="1">GL!$H$256</definedName>
    <definedName name="TB0d979f67_e006_441c_8575_d46063817f87" hidden="1">GL!$H$64</definedName>
    <definedName name="TB0e5f5b4a_cd09_4126_a9bc_8c3e1a174986" hidden="1">GL!$H$194</definedName>
    <definedName name="TB0ea23551_b0ac_4c9c_a416_d9ad63a1042d" hidden="1">GL!#REF!</definedName>
    <definedName name="TB0f5690bf_812c_439a_b3a2_acc40fdcaf7d" hidden="1">GL!$H$398</definedName>
    <definedName name="TB0f9693c8_525c_4f55_bceb_064d3d2f4a3c" hidden="1">GL!$H$243</definedName>
    <definedName name="TB101a28d6_37be_43b5_ac81_c89c1c1eb614" hidden="1">GL!$H$317</definedName>
    <definedName name="TB10e1aff2_4abb_4f1d_b25b_e4d84af936fe" hidden="1">GL!#REF!</definedName>
    <definedName name="TB1102b015_23b2_448d_97f8_b3f214b54a72" hidden="1">GL!#REF!</definedName>
    <definedName name="TB1120768d_8dbd_4cf4_a385_24fe0fee2101" hidden="1">GL!#REF!</definedName>
    <definedName name="TB119909c1_6d40_4be3_bd8e_ffbf95a4c7f8" hidden="1">GL!$H$260</definedName>
    <definedName name="TB11aaef67_d310_489f_99b3_8457fd75b73b" hidden="1">GL!#REF!</definedName>
    <definedName name="TB12034e07_fc84_456b_899b_c0090240f09b" hidden="1">GL!#REF!</definedName>
    <definedName name="TB1209fd82_2953_4c12_badc_303341adfe66" hidden="1">GL!#REF!</definedName>
    <definedName name="TB1213fa4a_6901_4dae_851d_93f7f233a00d" hidden="1">GL!$H$15</definedName>
    <definedName name="TB1246d27a_95f9_44dd_a270_3ada9513f649" hidden="1">GL!$H$109</definedName>
    <definedName name="TB12636e0f_b165_46ca_96ee_ccb8c56c345a" hidden="1">GL!#REF!</definedName>
    <definedName name="TB12641150_e952_4665_8375_6219101dc327" hidden="1">GL!$H$182</definedName>
    <definedName name="TB1281fb1c_cfd2_4f89_9ac5_1eb4bf4272e3" hidden="1">GL!$H$222</definedName>
    <definedName name="TB12a2ce3d_441c_4071_b139_46fee4f503f6" hidden="1">GL!#REF!</definedName>
    <definedName name="TB12b31845_1a53_42ab_b883_35402222e749" hidden="1">GL!#REF!</definedName>
    <definedName name="TB131fa5ce_1ec0_4b83_bb38_2c1b03c85d7f" hidden="1">GL!$H$135</definedName>
    <definedName name="TB1327b551_1994_4dae_a1aa_952731dd1e83" hidden="1">GL!$H$61</definedName>
    <definedName name="TB134ec28e_ebbd_4c65_a760_592325dd99e5" hidden="1">GL!#REF!</definedName>
    <definedName name="TB13f035f6_b401_4146_8d12_00d03c6ebfea" hidden="1">GL!#REF!</definedName>
    <definedName name="TB13f4d31b_ebc5_448c_b926_a23e363a10bb" hidden="1">GL!$H$140</definedName>
    <definedName name="TB13f9edb2_a0dc_412f_bb69_e5a53aba86fd" hidden="1">GL!$H$410</definedName>
    <definedName name="TB14124ca3_405b_46e8_b678_471b6dc62905" hidden="1">GL!$H$331</definedName>
    <definedName name="TB14bbff0f_0fb0_4e2c_8cea_a6e8c29bc2b0" hidden="1">GL!$H$139</definedName>
    <definedName name="TB14c87e18_79f4_4cf5_a64c_37408652008f" hidden="1">GL!#REF!</definedName>
    <definedName name="TB14f76af7_494c_4b7a_95a7_32c5597b9998" hidden="1">GL!#REF!</definedName>
    <definedName name="TB1525c4b9_7679_4ee7_8cae_fdf02c7ef801" hidden="1">GL!$H$292</definedName>
    <definedName name="TB152761a2_97d0_45df_a856_866aa1fdc77c" hidden="1">GL!$H$82</definedName>
    <definedName name="TB1537808f_2167_44fe_b7b3_46f0b0552dfd" hidden="1">GL!#REF!</definedName>
    <definedName name="TB154fc10f_01b9_4501_b567_1b996fb9749a" hidden="1">GL!$H$97</definedName>
    <definedName name="TB15a2567d_5481_481d_aa93_c3efca8edd69" hidden="1">GL!$H$166</definedName>
    <definedName name="TB1636203a_9431_4db3_b6df_a4a29186ac78" hidden="1">GL!$H$134</definedName>
    <definedName name="TB1644e56d_b820_457d_96c1_961317873f90" hidden="1">GL!#REF!</definedName>
    <definedName name="TB16af00b9_f1f0_4bab_a285_0765fe466fae" hidden="1">GL!#REF!</definedName>
    <definedName name="TB16bb70b2_4f75_42c0_8755_9c9b90758e65" hidden="1">GL!#REF!</definedName>
    <definedName name="TB16e5d2a9_126b_4425_8c62_a3e130f84130" hidden="1">GL!$H$93</definedName>
    <definedName name="TB172ff30d_c9dc_435d_aed7_bf5aea3454e5" hidden="1">GL!$H$312</definedName>
    <definedName name="TB1748d043_5c9d_45dd_8768_f9fa763610e5" hidden="1">GL!$H$71</definedName>
    <definedName name="TB176d0de0_21e6_49b3_ad75_7dc0d26cc14e" hidden="1">GL!$H$189</definedName>
    <definedName name="TB177b02a9_8d1b_40f4_9d19_887e1b1995e9" hidden="1">GL!$H$199</definedName>
    <definedName name="TB1787b059_e0f6_4a6b_96df_bf2e60e98096" hidden="1">GL!#REF!</definedName>
    <definedName name="TB17e92ea1_2337_48de_bd47_13c06db77bed" hidden="1">GL!$H$359</definedName>
    <definedName name="TB18125e10_88d2_432a_a294_fb7c13190538" hidden="1">GL!#REF!</definedName>
    <definedName name="TB18235138_81dd_4967_896d_2ad1da5958ba" hidden="1">GL!$H$407</definedName>
    <definedName name="TB18ab3daf_b96b_49b9_b98c_e02426b7f7d9" hidden="1">GL!#REF!</definedName>
    <definedName name="TB18fb4f3d_3b4f_4c55_924f_edd0c4fcb05f" hidden="1">GL!#REF!</definedName>
    <definedName name="TB191995da_5d80_45ef_bc22_08bdd920b93a" hidden="1">GL!$H$249</definedName>
    <definedName name="TB1936dfcd_8ebc_4f1f_9251_90a94ce6d466" hidden="1">GL!$H$153</definedName>
    <definedName name="TB19417232_c9b4_4f5f_a5eb_9e436d928daf" hidden="1">GL!$H$164</definedName>
    <definedName name="TB1a84c450_b062_4d1b_989a_06301c690eef" hidden="1">GL!#REF!</definedName>
    <definedName name="TB1a8ef6e5_fff3_4bec_bb83_9c27dc609ae5" hidden="1">GL!$H$355</definedName>
    <definedName name="TB1ae1b6b7_cb32_4966_84aa_feb421c6a1b1" hidden="1">GL!#REF!</definedName>
    <definedName name="TB1b4d399e_b2d8_4d73_aa9a_737e63c1e3f8" hidden="1">GL!#REF!</definedName>
    <definedName name="TB1b91f65c_c844_40b4_bbf6_ca8cc104353a" hidden="1">GL!$H$62</definedName>
    <definedName name="TB1b9813aa_e809_4430_9a29_39d0d6c1364f" hidden="1">GL!#REF!</definedName>
    <definedName name="TB1bfc0463_706f_43ec_b5c7_813367af5537" hidden="1">GL!#REF!</definedName>
    <definedName name="TB1c3de6f7_fc85_4040_9b19_c9e04b1c9d06" hidden="1">GL!#REF!</definedName>
    <definedName name="TB1c4e3f7e_6fb3_4dfb_b256_6dbfae403a9f" hidden="1">GL!#REF!</definedName>
    <definedName name="TB1c582933_3b41_47ab_a6d4_964fcbf26e60" hidden="1">GL!#REF!</definedName>
    <definedName name="TB1cf38511_d985_412c_a244_c0fcf054a589" hidden="1">GL!#REF!</definedName>
    <definedName name="TB1d347331_ef83_4d0a_9134_8cb532464d10" hidden="1">GL!#REF!</definedName>
    <definedName name="TB1d45a2f6_5045_4525_9dee_f260b9059fcf" hidden="1">GL!$H$77</definedName>
    <definedName name="TB1dbc9597_8fe7_425d_9585_d77e2826b5ac" hidden="1">GL!#REF!</definedName>
    <definedName name="TB1dfe3581_52f3_4abe_966f_d5442f8a6ec5" hidden="1">GL!#REF!</definedName>
    <definedName name="TB1e3cc453_32d3_4af1_9631_39a5ef2a49e6" hidden="1">GL!#REF!</definedName>
    <definedName name="TB1ee66f7e_a6da_4467_9b1b_8606b2882fba" hidden="1">GL!$H$145</definedName>
    <definedName name="TB1f48584c_80cf_4b4b_9db9_c6076f9be681" hidden="1">GL!#REF!</definedName>
    <definedName name="TB1f92689c_257c_448d_ab28_c6d4664c0880" hidden="1">GL!#REF!</definedName>
    <definedName name="TB1fbbc7f9_6c3c_4e12_8f46_db99841a05d2" hidden="1">GL!#REF!</definedName>
    <definedName name="TB201d4e01_26d3_4bb2_ab6f_de370751dfb2" hidden="1">GL!#REF!</definedName>
    <definedName name="TB202ec988_dda0_4e19_8fc6_d70f7b239e8f" hidden="1">GL!#REF!</definedName>
    <definedName name="TB208f5d12_a8f2_4cae_8742_c100f399949a" hidden="1">GL!$H$86</definedName>
    <definedName name="TB20a7e778_de8f_4fde_8176_79b5407643f1" hidden="1">GL!#REF!</definedName>
    <definedName name="TB20e7b7d1_67da_4182_85aa_1547a4ce591e" hidden="1">GL!$H$352</definedName>
    <definedName name="TB20f272ab_55ca_4546_a414_49fc9dfb7054" hidden="1">GL!#REF!</definedName>
    <definedName name="TB214b7b55_573d_43b4_83b5_689ff92e18b4" hidden="1">GL!$H$251</definedName>
    <definedName name="TB215d0c39_17b6_404c_a081_5f23817907f4" hidden="1">GL!#REF!</definedName>
    <definedName name="TB2169c0b1_62c1_4023_8224_712de6d4b984" hidden="1">GL!#REF!</definedName>
    <definedName name="TB216f5aba_89c0_401f_8854_4a6306bea7d9" hidden="1">GL!$H$391</definedName>
    <definedName name="TB22218847_6c2d_444b_8606_b2168d71e7bf" hidden="1">GL!#REF!</definedName>
    <definedName name="TB22286908_e794_4205_a77c_aabb19344d3b" hidden="1">GL!$H$54</definedName>
    <definedName name="TB22b0743d_c757_4c96_a409_2ed6b31eda0e" hidden="1">GL!#REF!</definedName>
    <definedName name="TB22e2951f_18fa_45b4_861b_cedb55c159de" hidden="1">GL!#REF!</definedName>
    <definedName name="TB23330be3_25fd_4f53_b7eb_d175a27f2cf4" hidden="1">GL!#REF!</definedName>
    <definedName name="TB23937502_4998_4c49_abb8_3c27ace04bfa" hidden="1">GL!#REF!</definedName>
    <definedName name="TB23bc7f4f_dc0c_4267_b658_8a6537c2d283" hidden="1">GL!#REF!</definedName>
    <definedName name="TB23de80c6_c360_4f49_85b7_5a46440d5f47" hidden="1">GL!$H$403</definedName>
    <definedName name="TB240417f6_584e_46a5_8044_35e0d22270ad" hidden="1">GL!$H$263</definedName>
    <definedName name="TB2436ae6a_7725_46f8_a331_c37c59e8ca39" hidden="1">GL!$H$342</definedName>
    <definedName name="TB24dd2390_4fee_484b_b6a3_2ecd2ef165ba" hidden="1">GL!$H$297</definedName>
    <definedName name="TB25155017_ff52_40b7_829a_437480bf0b0d" hidden="1">GL!#REF!</definedName>
    <definedName name="TB25862738_a3f2_457c_9931_29adc75472ec" hidden="1">GL!$H$91</definedName>
    <definedName name="TB25a11497_0924_4cab_a1f6_be3984f1f3e0" hidden="1">GL!$H$85</definedName>
    <definedName name="TB26234ef4_51b3_419d_8d13_535d3ef3e928" hidden="1">GL!#REF!</definedName>
    <definedName name="TB26fedee9_af68_4ed5_8cdc_2c435d020fae" hidden="1">GL!#REF!</definedName>
    <definedName name="TB2724a93b_cdc5_40f9_9419_ef9b7ead24b7" hidden="1">GL!#REF!</definedName>
    <definedName name="TB27a61c4b_3dbb_4b0e_88ee_663635961d88" hidden="1">GL!#REF!</definedName>
    <definedName name="TB27c0f914_59de_4fdc_b170_5d18cb31d442" hidden="1">GL!#REF!</definedName>
    <definedName name="TB27de31ea_ac4d_4604_a437_2ced33c2794a" hidden="1">GL!$H$247</definedName>
    <definedName name="TB2840421d_6bc4_46b9_ac91_3786ee7c682a" hidden="1">GL!$H$154</definedName>
    <definedName name="TB2847f751_0710_42b4_b81b_6b33831c2829" hidden="1">GL!$H$201</definedName>
    <definedName name="TB285c86b2_e5d3_4112_b1e5_ae8639a1b438" hidden="1">GL!$H$394</definedName>
    <definedName name="TB286374ca_d38b_457d_8c54_8e7131208526" hidden="1">GL!$H$324</definedName>
    <definedName name="TB28719107_28a8_4758_8cf9_75a668196c2b" hidden="1">GL!#REF!</definedName>
    <definedName name="TB28941798_6333_4787_833d_c3aa13a54357" hidden="1">GL!$H$89</definedName>
    <definedName name="TB2894caec_bb27_4978_a533_a9b48c0291c1" hidden="1">GL!$H$184</definedName>
    <definedName name="TB28dadb01_4937_4bc3_bde6_e10b8b2c7237" hidden="1">GL!#REF!</definedName>
    <definedName name="TB29359b2f_5bd2_48df_afc8_527978609d69" hidden="1">GL!#REF!</definedName>
    <definedName name="TB2974307d_7112_4443_a834_f620c9ae3f8d" hidden="1">GL!#REF!</definedName>
    <definedName name="TB29fef229_48ab_4626_9d08_445821817bea" hidden="1">GL!$H$101</definedName>
    <definedName name="TB2a1f4493_b1da_43d1_9242_247c4ff58746" hidden="1">GL!$H$392</definedName>
    <definedName name="TB2b531713_bc44_4c73_bf4c_dd93e73bdeac" hidden="1">GL!#REF!</definedName>
    <definedName name="TB2b74d717_446f_483b_a848_e5647cbb8628" hidden="1">GL!#REF!</definedName>
    <definedName name="TB2baf0bda_d84e_483e_b5f0_68f0765788bb" hidden="1">GL!#REF!</definedName>
    <definedName name="TB2bb511e1_1530_4d64_a497_b6abf7fe34c1" hidden="1">GL!#REF!</definedName>
    <definedName name="TB2bddc887_d363_463c_85c0_0827dd7e964e" hidden="1">GL!$H$367</definedName>
    <definedName name="TB2c49d94e_6251_4b00_ad93_aec41314cfef" hidden="1">GL!#REF!</definedName>
    <definedName name="TB2c8b79d1_3dc8_42ae_9d52_3a07c18346c7" hidden="1">GL!#REF!</definedName>
    <definedName name="TB2c8ddb49_60b2_44fe_b162_bc5a83403c33" hidden="1">GL!#REF!</definedName>
    <definedName name="TB2cfbb069_6e6c_4ede_988b_c4c058984562" hidden="1">GL!#REF!</definedName>
    <definedName name="TB2d62a16d_a80a_4bf7_8cdd_4eafb37705c0" hidden="1">GL!#REF!</definedName>
    <definedName name="TB2d7c2854_b0ea_4f60_b9fd_f649707e76aa" hidden="1">GL!#REF!</definedName>
    <definedName name="TB2dc6adc4_23c4_4d8e_a46a_be76abe1948b" hidden="1">GL!#REF!</definedName>
    <definedName name="TB2dc77467_a8e7_4f93_8b7e_be09b94afc0c" hidden="1">GL!#REF!</definedName>
    <definedName name="TB2ddb5417_297f_4eae_aac4_4fbcc6a56e58" hidden="1">GL!$H$309</definedName>
    <definedName name="TB2dddcd2a_871d_4c1b_8399_725d0dd87a6c" hidden="1">GL!$H$128</definedName>
    <definedName name="TB2e05ec67_c209_4b0c_bdca_b3750f629bcc" hidden="1">GL!$H$81</definedName>
    <definedName name="TB2e16b4b4_ca99_4eef_bd11_473c0b429539" hidden="1">GL!$H$270</definedName>
    <definedName name="TB2e58f4c1_0500_407b_a21b_1adfe43ee3ac" hidden="1">GL!#REF!</definedName>
    <definedName name="TB2e73e2df_d620_41df_8012_caf0199d5213" hidden="1">GL!$H$143</definedName>
    <definedName name="TB2ef2fed1_333d_40f0_bb25_deaf45f4780a" hidden="1">GL!$H$246</definedName>
    <definedName name="TB2f11630c_ef95_4b0c_a8e1_eb46d617157b" hidden="1">GL!$H$298</definedName>
    <definedName name="TB2f255073_7ca5_4435_a3eb_ae990da4d681" hidden="1">GL!#REF!</definedName>
    <definedName name="TB301c21b8_f610_4195_a7b6_5f2f5448f2b6" hidden="1">GL!#REF!</definedName>
    <definedName name="TB3040ad53_aeb7_4140_b5e5_ab695b8d0dcb" hidden="1">GL!$H$357</definedName>
    <definedName name="TB304d22c4_b71f_4283_b796_ed276d537bb3" hidden="1">GL!$H$281</definedName>
    <definedName name="TB3167dde4_71b5_40ea_9e4d_05c5afde1f19" hidden="1">GL!#REF!</definedName>
    <definedName name="TB317215de_eea1_43b5_9cc5_0a7c15b20ce0" hidden="1">GL!$H$160</definedName>
    <definedName name="TB31997c83_a35c_4506_8e02_9ee24c260d3a" hidden="1">GL!#REF!</definedName>
    <definedName name="TB31d5f561_6999_475e_b5b0_315b5b1b732d" hidden="1">GL!$H$262</definedName>
    <definedName name="TB3254b3e7_06e0_4710_beba_850b1ce5b9b0" hidden="1">GL!#REF!</definedName>
    <definedName name="TB3297fa1c_d635_4bdc_a4ba_a6579f87eace" hidden="1">GL!$H$386</definedName>
    <definedName name="TB32c54dce_c6e3_4ddc_a885_350e74ecc2c4" hidden="1">GL!#REF!</definedName>
    <definedName name="TB32caf40b_5c6d_4606_9811_e3699202c62d" hidden="1">GL!#REF!</definedName>
    <definedName name="TB335ab2cb_ac49_43cf_b2af_0abc354ffd64" hidden="1">GL!$H$35</definedName>
    <definedName name="TB33695c57_eaa1_4b58_8409_06eb81ecc3fa" hidden="1">GL!#REF!</definedName>
    <definedName name="TB3469ac8e_72e8_45ca_97c3_3b1bdbdbf259" hidden="1">GL!$H$302</definedName>
    <definedName name="TB34a21471_e333_4261_b15e_b06898599479" hidden="1">GL!#REF!</definedName>
    <definedName name="TB34f151d1_2833_4506_bb11_127d0d248565" hidden="1">GL!$H$354</definedName>
    <definedName name="TB35a6d8dc_2a9b_4ccf_8c47_5b1fc57e0fd3" hidden="1">GL!$H$326</definedName>
    <definedName name="TB35d6d6f6_24b2_41db_8607_b2d7b9c6acf7" hidden="1">GL!$H$69</definedName>
    <definedName name="TB35ddf45d_f21b_453a_b2d7_0e1e6bb6fddf" hidden="1">GL!#REF!</definedName>
    <definedName name="TB35dfde9b_fce5_49ba_bd5f_efa795bf09a9" hidden="1">GL!$H$242</definedName>
    <definedName name="TB3636c178_3890_4ddb_ab66_460d9c57a9a6" hidden="1">GL!$H$257</definedName>
    <definedName name="TB364c0b97_1f47_4d30_9641_2a64cbb63534" hidden="1">GL!#REF!</definedName>
    <definedName name="TB3666c448_afaf_499e_9aa2_9ae7eee0c9e9" hidden="1">GL!#REF!</definedName>
    <definedName name="TB366f178f_f301_489f_97b2_981ab8b464a3" hidden="1">GL!$H$60</definedName>
    <definedName name="TB37945eda_0ecf_4427_8ce6_eef7fe01d79b" hidden="1">GL!$H$333</definedName>
    <definedName name="TB38167f0a_f26b_4f87_91e7_2db07855090a" hidden="1">GL!$H$261</definedName>
    <definedName name="TB38b39c62_d6a9_42ea_98b9_428583ce8f9b" hidden="1">GL!#REF!</definedName>
    <definedName name="TB396f1116_a989_4120_bc31_0287a04db416" hidden="1">GL!$H$83</definedName>
    <definedName name="TB3a190084_809e_4e49_abac_e13b486fd9be" hidden="1">GL!#REF!</definedName>
    <definedName name="TB3a8ae988_9056_4cdb_b1ad_bab53345f14d" hidden="1">GL!#REF!</definedName>
    <definedName name="TB3aae8d8e_3ed7_4663_9427_fb014c37260a" hidden="1">GL!#REF!</definedName>
    <definedName name="TB3b4372d0_1929_48e9_8636_f975b4d7172c" hidden="1">GL!$H$229</definedName>
    <definedName name="TB3c8675d2_639c_46a1_9442_7c409bc48062" hidden="1">GL!#REF!</definedName>
    <definedName name="TB3cd76545_7086_4ab3_bf15_a26727982360" hidden="1">GL!#REF!</definedName>
    <definedName name="TB3cff958e_77fb_40ce_84cd_48702363ad20" hidden="1">GL!#REF!</definedName>
    <definedName name="TB3d22caf4_1a58_4fad_9cf6_277d7169bf61" hidden="1">GL!$H$306</definedName>
    <definedName name="TB3d42b1f8_4c01_4bbb_9576_7aef2644e06e" hidden="1">GL!#REF!</definedName>
    <definedName name="TB3d4ffa6d_05d8_4283_94c8_f563a1946722" hidden="1">GL!#REF!</definedName>
    <definedName name="TB3d90544d_51d7_4da2_97e7_682e3c55c6d2" hidden="1">GL!$H$155</definedName>
    <definedName name="TB3dd5eb53_f5ad_4f30_b11d_bd2d96a97774" hidden="1">GL!$H$50</definedName>
    <definedName name="TB3e982a58_5ba9_47ba_ba14_173a1ac9c847" hidden="1">GL!#REF!</definedName>
    <definedName name="TB3ebddc58_825c_4ad3_b32c_029ff6a91b19" hidden="1">GL!$H$178</definedName>
    <definedName name="TB3ec23405_55ba_4750_a969_d7877721d21d" hidden="1">GL!$H$369</definedName>
    <definedName name="TB3eed473b_2103_4c81_83d5_8bd19ef45815" hidden="1">GL!$H$313</definedName>
    <definedName name="TB3f424ef1_f72a_49fe_b0e6_9defa9616ca6" hidden="1">GL!#REF!</definedName>
    <definedName name="TB3f64798b_214c_404d_9639_9e6cabf98c0c" hidden="1">GL!#REF!</definedName>
    <definedName name="TB401d9c64_6030_4f21_b168_b1d34e8065fd" hidden="1">GL!$H$379</definedName>
    <definedName name="TB40406ef3_813f_48ec_9a43_b9bbcb2c2a4f" hidden="1">GL!$H$159</definedName>
    <definedName name="TB40574b1e_e1e3_4b5b_a731_1005e60da10e" hidden="1">GL!$H$126</definedName>
    <definedName name="TB406f4394_a179_451b_ac12_ff2f2d73719f" hidden="1">GL!#REF!</definedName>
    <definedName name="TB41093243_410a_4b46_9938_4a0ceca1ed67" hidden="1">GL!#REF!</definedName>
    <definedName name="TB416527be_4603_4c5b_9d01_215f70fda426" hidden="1">GL!$H$88</definedName>
    <definedName name="TB42296edf_f740_46f9_a096_f3d6c7a1c190" hidden="1">GL!$H$228</definedName>
    <definedName name="TB424c763b_e8d3_4b6a_80dc_43679455a839" hidden="1">GL!$H$148</definedName>
    <definedName name="TB4287b08a_0f09_4d08_b64b_4dee6d700571" hidden="1">GL!#REF!</definedName>
    <definedName name="TB431a6883_0809_4747_9894_7a895c7e8b1c" hidden="1">GL!$H$100</definedName>
    <definedName name="TB432a3be5_10d5_4ee2_a90d_d7e575e51197" hidden="1">GL!#REF!</definedName>
    <definedName name="TB438be3b8_c9ed_4bdc_ad21_f60c133900cf" hidden="1">GL!$H$276</definedName>
    <definedName name="TB43aa5a01_d015_4d5f_aa3e_fbbf4252c3d0" hidden="1">GL!#REF!</definedName>
    <definedName name="TB4402fc28_10bc_45da_8336_59d4eb2e3e45" hidden="1">GL!#REF!</definedName>
    <definedName name="TB442e2d81_5e69_4884_a33c_d66c0ff98dc8" hidden="1">GL!$H$180</definedName>
    <definedName name="TB44de522a_d4c3_44d8_8db0_dcf59530d3ea" hidden="1">GL!$H$319</definedName>
    <definedName name="TB450c7e55_3686_43f3_9bf2_14a2b8393a83" hidden="1">GL!#REF!</definedName>
    <definedName name="TB459dd3f4_3eed_467c_883d_f78b04d01b73" hidden="1">GL!$H$239</definedName>
    <definedName name="TB46511723_1ff1_4e9b_ad1d_6cc4cf3f219a" hidden="1">GL!$H$327</definedName>
    <definedName name="TB468856ae_8287_42e7_ad94_426397f3ae7a" hidden="1">GL!$H$216</definedName>
    <definedName name="TB47171574_f79e_4106_ac11_53691cd00128" hidden="1">GL!$H$40</definedName>
    <definedName name="TB474f042e_cf8a_4008_aaca_6fb31178b691" hidden="1">GL!#REF!</definedName>
    <definedName name="TB475a4322_a22a_42f8_99c5_0168113a6728" hidden="1">GL!#REF!</definedName>
    <definedName name="TB4879fbfa_e379_43c9_bce7_d02aa0e56c88" hidden="1">GL!#REF!</definedName>
    <definedName name="TB48d70512_85eb_4744_9ecb_e0e50728d3b0" hidden="1">GL!$H$36</definedName>
    <definedName name="TB4954e30c_2744_4a49_a44a_a6a6b28f3b32" hidden="1">GL!#REF!</definedName>
    <definedName name="TB49c9a98e_6986_4cee_8a2f_96509fcea2e2" hidden="1">GL!$H$125</definedName>
    <definedName name="TB4a03acc2_584f_400a_a02a_1a26476996bc" hidden="1">GL!$H$385</definedName>
    <definedName name="TB4b389575_ea2b_4397_8b3d_66d8b89bdf91" hidden="1">GL!$H$389</definedName>
    <definedName name="TB4b882737_864d_4b39_bc17_8dca54127de2" hidden="1">GL!$H$280</definedName>
    <definedName name="TB4bca4d92_4974_433d_aa8f_9ab34d6c8358" hidden="1">GL!$H$244</definedName>
    <definedName name="TB4bd5b789_3eb9_4b08_b9b2_71c312061e5e" hidden="1">GL!#REF!</definedName>
    <definedName name="TB4bf7368d_daca_4270_81ff_00d160a3ccb3" hidden="1">GL!#REF!</definedName>
    <definedName name="TB4d9f5129_cce8_482b_a7e7_f3a94c8556ed" hidden="1">GL!$H$375</definedName>
    <definedName name="TB4db34a89_407b_4f32_a7a8_20665c5fc77c" hidden="1">GL!$H$290</definedName>
    <definedName name="TB4e0c8c5c_d197_4986_b8b6_f7a84fab75e4" hidden="1">GL!#REF!</definedName>
    <definedName name="TB4e70eb1e_0313_48f1_9546_c524003ecc4b" hidden="1">GL!$H$212</definedName>
    <definedName name="TB4e751cc5_b504_4cc5_984d_97a30ebb4f6f" hidden="1">GL!$H$310</definedName>
    <definedName name="TB4e8cfa44_4487_4a18_9b1d_1217d1499841" hidden="1">GL!$H$12</definedName>
    <definedName name="TB4eed63a4_fc38_45ea_bbdc_5334b0ea5393" hidden="1">GL!$H$107</definedName>
    <definedName name="TB4f8d2907_c22f_4ef9_bf6a_160352d07169" hidden="1">GL!#REF!</definedName>
    <definedName name="TB4fc5cca0_18fb_4732_8459_0a2bbdc0bd9f" hidden="1">GL!#REF!</definedName>
    <definedName name="TB50720572_91ee_4fae_aa67_afff7b1ae429" hidden="1">GL!#REF!</definedName>
    <definedName name="TB50f57371_b9e3_40a4_879d_b54245002d02" hidden="1">GL!#REF!</definedName>
    <definedName name="TB51256e83_0a59_46c0_9c00_a35cd0286739" hidden="1">GL!#REF!</definedName>
    <definedName name="TB51499130_e85c_41c7_a5a4_072a50957270" hidden="1">GL!#REF!</definedName>
    <definedName name="TB51708edc_3b54_4bdf_bb50_2cc6084ca77f" hidden="1">GL!#REF!</definedName>
    <definedName name="TB51e31dbd_db9b_4595_b512_96df802550b3" hidden="1">GL!$H$196</definedName>
    <definedName name="TB51f75cb7_d8e9_40f0_b0e7_9688b847e932" hidden="1">GL!#REF!</definedName>
    <definedName name="TB520817f5_966b_4d8d_a148_48ca7667f174" hidden="1">GL!#REF!</definedName>
    <definedName name="TB525fd828_9e73_40a4_a4f0_ea8c509a64dd" hidden="1">GL!#REF!</definedName>
    <definedName name="TB52835455_04b7_43b9_9d63_9bd64c1f4ed8" hidden="1">GL!$H$122</definedName>
    <definedName name="TB52df7156_704d_48f5_b976_799ef25a81e9" hidden="1">GL!$H$146</definedName>
    <definedName name="TB52e6c869_9957_46bc_8432_88f463573c31" hidden="1">GL!#REF!</definedName>
    <definedName name="TB53e3874f_4dd2_4118_9c18_15c5c4d837a6" hidden="1">GL!#REF!</definedName>
    <definedName name="TB543d70a7_38c1_42da_a5dd_3b539f876899" hidden="1">GL!#REF!</definedName>
    <definedName name="TB5499473a_18d8_4f40_bb22_8ce8c5d063c7" hidden="1">GL!#REF!</definedName>
    <definedName name="TB549aecb1_1d35_4c4f_8bef_573f54d003e9" hidden="1">GL!$H$43</definedName>
    <definedName name="TB54b18874_fbcc_4bdd_9216_1c847cd4ebfc" hidden="1">GL!$H$151</definedName>
    <definedName name="TB54b53935_8104_4d6b_ac0b_8e5018873bfe" hidden="1">GL!#REF!</definedName>
    <definedName name="TB55ccec6d_7dd1_4e1c_9b65_05351e6532ca" hidden="1">GL!#REF!</definedName>
    <definedName name="TB56840c57_e5b0_42d6_be6d_d4c92cec628a" hidden="1">GL!#REF!</definedName>
    <definedName name="TB5692ca38_f46f_4752_84c0_067bc7fc9054" hidden="1">GL!#REF!</definedName>
    <definedName name="TB56ac5b0d_2ca2_4c0b_ae84_cfbcaa28edc1" hidden="1">GL!#REF!</definedName>
    <definedName name="TB56d15d6a_f8cb_4102_8462_3af756712b2d" hidden="1">GL!#REF!</definedName>
    <definedName name="TB56ebcc5f_2cad_4c04_8dd0_08fb64e6bbf0" hidden="1">GL!$H$131</definedName>
    <definedName name="TB56f58a81_3028_4af0_b140_4493f970bbb9" hidden="1">GL!$H$303</definedName>
    <definedName name="TB571d65bc_6496_4f92_8120_2d9e66aee360" hidden="1">GL!$H$269</definedName>
    <definedName name="TB578c640a_1d60_429d_b67e_373888d34874" hidden="1">GL!#REF!</definedName>
    <definedName name="TB57d47999_1b1f_4eef_aace_7c1e5564b6f9" hidden="1">GL!#REF!</definedName>
    <definedName name="TB57e4b789_9fdc_4ef8_a0ae_6c9cb7e8e341" hidden="1">GL!#REF!</definedName>
    <definedName name="TB58468482_c9aa_4706_9258_612cad6f23d5" hidden="1">GL!#REF!</definedName>
    <definedName name="TB58962630_a110_4549_a7a4_ba2370a95cf8" hidden="1">GL!$H$95</definedName>
    <definedName name="TB58f57a60_8884_47bf_893e_96189781c01b" hidden="1">GL!#REF!</definedName>
    <definedName name="TB59978f54_afe7_4b54_88f7_d55c837ac443" hidden="1">GL!$H$72</definedName>
    <definedName name="TB59999cf8_9c87_460f_b56a_abe672d1252d" hidden="1">GL!#REF!</definedName>
    <definedName name="TB59eaba2f_66a7_41a4_8a28_dd862b9d5696" hidden="1">GL!$H$225</definedName>
    <definedName name="TB59fa8911_609e_4a9d_a669_9a3ac2258eb2" hidden="1">GL!#REF!</definedName>
    <definedName name="TB5a9717a8_ff00_4d28_ae5a_d080bf9ad0e4" hidden="1">GL!$H$233</definedName>
    <definedName name="TB5aa60ddd_da7e_487c_8571_654391271818" hidden="1">GL!#REF!</definedName>
    <definedName name="TB5b4f4c86_9424_46d5_8468_e1e0fe48471d" hidden="1">GL!$H$259</definedName>
    <definedName name="TB5b5a9df5_33f0_407b_a847_6211451a2fc1" hidden="1">GL!$H$37</definedName>
    <definedName name="TB5b5f48f6_8625_4235_98d1_5da033c15f76" hidden="1">GL!$H$26</definedName>
    <definedName name="TB5b8dc176_8046_43ad_bca0_fe4e95d8d9b7" hidden="1">GL!$H$284</definedName>
    <definedName name="TB5ba9d11f_3119_43bb_8adc_9f3fee6ed994" hidden="1">GL!$H$6</definedName>
    <definedName name="TB5c2c52ee_59b1_4a84_b0a8_2b6acd932a2d" hidden="1">GL!$H$55</definedName>
    <definedName name="TB5cb8dc81_cb8b_4f61_8a76_3df84fd491bd" hidden="1">GL!#REF!</definedName>
    <definedName name="TB5d104f01_1686_41ae_9710_7316c369c697" hidden="1">GL!$H$382</definedName>
    <definedName name="TB5d8644fc_921c_4322_ae49_4a1ec6727e74" hidden="1">GL!$H$110</definedName>
    <definedName name="TB5df99001_9d3d_4bd4_bd2f_0d4b92844d5d" hidden="1">GL!#REF!</definedName>
    <definedName name="TB5e8c0336_c600_4120_b983_d66f846fb360" hidden="1">GL!$H$94</definedName>
    <definedName name="TB5fb4df58_c446_4054_96fe_bed1044d01f0" hidden="1">GL!$H$70</definedName>
    <definedName name="TB60e9ff2d_bd41_452f_830c_8ec7c38f272a" hidden="1">GL!#REF!</definedName>
    <definedName name="TB6121e458_3ccb_4393_8f4d_8d869f42e256" hidden="1">GL!$H$401</definedName>
    <definedName name="TB614b1746_cc1c_4f1d_80ee_a7bc78e450ec" hidden="1">GL!#REF!</definedName>
    <definedName name="TB61be6d7a_e6f1_4340_8742_a287749caab8" hidden="1">GL!#REF!</definedName>
    <definedName name="TB61d902b7_2fe1_433d_8d95_7e23eb06e154" hidden="1">GL!#REF!</definedName>
    <definedName name="TB62050b5d_75ec_4e98_b897_5566b5b3e16a" hidden="1">GL!#REF!</definedName>
    <definedName name="TB62790ea5_74b7_467a_bea3_cda90ad24e27" hidden="1">GL!$H$133</definedName>
    <definedName name="TB62800601_6129_4e99_a1dd_8c68fdc4fc0b" hidden="1">GL!#REF!</definedName>
    <definedName name="TB62ac60b1_0eaf_41f1_9577_38c09c0ef097" hidden="1">GL!$H$78</definedName>
    <definedName name="TB63bea4d9_802c_41cf_ac3f_a55e84cec612" hidden="1">GL!#REF!</definedName>
    <definedName name="TB63ff6719_0740_4a28_b3fe_66a8e203d3cb" hidden="1">GL!#REF!</definedName>
    <definedName name="TB6429ecea_389d_4034_979d_114ff3f2f2aa" hidden="1">GL!#REF!</definedName>
    <definedName name="TB644a9462_f981_443c_84d8_44739532642f" hidden="1">GL!#REF!</definedName>
    <definedName name="TB645cc734_55b1_43f3_adf4_95f7fcd8e3f5" hidden="1">GL!$H$120</definedName>
    <definedName name="TB647bd4bc_ee23_4a5a_86b6_4492447329e9" hidden="1">GL!#REF!</definedName>
    <definedName name="TB64980a2e_1c5d_4fd3_bd6b_3b03367b9ef1" hidden="1">GL!#REF!</definedName>
    <definedName name="TB64bdd4e9_855f_47dd_a40a_20bd2c049543" hidden="1">GL!$H$374</definedName>
    <definedName name="TB64e402b0_8f3f_4249_81d7_5471b5d7ff09" hidden="1">GL!$H$27</definedName>
    <definedName name="TB64ea8f32_ac6f_47c9_aca4_d11123e6cc8e" hidden="1">GL!#REF!</definedName>
    <definedName name="TB65ae142d_906a_41da_851a_721b8ec3ab97" hidden="1">GL!#REF!</definedName>
    <definedName name="TB65f1f901_a990_4da7_abf3_ca7da87fc677" hidden="1">GL!#REF!</definedName>
    <definedName name="TB662b2833_0cb8_4f6b_8db4_e7903e95c16f" hidden="1">GL!$H$345</definedName>
    <definedName name="TB663c7a17_36c5_47ae_a223_a63f2551fe00" hidden="1">GL!$H$161</definedName>
    <definedName name="TB66b35c0d_f166_47d8_b965_462d9ac281c8" hidden="1">GL!$H$44</definedName>
    <definedName name="TB670bf737_7adf_4074_aeef_a98cbbc1f1f6" hidden="1">GL!$H$311</definedName>
    <definedName name="TB67755b59_244f_4ace_a72c_1df2dbc6784c" hidden="1">GL!$H$282</definedName>
    <definedName name="TB6787f7c9_483e_4600_ba95_36ff10b52be1" hidden="1">GL!$H$150</definedName>
    <definedName name="TB67f19248_3cf3_420e_813f_78b350c4f2b1" hidden="1">GL!#REF!</definedName>
    <definedName name="TB686d5d47_4220_4934_861f_d5fcfe8d4835" hidden="1">GL!#REF!</definedName>
    <definedName name="TB68833a63_4091_40f4_ab14_6e18083422b1" hidden="1">GL!$H$330</definedName>
    <definedName name="TB68d527a9_e4eb_48fb_9368_59094cf79549" hidden="1">GL!#REF!</definedName>
    <definedName name="TB68e8900a_e94b_4dbd_87b9_d1100508ede7" hidden="1">GL!$H$208</definedName>
    <definedName name="TB69322ad3_85be_4c0d_b4ec_1586b2b9b057" hidden="1">GL!#REF!</definedName>
    <definedName name="TB69398082_1b20_4434_83a1_305d5e755e6e" hidden="1">GL!$H$320</definedName>
    <definedName name="TB699ffa23_6914_49b6_bd6a_2ef62fcae3ee" hidden="1">GL!#REF!</definedName>
    <definedName name="TB69e3c54d_b02e_41f0_be7b_c34e624ee9d8" hidden="1">GL!$H$157</definedName>
    <definedName name="TB69eb068e_67d5_4400_a8fa_6c43e2c47f1e" hidden="1">GL!#REF!</definedName>
    <definedName name="TB69ee5515_398a_4f31_9b2f_bd4d0fee4456" hidden="1">GL!$H$119</definedName>
    <definedName name="TB6a9ecb0f_6c42_4a73_8cae_a670101931cb" hidden="1">GL!$H$248</definedName>
    <definedName name="TB6aaca091_70cb_42cd_a1a9_5eb5d0f8be88" hidden="1">GL!#REF!</definedName>
    <definedName name="TB6b2e73cd_bdf6_451b_8e3d_8b832f4c305c" hidden="1">GL!$H$188</definedName>
    <definedName name="TB6b7e47be_d4f5_46d9_8ba3_0c272efcddcc" hidden="1">GL!#REF!</definedName>
    <definedName name="TB6b8d6e43_5135_4416_b4fa_a49816e23b56" hidden="1">GL!$H$380</definedName>
    <definedName name="TB6b9ab5f1_95e3_4b3b_a433_422e61e040d3" hidden="1">GL!$H$113</definedName>
    <definedName name="TB6bba6381_3971_40a5_bbe7_b969986c1e05" hidden="1">GL!#REF!</definedName>
    <definedName name="TB6bcd2d5b_ecd9_4226_8c49_ee71c0ce1841" hidden="1">GL!#REF!</definedName>
    <definedName name="TB6bfa7cf1_918e_4ae7_ac9a_65167859407e" hidden="1">GL!$H$234</definedName>
    <definedName name="TB6c354ec1_abb7_4323_99d1_3ff3d3780c81" hidden="1">GL!#REF!</definedName>
    <definedName name="TB6c85c57b_d7fe_48d0_a2f4_c0c0174304c7" hidden="1">GL!$H$39</definedName>
    <definedName name="TB6ce5542c_3ad9_4b84_aa93_85e36157cdaa" hidden="1">GL!$H$241</definedName>
    <definedName name="TB6d1f248e_b38c_4b14_b0df_3a57f39d5c66" hidden="1">GL!$H$47</definedName>
    <definedName name="TB6d44a7d6_946c_454f_b3d2_2ff8a1a4623b" hidden="1">GL!$H$301</definedName>
    <definedName name="TB6da5dd6c_fc44_472b_8ec1_dcacc520e985" hidden="1">GL!$H$277</definedName>
    <definedName name="TB6e266b33_4b24_4743_98bb_1a01f39d9e5b" hidden="1">GL!$H$206</definedName>
    <definedName name="TB6e3b852f_08e4_4871_b7ed_939353f995af" hidden="1">GL!#REF!</definedName>
    <definedName name="TB6e8e7337_aecc_4f4c_aa6e_60299105459c" hidden="1">GL!#REF!</definedName>
    <definedName name="TB6ec22912_184f_45bc_9ddd_675f4a9a512a" hidden="1">GL!#REF!</definedName>
    <definedName name="TB6ef5f036_a126_4e64_9cd2_1836871e8285" hidden="1">GL!$H$279</definedName>
    <definedName name="TB703d8396_920e_4c04_9754_0489671f8cb2" hidden="1">GL!#REF!</definedName>
    <definedName name="TB7057b473_e514_4f6d_a9a4_99752dbc0ad6" hidden="1">GL!$H$168</definedName>
    <definedName name="TB707e4a1a_a6c2_4d00_a058_687bfa596c37" hidden="1">GL!#REF!</definedName>
    <definedName name="TB71313d26_ba1b_4a03_a125_1ad59ade8ad1" hidden="1">GL!$H$76</definedName>
    <definedName name="TB71467649_ab99_43ff_925c_f0432b3ef1a5" hidden="1">GL!$H$336</definedName>
    <definedName name="TB71604719_381a_443d_8738_0ea24adaf8a9" hidden="1">GL!$H$343</definedName>
    <definedName name="TB716295df_42be_4e57_89b9_b00a0d39805e" hidden="1">GL!#REF!</definedName>
    <definedName name="TB7218d97d_2bf0_41f3_87c0_3c593aa1281f" hidden="1">GL!#REF!</definedName>
    <definedName name="TB721b22e0_194a_4395_8f86_c7ea3681b423" hidden="1">GL!#REF!</definedName>
    <definedName name="TB723ac012_6257_416a_849e_bfff310dcd1b" hidden="1">GL!#REF!</definedName>
    <definedName name="TB72b71aff_9502_4362_bf58_0042fb6a8774" hidden="1">GL!#REF!</definedName>
    <definedName name="TB72eeaa8f_2e3e_4512_95f2_1d08486846b0" hidden="1">GL!$H$274</definedName>
    <definedName name="TB72f12a14_9799_46dd_9f74_38f40d3916d7" hidden="1">GL!$H$318</definedName>
    <definedName name="TB7351f50c_a264_47b5_8793_faa18298037b" hidden="1">GL!#REF!</definedName>
    <definedName name="TB7427c859_0a7a_4a8b_bddc_f275347056e7" hidden="1">GL!$H$190</definedName>
    <definedName name="TB74b8cf8d_17df_4a61_9198_3214ede78bae" hidden="1">GL!$H$92</definedName>
    <definedName name="TB74d500d9_0dfb_4313_8adc_c3ff379979ff" hidden="1">GL!#REF!</definedName>
    <definedName name="TB74e2af4b_274f_44e7_ac33_819510fff5e8" hidden="1">GL!$H$213</definedName>
    <definedName name="TB74f1a5e2_a7eb_451a_9e27_fb9c3b7397fe" hidden="1">GL!#REF!</definedName>
    <definedName name="TB755ad3dc_265e_420f_b97d_616dd3b531ba" hidden="1">GL!#REF!</definedName>
    <definedName name="TB758ab839_8df4_4887_afd2_0e37e65c0934" hidden="1">GL!#REF!</definedName>
    <definedName name="TB75f45019_760f_41d9_8cc8_47ab57a9e7da" hidden="1">GL!#REF!</definedName>
    <definedName name="TB760f16a1_96fa_4b3c_a262_fa4db43e4f4c" hidden="1">GL!#REF!</definedName>
    <definedName name="TB76264b24_95ef_413b_9a4f_e79a16b49648" hidden="1">GL!$H$170</definedName>
    <definedName name="TB76327575_6e7a_4094_9d7a_1c02b8831e00" hidden="1">GL!$H$372</definedName>
    <definedName name="TB76c36ac9_d34f_464a_8e07_2c8db7c86aa0" hidden="1">GL!$H$75</definedName>
    <definedName name="TB76d2398c_7b8d_48e6_a09b_1926dac9b47e" hidden="1">GL!#REF!</definedName>
    <definedName name="TB7703217e_d0b6_48cc_a990_a70117408215" hidden="1">GL!#REF!</definedName>
    <definedName name="TB7736ce5f_67d7_4f67_b4b9_729e10f7c001" hidden="1">GL!#REF!</definedName>
    <definedName name="TB7823b355_b58a_4af4_b8ca_1da6ebf981ec" hidden="1">GL!$H$267</definedName>
    <definedName name="TB7872dabd_3b50_4681_b70a_1c348fc2040d" hidden="1">GL!$H$377</definedName>
    <definedName name="TB78cf60e5_c310_42d9_b2b6_e0a7cbc4f2b6" hidden="1">GL!$H$245</definedName>
    <definedName name="TB78d88905_4980_429f_bcad_9afe17fde796" hidden="1">GL!#REF!</definedName>
    <definedName name="TB78ec0794_d290_4b86_8c20_e3995fe5fe09" hidden="1">GL!$H$34</definedName>
    <definedName name="TB7938dec7_ba6e_4bb5_b454_7e73383ccaea" hidden="1">GL!$H$144</definedName>
    <definedName name="TB79392c6d_e792_45b9_ba56_f91556d7ed45" hidden="1">GL!$H$198</definedName>
    <definedName name="TB79e9bf1b_b4ed_4535_b322_fe2fcbcd2941" hidden="1">GL!$H$221</definedName>
    <definedName name="TB7a11cac3_b6fd_4dbd_b259_daf1614b3fbe" hidden="1">GL!#REF!</definedName>
    <definedName name="TB7a45d49a_24b8_446a_ae74_b1f5850b976b" hidden="1">GL!$H$237</definedName>
    <definedName name="TB7a9bb718_2fb9_4518_9191_13caee517ed3" hidden="1">GL!#REF!</definedName>
    <definedName name="TB7b314bbd_06e5_4058_84e5_f9ead32e64ef" hidden="1">GL!#REF!</definedName>
    <definedName name="TB7b416acc_00f3_463b_965c_99be46cb4f2a" hidden="1">GL!$H$358</definedName>
    <definedName name="TB7b9d24e5_cdee_4e81_87d9_adf9dbf39925" hidden="1">GL!#REF!</definedName>
    <definedName name="TB7bab7898_677c_4ca1_a29b_49cbfa9912e1" hidden="1">GL!#REF!</definedName>
    <definedName name="TB7bd3ccde_7baf_4eac_84b9_5f2894aca6d6" hidden="1">GL!#REF!</definedName>
    <definedName name="TB7c32ed72_db38_4325_a249_69cfa47becfe" hidden="1">GL!#REF!</definedName>
    <definedName name="TB7cbfbb12_a6bc_4c9a_95f6_f9326742ab92" hidden="1">GL!$H$278</definedName>
    <definedName name="TB7cd2899a_5152_4463_8e4a_aae1966491a0" hidden="1">GL!#REF!</definedName>
    <definedName name="TB7ced47f3_240a_46b5_ab8e_eae96748f44d" hidden="1">GL!$H$314</definedName>
    <definedName name="TB7cfe1187_9b5a_44d8_90e3_95178691c74d" hidden="1">GL!$H$10</definedName>
    <definedName name="TB7d23d1d2_1946_42eb_b81c_e3b4bfe451df" hidden="1">GL!#REF!</definedName>
    <definedName name="TB7d379565_c97a_45f5_ab1a_dc4bbea6bbee" hidden="1">GL!#REF!</definedName>
    <definedName name="TB7d4c9f7d_c5d7_46c5_a7c4_62e90bd2d753" hidden="1">GL!$H$158</definedName>
    <definedName name="TB7d4edc35_63ba_4780_99ac_d4f081bf538e" hidden="1">GL!#REF!</definedName>
    <definedName name="TB7d93dd04_6089_47ff_bcde_66123481dffc" hidden="1">GL!#REF!</definedName>
    <definedName name="TB7dc7ca23_b3e0_48ff_8490_c54da047a369" hidden="1">GL!#REF!</definedName>
    <definedName name="TB7de0ad95_2915_4f81_a8e3_7f017a21af20" hidden="1">GL!#REF!</definedName>
    <definedName name="TB7e92fca0_7fe7_4086_bb9b_18fe842f1728" hidden="1">GL!$H$323</definedName>
    <definedName name="TB7f5c6a75_98df_4079_8206_0fa0d2a6112d" hidden="1">GL!#REF!</definedName>
    <definedName name="TB803e37c2_64fb_4ebd_a345_48eefe01c91f" hidden="1">GL!$H$192</definedName>
    <definedName name="TB80658af1_f03c_4c93_853b_f5a2ddf81699" hidden="1">GL!#REF!</definedName>
    <definedName name="TB81b3755c_f44f_419d_be75_36be0bdaf40e" hidden="1">GL!$H$31</definedName>
    <definedName name="TB81ceb734_a792_4a11_bbca_c2af504a3c66" hidden="1">GL!#REF!</definedName>
    <definedName name="TB821801f1_fc3a_470e_919d_bf422933ec7f" hidden="1">GL!$H$384</definedName>
    <definedName name="TB8249d56b_6929_4c3e_ace6_da19d1667dd5" hidden="1">GL!$H$172</definedName>
    <definedName name="TB834cb17c_8962_4bb5_be82_590920906af7" hidden="1">GL!#REF!</definedName>
    <definedName name="TB83cc7be2_12e9_48db_a21d_3f9bcae14659" hidden="1">GL!#REF!</definedName>
    <definedName name="TB844cbe0c_66a8_458a_b6e7_ffe14bfdfa7b" hidden="1">GL!#REF!</definedName>
    <definedName name="TB8494db56_842e_4260_bea4_0031e0b34e95" hidden="1">GL!#REF!</definedName>
    <definedName name="TB84eb69c7_d06d_45f5_9592_855114168537" hidden="1">GL!$H$299</definedName>
    <definedName name="TB8589770e_1be0_46e9_b8e0_75dd2e29b405" hidden="1">GL!$H$210</definedName>
    <definedName name="TB8630ce45_c0e2_4de6_942c_31a09adb8201" hidden="1">GL!$H$368</definedName>
    <definedName name="TB86630e4a_b036_45cc_90a2_e1b523052079" hidden="1">GL!#REF!</definedName>
    <definedName name="TB87c78bb8_9ead_42c5_bbb3_bf341ad543f2" hidden="1">GL!$H$130</definedName>
    <definedName name="TB87c8cc86_0e23_4ee8_978a_164e12690b9c" hidden="1">GL!$H$80</definedName>
    <definedName name="TB88e6925f_9583_4c91_af8b_472dca8c94b6" hidden="1">GL!#REF!</definedName>
    <definedName name="TB89242c50_c81b_419d_8ca9_8266efd70ee6" hidden="1">GL!#REF!</definedName>
    <definedName name="TB8931c329_71c0_4153_a0f8_b5289de53f1d" hidden="1">GL!$H$87</definedName>
    <definedName name="TB89994c1b_2e34_47e5_8dc8_b89fdac1f952" hidden="1">GL!$H$338</definedName>
    <definedName name="TB89a3250f_3a7b_40fc_911c_46314d379c16" hidden="1">GL!#REF!</definedName>
    <definedName name="TB89c5f4e4_03f8_411f_93e3_39c7e436ee83" hidden="1">GL!$H$171</definedName>
    <definedName name="TB89f8fcf3_275b_4be0_a487_8403de327c6e" hidden="1">GL!#REF!</definedName>
    <definedName name="TB8a3700e6_65ab_48d9_880e_664f65d65fe9" hidden="1">GL!$H$325</definedName>
    <definedName name="TB8ad9c00d_ac58_4cd5_8b2e_7fdb109e6e5f" hidden="1">GL!$H$209</definedName>
    <definedName name="TB8aeae0a0_64f3_4d47_9f2b_0f84b4cd7a59" hidden="1">GL!$H$258</definedName>
    <definedName name="TB8b04e10d_3952_421a_b662_35a818cca629" hidden="1">GL!#REF!</definedName>
    <definedName name="TB8b14b824_7854_44dd_9e7d_50418437ebc8" hidden="1">GL!$H$337</definedName>
    <definedName name="TB8b64f062_625f_4353_867f_ca3fb15661cd" hidden="1">GL!$H$17</definedName>
    <definedName name="TB8b753277_7629_4d61_82c2_67c1edc835b3" hidden="1">GL!#REF!</definedName>
    <definedName name="TB8b7b7506_eaf4_45cb_8622_b69076f33eaf" hidden="1">GL!#REF!</definedName>
    <definedName name="TB8ba71e6d_3799_49ee_9d2d_ce8ebe8f6b73" hidden="1">GL!#REF!</definedName>
    <definedName name="TB8c4b08b5_eb9d_4b53_acea_183b313a20f9" hidden="1">GL!$H$18</definedName>
    <definedName name="TB8c920b38_4818_4d6f_81c7_01a7ff83837d" hidden="1">GL!$H$217</definedName>
    <definedName name="TB8cfd9e83_91fa_4540_b65f_092c8e7c6698" hidden="1">GL!$H$173</definedName>
    <definedName name="TB8d7087ba_17f2_45d5_b26f_236009308c79" hidden="1">GL!$H$351</definedName>
    <definedName name="TB8d78ec7c_36cb_480e_9e3d_cea24f0c6576" hidden="1">GL!#REF!</definedName>
    <definedName name="TB8ee465a0_c55d_48f7_b7b1_31b7fb634c14" hidden="1">GL!#REF!</definedName>
    <definedName name="TB8eef85b0_a7bb_4926_8bd1_6968e2e0c65b" hidden="1">GL!#REF!</definedName>
    <definedName name="TB8f66136a_dcdf_48cc_b536_a5d164b0d71b" hidden="1">GL!#REF!</definedName>
    <definedName name="TB900c9c17_c95c_49eb_a46b_5f5f28d7b907" hidden="1">GL!#REF!</definedName>
    <definedName name="TB90f2d2e3_5f24_45f2_a39a_93534e96ed92" hidden="1">GL!$H$381</definedName>
    <definedName name="TB91cc4ccb_2718_466c_9993_0eba31ef9391" hidden="1">GL!$H$96</definedName>
    <definedName name="TB920a7ca2_ee10_41ad_9228_0daf17c45ff4" hidden="1">GL!$H$406</definedName>
    <definedName name="TB92120914_79b5_4a40_8a4c_01e48c47dad8" hidden="1">GL!#REF!</definedName>
    <definedName name="TB922bf83c_e639_4186_84d0_489e11dcfe3b" hidden="1">GL!$H$250</definedName>
    <definedName name="TB922e0497_c5a2_4621_80c7_a16cb08f735d" hidden="1">GL!$H$121</definedName>
    <definedName name="TB924b8a7e_03fb_4017_b7d2_001e87fbbe10" hidden="1">GL!$H$321</definedName>
    <definedName name="TB92729a28_2b7e_41bc_be39_972c802a7568" hidden="1">GL!#REF!</definedName>
    <definedName name="TB9293b9cf_1479_4dcb_a8a2_81fdd5eff5c6" hidden="1">GL!#REF!</definedName>
    <definedName name="TB92b71c3d_1d40_4234_a7d8_032d0c3fe4e2" hidden="1">GL!#REF!</definedName>
    <definedName name="TB92e4e30d_8d43_4354_9567_3c963f9be549" hidden="1">GL!$H$346</definedName>
    <definedName name="TB9309bb27_2d8e_472c_914e_b2bfe0d14ce9" hidden="1">GL!$H$224</definedName>
    <definedName name="TB933ba54e_e41b_4e6b_b961_5cc3a21e1ebd" hidden="1">GL!#REF!</definedName>
    <definedName name="TB93c8a0cb_ecac_484c_9e3b_c24383db52cb" hidden="1">GL!$H$152</definedName>
    <definedName name="TB93f01f52_6e98_4e67_bc33_a51a29438f45" hidden="1">GL!#REF!</definedName>
    <definedName name="TB9402aa99_45f6_4b7b_ae60_b6e5970d521a" hidden="1">GL!#REF!</definedName>
    <definedName name="TB941e1848_b665_42f0_ba88_56860dccdce4" hidden="1">GL!#REF!</definedName>
    <definedName name="TB94206f7c_399b_4efb_95a2_d6843e2ced41" hidden="1">GL!#REF!</definedName>
    <definedName name="TB945f3da9_46fe_4950_be4a_9379a3230001" hidden="1">GL!$H$46</definedName>
    <definedName name="TB94760900_db08_471c_8756_f338eb7e9e46" hidden="1">GL!$H$102</definedName>
    <definedName name="TB94932c25_76c4_43f8_9fab_5e37a0552143" hidden="1">GL!$H$65</definedName>
    <definedName name="TB94f5746d_d84e_4da5_9e94_d7e2c6b254ff" hidden="1">GL!#REF!</definedName>
    <definedName name="TB950ba9c7_1408_4bb2_bcaf_0eb8cbdd6906" hidden="1">GL!#REF!</definedName>
    <definedName name="TB9532ef5e_589a_4fad_9aa7_82c05a1c7475" hidden="1">GL!$H$231</definedName>
    <definedName name="TB95a3a602_a823_442f_ac74_78228f65317c" hidden="1">GL!$H$84</definedName>
    <definedName name="TB95bfbc80_a6df_4cbe_a4c2_eff032cedea4" hidden="1">GL!$H$393</definedName>
    <definedName name="TB95bff4e8_1417_4463_b41f_35cbd981832d" hidden="1">GL!$H$293</definedName>
    <definedName name="TB95dc164a_e10a_42a1_a737_4d1b71d86dc1" hidden="1">GL!$H$111</definedName>
    <definedName name="TB960be193_5bdc_4c7c_8db4_b5fdaa0eb1e9" hidden="1">GL!#REF!</definedName>
    <definedName name="TB968a6a95_72ee_48c2_8822_0bb6072dc6bb" hidden="1">GL!#REF!</definedName>
    <definedName name="TB96bec9a1_8c1f_46f2_b319_725dc97f3b60" hidden="1">GL!#REF!</definedName>
    <definedName name="TB96db6617_8bb2_4892_85eb_d01556c4b734" hidden="1">GL!$H$63</definedName>
    <definedName name="TB96eade7e_99ab_4c0a_a229_c789ecd855f0" hidden="1">GL!#REF!</definedName>
    <definedName name="TB972a7389_8151_4b6f_b7a4_077ec268eb4e" hidden="1">GL!#REF!</definedName>
    <definedName name="TB97b4cb35_2499_4e0d_b7bd_f1c4520318b6" hidden="1">GL!$H$5</definedName>
    <definedName name="TB97d09d99_b007_4859_afc8_25ba00669e9b" hidden="1">GL!#REF!</definedName>
    <definedName name="TB982e7d3e_c57f_4d82_9eb0_2579ae871f8a" hidden="1">GL!#REF!</definedName>
    <definedName name="TB984679bf_e55e_4489_9afc_5a252b99b063" hidden="1">GL!#REF!</definedName>
    <definedName name="TB99141a88_7896_467e_a3cb_694334ba22c3" hidden="1">GL!$H$378</definedName>
    <definedName name="TB991cc80b_7052_476a_b2ee_59f45814e773" hidden="1">GL!#REF!</definedName>
    <definedName name="TB9941fc4b_00a1_4de7_a62e_975b7df3031a" hidden="1">GL!#REF!</definedName>
    <definedName name="TB9944f795_541b_4b1d_a6a8_a9e1ab900792" hidden="1">GL!$H$99</definedName>
    <definedName name="TB994b08dd_9f50_4264_9a94_87895baff49f" hidden="1">GL!#REF!</definedName>
    <definedName name="TB9a022f0a_d758_4422_9d13_b0308c9b1ec1" hidden="1">GL!#REF!</definedName>
    <definedName name="TB9a36b6c3_6729_4a41_88c4_740e5a086023" hidden="1">GL!$H$254</definedName>
    <definedName name="TB9a7ff32b_2886_4c9f_b152_88380820e537" hidden="1">GL!$H$220</definedName>
    <definedName name="TB9a9f8798_f3bc_4415_886f_ab84c16f9267" hidden="1">GL!#REF!</definedName>
    <definedName name="TB9aa17732_2b21_4bea_b609_c159f35e17c3" hidden="1">GL!#REF!</definedName>
    <definedName name="TB9aa4a335_3e70_4d4e_aa1b_f1ed7290d92e" hidden="1">GL!$H$255</definedName>
    <definedName name="TB9b104a5f_0032_4234_b266_57acde724a07" hidden="1">GL!#REF!</definedName>
    <definedName name="TB9b4e8a56_2c1a_42d8_97cc_87abc50ebdc2" hidden="1">GL!#REF!</definedName>
    <definedName name="TB9b80f489_e01d_4817_aac8_3100038cfbd4" hidden="1">GL!$H$308</definedName>
    <definedName name="TB9bd673fb_1343_44c3_a466_37f6d6a7a45b" hidden="1">GL!#REF!</definedName>
    <definedName name="TB9c126797_686c_4b2b_9201_0e134fe73b5b" hidden="1">GL!#REF!</definedName>
    <definedName name="TB9c51f4ac_7f81_4a6e_850d_dd60bf267d9d" hidden="1">GL!#REF!</definedName>
    <definedName name="TB9cd625da_33e2_4247_b76c_5049237490a8" hidden="1">GL!$H$329</definedName>
    <definedName name="TB9cf77e0c_10ff_4ef4_a842_4c741a17c9b4" hidden="1">GL!#REF!</definedName>
    <definedName name="TB9d7da9f6_7e09_47d1_b0da_51efbdf9dc05" hidden="1">GL!#REF!</definedName>
    <definedName name="TB9ddd456c_3c19_4d1e_94a9_5082afa51655" hidden="1">GL!$H$291</definedName>
    <definedName name="TB9e1eb079_3440_4db5_b08a_6f77b154326a" hidden="1">GL!$H$235</definedName>
    <definedName name="TB9e37e174_0e27_4201_8f4e_059d02082b74" hidden="1">GL!#REF!</definedName>
    <definedName name="TB9e5ed27e_c5af_410d_a944_e3b6809af6e2" hidden="1">GL!$H$287</definedName>
    <definedName name="TB9e86ba95_5c06_4c21_a890_a318bd4a6b95" hidden="1">GL!$H$275</definedName>
    <definedName name="TB9f7ceed8_04c0_41e1_bbc7_a7d0d8fff140" hidden="1">GL!#REF!</definedName>
    <definedName name="TB9f8b744e_a898_4503_bc79_38060ca6852d" hidden="1">GL!#REF!</definedName>
    <definedName name="TB9ffbca10_d8a8_498f_96c7_de26351ab1e9" hidden="1">GL!$H$252</definedName>
    <definedName name="TBa00550b3_61c1_4a9a_9510_18451673558c" hidden="1">GL!$H$42</definedName>
    <definedName name="TBa0255682_a140_42ca_99db_e7b3d1841f39" hidden="1">GL!#REF!</definedName>
    <definedName name="TBa046ae88_25b6_40ae_8a31_d0149c42cf20" hidden="1">GL!#REF!</definedName>
    <definedName name="TBa06739e8_01f2_4640_a2de_e40c4e128516" hidden="1">GL!$H$14</definedName>
    <definedName name="TBa0bf0df4_3e8e_445b_8875_71fabe28aeb7" hidden="1">GL!$H$115</definedName>
    <definedName name="TBa0d06af5_ca27_4334_a0ef_d3a1196766e1" hidden="1">GL!$H$408</definedName>
    <definedName name="TBa158bccf_0aa0_4f97_845b_4564cc3c2b45" hidden="1">GL!$H$183</definedName>
    <definedName name="TBa1d5cba6_87ed_441d_80a9_0cea8b15cb4d" hidden="1">GL!#REF!</definedName>
    <definedName name="TBa2e4341b_9998_463e_8319_44305cd1c407" hidden="1">GL!$H$334</definedName>
    <definedName name="TBa2ecb69f_4f4f_4fb5_b8f2_474be11b1d22" hidden="1">GL!$H$9</definedName>
    <definedName name="TBa303a58c_d9a9_4c62_b56e_fb04a11826eb" hidden="1">GL!$H$163</definedName>
    <definedName name="TBa337dfac_e81f_44de_af99_201a19516ab0" hidden="1">GL!#REF!</definedName>
    <definedName name="TBa372d2af_8aa5_471d_a8b2_c17e5e7dd8ea" hidden="1">GL!$H$137</definedName>
    <definedName name="TBa42d37aa_afe6_478c_a0cb_96342e0ae4c4" hidden="1">GL!$H$273</definedName>
    <definedName name="TBa4aca447_3329_430a_84ec_5c6721d6012f" hidden="1">GL!$H$214</definedName>
    <definedName name="TBa4c63082_f959_435f_87ee_3c4bfb4c6403" hidden="1">GL!#REF!</definedName>
    <definedName name="TBa53fe594_346f_46cb_a4a0_e451da6724aa" hidden="1">GL!#REF!</definedName>
    <definedName name="TBa54176c7_5e46_446d_8f30_7bf072ad51f8" hidden="1">GL!#REF!</definedName>
    <definedName name="TBa58d1f4d_a851_4fce_8f1b_66564e8b7aa5" hidden="1">GL!$H$32</definedName>
    <definedName name="TBa58e38e8_a078_4798_8b92_31205fb27e62" hidden="1">GL!$H$348</definedName>
    <definedName name="TBa61784d4_ef18_4986_963b_6ad3a50071b8" hidden="1">GL!$H$8</definedName>
    <definedName name="TBa665ae56_c022_4b31_8739_aa3e14dd62b9" hidden="1">GL!#REF!</definedName>
    <definedName name="TBa69dac4c_ef7a_4038_b638_959ae55b9cc4" hidden="1">GL!#REF!</definedName>
    <definedName name="TBa6ec67ce_3571_405a_b7d9_38fa7a99f668" hidden="1">GL!$H$364</definedName>
    <definedName name="TBa70324d0_e97b_4a3c_98a2_d44695fbcfc9" hidden="1">GL!$H$296</definedName>
    <definedName name="TBa79a4087_659b_41b7_aab2_9f65b4823cab" hidden="1">GL!#REF!</definedName>
    <definedName name="TBa7fff0e4_1c4b_4d0b_a0a8_984e495295e8" hidden="1">GL!#REF!</definedName>
    <definedName name="TBa8081142_b217_455c_8aa0_db3eefa62ab3" hidden="1">GL!$H$388</definedName>
    <definedName name="TBa83d823f_77b0_4e82_bf59_d90f76897489" hidden="1">GL!#REF!</definedName>
    <definedName name="TBa84a44a4_ba11_48dc_8004_e447dafbc85d" hidden="1">GL!$H$181</definedName>
    <definedName name="TBa9432d87_45ea_4ff6_ad10_87098ee137d6" hidden="1">GL!#REF!</definedName>
    <definedName name="TBa95fc527_78ee_4608_bec0_84b2dbbadf38" hidden="1">GL!$H$48</definedName>
    <definedName name="TBa971a68e_db67_4972_bb90_66d75937acc3" hidden="1">GL!$H$141</definedName>
    <definedName name="TBa9a71cf6_118e_4d42_84bc_d09a10bfd69a" hidden="1">GL!$H$74</definedName>
    <definedName name="TBa9d01e2e_293a_4916_9de5_026b059ca328" hidden="1">GL!#REF!</definedName>
    <definedName name="TBa9dcc2e8_08d7_4fa5_8309_77430f7ab5c2" hidden="1">GL!#REF!</definedName>
    <definedName name="TBa9e3aebb_4c29_468c_9c7c_2d591d94856a" hidden="1">GL!#REF!</definedName>
    <definedName name="TBaa99dc9b_a9d8_499a_b9b7_64f5c5752c61" hidden="1">GL!#REF!</definedName>
    <definedName name="TBaaaacd50_93d0_4768_8525_254c8e66754e" hidden="1">GL!$H$396</definedName>
    <definedName name="TBab65edce_dbc8_49de_828a_e00752907ffd" hidden="1">GL!#REF!</definedName>
    <definedName name="TBab67fcc9_c565_4ace_9477_514a51878ef5" hidden="1">GL!#REF!</definedName>
    <definedName name="TBab6b57e6_e304_4c18_b395_b7c4410be69c" hidden="1">GL!$H$116</definedName>
    <definedName name="TBabcab61a_6736_499a_b642_b342e8de74ec" hidden="1">GL!$H$307</definedName>
    <definedName name="TBac97f388_8152_4615_a30b_db58a8af799e" hidden="1">GL!$H$59</definedName>
    <definedName name="TBacc10522_659a_4ab8_bb1f_cd7cdbf1d305" hidden="1">GL!#REF!</definedName>
    <definedName name="TBaccd1bc2_1209_4a1d_a8ff_1335adbaac17" hidden="1">GL!#REF!</definedName>
    <definedName name="TBad11be6c_51c7_4ffa_80b0_8bc8c3d28bfa" hidden="1">GL!#REF!</definedName>
    <definedName name="TBad2f484d_3314_40f0_84e4_44ee5057783a" hidden="1">GL!#REF!</definedName>
    <definedName name="TBad70f283_1327_46c2_9151_aa683a99d775" hidden="1">GL!#REF!</definedName>
    <definedName name="TBae5423b8_5c43_41be_a96a_0bd6aad4b241" hidden="1">GL!$H$397</definedName>
    <definedName name="TBae654962_e3ae_45c8_95b0_3f02c6394545" hidden="1">GL!$H$383</definedName>
    <definedName name="TBae683327_7470_4396_b421_9f6584f3681f" hidden="1">GL!$H$335</definedName>
    <definedName name="TBaec1f771_897f_423e_8891_3b58e4423f02" hidden="1">GL!#REF!</definedName>
    <definedName name="TBaefa3868_108b_479b_83d8_b1f563226acd" hidden="1">GL!$H$21</definedName>
    <definedName name="TBaf32f618_349d_4509_8184_f2b736482fd8" hidden="1">GL!$H$127</definedName>
    <definedName name="TBafe9f389_5eda_468c_ad22_4c06778934a8" hidden="1">GL!#REF!</definedName>
    <definedName name="TBb01166b7_01ff_4284_a493_06248cb9c8f6" hidden="1">GL!$H$149</definedName>
    <definedName name="TBb0ee984c_a0e3_4f7b_a557_3af47db2d7b1" hidden="1">GL!#REF!</definedName>
    <definedName name="TBb10997f6_dd7b_4492_b345_f134aa31995e" hidden="1">GL!#REF!</definedName>
    <definedName name="TBb1814bdf_f44f_4ba8_ab3e_b85194543392" hidden="1">GL!#REF!</definedName>
    <definedName name="TBb1c573d8_f08c_42d4_832c_4d7020573aba" hidden="1">GL!#REF!</definedName>
    <definedName name="TBb20a65ea_1bde_4ee9_9a4d_8bfd953ffb5e" hidden="1">GL!#REF!</definedName>
    <definedName name="TBb2650ad8_cb8f_48f4_b920_b78d2dbe34e9" hidden="1">GL!#REF!</definedName>
    <definedName name="TBb2919810_9944_459d_9d1e_98a6ae33ba82" hidden="1">GL!#REF!</definedName>
    <definedName name="TBb330aac6_2b68_49ac_8dad_d445f574f500" hidden="1">GL!#REF!</definedName>
    <definedName name="TBb33a27bb_7350_419a_a43d_2fa60805a8d5" hidden="1">GL!$H$341</definedName>
    <definedName name="TBb384b104_fd50_47a6_a999_9cd489f20a1b" hidden="1">GL!$H$218</definedName>
    <definedName name="TBb44f1eaa_1e23_4826_a1d3_f329438020d2" hidden="1">GL!$H$136</definedName>
    <definedName name="TBb4680138_f308_4980_b6ee_41a0f9440b08" hidden="1">GL!#REF!</definedName>
    <definedName name="TBb4f9ebbd_fa93_423a_a178_d3d51000ae51" hidden="1">GL!#REF!</definedName>
    <definedName name="TBb546af5c_d1c1_476c_9808_9347f6af38cc" hidden="1">GL!#REF!</definedName>
    <definedName name="TBb5cbdf9b_3968_48b8_ad75_d904c636a0f2" hidden="1">GL!$H$117</definedName>
    <definedName name="TBb5dc3f5e_30ec_4692_b9c6_f761511e37d7" hidden="1">GL!#REF!</definedName>
    <definedName name="TBb61f6ebb_f03e_4575_b5b5_f04b63042e53" hidden="1">GL!#REF!</definedName>
    <definedName name="TBb64dbcae_1286_4bb2_a41e_426c63553d7e" hidden="1">GL!#REF!</definedName>
    <definedName name="TBb68b3bc8_3470_486a_8932_2f95ec4ca47a" hidden="1">GL!$H$53</definedName>
    <definedName name="TBb71ff72c_9ab7_440d_a932_c80d57fc5385" hidden="1">GL!$H$138</definedName>
    <definedName name="TBb7207abc_61f2_4db6_a800_a9c8a1151237" hidden="1">GL!$H$207</definedName>
    <definedName name="TBb82d6160_ff29_4d82_9f6b_a0513e6a47a3" hidden="1">GL!#REF!</definedName>
    <definedName name="TBb832b4de_50b9_40a8_a5ba_9ccc9460730c" hidden="1">GL!#REF!</definedName>
    <definedName name="TBb867220f_21c0_427e_a56c_91b5d92426db" hidden="1">GL!#REF!</definedName>
    <definedName name="TBb953e4bd_2ddc_49c5_b1ca_29d4d1a8943f" hidden="1">GL!#REF!</definedName>
    <definedName name="TBb9a362e2_3493_4bd9_a99c_64c505ece658" hidden="1">GL!#REF!</definedName>
    <definedName name="TBb9ac7df9_3a81_4b05_96d3_a3b6193bb34c" hidden="1">GL!$H$73</definedName>
    <definedName name="TBba52fbf1_51e8_4916_8e03_fe9c994380fc" hidden="1">GL!$H$195</definedName>
    <definedName name="TBbabe6d16_9993_4b5a_8fb1_f63a74a9d509" hidden="1">GL!$H$11</definedName>
    <definedName name="TBbac199a6_599d_4082_b9c7_b5e36d0f10eb" hidden="1">GL!#REF!</definedName>
    <definedName name="TBbb3282e8_2534_4216_bb9a_b41916746c2f" hidden="1">GL!#REF!</definedName>
    <definedName name="TBbb33adeb_ca19_446d_9290_d5e52e6b2b0f" hidden="1">GL!$H$227</definedName>
    <definedName name="TBbcd9ab94_7d4c_4fe9_8999_a23f3f703627" hidden="1">GL!$H$200</definedName>
    <definedName name="TBbd282517_3c03_4ed7_a7a4_092438c13d4e" hidden="1">GL!$H$104</definedName>
    <definedName name="TBbd816b09_334d_48c0_a02f_75883c46a4b2" hidden="1">GL!#REF!</definedName>
    <definedName name="TBbd9bd6da_438b_4826_b2b0_257db194b82b" hidden="1">GL!$H$223</definedName>
    <definedName name="TBbdc27725_8f01_4ea1_9893_1b7b8ad80540" hidden="1">GL!$H$174</definedName>
    <definedName name="TBbdd5ccc5_b00d_4d3f_8e7c_876d883cbf88" hidden="1">GL!#REF!</definedName>
    <definedName name="TBbe0d887b_4857_45c1_90ff_192e7813a497" hidden="1">GL!$H$411</definedName>
    <definedName name="TBbe3fca81_cedd_4441_b131_cd4905f74b81" hidden="1">GL!$H$57</definedName>
    <definedName name="TBbea4ad52_da62_4681_98a7_afb4f94c5d1d" hidden="1">GL!#REF!</definedName>
    <definedName name="TBbec44923_f05c_4034_9df2_62fabc9a4f9d" hidden="1">GL!#REF!</definedName>
    <definedName name="TBbed865c0_ff56_4f00_ac94_ca1841deb120" hidden="1">GL!#REF!</definedName>
    <definedName name="TBbef575cc_448f_4c07_b930_55b9c336e3e7" hidden="1">GL!$H$360</definedName>
    <definedName name="TBbfb11d08_8567_4114_a8fd_f62f270a46de" hidden="1">GL!$H$285</definedName>
    <definedName name="TBc07c021d_a299_4374_8521_ae3340310dad" hidden="1">GL!#REF!</definedName>
    <definedName name="TBc0b9e42b_c3e0_4a56_b154_812541c8b3df" hidden="1">GL!$H$103</definedName>
    <definedName name="TBc1403a00_0535_440f_b786_0c70b8307ffa" hidden="1">GL!$H$264</definedName>
    <definedName name="TBc1545ffe_dc0e_41ab_860c_bfdad93bfb63" hidden="1">GL!$H$167</definedName>
    <definedName name="TBc1827b09_0961_4fbe_b8b6_cef91d4040fb" hidden="1">GL!#REF!</definedName>
    <definedName name="TBc1fea8f2_83c9_4751_8858_c86cf86d55a4" hidden="1">GL!$H$106</definedName>
    <definedName name="TBc309a2ac_eb14_4cd9_8382_74f0fe1c4540" hidden="1">GL!#REF!</definedName>
    <definedName name="TBc3367f9f_00e7_417e_a6e9_b5d968105675" hidden="1">GL!#REF!</definedName>
    <definedName name="TBc3766ef3_55c7_4071_beed_4a7f4b66b55c" hidden="1">GL!#REF!</definedName>
    <definedName name="TBc3a3d9c4_09e4_42f3_8b80_72a4f15a1a87" hidden="1">GL!$H$30</definedName>
    <definedName name="TBc45e979a_8422_43a3_b9f1_8d81c534762f" hidden="1">GL!$H$52</definedName>
    <definedName name="TBc4772dd7_e60d_4d2c_ae85_076c7b99294d" hidden="1">GL!$H$219</definedName>
    <definedName name="TBc4b38503_aa2a_4f54_a714_83bd0ff69c24" hidden="1">GL!$H$349</definedName>
    <definedName name="TBc5c17ddb_f1bb_4887_8382_6a13883254f5" hidden="1">GL!#REF!</definedName>
    <definedName name="TBc61d3fe6_6474_4f47_84d4_29321521c209" hidden="1">GL!$H$13</definedName>
    <definedName name="TBc7321a05_7a91_4dc6_acb3_baf97c343ad1" hidden="1">GL!#REF!</definedName>
    <definedName name="TBc7b6ddb1_0074_49c4_b518_c6f9c4bab79a" hidden="1">GL!$H$177</definedName>
    <definedName name="TBc80251a9_6005_43fa_8cf4_160b30a78ce2" hidden="1">GL!$H$361</definedName>
    <definedName name="TBc816ee89_1936_472e_984f_fff317735f2b" hidden="1">GL!$H$387</definedName>
    <definedName name="TBc82e7385_585e_4c64_8897_cb37697a7a59" hidden="1">GL!#REF!</definedName>
    <definedName name="TBc8326adf_2fa9_49d0_acd3_e6e6a237d7b4" hidden="1">GL!$H$265</definedName>
    <definedName name="TBc8809fa5_4bca_4817_b986_650e7ad13874" hidden="1">GL!$H$142</definedName>
    <definedName name="TBc890610e_e7c3_4581_9ea0_bb2633411ecc" hidden="1">GL!#REF!</definedName>
    <definedName name="TBc8d28b21_8aae_44ad_9611_4ca2671a33d1" hidden="1">GL!$H$49</definedName>
    <definedName name="TBc96f605d_d714_41e7_90ad_53d990f9c943" hidden="1">GL!#REF!</definedName>
    <definedName name="TBc9ed3a71_8d2b_4e4f_abc5_b1fbeea41dee" hidden="1">GL!#REF!</definedName>
    <definedName name="TBca508c61_259b_4f57_a867_9e8ead6b4cad" hidden="1">GL!$H$118</definedName>
    <definedName name="TBcae4d857_7d1f_4400_93b6_de43041b64b1" hidden="1">GL!#REF!</definedName>
    <definedName name="TBcb65929e_0a15_4475_97ea_8fd083a809b3" hidden="1">GL!$H$204</definedName>
    <definedName name="TBcba13973_69f1_471a_bd06_703e3f782129" hidden="1">GL!#REF!</definedName>
    <definedName name="TBcbcf8fdc_0f1d_4605_b8ab_34beccc1f99a" hidden="1">GL!$H$268</definedName>
    <definedName name="TBcbf64a69_9333_48ad_b097_121f6946074b" hidden="1">GL!#REF!</definedName>
    <definedName name="TBcc22b5ef_5201_46c2_a6d5_d49162e3650f" hidden="1">GL!$H$186</definedName>
    <definedName name="TBcc78e0fc_8379_4ad6_af98_f9f8a2ca2911" hidden="1">GL!#REF!</definedName>
    <definedName name="TBcc81cb64_c26e_4eb0_af91_eed91eda74ed" hidden="1">GL!#REF!</definedName>
    <definedName name="TBcce96e97_f647_4ff8_9e74_8d3652bfc749" hidden="1">GL!$H$294</definedName>
    <definedName name="TBcd337871_5244_4693_9cca_1a283fcfddf2" hidden="1">GL!#REF!</definedName>
    <definedName name="TBcdeae898_837c_45ca_b292_ab9df1b46c63" hidden="1">GL!#REF!</definedName>
    <definedName name="TBcdf4802d_ad04_4348_ab7c_780ccbe64c02" hidden="1">GL!$H$371</definedName>
    <definedName name="TBce19e849_c845_442b_8ef1_1656c1eedcb2" hidden="1">GL!$H$114</definedName>
    <definedName name="TBce4aa3bd_f2f2_4534_abb0_c1a7bf0c235a" hidden="1">GL!#REF!</definedName>
    <definedName name="TBce8148bf_3f85_4aa9_a1ed_d42c6b653cbd" hidden="1">GL!#REF!</definedName>
    <definedName name="TBcf658b09_265d_4dad_83b8_f0bdc1208d8e" hidden="1">GL!$H$353</definedName>
    <definedName name="TBcf71638c_74ed_44e1_b32b_06e7863ec0a7" hidden="1">GL!#REF!</definedName>
    <definedName name="TBcf777849_357c_4590_9fea_653de08d852d" hidden="1">GL!#REF!</definedName>
    <definedName name="TBcf78b6c3_15ae_4d72_a3f0_4e7c6edcd5dd" hidden="1">GL!#REF!</definedName>
    <definedName name="TBcfcb4822_b114_4dc4_9eb1_9f7cb5a63992" hidden="1">GL!#REF!</definedName>
    <definedName name="TBd0b2bc12_4aa3_47e3_a0cd_6c4b1a2f2a11" hidden="1">GL!#REF!</definedName>
    <definedName name="TBd0cd52aa_eb1b_4f6c_8335_7fabf952905d" hidden="1">GL!$H$344</definedName>
    <definedName name="TBd1d93dd8_8428_45f9_aaf9_b8ed945c851d" hidden="1">GL!$H$362</definedName>
    <definedName name="TBd214ea73_ec6c_40a5_9ed8_699fec52a2de" hidden="1">GL!#REF!</definedName>
    <definedName name="TBd2329a5a_57e7_4abe_b7f4_26cf4e4c22cf" hidden="1">GL!$H$211</definedName>
    <definedName name="TBd27770ab_bfc1_46db_89b4_0a7bcdaff948" hidden="1">GL!$H$165</definedName>
    <definedName name="TBd28c94e0_525d_4178_8b33_bbfe20641a00" hidden="1">GL!$H$25</definedName>
    <definedName name="TBd2c65685_1456_4a90_b4fb_7db2ff5be80f" hidden="1">GL!#REF!</definedName>
    <definedName name="TBd2e5aedc_f534_4973_bf86_810436e1a4c6" hidden="1">GL!#REF!</definedName>
    <definedName name="TBd36464cc_bf0b_4e78_98ba_af52a99ba712" hidden="1">GL!$H$23</definedName>
    <definedName name="TBd3a92d90_7096_43ff_930c_fbf92edd514f" hidden="1">GL!$H$315</definedName>
    <definedName name="TBd3ad0da7_f39b_4348_95dc_cdb42ffc7018" hidden="1">GL!$H$162</definedName>
    <definedName name="TBd4207908_9fa4_4a5d_8663_968ae43ba6c5" hidden="1">GL!$H$169</definedName>
    <definedName name="TBd43a2280_a04c_4e3e_92a1_8752f82ca730" hidden="1">GL!$H$399</definedName>
    <definedName name="TBd49bac1b_12e9_40bd_803e_6fe938a7be44" hidden="1">GL!$H$68</definedName>
    <definedName name="TBd4c4fc48_20da_411f_b6cd_62ba37976bf3" hidden="1">GL!$H$205</definedName>
    <definedName name="TBd4c8eaca_5fae_47b1_86dd_44b655068848" hidden="1">GL!$H$404</definedName>
    <definedName name="TBd4efd2dd_2471_4a1b_bfab_848a5970dda8" hidden="1">GL!$H$316</definedName>
    <definedName name="TBd4f7d463_3c75_47ff_bdab_b7a8ca8ee7e9" hidden="1">GL!$H$66</definedName>
    <definedName name="TBd5a8d954_91e5_4c89_bd3b_0344d6e61602" hidden="1">GL!#REF!</definedName>
    <definedName name="TBd5bbd3e9_0712_446e_8b42_6cf93061d195" hidden="1">GL!$H$370</definedName>
    <definedName name="TBd67a3a90_240d_4e37_af28_859c5d526e65" hidden="1">GL!$H$340</definedName>
    <definedName name="TBd6d5e487_b6ae_4499_82b1_138ea9867610" hidden="1">GL!$H$376</definedName>
    <definedName name="TBd71fb8fd_4b17_4439_9eec_c8278ba9f30b" hidden="1">GL!#REF!</definedName>
    <definedName name="TBd7d2b4a6_863b_4e99_b3a2_2cb739647697" hidden="1">GL!#REF!</definedName>
    <definedName name="TBd7f88e05_d97d_4963_8dae_09f08c552130" hidden="1">GL!#REF!</definedName>
    <definedName name="TBd97ead2e_c57f_496f_9e0a_f1434bd05a74" hidden="1">GL!$H$339</definedName>
    <definedName name="TBd9882734_8199_4d67_a139_c0f8a1baf916" hidden="1">GL!$H$226</definedName>
    <definedName name="TBda85509d_704c_4fbd_920e_9a9b373ff42e" hidden="1">GL!$H$300</definedName>
    <definedName name="TBdaf53d5f_4b06_47b2_b781_f85852d00d01" hidden="1">GL!#REF!</definedName>
    <definedName name="TBdb0089c9_a667_4047_a726_e18190aebf50" hidden="1">GL!#REF!</definedName>
    <definedName name="TBdb291399_8de3_4c19_b7a7_464ba07c543a" hidden="1">GL!$H$232</definedName>
    <definedName name="TBdb7522dc_3906_43b8_b8ad_b8b8dc455158" hidden="1">GL!#REF!</definedName>
    <definedName name="TBdc0b1a10_7f51_4e64_9f5c_c580c8eddcdb" hidden="1">GL!$H$132</definedName>
    <definedName name="TBdcc4b91e_e93f_4572_91d1_249f14bd9dc3" hidden="1">GL!$H$16</definedName>
    <definedName name="TBdcd9f0d8_d1b9_468a_8363_141a680d47fe" hidden="1">GL!$H$203</definedName>
    <definedName name="TBdcfe93c4_954a_41a5_a335_be3c3a0c4e29" hidden="1">GL!$H$79</definedName>
    <definedName name="TBdd2f44aa_d374_4703_bdd4_8db762e44c5e" hidden="1">GL!#REF!</definedName>
    <definedName name="TBdd91b375_fd19_4209_9382_2b1fd0f79a6a" hidden="1">GL!$H$402</definedName>
    <definedName name="TBde595687_a127_460c_b2c5_504c83320eef" hidden="1">GL!$H$253</definedName>
    <definedName name="TBde81b097_8eec_4b05_9cf8_d8cb7fa7a601" hidden="1">GL!#REF!</definedName>
    <definedName name="TBdeba1721_9d11_404f_9aaf_a5206e2ecb78" hidden="1">GL!$H$156</definedName>
    <definedName name="TBdef390b7_e261_466c_bc1c_8046f0999d4c" hidden="1">GL!$H$22</definedName>
    <definedName name="TBdf899e11_08d9_4b1b_8792_4c4cacf80855" hidden="1">GL!$H$123</definedName>
    <definedName name="TBe06e1428_07f9_466e_96a2_d63791296034" hidden="1">GL!$H$289</definedName>
    <definedName name="TBe0caaf88_11d8_4e0f_92f4_d97d369a2646" hidden="1">GL!#REF!</definedName>
    <definedName name="TBe156058e_237b_4a26_b816_341743d80cef" hidden="1">GL!$H$20</definedName>
    <definedName name="TBe182f044_b2dc_4ec7_b5ea_0f29d983a4e7" hidden="1">GL!$H$108</definedName>
    <definedName name="TBe1d43a08_146b_4f6d_b3a7_8034622b3119" hidden="1">GL!$H$271</definedName>
    <definedName name="TBe2176d72_5099_4e8a_94c3_4e22c6ce6c1e" hidden="1">GL!#REF!</definedName>
    <definedName name="TBe259dff9_6223_4661_9e1d_431a17adbd8c" hidden="1">GL!#REF!</definedName>
    <definedName name="TBe288ce09_421b_4778_b89a_fbabd5f63f32" hidden="1">GL!#REF!</definedName>
    <definedName name="TBe2b90fce_e4ed_4980_a37e_c11faceac03d" hidden="1">GL!#REF!</definedName>
    <definedName name="TBe39926ef_0a7f_4f88_a54b_9c67453ebeea" hidden="1">GL!$H$272</definedName>
    <definedName name="TBe3b51845_43d6_4a6f_b844_f6c18478d1d2" hidden="1">GL!#REF!</definedName>
    <definedName name="TBe424ad77_c13e_4437_a4d5_24b7dd1f9a9a" hidden="1">GL!$H$191</definedName>
    <definedName name="TBe56eab49_e8fd_4104_99ea_8dc381ddd2c2" hidden="1">GL!$H$328</definedName>
    <definedName name="TBe5d195b3_92b2_4c03_8226_0844120564dc" hidden="1">GL!$H$67</definedName>
    <definedName name="TBe673798f_9121_4fd5_9f48_cabfe1db7f39" hidden="1">GL!#REF!</definedName>
    <definedName name="TBe6905f98_34a5_41f7_bc9e_6cb35f9346ee" hidden="1">GL!$H$175</definedName>
    <definedName name="TBe6f2bf30_81c0_4c88_b84e_232397cb6cc1" hidden="1">GL!#REF!</definedName>
    <definedName name="TBe76c2a4b_73e4_4dbd_ad6b_1af540342a1d" hidden="1">GL!$H$409</definedName>
    <definedName name="TBe77dc87f_64d0_4776_8b60_61e4a0bd7ca8" hidden="1">GL!$H$295</definedName>
    <definedName name="TBe7ba5eff_1bb9_42ce_a73d_585945ab6e1a" hidden="1">GL!$H$90</definedName>
    <definedName name="TBe7dcadbf_bef9_4d1e_8d5b_f477fef2e61d" hidden="1">GL!$H$322</definedName>
    <definedName name="TBe81bf51a_0d34_4e91_ad79_90a9e5f8824c" hidden="1">GL!$H$33</definedName>
    <definedName name="TBe8ac9b25_cb60_4af0_ac31_9ab70f74f0cb" hidden="1">GL!$H$28</definedName>
    <definedName name="TBe8c8cf34_ca19_4035_bf50_61d987d0dfd9" hidden="1">GL!#REF!</definedName>
    <definedName name="TBe8e9db91_1e6a_4feb_a34f_88da7f92314b" hidden="1">GL!#REF!</definedName>
    <definedName name="TBe9305a9a_dbe3_4e70_858d_329853b115a4" hidden="1">GL!$H$283</definedName>
    <definedName name="TBe96e3a7f_d546_4306_93b4_86fdbfc7a545" hidden="1">GL!#REF!</definedName>
    <definedName name="TBe972c7c1_1421_4149_a5b4_f8dee5d81f89" hidden="1">GL!#REF!</definedName>
    <definedName name="TBe9ddb401_f211_4930_bd1b_17353ea1f8db" hidden="1">GL!#REF!</definedName>
    <definedName name="TBe9e9e12b_30d5_4821_8c5c_8f07d08f648a" hidden="1">GL!$H$187</definedName>
    <definedName name="TBea44c453_5c98_48ea_8087_4de39a631701" hidden="1">GL!$H$236</definedName>
    <definedName name="TBea9686a2_c40d_4a90_847a_97df036bf401" hidden="1">GL!#REF!</definedName>
    <definedName name="TBebcdd3b2_5bdc_4922_a15d_49a957dd7a05" hidden="1">GL!#REF!</definedName>
    <definedName name="TBec9a5103_b03d_4dc3_91c1_a2b2da04610f" hidden="1">GL!#REF!</definedName>
    <definedName name="TBed7725ab_eb6b_4d28_889c_2e28049a6c88" hidden="1">GL!#REF!</definedName>
    <definedName name="TBedc2c7d9_05f8_4e8d_97ed_7d873bd3fdb4" hidden="1">GL!$H$41</definedName>
    <definedName name="TBee204a60_3ab6_4230_bc04_a27f52893c1b" hidden="1">GL!#REF!</definedName>
    <definedName name="TBee4051df_c3b9_4529_b94e_1834eea544c0" hidden="1">GL!$H$286</definedName>
    <definedName name="TBef88ba90_088d_4735_bd83_47122cd16ad2" hidden="1">GL!$H$56</definedName>
    <definedName name="TBf031e9c4_b6dc_4311_a155_901035393cc4" hidden="1">GL!$H$365</definedName>
    <definedName name="TBf0560fae_f524_4977_a9bc_7277036e1925" hidden="1">GL!#REF!</definedName>
    <definedName name="TBf0765890_f943_4585_b17f_4e44015f6757" hidden="1">GL!$H$179</definedName>
    <definedName name="TBf092ce7b_9ab7_4730_b669_38fd0e275513" hidden="1">GL!#REF!</definedName>
    <definedName name="TBf0ca922a_3c14_4080_b628_eac18ea9070d" hidden="1">GL!#REF!</definedName>
    <definedName name="TBf0dba0da_bbcf_4d4d_8304_d356c039a7c5" hidden="1">GL!#REF!</definedName>
    <definedName name="TBf12f27f6_7e9a_4c06_bac8_b303cdade07d" hidden="1">GL!#REF!</definedName>
    <definedName name="TBf1c067ca_b508_4758_94f8_23a3a3f7cf44" hidden="1">GL!#REF!</definedName>
    <definedName name="TBf236dba7_4251_44e9_8182_5d03c3836041" hidden="1">GL!#REF!</definedName>
    <definedName name="TBf244a17b_5d19_4f31_a894_94c3e319e4da" hidden="1">GL!#REF!</definedName>
    <definedName name="TBf293489d_84ab_4221_b514_857daad9990c" hidden="1">GL!$H$366</definedName>
    <definedName name="TBf2945cf1_6198_495a_8aa5_96019bb185dc" hidden="1">GL!#REF!</definedName>
    <definedName name="TBf3155f15_8037_492b_a7b1_d548ce6ebaf6" hidden="1">GL!#REF!</definedName>
    <definedName name="TBf33e28ee_5aed_4a5a_a02f_8837c566b41e" hidden="1">GL!$H$304</definedName>
    <definedName name="TBf47439ad_7174_462b_a5ae_16d6c0f42648" hidden="1">GL!$H$215</definedName>
    <definedName name="TBf4db2c32_383c_4fff_93a4_4f7e4f1aa0fe" hidden="1">GL!$H$98</definedName>
    <definedName name="TBf4f36c5d_6446_44c7_92f0_ad1e621dda43" hidden="1">GL!$H$129</definedName>
    <definedName name="TBf5eb9db2_09f8_438d_a024_d7b22640e4b5" hidden="1">GL!#REF!</definedName>
    <definedName name="TBf5fc5b83_eac4_457c_b89e_d468c7aa4bb6" hidden="1">GL!#REF!</definedName>
    <definedName name="TBf61343b4_fca0_4985_83c6_fa5a6b38c5a0" hidden="1">GL!#REF!</definedName>
    <definedName name="TBf6437b71_4b23_4ea5_b563_8025e966b996" hidden="1">GL!#REF!</definedName>
    <definedName name="TBf6dfbcc1_c872_4544_912e_39a7ab6748c4" hidden="1">GL!#REF!</definedName>
    <definedName name="TBf6e25eb3_edbe_43e7_8b39_fa19b90b2430" hidden="1">GL!#REF!</definedName>
    <definedName name="TBf6e88c5d_90d0_4da4_b629_a5e0c51b5e8b" hidden="1">GL!$H$363</definedName>
    <definedName name="TBf7ce9375_ed32_4a88_b1b7_1f40b71195b6" hidden="1">GL!$H$350</definedName>
    <definedName name="TBf836b2f2_2ec6_4ec1_8772_e691b01d8455" hidden="1">GL!$H$356</definedName>
    <definedName name="TBf84cbb3c_6c6b_4ef9_9110_85123aaca2f5" hidden="1">GL!$H$390</definedName>
    <definedName name="TBf8f02179_173b_408f_8a54_f240580c5453" hidden="1">GL!$H$193</definedName>
    <definedName name="TBf93a6420_122e_497c_b886_aee5594543ef" hidden="1">GL!#REF!</definedName>
    <definedName name="TBf98fa3a5_08ad_4a2e_8c26_876242c48e1a" hidden="1">GL!#REF!</definedName>
    <definedName name="TBf99b2f39_c8a9_47b4_a295_2f01e0d7e4f1" hidden="1">GL!$H$19</definedName>
    <definedName name="TBf9ff73cc_ec8c_4b43_8d30_d8040481ade0" hidden="1">GL!#REF!</definedName>
    <definedName name="TBfa1da67d_4231_4458_adc6_21f71fd5ef22" hidden="1">GL!#REF!</definedName>
    <definedName name="TBfa2ac5da_c3ca_46fe_9fde_7d8c6a2b2d8a" hidden="1">GL!$H$332</definedName>
    <definedName name="TBfa9a96c2_9923_4355_8abb_1d68b5e877d6" hidden="1">GL!#REF!</definedName>
    <definedName name="TBfab9098e_dc7a_4c68_b070_2b55332b38dd" hidden="1">GL!$H$24</definedName>
    <definedName name="TBfc462d9e_2deb_473f_b1c4_3e777290d165" hidden="1">GL!$H$29</definedName>
    <definedName name="TBfc5f6818_7028_4ebf_a60d_cbc620d02fc7" hidden="1">GL!$H$400</definedName>
    <definedName name="TBfc71f442_56d9_425f_9097_54c46498976c" hidden="1">GL!#REF!</definedName>
    <definedName name="TBfcc061b2_8bad_4282_9fd5_fc98740fc249" hidden="1">GL!$H$38</definedName>
    <definedName name="TBfd14a771_36ba_46c5_9331_4f0e25bf1ed1" hidden="1">GL!$H$240</definedName>
    <definedName name="TBfd4279bf_4c32_4a85_9454_7a4307e45509" hidden="1">GL!$H$266</definedName>
    <definedName name="TBfd8f99d4_83fc_47bc_971c_47d84f71e0ec" hidden="1">GL!#REF!</definedName>
    <definedName name="TBfdb8783c_2edc_4f20_b336_0e3299c3d5c8" hidden="1">GL!$H$305</definedName>
    <definedName name="TBfdbfa13c_4f52_45e3_a9c2_25219602cfa1" hidden="1">GL!#REF!</definedName>
    <definedName name="TBfe39e6a9_3ce6_4075_98f3_92bd1f7a00c9" hidden="1">GL!$H$373</definedName>
    <definedName name="TBfed16ee5_c949_4ca7_8cca_4f4b199a2d32" hidden="1">GL!#REF!</definedName>
    <definedName name="TBff00be83_3042_4c6b_809b_00c39b28ad13" hidden="1">GL!#REF!</definedName>
    <definedName name="TBff139aab_f1a5_4782_affc_ba2d474239cf" hidden="1">GL!$H$45</definedName>
    <definedName name="wrn.Aging._.and._.Trend._.Analysis." localSheetId="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Z_0134A0AD_E408_46BE_8CD5_809BF592FB65_.wvu.PrintArea" localSheetId="3" hidden="1">vysledovka!$B$2:$F$68</definedName>
    <definedName name="Z_4BE3D2FF_935E_4E04_B3C4_E73CE3DDFD83_.wvu.PrintArea" localSheetId="3" hidden="1">vysledovka!$B$2:$F$68</definedName>
    <definedName name="Z_8179D4BA_2FC8_4DFA_AEE4_FD6254FAD91A_.wvu.PrintArea" localSheetId="3" hidden="1">vysledovka!$B$2:$F$68</definedName>
    <definedName name="Z_C64BDFF8_5753_496D_B177_8F00B541CAAD_.wvu.PrintArea" localSheetId="3" hidden="1">vysledovka!$B$2:$F$68</definedName>
    <definedName name="Z_D5196C93_12DC_483B_B37B_69A92E5FFB0B_.wvu.PrintArea" localSheetId="3" hidden="1">vysledovka!$B$2:$F$68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99" i="126" l="1"/>
  <c r="D22" i="148"/>
  <c r="M177" i="126"/>
  <c r="X249" i="126"/>
  <c r="C350" i="126"/>
  <c r="C335" i="126"/>
  <c r="AG230" i="126"/>
  <c r="AE230" i="126"/>
  <c r="AH231" i="126"/>
  <c r="AH230" i="126"/>
  <c r="AG231" i="126"/>
  <c r="AE231" i="126"/>
  <c r="AD231" i="126"/>
  <c r="AD230" i="126"/>
  <c r="AD227" i="126"/>
  <c r="C256" i="126"/>
  <c r="C283" i="126"/>
  <c r="C370" i="126"/>
  <c r="E362" i="126"/>
  <c r="C362" i="126"/>
  <c r="C351" i="126"/>
  <c r="AE227" i="126"/>
  <c r="C282" i="126"/>
  <c r="E283" i="126" l="1"/>
  <c r="C267" i="126"/>
  <c r="E266" i="126"/>
  <c r="D266" i="126"/>
  <c r="E58" i="147"/>
  <c r="E51" i="147"/>
  <c r="E25" i="147"/>
  <c r="E111" i="146"/>
  <c r="E83" i="146"/>
  <c r="E79" i="146"/>
  <c r="E63" i="146"/>
  <c r="E65" i="146"/>
  <c r="E67" i="146"/>
  <c r="E68" i="146"/>
  <c r="E69" i="146"/>
  <c r="E70" i="146"/>
  <c r="E71" i="146"/>
  <c r="E42" i="146"/>
  <c r="E12" i="146"/>
  <c r="G12" i="146" s="1"/>
  <c r="F12" i="146"/>
  <c r="E16" i="147"/>
  <c r="E10" i="147"/>
  <c r="E11" i="147"/>
  <c r="E12" i="147"/>
  <c r="E13" i="147"/>
  <c r="E14" i="147"/>
  <c r="E15" i="147"/>
  <c r="E18" i="147"/>
  <c r="E19" i="147"/>
  <c r="E20" i="147"/>
  <c r="E21" i="147"/>
  <c r="E23" i="147"/>
  <c r="E24" i="147"/>
  <c r="E26" i="147"/>
  <c r="E27" i="147"/>
  <c r="E29" i="147"/>
  <c r="E30" i="147"/>
  <c r="E31" i="147"/>
  <c r="E32" i="147"/>
  <c r="E33" i="147"/>
  <c r="E37" i="147"/>
  <c r="E39" i="147"/>
  <c r="E40" i="147"/>
  <c r="E41" i="147"/>
  <c r="E43" i="147"/>
  <c r="E44" i="147"/>
  <c r="E45" i="147"/>
  <c r="E47" i="147"/>
  <c r="E48" i="147"/>
  <c r="E49" i="147"/>
  <c r="E50" i="147"/>
  <c r="E53" i="147"/>
  <c r="E54" i="147"/>
  <c r="E55" i="147"/>
  <c r="E57" i="147"/>
  <c r="E59" i="147"/>
  <c r="E60" i="147"/>
  <c r="E61" i="147"/>
  <c r="E65" i="147"/>
  <c r="E66" i="147"/>
  <c r="E67" i="147"/>
  <c r="E56" i="147" l="1"/>
  <c r="E52" i="147" s="1"/>
  <c r="E64" i="147"/>
  <c r="E46" i="147"/>
  <c r="E42" i="147"/>
  <c r="E22" i="147"/>
  <c r="E8" i="147"/>
  <c r="E28" i="147"/>
  <c r="E38" i="147"/>
  <c r="E35" i="147"/>
  <c r="E9" i="147"/>
  <c r="E17" i="147" l="1"/>
  <c r="E34" i="147" s="1"/>
  <c r="E36" i="147"/>
  <c r="E62" i="147" s="1"/>
  <c r="E63" i="147" l="1"/>
  <c r="E68" i="147" s="1"/>
  <c r="B108" i="149" l="1"/>
  <c r="G650" i="150"/>
  <c r="F650" i="150"/>
  <c r="E650" i="150"/>
  <c r="D650" i="150"/>
  <c r="G648" i="150"/>
  <c r="F648" i="150"/>
  <c r="E648" i="150"/>
  <c r="D648" i="150"/>
  <c r="G645" i="150"/>
  <c r="F645" i="150"/>
  <c r="E645" i="150"/>
  <c r="D645" i="150"/>
  <c r="G642" i="150"/>
  <c r="F642" i="150"/>
  <c r="E642" i="150"/>
  <c r="D642" i="150"/>
  <c r="G639" i="150"/>
  <c r="F639" i="150"/>
  <c r="E639" i="150"/>
  <c r="D639" i="150"/>
  <c r="G636" i="150"/>
  <c r="F636" i="150"/>
  <c r="E636" i="150"/>
  <c r="D636" i="150"/>
  <c r="G634" i="150"/>
  <c r="F634" i="150"/>
  <c r="E634" i="150"/>
  <c r="D634" i="150"/>
  <c r="G629" i="150"/>
  <c r="F629" i="150"/>
  <c r="E629" i="150"/>
  <c r="D629" i="150"/>
  <c r="G624" i="150"/>
  <c r="F624" i="150"/>
  <c r="E624" i="150"/>
  <c r="D624" i="150"/>
  <c r="G619" i="150"/>
  <c r="F619" i="150"/>
  <c r="E619" i="150"/>
  <c r="D619" i="150"/>
  <c r="G615" i="150"/>
  <c r="F615" i="150"/>
  <c r="E615" i="150"/>
  <c r="D615" i="150"/>
  <c r="G612" i="150"/>
  <c r="F612" i="150"/>
  <c r="E612" i="150"/>
  <c r="D612" i="150"/>
  <c r="G610" i="150"/>
  <c r="F610" i="150"/>
  <c r="E610" i="150"/>
  <c r="D610" i="150"/>
  <c r="G607" i="150"/>
  <c r="F607" i="150"/>
  <c r="E607" i="150"/>
  <c r="D607" i="150"/>
  <c r="G604" i="150"/>
  <c r="F604" i="150"/>
  <c r="E604" i="150"/>
  <c r="D604" i="150"/>
  <c r="G601" i="150"/>
  <c r="F601" i="150"/>
  <c r="E601" i="150"/>
  <c r="D601" i="150"/>
  <c r="G597" i="150"/>
  <c r="F597" i="150"/>
  <c r="E597" i="150"/>
  <c r="D597" i="150"/>
  <c r="G594" i="150"/>
  <c r="F594" i="150"/>
  <c r="E594" i="150"/>
  <c r="D594" i="150"/>
  <c r="G588" i="150"/>
  <c r="F588" i="150"/>
  <c r="E588" i="150"/>
  <c r="D588" i="150"/>
  <c r="G586" i="150"/>
  <c r="F586" i="150"/>
  <c r="E586" i="150"/>
  <c r="D586" i="150"/>
  <c r="G583" i="150"/>
  <c r="F583" i="150"/>
  <c r="E583" i="150"/>
  <c r="D583" i="150"/>
  <c r="G581" i="150"/>
  <c r="F581" i="150"/>
  <c r="E581" i="150"/>
  <c r="D581" i="150"/>
  <c r="G579" i="150"/>
  <c r="F579" i="150"/>
  <c r="E579" i="150"/>
  <c r="D579" i="150"/>
  <c r="G576" i="150"/>
  <c r="F576" i="150"/>
  <c r="E576" i="150"/>
  <c r="D576" i="150"/>
  <c r="G573" i="150"/>
  <c r="F573" i="150"/>
  <c r="E573" i="150"/>
  <c r="D573" i="150"/>
  <c r="G568" i="150"/>
  <c r="F568" i="150"/>
  <c r="E568" i="150"/>
  <c r="D568" i="150"/>
  <c r="G566" i="150"/>
  <c r="F566" i="150"/>
  <c r="E566" i="150"/>
  <c r="D566" i="150"/>
  <c r="G559" i="150"/>
  <c r="F559" i="150"/>
  <c r="E559" i="150"/>
  <c r="D559" i="150"/>
  <c r="G549" i="150"/>
  <c r="F549" i="150"/>
  <c r="E549" i="150"/>
  <c r="D549" i="150"/>
  <c r="G523" i="150"/>
  <c r="F523" i="150"/>
  <c r="E523" i="150"/>
  <c r="D523" i="150"/>
  <c r="G521" i="150"/>
  <c r="F521" i="150"/>
  <c r="E521" i="150"/>
  <c r="D521" i="150"/>
  <c r="G517" i="150"/>
  <c r="F517" i="150"/>
  <c r="E517" i="150"/>
  <c r="D517" i="150"/>
  <c r="G515" i="150"/>
  <c r="F515" i="150"/>
  <c r="E515" i="150"/>
  <c r="D515" i="150"/>
  <c r="G512" i="150"/>
  <c r="F512" i="150"/>
  <c r="E512" i="150"/>
  <c r="D512" i="150"/>
  <c r="G496" i="150"/>
  <c r="F496" i="150"/>
  <c r="E496" i="150"/>
  <c r="D496" i="150"/>
  <c r="G493" i="150"/>
  <c r="F493" i="150"/>
  <c r="E493" i="150"/>
  <c r="D493" i="150"/>
  <c r="G481" i="150"/>
  <c r="F481" i="150"/>
  <c r="E481" i="150"/>
  <c r="D481" i="150"/>
  <c r="G434" i="150"/>
  <c r="F434" i="150"/>
  <c r="E434" i="150"/>
  <c r="D434" i="150"/>
  <c r="G427" i="150"/>
  <c r="F427" i="150"/>
  <c r="E427" i="150"/>
  <c r="D427" i="150"/>
  <c r="G424" i="150"/>
  <c r="F424" i="150"/>
  <c r="E424" i="150"/>
  <c r="D424" i="150"/>
  <c r="G422" i="150"/>
  <c r="F422" i="150"/>
  <c r="E422" i="150"/>
  <c r="D422" i="150"/>
  <c r="G420" i="150"/>
  <c r="F420" i="150"/>
  <c r="E420" i="150"/>
  <c r="D420" i="150"/>
  <c r="G418" i="150"/>
  <c r="F418" i="150"/>
  <c r="E418" i="150"/>
  <c r="D418" i="150"/>
  <c r="G415" i="150"/>
  <c r="F415" i="150"/>
  <c r="E415" i="150"/>
  <c r="D415" i="150"/>
  <c r="G413" i="150"/>
  <c r="F413" i="150"/>
  <c r="E413" i="150"/>
  <c r="D413" i="150"/>
  <c r="G411" i="150"/>
  <c r="F411" i="150"/>
  <c r="E411" i="150"/>
  <c r="D411" i="150"/>
  <c r="G409" i="150"/>
  <c r="F409" i="150"/>
  <c r="E409" i="150"/>
  <c r="D409" i="150"/>
  <c r="G407" i="150"/>
  <c r="F407" i="150"/>
  <c r="E407" i="150"/>
  <c r="D407" i="150"/>
  <c r="G402" i="150"/>
  <c r="F402" i="150"/>
  <c r="E402" i="150"/>
  <c r="D402" i="150"/>
  <c r="G398" i="150"/>
  <c r="F398" i="150"/>
  <c r="E398" i="150"/>
  <c r="D398" i="150"/>
  <c r="G395" i="150"/>
  <c r="F395" i="150"/>
  <c r="E395" i="150"/>
  <c r="D395" i="150"/>
  <c r="G393" i="150"/>
  <c r="F393" i="150"/>
  <c r="E393" i="150"/>
  <c r="D393" i="150"/>
  <c r="G390" i="150"/>
  <c r="F390" i="150"/>
  <c r="E390" i="150"/>
  <c r="D390" i="150"/>
  <c r="G387" i="150"/>
  <c r="F387" i="150"/>
  <c r="E387" i="150"/>
  <c r="D387" i="150"/>
  <c r="G371" i="150"/>
  <c r="F371" i="150"/>
  <c r="E371" i="150"/>
  <c r="D371" i="150"/>
  <c r="G359" i="150"/>
  <c r="F359" i="150"/>
  <c r="E359" i="150"/>
  <c r="D359" i="150"/>
  <c r="G354" i="150"/>
  <c r="F354" i="150"/>
  <c r="E354" i="150"/>
  <c r="D354" i="150"/>
  <c r="G343" i="150"/>
  <c r="F343" i="150"/>
  <c r="E343" i="150"/>
  <c r="D343" i="150"/>
  <c r="G331" i="150"/>
  <c r="F331" i="150"/>
  <c r="E331" i="150"/>
  <c r="D331" i="150"/>
  <c r="G329" i="150"/>
  <c r="F329" i="150"/>
  <c r="E329" i="150"/>
  <c r="D329" i="150"/>
  <c r="G324" i="150"/>
  <c r="F324" i="150"/>
  <c r="E324" i="150"/>
  <c r="D324" i="150"/>
  <c r="G309" i="150"/>
  <c r="F309" i="150"/>
  <c r="E309" i="150"/>
  <c r="D309" i="150"/>
  <c r="G306" i="150"/>
  <c r="F306" i="150"/>
  <c r="E306" i="150"/>
  <c r="D306" i="150"/>
  <c r="C255" i="126" s="1"/>
  <c r="G303" i="150"/>
  <c r="F303" i="150"/>
  <c r="E303" i="150"/>
  <c r="D303" i="150"/>
  <c r="G292" i="150"/>
  <c r="F292" i="150"/>
  <c r="E292" i="150"/>
  <c r="D292" i="150"/>
  <c r="G278" i="150"/>
  <c r="F278" i="150"/>
  <c r="E278" i="150"/>
  <c r="D278" i="150"/>
  <c r="G267" i="150"/>
  <c r="F267" i="150"/>
  <c r="E267" i="150"/>
  <c r="D267" i="150"/>
  <c r="G262" i="150"/>
  <c r="F262" i="150"/>
  <c r="E262" i="150"/>
  <c r="D262" i="150"/>
  <c r="G255" i="150"/>
  <c r="F255" i="150"/>
  <c r="E255" i="150"/>
  <c r="D255" i="150"/>
  <c r="G248" i="150"/>
  <c r="F248" i="150"/>
  <c r="E248" i="150"/>
  <c r="D248" i="150"/>
  <c r="G239" i="150"/>
  <c r="F239" i="150"/>
  <c r="E239" i="150"/>
  <c r="D239" i="150"/>
  <c r="G230" i="150"/>
  <c r="F230" i="150"/>
  <c r="E230" i="150"/>
  <c r="D230" i="150"/>
  <c r="G216" i="150"/>
  <c r="F216" i="150"/>
  <c r="E216" i="150"/>
  <c r="D216" i="150"/>
  <c r="G208" i="150"/>
  <c r="F208" i="150"/>
  <c r="E208" i="150"/>
  <c r="D208" i="150"/>
  <c r="G186" i="150"/>
  <c r="F186" i="150"/>
  <c r="E186" i="150"/>
  <c r="D186" i="150"/>
  <c r="G174" i="150"/>
  <c r="F174" i="150"/>
  <c r="E174" i="150"/>
  <c r="D174" i="150"/>
  <c r="G167" i="150"/>
  <c r="F167" i="150"/>
  <c r="E167" i="150"/>
  <c r="D167" i="150"/>
  <c r="G162" i="150"/>
  <c r="F162" i="150"/>
  <c r="E162" i="150"/>
  <c r="D162" i="150"/>
  <c r="G134" i="150"/>
  <c r="F134" i="150"/>
  <c r="E134" i="150"/>
  <c r="D134" i="150"/>
  <c r="G128" i="150"/>
  <c r="F128" i="150"/>
  <c r="E128" i="150"/>
  <c r="D128" i="150"/>
  <c r="G118" i="150"/>
  <c r="F118" i="150"/>
  <c r="E118" i="150"/>
  <c r="D118" i="150"/>
  <c r="G116" i="150"/>
  <c r="F116" i="150"/>
  <c r="E116" i="150"/>
  <c r="D116" i="150"/>
  <c r="G114" i="150"/>
  <c r="F114" i="150"/>
  <c r="E114" i="150"/>
  <c r="D114" i="150"/>
  <c r="G112" i="150"/>
  <c r="F112" i="150"/>
  <c r="E112" i="150"/>
  <c r="D112" i="150"/>
  <c r="G110" i="150"/>
  <c r="F110" i="150"/>
  <c r="E110" i="150"/>
  <c r="D110" i="150"/>
  <c r="G105" i="150"/>
  <c r="F105" i="150"/>
  <c r="E105" i="150"/>
  <c r="D105" i="150"/>
  <c r="G100" i="150"/>
  <c r="F100" i="150"/>
  <c r="E100" i="150"/>
  <c r="D100" i="150"/>
  <c r="G96" i="150"/>
  <c r="F96" i="150"/>
  <c r="E96" i="150"/>
  <c r="D96" i="150"/>
  <c r="G94" i="150"/>
  <c r="F94" i="150"/>
  <c r="E94" i="150"/>
  <c r="D94" i="150"/>
  <c r="G78" i="150"/>
  <c r="F78" i="150"/>
  <c r="E78" i="150"/>
  <c r="D78" i="150"/>
  <c r="G76" i="150"/>
  <c r="F76" i="150"/>
  <c r="E76" i="150"/>
  <c r="D76" i="150"/>
  <c r="G58" i="150"/>
  <c r="F58" i="150"/>
  <c r="E58" i="150"/>
  <c r="D58" i="150"/>
  <c r="G40" i="150"/>
  <c r="F40" i="150"/>
  <c r="E40" i="150"/>
  <c r="D40" i="150"/>
  <c r="G36" i="150"/>
  <c r="F36" i="150"/>
  <c r="E36" i="150"/>
  <c r="D36" i="150"/>
  <c r="G34" i="150"/>
  <c r="F34" i="150"/>
  <c r="E34" i="150"/>
  <c r="D34" i="150"/>
  <c r="G32" i="150"/>
  <c r="F32" i="150"/>
  <c r="E32" i="150"/>
  <c r="D32" i="150"/>
  <c r="G30" i="150"/>
  <c r="F30" i="150"/>
  <c r="E30" i="150"/>
  <c r="D30" i="150"/>
  <c r="G24" i="150"/>
  <c r="F24" i="150"/>
  <c r="E24" i="150"/>
  <c r="D24" i="150"/>
  <c r="G22" i="150"/>
  <c r="F22" i="150"/>
  <c r="E22" i="150"/>
  <c r="D22" i="150"/>
  <c r="G18" i="150"/>
  <c r="F18" i="150"/>
  <c r="E18" i="150"/>
  <c r="D18" i="150"/>
  <c r="G14" i="150"/>
  <c r="F14" i="150"/>
  <c r="E14" i="150"/>
  <c r="D14" i="150"/>
  <c r="G12" i="150"/>
  <c r="F12" i="150"/>
  <c r="E12" i="150"/>
  <c r="D12" i="150"/>
  <c r="G8" i="150"/>
  <c r="F8" i="150"/>
  <c r="E8" i="150"/>
  <c r="D8" i="150"/>
  <c r="G6" i="150"/>
  <c r="F6" i="150"/>
  <c r="E6" i="150"/>
  <c r="D6" i="150"/>
  <c r="G4" i="150"/>
  <c r="F4" i="150"/>
  <c r="E4" i="150"/>
  <c r="D4" i="150"/>
  <c r="M246" i="126"/>
  <c r="C395" i="126"/>
  <c r="C380" i="126"/>
  <c r="E94" i="148"/>
  <c r="E651" i="150" l="1"/>
  <c r="G651" i="150"/>
  <c r="F651" i="150"/>
  <c r="D651" i="150"/>
  <c r="D12" i="148"/>
  <c r="D13" i="148"/>
  <c r="D17" i="148"/>
  <c r="D31" i="148"/>
  <c r="D32" i="148"/>
  <c r="D34" i="148"/>
  <c r="D35" i="148"/>
  <c r="O182" i="126" l="1"/>
  <c r="AF227" i="126" l="1"/>
  <c r="M169" i="126" l="1"/>
  <c r="G169" i="126" s="1"/>
  <c r="C384" i="126"/>
  <c r="C372" i="126"/>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5" i="1"/>
  <c r="C387" i="126" l="1"/>
  <c r="E382" i="126"/>
  <c r="C275" i="126"/>
  <c r="C321" i="126"/>
  <c r="E397" i="126"/>
  <c r="C323" i="126"/>
  <c r="C371" i="126"/>
  <c r="C369" i="126"/>
  <c r="C320" i="126"/>
  <c r="C322" i="126"/>
  <c r="C324" i="126" l="1"/>
  <c r="H237" i="126"/>
  <c r="BB120" i="142" l="1"/>
  <c r="BB116" i="142"/>
  <c r="BB112" i="142"/>
  <c r="BB108" i="142"/>
  <c r="BB104" i="142"/>
  <c r="BB100" i="142"/>
  <c r="BB96" i="142"/>
  <c r="BB92" i="142"/>
  <c r="BB88" i="142"/>
  <c r="BB84" i="142"/>
  <c r="BB80" i="142"/>
  <c r="BB76" i="142"/>
  <c r="BB72" i="142"/>
  <c r="BB68" i="142"/>
  <c r="BB64" i="142"/>
  <c r="BB60" i="142"/>
  <c r="BB56" i="142"/>
  <c r="BB52" i="142"/>
  <c r="BB48" i="142"/>
  <c r="BB44" i="142"/>
  <c r="BB40" i="142"/>
  <c r="BB36" i="142"/>
  <c r="BB32" i="142"/>
  <c r="BB28" i="142"/>
  <c r="BB24" i="142"/>
  <c r="BB20" i="142"/>
  <c r="BB16" i="142"/>
  <c r="BB12" i="142"/>
  <c r="BB120" i="141"/>
  <c r="BB116" i="141"/>
  <c r="BB112" i="141"/>
  <c r="BB108" i="141"/>
  <c r="BB104" i="141"/>
  <c r="BB100" i="141"/>
  <c r="BB96" i="141"/>
  <c r="BB92" i="141"/>
  <c r="BB88" i="141"/>
  <c r="BB84" i="141"/>
  <c r="BB80" i="141"/>
  <c r="BB76" i="141"/>
  <c r="BB72" i="141"/>
  <c r="BB68" i="141"/>
  <c r="BB64" i="141"/>
  <c r="BB60" i="141"/>
  <c r="BB56" i="141"/>
  <c r="BB52" i="141"/>
  <c r="BB48" i="141"/>
  <c r="BB44" i="141"/>
  <c r="BB40" i="141"/>
  <c r="BB36" i="141"/>
  <c r="BB32" i="141"/>
  <c r="BB28" i="141"/>
  <c r="BB24" i="141"/>
  <c r="BB20" i="141"/>
  <c r="BB16" i="141"/>
  <c r="BB12" i="141"/>
  <c r="BB122" i="140"/>
  <c r="BB118" i="140"/>
  <c r="BB114" i="140"/>
  <c r="BB110" i="140"/>
  <c r="BB106" i="140"/>
  <c r="BB102" i="140"/>
  <c r="BB98" i="140"/>
  <c r="BB94" i="140"/>
  <c r="BB90" i="140"/>
  <c r="BB86" i="140"/>
  <c r="BB82" i="140"/>
  <c r="AQ72" i="134"/>
  <c r="AO72" i="134"/>
  <c r="AG72" i="134"/>
  <c r="AE72" i="134"/>
  <c r="AA72" i="134"/>
  <c r="Y72" i="134"/>
  <c r="U72" i="134"/>
  <c r="S72" i="134"/>
  <c r="K72" i="134"/>
  <c r="I72" i="134"/>
  <c r="E72" i="134"/>
  <c r="C72" i="134"/>
  <c r="BW66" i="134"/>
  <c r="BU66" i="134"/>
  <c r="BS66" i="134"/>
  <c r="BQ66" i="134"/>
  <c r="BO66" i="134"/>
  <c r="BM66" i="134"/>
  <c r="BK66" i="134"/>
  <c r="BI66" i="134"/>
  <c r="BG66" i="134"/>
  <c r="BE66" i="134"/>
  <c r="BC66" i="134"/>
  <c r="BA66" i="134"/>
  <c r="AY66" i="134"/>
  <c r="AW66" i="134"/>
  <c r="AU66" i="134"/>
  <c r="AS66" i="134"/>
  <c r="AQ66" i="134"/>
  <c r="AO66" i="134"/>
  <c r="AM66" i="134"/>
  <c r="AK66" i="134"/>
  <c r="AI66" i="134"/>
  <c r="AG66" i="134"/>
  <c r="AE66" i="134"/>
  <c r="AC66" i="134"/>
  <c r="AA66" i="134"/>
  <c r="Y66" i="134"/>
  <c r="W66" i="134"/>
  <c r="U66" i="134"/>
  <c r="S66" i="134"/>
  <c r="Q66" i="134"/>
  <c r="O66" i="134"/>
  <c r="M66" i="134"/>
  <c r="K66" i="134"/>
  <c r="I66" i="134"/>
  <c r="G66" i="134"/>
  <c r="E66" i="134"/>
  <c r="C66" i="134"/>
  <c r="BW63" i="134"/>
  <c r="BU63" i="134"/>
  <c r="BS63" i="134"/>
  <c r="BQ63" i="134"/>
  <c r="BO63" i="134"/>
  <c r="BM63" i="134"/>
  <c r="BK63" i="134"/>
  <c r="BI63" i="134"/>
  <c r="BG63" i="134"/>
  <c r="BE63" i="134"/>
  <c r="BC63" i="134"/>
  <c r="BA63" i="134"/>
  <c r="AY63" i="134"/>
  <c r="AW63" i="134"/>
  <c r="AU63" i="134"/>
  <c r="AS63" i="134"/>
  <c r="AQ63" i="134"/>
  <c r="AO63" i="134"/>
  <c r="AK63" i="134"/>
  <c r="AI63" i="134"/>
  <c r="AG63" i="134"/>
  <c r="AE63" i="134"/>
  <c r="AA63" i="134"/>
  <c r="Y63" i="134"/>
  <c r="W63" i="134"/>
  <c r="U63" i="134"/>
  <c r="S63" i="134"/>
  <c r="Q63" i="134"/>
  <c r="O63" i="134"/>
  <c r="M63" i="134"/>
  <c r="I63" i="134"/>
  <c r="G63" i="134"/>
  <c r="E63" i="134"/>
  <c r="C63" i="134"/>
  <c r="BW60" i="134"/>
  <c r="BU60" i="134"/>
  <c r="BS60" i="134"/>
  <c r="BQ60" i="134"/>
  <c r="BO60" i="134"/>
  <c r="BM60" i="134"/>
  <c r="BK60" i="134"/>
  <c r="BI60" i="134"/>
  <c r="BG60" i="134"/>
  <c r="BE60" i="134"/>
  <c r="BC60" i="134"/>
  <c r="BA60" i="134"/>
  <c r="AY60" i="134"/>
  <c r="AW60" i="134"/>
  <c r="AU60" i="134"/>
  <c r="AS60" i="134"/>
  <c r="AQ60" i="134"/>
  <c r="AO60" i="134"/>
  <c r="AM60" i="134"/>
  <c r="AK60" i="134"/>
  <c r="AI60" i="134"/>
  <c r="AG60" i="134"/>
  <c r="AE60" i="134"/>
  <c r="AC60" i="134"/>
  <c r="AA60" i="134"/>
  <c r="Y60" i="134"/>
  <c r="W60" i="134"/>
  <c r="U60" i="134"/>
  <c r="S60" i="134"/>
  <c r="Q60" i="134"/>
  <c r="O60" i="134"/>
  <c r="M60" i="134"/>
  <c r="K60" i="134"/>
  <c r="I60" i="134"/>
  <c r="G60" i="134"/>
  <c r="E60" i="134"/>
  <c r="C60" i="134"/>
  <c r="BW57" i="134"/>
  <c r="BU57" i="134"/>
  <c r="BS57" i="134"/>
  <c r="BQ57" i="134"/>
  <c r="BO57" i="134"/>
  <c r="BM57" i="134"/>
  <c r="BK57" i="134"/>
  <c r="BI57" i="134"/>
  <c r="BG57" i="134"/>
  <c r="BE57" i="134"/>
  <c r="BC57" i="134"/>
  <c r="BA57" i="134"/>
  <c r="AY57" i="134"/>
  <c r="AW57" i="134"/>
  <c r="AU57" i="134"/>
  <c r="AS57" i="134"/>
  <c r="AQ57" i="134"/>
  <c r="AO57" i="134"/>
  <c r="AM57" i="134"/>
  <c r="AK57" i="134"/>
  <c r="AI57" i="134"/>
  <c r="AG57" i="134"/>
  <c r="AE57" i="134"/>
  <c r="AC57" i="134"/>
  <c r="AA57" i="134"/>
  <c r="Y57" i="134"/>
  <c r="W57" i="134"/>
  <c r="U57" i="134"/>
  <c r="S57" i="134"/>
  <c r="Q57" i="134"/>
  <c r="O57" i="134"/>
  <c r="M57" i="134"/>
  <c r="K57" i="134"/>
  <c r="I57" i="134"/>
  <c r="G57" i="134"/>
  <c r="E57" i="134"/>
  <c r="C57" i="134"/>
  <c r="BW54" i="134"/>
  <c r="BU54" i="134"/>
  <c r="BS54" i="134"/>
  <c r="BQ54" i="134"/>
  <c r="BO54" i="134"/>
  <c r="BM54" i="134"/>
  <c r="BK54" i="134"/>
  <c r="BI54" i="134"/>
  <c r="BG54" i="134"/>
  <c r="BE54" i="134"/>
  <c r="BC54" i="134"/>
  <c r="BA54" i="134"/>
  <c r="AY54" i="134"/>
  <c r="AW54" i="134"/>
  <c r="AU54" i="134"/>
  <c r="AS54" i="134"/>
  <c r="AQ54" i="134"/>
  <c r="AO54" i="134"/>
  <c r="AM54" i="134"/>
  <c r="AK54" i="134"/>
  <c r="AI54" i="134"/>
  <c r="AG54" i="134"/>
  <c r="AE54" i="134"/>
  <c r="AC54" i="134"/>
  <c r="AA54" i="134"/>
  <c r="Y54" i="134"/>
  <c r="W54" i="134"/>
  <c r="U54" i="134"/>
  <c r="S54" i="134"/>
  <c r="Q54" i="134"/>
  <c r="O54" i="134"/>
  <c r="K54" i="134"/>
  <c r="I54" i="134"/>
  <c r="G54" i="134"/>
  <c r="E54" i="134"/>
  <c r="C54" i="134"/>
  <c r="BW51" i="134"/>
  <c r="BU51" i="134"/>
  <c r="BS51" i="134"/>
  <c r="BQ51" i="134"/>
  <c r="BO51" i="134"/>
  <c r="BM51" i="134"/>
  <c r="BK51" i="134"/>
  <c r="BI51" i="134"/>
  <c r="BE51" i="134"/>
  <c r="BC51" i="134"/>
  <c r="BA51" i="134"/>
  <c r="AY51" i="134"/>
  <c r="AW51" i="134"/>
  <c r="AU51" i="134"/>
  <c r="AS51" i="134"/>
  <c r="AQ51" i="134"/>
  <c r="AO51" i="134"/>
  <c r="AM51" i="134"/>
  <c r="AK51" i="134"/>
  <c r="AI51" i="134"/>
  <c r="AG51" i="134"/>
  <c r="AE51" i="134"/>
  <c r="AC51" i="134"/>
  <c r="AA51" i="134"/>
  <c r="Y51" i="134"/>
  <c r="W51" i="134"/>
  <c r="U51" i="134"/>
  <c r="S51" i="134"/>
  <c r="Q51" i="134"/>
  <c r="O51" i="134"/>
  <c r="M51" i="134"/>
  <c r="K51" i="134"/>
  <c r="I51" i="134"/>
  <c r="G51" i="134"/>
  <c r="E51" i="134"/>
  <c r="C51" i="134"/>
  <c r="BW46" i="134"/>
  <c r="BU46" i="134"/>
  <c r="BS46" i="134"/>
  <c r="BQ46" i="134"/>
  <c r="BO46" i="134"/>
  <c r="BM46" i="134"/>
  <c r="BK46" i="134"/>
  <c r="BI46" i="134"/>
  <c r="BG46" i="134"/>
  <c r="BE46" i="134"/>
  <c r="BC46" i="134"/>
  <c r="BA46" i="134"/>
  <c r="AY46" i="134"/>
  <c r="AW46" i="134"/>
  <c r="AU46" i="134"/>
  <c r="AS46" i="134"/>
  <c r="AQ46" i="134"/>
  <c r="AO46" i="134"/>
  <c r="AM46" i="134"/>
  <c r="AK46" i="134"/>
  <c r="AI46" i="134"/>
  <c r="AG46" i="134"/>
  <c r="AE46" i="134"/>
  <c r="AC46" i="134"/>
  <c r="AA46" i="134"/>
  <c r="Y46" i="134"/>
  <c r="W46" i="134"/>
  <c r="U46" i="134"/>
  <c r="S46" i="134"/>
  <c r="Q46" i="134"/>
  <c r="O46" i="134"/>
  <c r="M46" i="134"/>
  <c r="K46" i="134"/>
  <c r="I46" i="134"/>
  <c r="G46" i="134"/>
  <c r="E46" i="134"/>
  <c r="C46" i="134"/>
  <c r="BW43" i="134"/>
  <c r="BU43" i="134"/>
  <c r="BS43" i="134"/>
  <c r="BQ43" i="134"/>
  <c r="BO43" i="134"/>
  <c r="BM43" i="134"/>
  <c r="BK43" i="134"/>
  <c r="BI43" i="134"/>
  <c r="BG43" i="134"/>
  <c r="BE43" i="134"/>
  <c r="BC43" i="134"/>
  <c r="BA43" i="134"/>
  <c r="AY43" i="134"/>
  <c r="AW43" i="134"/>
  <c r="AU43" i="134"/>
  <c r="AS43" i="134"/>
  <c r="AQ43" i="134"/>
  <c r="AO43" i="134"/>
  <c r="AM43" i="134"/>
  <c r="AK43" i="134"/>
  <c r="AI43" i="134"/>
  <c r="AG43" i="134"/>
  <c r="AE43" i="134"/>
  <c r="AC43" i="134"/>
  <c r="AA43" i="134"/>
  <c r="Y43" i="134"/>
  <c r="W43" i="134"/>
  <c r="U43" i="134"/>
  <c r="S43" i="134"/>
  <c r="Q43" i="134"/>
  <c r="O43" i="134"/>
  <c r="M43" i="134"/>
  <c r="K43" i="134"/>
  <c r="I43" i="134"/>
  <c r="G43" i="134"/>
  <c r="E43" i="134"/>
  <c r="C43" i="134"/>
  <c r="BW33" i="134"/>
  <c r="BU33" i="134"/>
  <c r="BM33" i="134"/>
  <c r="BK33" i="134"/>
  <c r="AA33" i="134"/>
  <c r="O33" i="134"/>
  <c r="K33" i="134"/>
  <c r="I33" i="134"/>
  <c r="E33" i="134"/>
  <c r="C33" i="134"/>
  <c r="AA32" i="134"/>
  <c r="BW29" i="134"/>
  <c r="BU29" i="134"/>
  <c r="BM29" i="134"/>
  <c r="BK29" i="134"/>
  <c r="AM27" i="134"/>
  <c r="AA27" i="134"/>
  <c r="Q27" i="134"/>
  <c r="BR4" i="135" s="1"/>
  <c r="O27" i="134"/>
  <c r="M27" i="134"/>
  <c r="BN4" i="137" s="1"/>
  <c r="K27" i="134"/>
  <c r="BL4" i="139" s="1"/>
  <c r="I27" i="134"/>
  <c r="BJ4" i="136" s="1"/>
  <c r="G27" i="134"/>
  <c r="E27" i="134"/>
  <c r="BF4" i="143" s="1"/>
  <c r="C27" i="134"/>
  <c r="BD4" i="140" s="1"/>
  <c r="AM26" i="134"/>
  <c r="AA26" i="134"/>
  <c r="BW24" i="134"/>
  <c r="AS8" i="134" s="1"/>
  <c r="BU24" i="134"/>
  <c r="AQ8" i="134" s="1"/>
  <c r="BM24" i="134"/>
  <c r="AI8" i="134" s="1"/>
  <c r="BK24" i="134"/>
  <c r="AM21" i="134"/>
  <c r="AA21" i="134"/>
  <c r="BW20" i="134"/>
  <c r="BU20" i="134"/>
  <c r="BM20" i="134"/>
  <c r="BK20" i="134"/>
  <c r="U20" i="134"/>
  <c r="AW4" i="138" s="1"/>
  <c r="S20" i="134"/>
  <c r="AU4" i="138" s="1"/>
  <c r="Q20" i="134"/>
  <c r="AS4" i="138" s="1"/>
  <c r="O20" i="134"/>
  <c r="M20" i="134"/>
  <c r="AO4" i="141" s="1"/>
  <c r="K20" i="134"/>
  <c r="AM4" i="138" s="1"/>
  <c r="I20" i="134"/>
  <c r="AK4" i="138" s="1"/>
  <c r="G20" i="134"/>
  <c r="E20" i="134"/>
  <c r="AG4" i="138" s="1"/>
  <c r="C20" i="134"/>
  <c r="AE4" i="142" s="1"/>
  <c r="AG8" i="134"/>
  <c r="AC8" i="134"/>
  <c r="AA8" i="134"/>
  <c r="D75" i="132"/>
  <c r="C75" i="132"/>
  <c r="D74" i="132"/>
  <c r="C74" i="132"/>
  <c r="D73" i="132"/>
  <c r="C73" i="132"/>
  <c r="D72" i="132"/>
  <c r="C72" i="132"/>
  <c r="D71" i="132"/>
  <c r="C71" i="132"/>
  <c r="D70" i="132"/>
  <c r="C70" i="132"/>
  <c r="D69" i="132"/>
  <c r="C69" i="132"/>
  <c r="D68" i="132"/>
  <c r="C68" i="132"/>
  <c r="D67" i="132"/>
  <c r="C67" i="132"/>
  <c r="D66" i="132"/>
  <c r="C66" i="132"/>
  <c r="D65" i="132"/>
  <c r="C65" i="132"/>
  <c r="D64" i="132"/>
  <c r="C64" i="132"/>
  <c r="D63" i="132"/>
  <c r="C63" i="132"/>
  <c r="D62" i="132"/>
  <c r="C62" i="132"/>
  <c r="D61" i="132"/>
  <c r="C61" i="132"/>
  <c r="D60" i="132"/>
  <c r="C60" i="132"/>
  <c r="D59" i="132"/>
  <c r="C59" i="132"/>
  <c r="D58" i="132"/>
  <c r="C58" i="132"/>
  <c r="D57" i="132"/>
  <c r="C57" i="132"/>
  <c r="D56" i="132"/>
  <c r="C56" i="132"/>
  <c r="D55" i="132"/>
  <c r="C55" i="132"/>
  <c r="D54" i="132"/>
  <c r="C54" i="132"/>
  <c r="D53" i="132"/>
  <c r="C53" i="132"/>
  <c r="D52" i="132"/>
  <c r="C52" i="132"/>
  <c r="D51" i="132"/>
  <c r="C51" i="132"/>
  <c r="D50" i="132"/>
  <c r="C50" i="132"/>
  <c r="D49" i="132"/>
  <c r="C49" i="132"/>
  <c r="D48" i="132"/>
  <c r="C48" i="132"/>
  <c r="D47" i="132"/>
  <c r="C47" i="132"/>
  <c r="D46" i="132"/>
  <c r="C46" i="132"/>
  <c r="D45" i="132"/>
  <c r="C45" i="132"/>
  <c r="D44" i="132"/>
  <c r="C44" i="132"/>
  <c r="D43" i="132"/>
  <c r="C43" i="132"/>
  <c r="D42" i="132"/>
  <c r="C42" i="132"/>
  <c r="D41" i="132"/>
  <c r="C41" i="132"/>
  <c r="D40" i="132"/>
  <c r="C40" i="132"/>
  <c r="D39" i="132"/>
  <c r="C39" i="132"/>
  <c r="D38" i="132"/>
  <c r="C38" i="132"/>
  <c r="D37" i="132"/>
  <c r="C37" i="132"/>
  <c r="D36" i="132"/>
  <c r="C36" i="132"/>
  <c r="D35" i="132"/>
  <c r="C35" i="132"/>
  <c r="D34" i="132"/>
  <c r="C34" i="132"/>
  <c r="D33" i="132"/>
  <c r="C33" i="132"/>
  <c r="D32" i="132"/>
  <c r="C32" i="132"/>
  <c r="D31" i="132"/>
  <c r="C31" i="132"/>
  <c r="D30" i="132"/>
  <c r="C30" i="132"/>
  <c r="D29" i="132"/>
  <c r="C29" i="132"/>
  <c r="D28" i="132"/>
  <c r="C28" i="132"/>
  <c r="D27" i="132"/>
  <c r="C27" i="132"/>
  <c r="D26" i="132"/>
  <c r="C26" i="132"/>
  <c r="D25" i="132"/>
  <c r="C25" i="132"/>
  <c r="D24" i="132"/>
  <c r="C24" i="132"/>
  <c r="D23" i="132"/>
  <c r="C23" i="132"/>
  <c r="D22" i="132"/>
  <c r="C22" i="132"/>
  <c r="D21" i="132"/>
  <c r="C21" i="132"/>
  <c r="D20" i="132"/>
  <c r="C20" i="132"/>
  <c r="D19" i="132"/>
  <c r="C19" i="132"/>
  <c r="D18" i="132"/>
  <c r="C18" i="132"/>
  <c r="D17" i="132"/>
  <c r="C17" i="132"/>
  <c r="D16" i="132"/>
  <c r="C16" i="132"/>
  <c r="D15" i="132"/>
  <c r="C15" i="132"/>
  <c r="D14" i="132"/>
  <c r="C14" i="132"/>
  <c r="D13" i="132"/>
  <c r="C13" i="132"/>
  <c r="D12" i="132"/>
  <c r="C12" i="132"/>
  <c r="D11" i="132"/>
  <c r="C11" i="132"/>
  <c r="D10" i="132"/>
  <c r="C10" i="132"/>
  <c r="D9" i="132"/>
  <c r="C9" i="132"/>
  <c r="D8" i="132"/>
  <c r="C8" i="132"/>
  <c r="D7" i="132"/>
  <c r="C7" i="132"/>
  <c r="D6" i="132"/>
  <c r="C6" i="132"/>
  <c r="D5" i="132"/>
  <c r="C5" i="132"/>
  <c r="D4" i="132"/>
  <c r="C4" i="132"/>
  <c r="D3" i="132"/>
  <c r="C3" i="132"/>
  <c r="D2" i="132"/>
  <c r="C2" i="132"/>
  <c r="B8" i="99"/>
  <c r="B9" i="99" s="1"/>
  <c r="C7" i="99"/>
  <c r="C451" i="126"/>
  <c r="U248" i="126" s="1"/>
  <c r="C439" i="126"/>
  <c r="T218" i="126" s="1"/>
  <c r="G218" i="126" s="1"/>
  <c r="C437" i="126"/>
  <c r="C407" i="126"/>
  <c r="C409" i="126" s="1"/>
  <c r="R179" i="126" s="1"/>
  <c r="C399" i="126"/>
  <c r="Q177" i="126" s="1"/>
  <c r="C397" i="126"/>
  <c r="C382" i="126"/>
  <c r="E383" i="126" s="1"/>
  <c r="F364" i="126"/>
  <c r="N171" i="126" s="1"/>
  <c r="F361" i="126"/>
  <c r="N182" i="126" s="1"/>
  <c r="C348" i="126"/>
  <c r="C353" i="126" s="1"/>
  <c r="D313" i="126"/>
  <c r="D315" i="126" s="1"/>
  <c r="K196" i="126" s="1"/>
  <c r="C313" i="126"/>
  <c r="C315" i="126" s="1"/>
  <c r="K182" i="126" s="1"/>
  <c r="E312" i="126"/>
  <c r="E311" i="126"/>
  <c r="E310" i="126"/>
  <c r="E305" i="126"/>
  <c r="E304" i="126"/>
  <c r="E303" i="126"/>
  <c r="D300" i="126"/>
  <c r="D301" i="126" s="1"/>
  <c r="C300" i="126"/>
  <c r="C306" i="126" s="1"/>
  <c r="E299" i="126"/>
  <c r="E298" i="126"/>
  <c r="E297" i="126"/>
  <c r="D284" i="126"/>
  <c r="C284" i="126"/>
  <c r="E282" i="126"/>
  <c r="E281" i="126"/>
  <c r="S248" i="126"/>
  <c r="G247" i="126"/>
  <c r="G246" i="126"/>
  <c r="G245" i="126"/>
  <c r="Y245" i="126" s="1"/>
  <c r="G244" i="126"/>
  <c r="G243" i="126"/>
  <c r="Y243" i="126" s="1"/>
  <c r="G242" i="126"/>
  <c r="Y242" i="126" s="1"/>
  <c r="G241" i="126"/>
  <c r="Y241" i="126" s="1"/>
  <c r="Z241" i="126" s="1"/>
  <c r="D86" i="148" s="1"/>
  <c r="G240" i="126"/>
  <c r="Y240" i="126" s="1"/>
  <c r="Z240" i="126" s="1"/>
  <c r="D85" i="148" s="1"/>
  <c r="G239" i="126"/>
  <c r="Y239" i="126" s="1"/>
  <c r="Z239" i="126" s="1"/>
  <c r="D84" i="148" s="1"/>
  <c r="G238" i="126"/>
  <c r="Y238" i="126" s="1"/>
  <c r="Z238" i="126" s="1"/>
  <c r="D83" i="148" s="1"/>
  <c r="G237" i="126"/>
  <c r="S236" i="126"/>
  <c r="G236" i="126" s="1"/>
  <c r="Y236" i="126" s="1"/>
  <c r="Z236" i="126" s="1"/>
  <c r="D81" i="148" s="1"/>
  <c r="J235" i="126"/>
  <c r="G235" i="126" s="1"/>
  <c r="Y235" i="126" s="1"/>
  <c r="Z235" i="126" s="1"/>
  <c r="D80" i="148" s="1"/>
  <c r="M234" i="126"/>
  <c r="G234" i="126" s="1"/>
  <c r="Y234" i="126" s="1"/>
  <c r="Z234" i="126" s="1"/>
  <c r="D79" i="148" s="1"/>
  <c r="M233" i="126"/>
  <c r="G233" i="126" s="1"/>
  <c r="Y233" i="126" s="1"/>
  <c r="Z233" i="126" s="1"/>
  <c r="D78" i="148" s="1"/>
  <c r="AE232" i="126"/>
  <c r="AD232" i="126"/>
  <c r="AF231" i="126"/>
  <c r="M231" i="126"/>
  <c r="J231" i="126"/>
  <c r="AF230" i="126"/>
  <c r="G230" i="126"/>
  <c r="Y230" i="126" s="1"/>
  <c r="Z230" i="126" s="1"/>
  <c r="AF229" i="126"/>
  <c r="AI229" i="126" s="1"/>
  <c r="M229" i="126"/>
  <c r="J229" i="126"/>
  <c r="AF228" i="126"/>
  <c r="AI228" i="126" s="1"/>
  <c r="G228" i="126"/>
  <c r="Y228" i="126" s="1"/>
  <c r="M227" i="126"/>
  <c r="G227" i="126" s="1"/>
  <c r="G226" i="126"/>
  <c r="Y226" i="126" s="1"/>
  <c r="G225" i="126"/>
  <c r="Y225" i="126" s="1"/>
  <c r="Y224" i="126"/>
  <c r="Z224" i="126" s="1"/>
  <c r="D69" i="148" s="1"/>
  <c r="G224" i="126"/>
  <c r="G223" i="126"/>
  <c r="Y223" i="126" s="1"/>
  <c r="Z223" i="126" s="1"/>
  <c r="D68" i="148" s="1"/>
  <c r="G222" i="126"/>
  <c r="Y222" i="126" s="1"/>
  <c r="Z222" i="126" s="1"/>
  <c r="D67" i="148" s="1"/>
  <c r="G221" i="126"/>
  <c r="S220" i="126"/>
  <c r="G220" i="126" s="1"/>
  <c r="Y220" i="126" s="1"/>
  <c r="Z220" i="126" s="1"/>
  <c r="D65" i="148" s="1"/>
  <c r="G219" i="126"/>
  <c r="Y219" i="126" s="1"/>
  <c r="Z219" i="126" s="1"/>
  <c r="D64" i="148" s="1"/>
  <c r="G217" i="126"/>
  <c r="G216" i="126"/>
  <c r="Y216" i="126" s="1"/>
  <c r="G213" i="126"/>
  <c r="Y213" i="126" s="1"/>
  <c r="G212" i="126"/>
  <c r="Y212" i="126" s="1"/>
  <c r="Z212" i="126" s="1"/>
  <c r="D57" i="148" s="1"/>
  <c r="G211" i="126"/>
  <c r="G210" i="126"/>
  <c r="Y210" i="126" s="1"/>
  <c r="Z210" i="126" s="1"/>
  <c r="D55" i="148" s="1"/>
  <c r="G209" i="126"/>
  <c r="Y209" i="126" s="1"/>
  <c r="Z209" i="126" s="1"/>
  <c r="D54" i="148" s="1"/>
  <c r="G208" i="126"/>
  <c r="Y208" i="126" s="1"/>
  <c r="Z208" i="126" s="1"/>
  <c r="D53" i="148" s="1"/>
  <c r="G207" i="126"/>
  <c r="Y207" i="126" s="1"/>
  <c r="Z207" i="126" s="1"/>
  <c r="D52" i="148" s="1"/>
  <c r="G206" i="126"/>
  <c r="Y206" i="126" s="1"/>
  <c r="Z206" i="126" s="1"/>
  <c r="D51" i="148" s="1"/>
  <c r="R205" i="126"/>
  <c r="G205" i="126" s="1"/>
  <c r="Y205" i="126" s="1"/>
  <c r="Z205" i="126" s="1"/>
  <c r="D50" i="148" s="1"/>
  <c r="K204" i="126"/>
  <c r="G204" i="126" s="1"/>
  <c r="Y204" i="126" s="1"/>
  <c r="Z204" i="126" s="1"/>
  <c r="D49" i="148" s="1"/>
  <c r="G203" i="126"/>
  <c r="Y203" i="126" s="1"/>
  <c r="K202" i="126"/>
  <c r="G202" i="126" s="1"/>
  <c r="G201" i="126"/>
  <c r="Y201" i="126" s="1"/>
  <c r="T200" i="126"/>
  <c r="O200" i="126"/>
  <c r="M199" i="126"/>
  <c r="Y198" i="126"/>
  <c r="Z198" i="126" s="1"/>
  <c r="D43" i="148" s="1"/>
  <c r="G198" i="126"/>
  <c r="T196" i="126"/>
  <c r="Q196" i="126"/>
  <c r="O196" i="126"/>
  <c r="M196" i="126"/>
  <c r="V195" i="126"/>
  <c r="U195" i="126"/>
  <c r="T195" i="126"/>
  <c r="Q195" i="126"/>
  <c r="O195" i="126"/>
  <c r="M195" i="126"/>
  <c r="J195" i="126"/>
  <c r="Z194" i="126"/>
  <c r="D39" i="148" s="1"/>
  <c r="G194" i="126"/>
  <c r="Y194" i="126" s="1"/>
  <c r="G191" i="126"/>
  <c r="Y191" i="126" s="1"/>
  <c r="G190" i="126"/>
  <c r="Y190" i="126" s="1"/>
  <c r="Z190" i="126" s="1"/>
  <c r="G189" i="126"/>
  <c r="Y189" i="126" s="1"/>
  <c r="Z189" i="126" s="1"/>
  <c r="H188" i="126"/>
  <c r="G188" i="126" s="1"/>
  <c r="Y188" i="126" s="1"/>
  <c r="Z188" i="126" s="1"/>
  <c r="D33" i="148" s="1"/>
  <c r="G187" i="126"/>
  <c r="Y187" i="126" s="1"/>
  <c r="Z187" i="126" s="1"/>
  <c r="G186" i="126"/>
  <c r="Y186" i="126" s="1"/>
  <c r="Z186" i="126" s="1"/>
  <c r="J185" i="126"/>
  <c r="G185" i="126" s="1"/>
  <c r="Y185" i="126" s="1"/>
  <c r="Z185" i="126" s="1"/>
  <c r="D30" i="148" s="1"/>
  <c r="K184" i="126"/>
  <c r="G184" i="126" s="1"/>
  <c r="Y184" i="126" s="1"/>
  <c r="Z184" i="126" s="1"/>
  <c r="D29" i="148" s="1"/>
  <c r="G183" i="126"/>
  <c r="Y183" i="126" s="1"/>
  <c r="T182" i="126"/>
  <c r="Q182" i="126"/>
  <c r="M182" i="126"/>
  <c r="U181" i="126"/>
  <c r="T181" i="126"/>
  <c r="Q181" i="126"/>
  <c r="O181" i="126"/>
  <c r="M181" i="126"/>
  <c r="U180" i="126"/>
  <c r="S180" i="126"/>
  <c r="M180" i="126"/>
  <c r="J180" i="126"/>
  <c r="U179" i="126"/>
  <c r="T179" i="126"/>
  <c r="Q179" i="126"/>
  <c r="O179" i="126"/>
  <c r="M179" i="126"/>
  <c r="K179" i="126"/>
  <c r="G178" i="126"/>
  <c r="Y178" i="126" s="1"/>
  <c r="U177" i="126"/>
  <c r="O177" i="126"/>
  <c r="M175" i="126"/>
  <c r="G175" i="126" s="1"/>
  <c r="Y175" i="126" s="1"/>
  <c r="Z175" i="126" s="1"/>
  <c r="D20" i="148" s="1"/>
  <c r="J173" i="126"/>
  <c r="G173" i="126" s="1"/>
  <c r="Y173" i="126" s="1"/>
  <c r="Z173" i="126" s="1"/>
  <c r="D18" i="148" s="1"/>
  <c r="R172" i="126"/>
  <c r="G172" i="126" s="1"/>
  <c r="Y172" i="126" s="1"/>
  <c r="Z172" i="126" s="1"/>
  <c r="M171" i="126"/>
  <c r="K171" i="126"/>
  <c r="J171" i="126"/>
  <c r="G167" i="126"/>
  <c r="Y167" i="126" s="1"/>
  <c r="Z167" i="126" s="1"/>
  <c r="G165" i="126"/>
  <c r="Y165" i="126" s="1"/>
  <c r="B89" i="126"/>
  <c r="A87" i="126"/>
  <c r="A68" i="147"/>
  <c r="A67" i="147"/>
  <c r="A66" i="147"/>
  <c r="A65" i="147"/>
  <c r="A64" i="147"/>
  <c r="A63" i="147"/>
  <c r="A62" i="147"/>
  <c r="A61" i="147"/>
  <c r="A60" i="147"/>
  <c r="A59" i="147"/>
  <c r="A58" i="147"/>
  <c r="A57" i="147"/>
  <c r="A56" i="147"/>
  <c r="A55" i="147"/>
  <c r="A54" i="147"/>
  <c r="A53" i="147"/>
  <c r="A52" i="147"/>
  <c r="A51" i="147"/>
  <c r="A50" i="147"/>
  <c r="A49" i="147"/>
  <c r="A48" i="147"/>
  <c r="A47" i="147"/>
  <c r="A46" i="147"/>
  <c r="A45" i="147"/>
  <c r="A44" i="147"/>
  <c r="A43" i="147"/>
  <c r="A42" i="147"/>
  <c r="A41" i="147"/>
  <c r="A40" i="147"/>
  <c r="A39" i="147"/>
  <c r="A38" i="147"/>
  <c r="A37" i="147"/>
  <c r="A36" i="147"/>
  <c r="A35" i="147"/>
  <c r="A34" i="147"/>
  <c r="A33" i="147"/>
  <c r="A32" i="147"/>
  <c r="A31" i="147"/>
  <c r="A30" i="147"/>
  <c r="A29" i="147"/>
  <c r="A28" i="147"/>
  <c r="A27" i="147"/>
  <c r="A26" i="147"/>
  <c r="A25" i="147"/>
  <c r="A24" i="147"/>
  <c r="A23" i="147"/>
  <c r="A22" i="147"/>
  <c r="A21" i="147"/>
  <c r="A20" i="147"/>
  <c r="A19" i="147"/>
  <c r="A18" i="147"/>
  <c r="A17" i="147"/>
  <c r="A16" i="147"/>
  <c r="A15" i="147"/>
  <c r="A14" i="147"/>
  <c r="A13" i="147"/>
  <c r="A12" i="147"/>
  <c r="A11" i="147"/>
  <c r="A10" i="147"/>
  <c r="A9" i="147"/>
  <c r="A8" i="147"/>
  <c r="F7" i="147"/>
  <c r="B2" i="147"/>
  <c r="A158" i="146"/>
  <c r="A157" i="146"/>
  <c r="A156" i="146"/>
  <c r="A155" i="146"/>
  <c r="A154" i="146"/>
  <c r="A153" i="146"/>
  <c r="A152" i="146"/>
  <c r="A151" i="146"/>
  <c r="A150" i="146"/>
  <c r="A149" i="146"/>
  <c r="A148" i="146"/>
  <c r="A147" i="146"/>
  <c r="A146" i="146"/>
  <c r="A145" i="146"/>
  <c r="A144" i="146"/>
  <c r="A143" i="146"/>
  <c r="A142" i="146"/>
  <c r="A141" i="146"/>
  <c r="A140" i="146"/>
  <c r="A139" i="146"/>
  <c r="A138" i="146"/>
  <c r="A137" i="146"/>
  <c r="A136" i="146"/>
  <c r="A135" i="146"/>
  <c r="A134" i="146"/>
  <c r="E134" i="146" s="1"/>
  <c r="A133" i="146"/>
  <c r="A132" i="146"/>
  <c r="A131" i="146"/>
  <c r="A130" i="146"/>
  <c r="A129" i="146"/>
  <c r="A128" i="146"/>
  <c r="A127" i="146"/>
  <c r="A126" i="146"/>
  <c r="A125" i="146"/>
  <c r="A124" i="146"/>
  <c r="A123" i="146"/>
  <c r="A122" i="146"/>
  <c r="A121" i="146"/>
  <c r="A120" i="146"/>
  <c r="A119" i="146"/>
  <c r="A118" i="146"/>
  <c r="A117" i="146"/>
  <c r="A116" i="146"/>
  <c r="A115" i="146"/>
  <c r="A114" i="146"/>
  <c r="A113" i="146"/>
  <c r="A112" i="146"/>
  <c r="A111" i="146"/>
  <c r="A110" i="146"/>
  <c r="A109" i="146"/>
  <c r="A108" i="146"/>
  <c r="A107" i="146"/>
  <c r="A106" i="146"/>
  <c r="A105" i="146"/>
  <c r="A104" i="146"/>
  <c r="A103" i="146"/>
  <c r="A102" i="146"/>
  <c r="A101" i="146"/>
  <c r="A100" i="146"/>
  <c r="A99" i="146"/>
  <c r="A98" i="146"/>
  <c r="A97" i="146"/>
  <c r="A96" i="146"/>
  <c r="A95" i="146"/>
  <c r="A94" i="146"/>
  <c r="A93" i="146"/>
  <c r="A92" i="146"/>
  <c r="B86" i="146"/>
  <c r="A85" i="146"/>
  <c r="F85" i="146" s="1"/>
  <c r="A84" i="146"/>
  <c r="F84" i="146" s="1"/>
  <c r="A83" i="146"/>
  <c r="F83" i="146" s="1"/>
  <c r="A82" i="146"/>
  <c r="F82" i="146" s="1"/>
  <c r="A81" i="146"/>
  <c r="A80" i="146"/>
  <c r="F80" i="146" s="1"/>
  <c r="A79" i="146"/>
  <c r="F79" i="146" s="1"/>
  <c r="A78" i="146"/>
  <c r="A77" i="146"/>
  <c r="A76" i="146"/>
  <c r="F76" i="146" s="1"/>
  <c r="A75" i="146"/>
  <c r="A74" i="146"/>
  <c r="A73" i="146"/>
  <c r="A72" i="146"/>
  <c r="A71" i="146"/>
  <c r="F71" i="146" s="1"/>
  <c r="A70" i="146"/>
  <c r="A69" i="146"/>
  <c r="A68" i="146"/>
  <c r="A67" i="146"/>
  <c r="A66" i="146"/>
  <c r="A65" i="146"/>
  <c r="F65" i="146" s="1"/>
  <c r="A64" i="146"/>
  <c r="A63" i="146"/>
  <c r="A62" i="146"/>
  <c r="A61" i="146"/>
  <c r="A60" i="146"/>
  <c r="A59" i="146"/>
  <c r="F59" i="146" s="1"/>
  <c r="A58" i="146"/>
  <c r="A57" i="146"/>
  <c r="F57" i="146" s="1"/>
  <c r="A56" i="146"/>
  <c r="A55" i="146"/>
  <c r="A54" i="146"/>
  <c r="A53" i="146"/>
  <c r="F53" i="146" s="1"/>
  <c r="A52" i="146"/>
  <c r="A51" i="146"/>
  <c r="A50" i="146"/>
  <c r="A49" i="146"/>
  <c r="A48" i="146"/>
  <c r="A47" i="146"/>
  <c r="A46" i="146"/>
  <c r="A45" i="146"/>
  <c r="A44" i="146"/>
  <c r="A43" i="146"/>
  <c r="A42" i="146"/>
  <c r="A41" i="146"/>
  <c r="A40" i="146"/>
  <c r="A39" i="146"/>
  <c r="A38" i="146"/>
  <c r="A37" i="146"/>
  <c r="F37" i="146" s="1"/>
  <c r="A36" i="146"/>
  <c r="A35" i="146"/>
  <c r="A34" i="146"/>
  <c r="A33" i="146"/>
  <c r="A32" i="146"/>
  <c r="A31" i="146"/>
  <c r="A30" i="146"/>
  <c r="A29" i="146"/>
  <c r="A28" i="146"/>
  <c r="A27" i="146"/>
  <c r="A26" i="146"/>
  <c r="A25" i="146"/>
  <c r="A24" i="146"/>
  <c r="A23" i="146"/>
  <c r="A22" i="146"/>
  <c r="A21" i="146"/>
  <c r="A20" i="146"/>
  <c r="A19" i="146"/>
  <c r="A18" i="146"/>
  <c r="A17" i="146"/>
  <c r="A16" i="146"/>
  <c r="A15" i="146"/>
  <c r="A14" i="146"/>
  <c r="A13" i="146"/>
  <c r="A12" i="146"/>
  <c r="A11" i="146"/>
  <c r="A10" i="146"/>
  <c r="A9" i="146"/>
  <c r="A8" i="146"/>
  <c r="Y246" i="126" l="1"/>
  <c r="Z246" i="126" s="1"/>
  <c r="D91" i="148" s="1"/>
  <c r="G182" i="126"/>
  <c r="C301" i="126"/>
  <c r="S249" i="126"/>
  <c r="E284" i="126"/>
  <c r="E285" i="126" s="1"/>
  <c r="E291" i="126" s="1"/>
  <c r="J249" i="126"/>
  <c r="U249" i="126"/>
  <c r="Q249" i="126"/>
  <c r="E460" i="126"/>
  <c r="V232" i="126" s="1"/>
  <c r="G232" i="126" s="1"/>
  <c r="Y232" i="126" s="1"/>
  <c r="E83" i="126"/>
  <c r="E85" i="126"/>
  <c r="F51" i="146"/>
  <c r="F50" i="146"/>
  <c r="M249" i="126"/>
  <c r="G200" i="126"/>
  <c r="AF232" i="126"/>
  <c r="AI227" i="126"/>
  <c r="G229" i="126"/>
  <c r="O249" i="126"/>
  <c r="C8" i="99"/>
  <c r="G171" i="126"/>
  <c r="R249" i="126"/>
  <c r="AI4" i="145"/>
  <c r="AI4" i="143"/>
  <c r="AI4" i="144"/>
  <c r="AI4" i="142"/>
  <c r="AI4" i="141"/>
  <c r="AI4" i="138"/>
  <c r="AI4" i="139"/>
  <c r="AI4" i="140"/>
  <c r="AI4" i="137"/>
  <c r="AI4" i="136"/>
  <c r="AI4" i="135"/>
  <c r="AQ4" i="145"/>
  <c r="AQ4" i="143"/>
  <c r="AQ4" i="144"/>
  <c r="AQ4" i="142"/>
  <c r="AQ4" i="141"/>
  <c r="AQ4" i="140"/>
  <c r="AQ4" i="138"/>
  <c r="AQ4" i="139"/>
  <c r="AQ4" i="137"/>
  <c r="AQ4" i="136"/>
  <c r="AQ4" i="135"/>
  <c r="BH4" i="141"/>
  <c r="BH4" i="140"/>
  <c r="BH4" i="139"/>
  <c r="BH4" i="145"/>
  <c r="BH4" i="143"/>
  <c r="BH4" i="144"/>
  <c r="BH4" i="137"/>
  <c r="BH4" i="136"/>
  <c r="BH4" i="135"/>
  <c r="BH4" i="138"/>
  <c r="BQ4" i="141"/>
  <c r="BQ4" i="140"/>
  <c r="BP4" i="139"/>
  <c r="BQ4" i="145"/>
  <c r="BQ4" i="143"/>
  <c r="BQ4" i="144"/>
  <c r="BP4" i="137"/>
  <c r="BP4" i="136"/>
  <c r="BP4" i="135"/>
  <c r="BQ4" i="142"/>
  <c r="BP4" i="138"/>
  <c r="BH4" i="142"/>
  <c r="AK4" i="144"/>
  <c r="AK4" i="142"/>
  <c r="AK4" i="141"/>
  <c r="AK4" i="140"/>
  <c r="AK4" i="145"/>
  <c r="AS4" i="144"/>
  <c r="AS4" i="142"/>
  <c r="AS4" i="141"/>
  <c r="AS4" i="140"/>
  <c r="AS4" i="145"/>
  <c r="BJ4" i="145"/>
  <c r="BJ4" i="143"/>
  <c r="BJ4" i="144"/>
  <c r="BJ4" i="142"/>
  <c r="BS4" i="145"/>
  <c r="BS4" i="143"/>
  <c r="BS4" i="144"/>
  <c r="BS4" i="142"/>
  <c r="BD4" i="135"/>
  <c r="BL4" i="135"/>
  <c r="BD4" i="136"/>
  <c r="BL4" i="136"/>
  <c r="BD4" i="137"/>
  <c r="BL4" i="137"/>
  <c r="AE4" i="138"/>
  <c r="AG4" i="139"/>
  <c r="AO4" i="139"/>
  <c r="AW4" i="139"/>
  <c r="AG4" i="141"/>
  <c r="BS4" i="141"/>
  <c r="AS4" i="143"/>
  <c r="AE4" i="141"/>
  <c r="AE4" i="140"/>
  <c r="AE4" i="145"/>
  <c r="AE4" i="143"/>
  <c r="AE4" i="144"/>
  <c r="AM4" i="141"/>
  <c r="AM4" i="140"/>
  <c r="AM4" i="145"/>
  <c r="AM4" i="143"/>
  <c r="AM4" i="144"/>
  <c r="AU4" i="141"/>
  <c r="AU4" i="140"/>
  <c r="AU4" i="145"/>
  <c r="AU4" i="143"/>
  <c r="AU4" i="144"/>
  <c r="BD4" i="145"/>
  <c r="BD4" i="143"/>
  <c r="BD4" i="144"/>
  <c r="BD4" i="142"/>
  <c r="BD4" i="141"/>
  <c r="BM4" i="145"/>
  <c r="BM4" i="143"/>
  <c r="BM4" i="144"/>
  <c r="BM4" i="142"/>
  <c r="BM4" i="141"/>
  <c r="AK4" i="135"/>
  <c r="AS4" i="135"/>
  <c r="BF4" i="135"/>
  <c r="BN4" i="135"/>
  <c r="AK4" i="136"/>
  <c r="AS4" i="136"/>
  <c r="BF4" i="136"/>
  <c r="BN4" i="136"/>
  <c r="AK4" i="137"/>
  <c r="AS4" i="137"/>
  <c r="BF4" i="137"/>
  <c r="AO4" i="138"/>
  <c r="BJ4" i="138"/>
  <c r="BR4" i="138"/>
  <c r="BD4" i="139"/>
  <c r="BR4" i="139"/>
  <c r="AO4" i="140"/>
  <c r="BJ4" i="140"/>
  <c r="AM4" i="142"/>
  <c r="AG4" i="145"/>
  <c r="AG4" i="143"/>
  <c r="AG4" i="144"/>
  <c r="AG4" i="142"/>
  <c r="AO4" i="145"/>
  <c r="AO4" i="143"/>
  <c r="AO4" i="144"/>
  <c r="AO4" i="142"/>
  <c r="AW4" i="145"/>
  <c r="AW4" i="143"/>
  <c r="AW4" i="144"/>
  <c r="AW4" i="142"/>
  <c r="BF4" i="144"/>
  <c r="BF4" i="142"/>
  <c r="BF4" i="141"/>
  <c r="BF4" i="140"/>
  <c r="BF4" i="145"/>
  <c r="BO4" i="144"/>
  <c r="BO4" i="142"/>
  <c r="BO4" i="141"/>
  <c r="BO4" i="140"/>
  <c r="BN4" i="139"/>
  <c r="BO4" i="145"/>
  <c r="AE4" i="135"/>
  <c r="AM4" i="135"/>
  <c r="AU4" i="135"/>
  <c r="AE4" i="136"/>
  <c r="AM4" i="136"/>
  <c r="AU4" i="136"/>
  <c r="AE4" i="137"/>
  <c r="AM4" i="137"/>
  <c r="AU4" i="137"/>
  <c r="BD4" i="138"/>
  <c r="BL4" i="138"/>
  <c r="AK4" i="139"/>
  <c r="AS4" i="139"/>
  <c r="BF4" i="139"/>
  <c r="BM4" i="140"/>
  <c r="AW4" i="141"/>
  <c r="AU4" i="142"/>
  <c r="BO4" i="143"/>
  <c r="AS42" i="138"/>
  <c r="AK42" i="138"/>
  <c r="AY42" i="138"/>
  <c r="AQ42" i="138"/>
  <c r="AI42" i="138"/>
  <c r="AW42" i="138"/>
  <c r="AO42" i="138"/>
  <c r="AU42" i="138"/>
  <c r="AM42" i="138"/>
  <c r="AG42" i="138"/>
  <c r="AE42" i="138"/>
  <c r="E54" i="126"/>
  <c r="AS74" i="138"/>
  <c r="AK74" i="138"/>
  <c r="AY74" i="138"/>
  <c r="AQ74" i="138"/>
  <c r="AI74" i="138"/>
  <c r="AW74" i="138"/>
  <c r="AO74" i="138"/>
  <c r="AG74" i="138"/>
  <c r="AU74" i="138"/>
  <c r="AM74" i="138"/>
  <c r="AE74" i="138"/>
  <c r="E58" i="126"/>
  <c r="AS34" i="140"/>
  <c r="AK34" i="140"/>
  <c r="AY34" i="140"/>
  <c r="AQ34" i="140"/>
  <c r="AI34" i="140"/>
  <c r="AW34" i="140"/>
  <c r="AO34" i="140"/>
  <c r="AG34" i="140"/>
  <c r="AU34" i="140"/>
  <c r="AM34" i="140"/>
  <c r="AE34" i="140"/>
  <c r="E81" i="126"/>
  <c r="F81" i="146"/>
  <c r="AW90" i="138"/>
  <c r="AO90" i="138"/>
  <c r="AG90" i="138"/>
  <c r="AU90" i="138"/>
  <c r="AM90" i="138"/>
  <c r="AE90" i="138"/>
  <c r="AS90" i="138"/>
  <c r="AK90" i="138"/>
  <c r="AQ90" i="138"/>
  <c r="AI90" i="138"/>
  <c r="AY90" i="138"/>
  <c r="E60" i="126"/>
  <c r="AS74" i="139"/>
  <c r="AK74" i="139"/>
  <c r="AY74" i="139"/>
  <c r="AQ74" i="139"/>
  <c r="AI74" i="139"/>
  <c r="AW74" i="139"/>
  <c r="AO74" i="139"/>
  <c r="AG74" i="139"/>
  <c r="AE74" i="139"/>
  <c r="AU74" i="139"/>
  <c r="AM74" i="139"/>
  <c r="E72" i="126"/>
  <c r="F78" i="146"/>
  <c r="AU26" i="140"/>
  <c r="AM26" i="140"/>
  <c r="AE26" i="140"/>
  <c r="AS26" i="140"/>
  <c r="AK26" i="140"/>
  <c r="AY26" i="140"/>
  <c r="AQ26" i="140"/>
  <c r="AI26" i="140"/>
  <c r="AW26" i="140"/>
  <c r="AO26" i="140"/>
  <c r="AG26" i="140"/>
  <c r="AW50" i="140"/>
  <c r="AO50" i="140"/>
  <c r="AG50" i="140"/>
  <c r="AU50" i="140"/>
  <c r="AM50" i="140"/>
  <c r="AE50" i="140"/>
  <c r="AS50" i="140"/>
  <c r="AK50" i="140"/>
  <c r="AQ50" i="140"/>
  <c r="AI50" i="140"/>
  <c r="AY50" i="140"/>
  <c r="AU58" i="140"/>
  <c r="AM58" i="140"/>
  <c r="AE58" i="140"/>
  <c r="AS58" i="140"/>
  <c r="AK58" i="140"/>
  <c r="AY58" i="140"/>
  <c r="AQ58" i="140"/>
  <c r="AI58" i="140"/>
  <c r="AW58" i="140"/>
  <c r="AO58" i="140"/>
  <c r="AG58" i="140"/>
  <c r="E84" i="126"/>
  <c r="AU26" i="137"/>
  <c r="AM26" i="137"/>
  <c r="AE26" i="137"/>
  <c r="AS26" i="137"/>
  <c r="AK26" i="137"/>
  <c r="AQ26" i="137"/>
  <c r="AY26" i="137"/>
  <c r="AI26" i="137"/>
  <c r="AW26" i="137"/>
  <c r="AO26" i="137"/>
  <c r="E38" i="126"/>
  <c r="AG26" i="137"/>
  <c r="E80" i="126"/>
  <c r="AW114" i="139"/>
  <c r="AO114" i="139"/>
  <c r="AG114" i="139"/>
  <c r="AU114" i="139"/>
  <c r="AM114" i="139"/>
  <c r="AE114" i="139"/>
  <c r="AS114" i="139"/>
  <c r="AK114" i="139"/>
  <c r="AY114" i="139"/>
  <c r="AQ114" i="139"/>
  <c r="AI114" i="139"/>
  <c r="E77" i="126"/>
  <c r="AS66" i="140"/>
  <c r="AK66" i="140"/>
  <c r="AY66" i="140"/>
  <c r="AQ66" i="140"/>
  <c r="AI66" i="140"/>
  <c r="AW66" i="140"/>
  <c r="AO66" i="140"/>
  <c r="AG66" i="140"/>
  <c r="AU66" i="140"/>
  <c r="AM66" i="140"/>
  <c r="AE66" i="140"/>
  <c r="AW26" i="139"/>
  <c r="AO26" i="139"/>
  <c r="AG26" i="139"/>
  <c r="AU26" i="139"/>
  <c r="AM26" i="139"/>
  <c r="AE26" i="139"/>
  <c r="AS26" i="139"/>
  <c r="AK26" i="139"/>
  <c r="AY26" i="139"/>
  <c r="AQ26" i="139"/>
  <c r="E66" i="126"/>
  <c r="AI26" i="139"/>
  <c r="AS74" i="140"/>
  <c r="AK74" i="140"/>
  <c r="AY74" i="140"/>
  <c r="AQ74" i="140"/>
  <c r="AI74" i="140"/>
  <c r="AO74" i="140"/>
  <c r="AM74" i="140"/>
  <c r="AW74" i="140"/>
  <c r="AG74" i="140"/>
  <c r="AU74" i="140"/>
  <c r="AE74" i="140"/>
  <c r="E86" i="126"/>
  <c r="AI231" i="126" l="1"/>
  <c r="AG232" i="126"/>
  <c r="F362" i="126"/>
  <c r="D370" i="126" s="1"/>
  <c r="E52" i="126"/>
  <c r="AY26" i="138"/>
  <c r="AS26" i="138"/>
  <c r="AE26" i="138"/>
  <c r="AI26" i="138"/>
  <c r="AU26" i="138"/>
  <c r="AQ26" i="138"/>
  <c r="AG26" i="138"/>
  <c r="AI18" i="138"/>
  <c r="E51" i="126"/>
  <c r="AO26" i="138"/>
  <c r="AK26" i="138"/>
  <c r="AM26" i="138"/>
  <c r="AW26" i="138"/>
  <c r="AS18" i="138"/>
  <c r="AK18" i="138"/>
  <c r="AO18" i="138"/>
  <c r="AY18" i="138"/>
  <c r="AU18" i="138"/>
  <c r="AM18" i="138"/>
  <c r="AW18" i="138"/>
  <c r="AE18" i="138"/>
  <c r="AG18" i="138"/>
  <c r="AQ18" i="138"/>
  <c r="C269" i="126"/>
  <c r="K174" i="126"/>
  <c r="E313" i="126"/>
  <c r="E315" i="126" s="1"/>
  <c r="AO4" i="135"/>
  <c r="AG4" i="136"/>
  <c r="BR4" i="136"/>
  <c r="BJ4" i="137"/>
  <c r="BF4" i="138"/>
  <c r="AU4" i="139"/>
  <c r="BS4" i="140"/>
  <c r="BJ4" i="141"/>
  <c r="AW4" i="135"/>
  <c r="AO4" i="136"/>
  <c r="AG4" i="137"/>
  <c r="BR4" i="137"/>
  <c r="BN4" i="138"/>
  <c r="BJ4" i="139"/>
  <c r="AK4" i="143"/>
  <c r="BJ4" i="135"/>
  <c r="AW4" i="136"/>
  <c r="AO4" i="137"/>
  <c r="AE4" i="139"/>
  <c r="AG4" i="140"/>
  <c r="T249" i="126"/>
  <c r="E300" i="126"/>
  <c r="D306" i="126"/>
  <c r="AG4" i="135"/>
  <c r="AW4" i="137"/>
  <c r="AM4" i="139"/>
  <c r="AW4" i="140"/>
  <c r="F23" i="146"/>
  <c r="AI26" i="136" s="1"/>
  <c r="E29" i="146"/>
  <c r="BF73" i="143"/>
  <c r="E25" i="146"/>
  <c r="E30" i="146"/>
  <c r="AW78" i="136" s="1"/>
  <c r="F21" i="146"/>
  <c r="E22" i="126" s="1"/>
  <c r="E363" i="126"/>
  <c r="F42" i="146"/>
  <c r="AU66" i="137" s="1"/>
  <c r="E56" i="146"/>
  <c r="E123" i="146"/>
  <c r="BX26" i="136"/>
  <c r="E21" i="146"/>
  <c r="AQ118" i="135" s="1"/>
  <c r="E85" i="146"/>
  <c r="F44" i="146"/>
  <c r="E57" i="146"/>
  <c r="E74" i="146"/>
  <c r="E359" i="126"/>
  <c r="F39" i="146"/>
  <c r="F32" i="146"/>
  <c r="E360" i="126"/>
  <c r="E156" i="146"/>
  <c r="F29" i="146"/>
  <c r="E157" i="146"/>
  <c r="BJ53" i="143"/>
  <c r="F74" i="146"/>
  <c r="AS98" i="139" s="1"/>
  <c r="E76" i="146"/>
  <c r="E117" i="146"/>
  <c r="BA68" i="141" s="1"/>
  <c r="E119" i="146"/>
  <c r="AS76" i="141" s="1"/>
  <c r="E132" i="146"/>
  <c r="E127" i="146"/>
  <c r="E142" i="146"/>
  <c r="BF56" i="142" s="1"/>
  <c r="F64" i="146"/>
  <c r="E126" i="146"/>
  <c r="AY104" i="141" s="1"/>
  <c r="E122" i="146"/>
  <c r="AS113" i="143"/>
  <c r="E35" i="146"/>
  <c r="E95" i="146"/>
  <c r="BL34" i="138"/>
  <c r="BT50" i="135"/>
  <c r="BY116" i="142"/>
  <c r="BS101" i="143"/>
  <c r="E52" i="146"/>
  <c r="AQ30" i="138" s="1"/>
  <c r="E36" i="146"/>
  <c r="E357" i="126"/>
  <c r="F19" i="146"/>
  <c r="AY106" i="135" s="1"/>
  <c r="F22" i="146"/>
  <c r="E23" i="126" s="1"/>
  <c r="E144" i="146"/>
  <c r="E158" i="146"/>
  <c r="H2" i="1"/>
  <c r="E11" i="146"/>
  <c r="AO38" i="135" s="1"/>
  <c r="F36" i="146"/>
  <c r="E47" i="146"/>
  <c r="E109" i="146"/>
  <c r="AW36" i="141" s="1"/>
  <c r="E13" i="146"/>
  <c r="F14" i="146"/>
  <c r="E27" i="146"/>
  <c r="E102" i="146"/>
  <c r="BA122" i="140" s="1"/>
  <c r="F34" i="146"/>
  <c r="E97" i="146"/>
  <c r="E107" i="146"/>
  <c r="AU28" i="141" s="1"/>
  <c r="E32" i="146"/>
  <c r="E37" i="146"/>
  <c r="E104" i="146"/>
  <c r="F20" i="146"/>
  <c r="F46" i="146"/>
  <c r="E98" i="146"/>
  <c r="E59" i="146"/>
  <c r="E20" i="146"/>
  <c r="AU110" i="135" s="1"/>
  <c r="E33" i="146"/>
  <c r="F77" i="146"/>
  <c r="F58" i="146"/>
  <c r="BH61" i="143"/>
  <c r="E22" i="146"/>
  <c r="F35" i="146"/>
  <c r="AW122" i="136" s="1"/>
  <c r="F55" i="146"/>
  <c r="AM58" i="138" s="1"/>
  <c r="L199" i="126"/>
  <c r="G199" i="126" s="1"/>
  <c r="Y199" i="126" s="1"/>
  <c r="Z199" i="126" s="1"/>
  <c r="D44" i="148" s="1"/>
  <c r="CC74" i="140"/>
  <c r="BM21" i="143"/>
  <c r="CC96" i="142"/>
  <c r="BO104" i="141"/>
  <c r="CA92" i="142"/>
  <c r="BY118" i="140"/>
  <c r="BM53" i="143"/>
  <c r="BT122" i="138"/>
  <c r="BO76" i="142"/>
  <c r="G17" i="126"/>
  <c r="BN82" i="139"/>
  <c r="E31" i="146"/>
  <c r="AU86" i="136" s="1"/>
  <c r="F72" i="146"/>
  <c r="F30" i="146"/>
  <c r="E54" i="146"/>
  <c r="E124" i="146"/>
  <c r="E50" i="146"/>
  <c r="E146" i="146"/>
  <c r="F62" i="146"/>
  <c r="E23" i="146"/>
  <c r="F56" i="146"/>
  <c r="E151" i="146"/>
  <c r="F67" i="146"/>
  <c r="E358" i="126"/>
  <c r="F33" i="146"/>
  <c r="D80" i="126"/>
  <c r="E77" i="146"/>
  <c r="F52" i="146"/>
  <c r="E99" i="146"/>
  <c r="E121" i="146"/>
  <c r="G168" i="126"/>
  <c r="Y168" i="126" s="1"/>
  <c r="Z168" i="126" s="1"/>
  <c r="E34" i="146"/>
  <c r="F31" i="146"/>
  <c r="E51" i="146"/>
  <c r="E53" i="146"/>
  <c r="E128" i="146"/>
  <c r="E143" i="146"/>
  <c r="E84" i="146"/>
  <c r="E108" i="146"/>
  <c r="BN106" i="136"/>
  <c r="BM26" i="140"/>
  <c r="BX34" i="137"/>
  <c r="CD58" i="136"/>
  <c r="F26" i="146"/>
  <c r="F69" i="146"/>
  <c r="E26" i="146"/>
  <c r="F43" i="146"/>
  <c r="E129" i="146"/>
  <c r="E19" i="146"/>
  <c r="E45" i="146"/>
  <c r="F54" i="146"/>
  <c r="E38" i="146"/>
  <c r="F24" i="146"/>
  <c r="E15" i="146"/>
  <c r="F16" i="146"/>
  <c r="E153" i="146"/>
  <c r="E96" i="146"/>
  <c r="P179" i="126"/>
  <c r="E24" i="146"/>
  <c r="F25" i="146"/>
  <c r="E44" i="146"/>
  <c r="F68" i="146"/>
  <c r="E105" i="146"/>
  <c r="E125" i="146"/>
  <c r="E17" i="146"/>
  <c r="E43" i="146"/>
  <c r="E150" i="146"/>
  <c r="E55" i="146"/>
  <c r="F63" i="146"/>
  <c r="E133" i="146"/>
  <c r="E58" i="146"/>
  <c r="E16" i="146"/>
  <c r="F75" i="146"/>
  <c r="E145" i="146"/>
  <c r="L196" i="126"/>
  <c r="E39" i="146"/>
  <c r="F13" i="146"/>
  <c r="F38" i="146"/>
  <c r="E120" i="146"/>
  <c r="E147" i="146"/>
  <c r="F47" i="146"/>
  <c r="E101" i="146"/>
  <c r="F11" i="146"/>
  <c r="F17" i="146"/>
  <c r="E46" i="146"/>
  <c r="E75" i="146"/>
  <c r="E82" i="146"/>
  <c r="F70" i="146"/>
  <c r="E112" i="146"/>
  <c r="E14" i="146"/>
  <c r="F15" i="146"/>
  <c r="F27" i="146"/>
  <c r="F45" i="146"/>
  <c r="E118" i="146"/>
  <c r="E155" i="146"/>
  <c r="F66" i="146"/>
  <c r="E130" i="146"/>
  <c r="E398" i="126"/>
  <c r="L197" i="126"/>
  <c r="G197" i="126" s="1"/>
  <c r="Y197" i="126" s="1"/>
  <c r="Z197" i="126" s="1"/>
  <c r="D42" i="148" s="1"/>
  <c r="CF98" i="139"/>
  <c r="AW18" i="140"/>
  <c r="AO18" i="140"/>
  <c r="AG18" i="140"/>
  <c r="AU18" i="140"/>
  <c r="AM18" i="140"/>
  <c r="AE18" i="140"/>
  <c r="AS18" i="140"/>
  <c r="AK18" i="140"/>
  <c r="AQ18" i="140"/>
  <c r="AI18" i="140"/>
  <c r="AY18" i="140"/>
  <c r="E79" i="126"/>
  <c r="AY42" i="140"/>
  <c r="AQ42" i="140"/>
  <c r="AI42" i="140"/>
  <c r="AW42" i="140"/>
  <c r="AO42" i="140"/>
  <c r="AG42" i="140"/>
  <c r="AU42" i="140"/>
  <c r="AM42" i="140"/>
  <c r="AE42" i="140"/>
  <c r="AS42" i="140"/>
  <c r="AK42" i="140"/>
  <c r="E82" i="126"/>
  <c r="E269" i="126" l="1"/>
  <c r="D269" i="126"/>
  <c r="D271" i="126" s="1"/>
  <c r="F357" i="126"/>
  <c r="F363" i="126"/>
  <c r="D369" i="126" s="1"/>
  <c r="AM122" i="135"/>
  <c r="BW101" i="143"/>
  <c r="AY122" i="135"/>
  <c r="BQ113" i="144"/>
  <c r="BF53" i="143"/>
  <c r="AM26" i="136"/>
  <c r="AI118" i="135"/>
  <c r="AQ26" i="136"/>
  <c r="AU53" i="143"/>
  <c r="AY58" i="138"/>
  <c r="E24" i="126"/>
  <c r="AY53" i="143"/>
  <c r="AS53" i="143"/>
  <c r="AI66" i="137"/>
  <c r="AG26" i="136"/>
  <c r="AO53" i="143"/>
  <c r="AE26" i="136"/>
  <c r="BA56" i="142"/>
  <c r="BY93" i="144"/>
  <c r="AQ104" i="141"/>
  <c r="AE30" i="138"/>
  <c r="D143" i="126"/>
  <c r="AY73" i="143"/>
  <c r="BD113" i="143"/>
  <c r="AO104" i="141"/>
  <c r="AS78" i="136"/>
  <c r="AU56" i="142"/>
  <c r="AW38" i="135"/>
  <c r="AO56" i="142"/>
  <c r="BF104" i="141"/>
  <c r="BD73" i="143"/>
  <c r="AO113" i="143"/>
  <c r="BD56" i="142"/>
  <c r="BA73" i="143"/>
  <c r="BJ122" i="140"/>
  <c r="D103" i="126"/>
  <c r="AY122" i="140"/>
  <c r="AI86" i="136"/>
  <c r="AW86" i="136"/>
  <c r="CA116" i="142"/>
  <c r="BM45" i="144"/>
  <c r="BR90" i="136"/>
  <c r="CB122" i="139"/>
  <c r="AU29" i="145"/>
  <c r="CG109" i="144"/>
  <c r="CA89" i="144"/>
  <c r="BV66" i="139"/>
  <c r="BN90" i="135"/>
  <c r="BS122" i="140"/>
  <c r="BN42" i="137"/>
  <c r="AQ105" i="143"/>
  <c r="AQ102" i="139"/>
  <c r="AU69" i="144"/>
  <c r="BD24" i="142"/>
  <c r="BD80" i="141"/>
  <c r="AU38" i="137"/>
  <c r="AW78" i="135"/>
  <c r="BQ50" i="140"/>
  <c r="BT74" i="138"/>
  <c r="CE20" i="141"/>
  <c r="AO73" i="144"/>
  <c r="AY54" i="138"/>
  <c r="BF89" i="144"/>
  <c r="BD93" i="144"/>
  <c r="AE42" i="136"/>
  <c r="BF65" i="143"/>
  <c r="AQ70" i="135"/>
  <c r="AG46" i="136"/>
  <c r="BR74" i="137"/>
  <c r="BR50" i="138"/>
  <c r="BY117" i="144"/>
  <c r="CD50" i="136"/>
  <c r="AU30" i="140"/>
  <c r="BF65" i="144"/>
  <c r="D100" i="126"/>
  <c r="BD36" i="142"/>
  <c r="AW92" i="142"/>
  <c r="AE86" i="136"/>
  <c r="CD82" i="139"/>
  <c r="BN34" i="139"/>
  <c r="BM33" i="144"/>
  <c r="BT74" i="136"/>
  <c r="CG98" i="140"/>
  <c r="BS106" i="140"/>
  <c r="CC48" i="142"/>
  <c r="AQ21" i="144"/>
  <c r="AM62" i="139"/>
  <c r="AU61" i="143"/>
  <c r="AW52" i="142"/>
  <c r="AG110" i="135"/>
  <c r="AU98" i="137"/>
  <c r="AU122" i="140"/>
  <c r="AS36" i="141"/>
  <c r="AU38" i="135"/>
  <c r="AQ18" i="136"/>
  <c r="AM30" i="138"/>
  <c r="BT122" i="136"/>
  <c r="CG116" i="142"/>
  <c r="BN34" i="138"/>
  <c r="BJ113" i="143"/>
  <c r="BD104" i="141"/>
  <c r="BH56" i="142"/>
  <c r="AY76" i="141"/>
  <c r="AW98" i="139"/>
  <c r="AI74" i="136"/>
  <c r="AY42" i="137"/>
  <c r="AM82" i="137"/>
  <c r="BF92" i="141"/>
  <c r="BA25" i="145"/>
  <c r="AM78" i="136"/>
  <c r="AS73" i="143"/>
  <c r="CF90" i="138"/>
  <c r="CD42" i="135"/>
  <c r="AS62" i="135"/>
  <c r="CF114" i="136"/>
  <c r="CG108" i="142"/>
  <c r="CC25" i="143"/>
  <c r="BN122" i="135"/>
  <c r="BN82" i="137"/>
  <c r="CD106" i="137"/>
  <c r="AY45" i="144"/>
  <c r="BA108" i="142"/>
  <c r="AE90" i="137"/>
  <c r="BF105" i="144"/>
  <c r="CE105" i="143"/>
  <c r="CC112" i="141"/>
  <c r="CA65" i="144"/>
  <c r="CG28" i="141"/>
  <c r="BP26" i="139"/>
  <c r="CC92" i="141"/>
  <c r="CB42" i="138"/>
  <c r="CE37" i="144"/>
  <c r="BX90" i="137"/>
  <c r="CA36" i="142"/>
  <c r="BM89" i="143"/>
  <c r="AS48" i="141"/>
  <c r="AO94" i="137"/>
  <c r="BJ25" i="143"/>
  <c r="AU118" i="140"/>
  <c r="AW110" i="138"/>
  <c r="AW46" i="135"/>
  <c r="AU89" i="143"/>
  <c r="AY54" i="140"/>
  <c r="BZ106" i="139"/>
  <c r="CF58" i="139"/>
  <c r="CE88" i="141"/>
  <c r="BZ74" i="135"/>
  <c r="BD29" i="143"/>
  <c r="AU88" i="142"/>
  <c r="AU77" i="143"/>
  <c r="BH20" i="141"/>
  <c r="AQ30" i="136"/>
  <c r="BH98" i="140"/>
  <c r="E25" i="126"/>
  <c r="BF116" i="141"/>
  <c r="E70" i="126"/>
  <c r="CG84" i="141"/>
  <c r="CC68" i="141"/>
  <c r="CC97" i="143"/>
  <c r="BU58" i="140"/>
  <c r="BJ37" i="143"/>
  <c r="AQ112" i="141"/>
  <c r="AI90" i="136"/>
  <c r="AW101" i="143"/>
  <c r="F49" i="146"/>
  <c r="AE122" i="137" s="1"/>
  <c r="AI118" i="139"/>
  <c r="AM62" i="137"/>
  <c r="AQ72" i="142"/>
  <c r="AY82" i="136"/>
  <c r="CA66" i="140"/>
  <c r="BN58" i="135"/>
  <c r="CE73" i="144"/>
  <c r="CC76" i="142"/>
  <c r="CE45" i="143"/>
  <c r="CC92" i="142"/>
  <c r="CA96" i="142"/>
  <c r="BV26" i="137"/>
  <c r="BA109" i="144"/>
  <c r="BD44" i="142"/>
  <c r="AU53" i="144"/>
  <c r="AS122" i="139"/>
  <c r="AS114" i="135"/>
  <c r="BA28" i="141"/>
  <c r="AK54" i="136"/>
  <c r="AK46" i="139"/>
  <c r="AM106" i="135"/>
  <c r="BO29" i="143"/>
  <c r="BO105" i="144"/>
  <c r="BV66" i="137"/>
  <c r="BF33" i="143"/>
  <c r="AY18" i="139"/>
  <c r="AY108" i="141"/>
  <c r="AW68" i="141"/>
  <c r="AU37" i="144"/>
  <c r="BA112" i="142"/>
  <c r="AM70" i="140"/>
  <c r="AW62" i="138"/>
  <c r="AI122" i="135"/>
  <c r="BF77" i="144"/>
  <c r="AS70" i="136"/>
  <c r="BR50" i="139"/>
  <c r="CE85" i="144"/>
  <c r="AE14" i="139"/>
  <c r="CD58" i="138"/>
  <c r="CC41" i="143"/>
  <c r="CF66" i="135"/>
  <c r="BU29" i="145"/>
  <c r="CB74" i="139"/>
  <c r="CA109" i="143"/>
  <c r="CE85" i="143"/>
  <c r="BU64" i="142"/>
  <c r="BS113" i="143"/>
  <c r="BU73" i="143"/>
  <c r="CD82" i="136"/>
  <c r="BX114" i="139"/>
  <c r="BF81" i="143"/>
  <c r="AU70" i="139"/>
  <c r="AS58" i="136"/>
  <c r="BY21" i="144"/>
  <c r="CG48" i="141"/>
  <c r="BU88" i="142"/>
  <c r="BY110" i="140"/>
  <c r="CG102" i="140"/>
  <c r="BU20" i="142"/>
  <c r="CA25" i="145"/>
  <c r="BN106" i="135"/>
  <c r="CF82" i="138"/>
  <c r="AG66" i="139"/>
  <c r="AY90" i="135"/>
  <c r="AI106" i="137"/>
  <c r="AG34" i="137"/>
  <c r="AS21" i="143"/>
  <c r="AU68" i="142"/>
  <c r="AY78" i="138"/>
  <c r="CF18" i="136"/>
  <c r="CD18" i="137"/>
  <c r="G26" i="126"/>
  <c r="BX114" i="138"/>
  <c r="AW20" i="142"/>
  <c r="AE70" i="137"/>
  <c r="AW100" i="141"/>
  <c r="AW50" i="139"/>
  <c r="AO100" i="142"/>
  <c r="AS22" i="139"/>
  <c r="AS54" i="139"/>
  <c r="BJ48" i="142"/>
  <c r="AG50" i="136"/>
  <c r="CB42" i="139"/>
  <c r="CF58" i="136"/>
  <c r="CE112" i="142"/>
  <c r="BU100" i="142"/>
  <c r="BF32" i="141"/>
  <c r="AU38" i="138"/>
  <c r="AW110" i="136"/>
  <c r="AK38" i="139"/>
  <c r="AO22" i="140"/>
  <c r="AS113" i="144"/>
  <c r="AE66" i="138"/>
  <c r="AY14" i="138"/>
  <c r="AY82" i="139"/>
  <c r="BY44" i="142"/>
  <c r="BO116" i="141"/>
  <c r="BW32" i="141"/>
  <c r="BP122" i="138"/>
  <c r="CE53" i="143"/>
  <c r="BU104" i="141"/>
  <c r="CG21" i="143"/>
  <c r="AO58" i="138"/>
  <c r="AM122" i="136"/>
  <c r="AW96" i="142"/>
  <c r="AQ86" i="138"/>
  <c r="BD16" i="141"/>
  <c r="BA102" i="140"/>
  <c r="AK66" i="135"/>
  <c r="AM102" i="137"/>
  <c r="BH120" i="142"/>
  <c r="BU108" i="141"/>
  <c r="CG44" i="141"/>
  <c r="BQ65" i="143"/>
  <c r="AQ94" i="140"/>
  <c r="AK118" i="138"/>
  <c r="BH85" i="143"/>
  <c r="AK110" i="139"/>
  <c r="BH53" i="143"/>
  <c r="AO118" i="135"/>
  <c r="AO66" i="137"/>
  <c r="AQ97" i="143"/>
  <c r="BF33" i="145"/>
  <c r="AY26" i="136"/>
  <c r="BQ120" i="141"/>
  <c r="BQ120" i="142"/>
  <c r="BU81" i="143"/>
  <c r="CC72" i="141"/>
  <c r="CA16" i="142"/>
  <c r="BU57" i="143"/>
  <c r="BY40" i="142"/>
  <c r="CA24" i="142"/>
  <c r="CG36" i="141"/>
  <c r="CA68" i="142"/>
  <c r="BX34" i="136"/>
  <c r="BJ41" i="143"/>
  <c r="AQ120" i="141"/>
  <c r="AO72" i="141"/>
  <c r="CE33" i="143"/>
  <c r="BQ94" i="140"/>
  <c r="CB98" i="137"/>
  <c r="BY69" i="144"/>
  <c r="CD98" i="139"/>
  <c r="BY80" i="142"/>
  <c r="BO77" i="143"/>
  <c r="CG33" i="145"/>
  <c r="BQ80" i="141"/>
  <c r="CD114" i="135"/>
  <c r="AK46" i="140"/>
  <c r="AM42" i="135"/>
  <c r="BJ109" i="143"/>
  <c r="BJ76" i="142"/>
  <c r="AU58" i="135"/>
  <c r="AU85" i="144"/>
  <c r="AM106" i="139"/>
  <c r="BU77" i="144"/>
  <c r="BM100" i="141"/>
  <c r="CG53" i="144"/>
  <c r="CC96" i="141"/>
  <c r="BO16" i="141"/>
  <c r="AS86" i="135"/>
  <c r="AW45" i="143"/>
  <c r="AY78" i="137"/>
  <c r="AO82" i="135"/>
  <c r="AM30" i="137"/>
  <c r="AQ86" i="137"/>
  <c r="AG74" i="137"/>
  <c r="BW60" i="142"/>
  <c r="BY61" i="143"/>
  <c r="BT34" i="137"/>
  <c r="CA26" i="140"/>
  <c r="CD106" i="136"/>
  <c r="AK62" i="140"/>
  <c r="AU57" i="143"/>
  <c r="AI78" i="139"/>
  <c r="AK106" i="136"/>
  <c r="AM42" i="139"/>
  <c r="AY22" i="136"/>
  <c r="AW96" i="141"/>
  <c r="AW40" i="142"/>
  <c r="BT82" i="135"/>
  <c r="BU34" i="140"/>
  <c r="CA118" i="140"/>
  <c r="BU74" i="140"/>
  <c r="AQ80" i="142"/>
  <c r="AS14" i="136"/>
  <c r="AY82" i="138"/>
  <c r="AI102" i="136"/>
  <c r="AU106" i="140"/>
  <c r="AW22" i="137"/>
  <c r="AQ114" i="136"/>
  <c r="AU54" i="135"/>
  <c r="AO18" i="137"/>
  <c r="BA64" i="142"/>
  <c r="AS14" i="137"/>
  <c r="CD66" i="138"/>
  <c r="BO101" i="143"/>
  <c r="G13" i="126"/>
  <c r="AE118" i="136"/>
  <c r="BD88" i="141"/>
  <c r="AO50" i="135"/>
  <c r="BJ16" i="142"/>
  <c r="BH116" i="142"/>
  <c r="AU70" i="138"/>
  <c r="BR26" i="136"/>
  <c r="AQ30" i="139"/>
  <c r="AW38" i="136"/>
  <c r="P177" i="126"/>
  <c r="P249" i="126" s="1"/>
  <c r="I166" i="126"/>
  <c r="G166" i="126" s="1"/>
  <c r="Y166" i="126" s="1"/>
  <c r="Z166" i="126" s="1"/>
  <c r="D11" i="148" s="1"/>
  <c r="I195" i="126"/>
  <c r="BT58" i="139"/>
  <c r="BP58" i="135"/>
  <c r="AY113" i="144"/>
  <c r="BP58" i="136"/>
  <c r="BZ18" i="137"/>
  <c r="AS30" i="140"/>
  <c r="AW122" i="140"/>
  <c r="AQ38" i="135"/>
  <c r="AW18" i="136"/>
  <c r="AU72" i="142"/>
  <c r="AE118" i="139"/>
  <c r="AO86" i="136"/>
  <c r="AG58" i="138"/>
  <c r="AS62" i="137"/>
  <c r="AU62" i="137"/>
  <c r="AU52" i="142"/>
  <c r="AS86" i="136"/>
  <c r="AK58" i="138"/>
  <c r="BH57" i="143"/>
  <c r="D78" i="126"/>
  <c r="AU122" i="136"/>
  <c r="BP114" i="136"/>
  <c r="AQ42" i="136"/>
  <c r="CA94" i="140"/>
  <c r="BX98" i="137"/>
  <c r="AH232" i="126"/>
  <c r="AI232" i="126" s="1"/>
  <c r="AI230" i="126"/>
  <c r="E301" i="126"/>
  <c r="E306" i="126"/>
  <c r="G174" i="126"/>
  <c r="Y174" i="126" s="1"/>
  <c r="Z174" i="126" s="1"/>
  <c r="D19" i="148" s="1"/>
  <c r="K249" i="126"/>
  <c r="AG30" i="140"/>
  <c r="AS77" i="144"/>
  <c r="AU70" i="135"/>
  <c r="AK106" i="135"/>
  <c r="AQ70" i="138"/>
  <c r="G14" i="126"/>
  <c r="AE62" i="135"/>
  <c r="BO74" i="140"/>
  <c r="CF18" i="137"/>
  <c r="F102" i="126"/>
  <c r="BD77" i="144"/>
  <c r="BS73" i="144"/>
  <c r="AE114" i="135"/>
  <c r="BD65" i="144"/>
  <c r="AS53" i="144"/>
  <c r="BL50" i="136"/>
  <c r="AM82" i="136"/>
  <c r="AQ46" i="139"/>
  <c r="AW70" i="136"/>
  <c r="BR42" i="136"/>
  <c r="E78" i="126"/>
  <c r="BN18" i="137"/>
  <c r="CA76" i="142"/>
  <c r="AW53" i="144"/>
  <c r="CG122" i="140"/>
  <c r="BU117" i="144"/>
  <c r="BR66" i="137"/>
  <c r="CD114" i="139"/>
  <c r="BS74" i="140"/>
  <c r="D81" i="126"/>
  <c r="F148" i="126"/>
  <c r="BM118" i="140"/>
  <c r="AQ77" i="144"/>
  <c r="CC73" i="144"/>
  <c r="AQ114" i="135"/>
  <c r="AS65" i="144"/>
  <c r="CB26" i="136"/>
  <c r="AY116" i="142"/>
  <c r="CA29" i="143"/>
  <c r="AG18" i="139"/>
  <c r="AG66" i="138"/>
  <c r="BQ89" i="144"/>
  <c r="CE89" i="144"/>
  <c r="BS37" i="143"/>
  <c r="CA37" i="143"/>
  <c r="BR90" i="135"/>
  <c r="BV90" i="135"/>
  <c r="BL90" i="135"/>
  <c r="BZ114" i="138"/>
  <c r="BN114" i="138"/>
  <c r="AQ102" i="135"/>
  <c r="G19" i="146"/>
  <c r="CF74" i="137"/>
  <c r="BX74" i="137"/>
  <c r="CB74" i="137"/>
  <c r="BP74" i="137"/>
  <c r="BL74" i="137"/>
  <c r="BS93" i="144"/>
  <c r="BQ93" i="144"/>
  <c r="BM93" i="144"/>
  <c r="CA93" i="144"/>
  <c r="BU93" i="144"/>
  <c r="BZ50" i="136"/>
  <c r="BR50" i="136"/>
  <c r="G27" i="126"/>
  <c r="AQ22" i="140"/>
  <c r="AI22" i="140"/>
  <c r="AM22" i="140"/>
  <c r="E78" i="146"/>
  <c r="AW14" i="140" s="1"/>
  <c r="BU66" i="140"/>
  <c r="BS66" i="140"/>
  <c r="BO66" i="140"/>
  <c r="CC66" i="140"/>
  <c r="BY66" i="140"/>
  <c r="G85" i="126"/>
  <c r="CC113" i="144"/>
  <c r="CA113" i="144"/>
  <c r="BO113" i="144"/>
  <c r="CG113" i="144"/>
  <c r="CE113" i="144"/>
  <c r="BJ80" i="142"/>
  <c r="AO80" i="142"/>
  <c r="BA80" i="142"/>
  <c r="BF80" i="142"/>
  <c r="D149" i="126"/>
  <c r="AW117" i="144"/>
  <c r="AO117" i="144"/>
  <c r="AQ117" i="144"/>
  <c r="BD117" i="144"/>
  <c r="BH117" i="144"/>
  <c r="AU54" i="136"/>
  <c r="AG54" i="136"/>
  <c r="AM54" i="136"/>
  <c r="AY54" i="136"/>
  <c r="AU106" i="135"/>
  <c r="AG106" i="135"/>
  <c r="E20" i="126"/>
  <c r="CG105" i="144"/>
  <c r="BY105" i="144"/>
  <c r="BU105" i="144"/>
  <c r="BQ105" i="144"/>
  <c r="BS105" i="144"/>
  <c r="AW33" i="143"/>
  <c r="AO33" i="143"/>
  <c r="BH33" i="143"/>
  <c r="AU33" i="143"/>
  <c r="AQ108" i="141"/>
  <c r="AO108" i="141"/>
  <c r="BF108" i="141"/>
  <c r="BH108" i="141"/>
  <c r="BF37" i="144"/>
  <c r="AY37" i="144"/>
  <c r="BA37" i="144"/>
  <c r="AW37" i="144"/>
  <c r="AW70" i="138"/>
  <c r="AM70" i="138"/>
  <c r="AY70" i="138"/>
  <c r="G57" i="146"/>
  <c r="BZ114" i="139"/>
  <c r="CE74" i="140"/>
  <c r="BV18" i="137"/>
  <c r="AQ30" i="140"/>
  <c r="AO30" i="140"/>
  <c r="BW76" i="142"/>
  <c r="BO118" i="140"/>
  <c r="BU118" i="140"/>
  <c r="CG118" i="140"/>
  <c r="AO77" i="144"/>
  <c r="CA73" i="144"/>
  <c r="BO73" i="144"/>
  <c r="AY114" i="135"/>
  <c r="AI106" i="135"/>
  <c r="AW106" i="135"/>
  <c r="AW65" i="144"/>
  <c r="BF53" i="144"/>
  <c r="BS89" i="144"/>
  <c r="AG70" i="138"/>
  <c r="CF50" i="136"/>
  <c r="BL26" i="136"/>
  <c r="CD26" i="136"/>
  <c r="CF114" i="138"/>
  <c r="CF58" i="135"/>
  <c r="BZ58" i="135"/>
  <c r="AW22" i="140"/>
  <c r="D158" i="126"/>
  <c r="BY113" i="144"/>
  <c r="AI70" i="136"/>
  <c r="BV42" i="136"/>
  <c r="BA108" i="141"/>
  <c r="BM66" i="140"/>
  <c r="BH68" i="141"/>
  <c r="AE54" i="136"/>
  <c r="AS28" i="141"/>
  <c r="CG93" i="144"/>
  <c r="BZ66" i="137"/>
  <c r="AG122" i="139"/>
  <c r="D68" i="126"/>
  <c r="AS117" i="144"/>
  <c r="BR114" i="139"/>
  <c r="BA105" i="143"/>
  <c r="BW74" i="140"/>
  <c r="BQ74" i="140"/>
  <c r="BM74" i="140"/>
  <c r="G37" i="126"/>
  <c r="BP18" i="137"/>
  <c r="G80" i="146"/>
  <c r="AY30" i="140"/>
  <c r="AM30" i="140"/>
  <c r="AW30" i="140"/>
  <c r="BQ76" i="142"/>
  <c r="CE76" i="142"/>
  <c r="BU76" i="142"/>
  <c r="BW118" i="140"/>
  <c r="CC118" i="140"/>
  <c r="BS118" i="140"/>
  <c r="BJ77" i="144"/>
  <c r="AW77" i="144"/>
  <c r="BH77" i="144"/>
  <c r="BY73" i="144"/>
  <c r="BM73" i="144"/>
  <c r="BW73" i="144"/>
  <c r="D16" i="126"/>
  <c r="AO114" i="135"/>
  <c r="AI114" i="135"/>
  <c r="AW114" i="135"/>
  <c r="AO106" i="135"/>
  <c r="AQ106" i="135"/>
  <c r="AY53" i="144"/>
  <c r="CG89" i="144"/>
  <c r="D20" i="126"/>
  <c r="D58" i="126"/>
  <c r="AS70" i="138"/>
  <c r="AO70" i="138"/>
  <c r="BP50" i="136"/>
  <c r="BN50" i="136"/>
  <c r="CB50" i="136"/>
  <c r="BP26" i="136"/>
  <c r="BT114" i="138"/>
  <c r="AE22" i="140"/>
  <c r="AY22" i="140"/>
  <c r="AO116" i="142"/>
  <c r="BQ29" i="143"/>
  <c r="E65" i="126"/>
  <c r="AW80" i="142"/>
  <c r="BM113" i="144"/>
  <c r="AU65" i="143"/>
  <c r="AS108" i="141"/>
  <c r="CA105" i="144"/>
  <c r="BN74" i="137"/>
  <c r="CE66" i="140"/>
  <c r="AM46" i="136"/>
  <c r="BH37" i="144"/>
  <c r="BO93" i="144"/>
  <c r="BJ117" i="144"/>
  <c r="CA109" i="144"/>
  <c r="BQ109" i="144"/>
  <c r="BM109" i="144"/>
  <c r="BZ114" i="136"/>
  <c r="BT114" i="136"/>
  <c r="G35" i="126"/>
  <c r="BL114" i="136"/>
  <c r="CA72" i="142"/>
  <c r="BQ72" i="142"/>
  <c r="BN66" i="139"/>
  <c r="CB66" i="139"/>
  <c r="BR66" i="139"/>
  <c r="BY122" i="140"/>
  <c r="BU122" i="140"/>
  <c r="CE122" i="140"/>
  <c r="BZ42" i="137"/>
  <c r="CF42" i="137"/>
  <c r="CB18" i="136"/>
  <c r="BX18" i="136"/>
  <c r="BR18" i="136"/>
  <c r="BN42" i="136"/>
  <c r="BX42" i="136"/>
  <c r="CD42" i="136"/>
  <c r="BP42" i="136"/>
  <c r="BF44" i="141"/>
  <c r="AU44" i="141"/>
  <c r="G55" i="126"/>
  <c r="BT50" i="138"/>
  <c r="BN50" i="138"/>
  <c r="BO117" i="144"/>
  <c r="CE117" i="144"/>
  <c r="BM117" i="144"/>
  <c r="BW117" i="144"/>
  <c r="BS117" i="144"/>
  <c r="AQ60" i="142"/>
  <c r="AS60" i="142"/>
  <c r="BJ65" i="144"/>
  <c r="AQ65" i="144"/>
  <c r="AU65" i="144"/>
  <c r="AU38" i="139"/>
  <c r="AG38" i="139"/>
  <c r="AS38" i="139"/>
  <c r="BJ113" i="144"/>
  <c r="BD113" i="144"/>
  <c r="AO113" i="144"/>
  <c r="BA113" i="144"/>
  <c r="AW113" i="144"/>
  <c r="AS66" i="138"/>
  <c r="AQ66" i="138"/>
  <c r="AM66" i="138"/>
  <c r="AI66" i="138"/>
  <c r="AS82" i="136"/>
  <c r="AI82" i="136"/>
  <c r="AG82" i="136"/>
  <c r="CD58" i="135"/>
  <c r="BR58" i="135"/>
  <c r="BX58" i="135"/>
  <c r="BA53" i="144"/>
  <c r="AQ53" i="144"/>
  <c r="AK122" i="139"/>
  <c r="AQ122" i="139"/>
  <c r="AU122" i="139"/>
  <c r="AI122" i="139"/>
  <c r="AQ28" i="141"/>
  <c r="BF28" i="141"/>
  <c r="D108" i="126"/>
  <c r="BJ28" i="141"/>
  <c r="AS46" i="139"/>
  <c r="AU46" i="139"/>
  <c r="AI46" i="139"/>
  <c r="AE46" i="139"/>
  <c r="AW46" i="139"/>
  <c r="CC29" i="143"/>
  <c r="BS29" i="143"/>
  <c r="CE29" i="143"/>
  <c r="BU29" i="143"/>
  <c r="CG29" i="143"/>
  <c r="BT66" i="137"/>
  <c r="CB66" i="137"/>
  <c r="BX66" i="137"/>
  <c r="G43" i="126"/>
  <c r="BL66" i="137"/>
  <c r="BP66" i="137"/>
  <c r="AQ18" i="139"/>
  <c r="AU18" i="139"/>
  <c r="AI18" i="139"/>
  <c r="AE18" i="139"/>
  <c r="AY68" i="141"/>
  <c r="AS68" i="141"/>
  <c r="BD68" i="141"/>
  <c r="AQ68" i="141"/>
  <c r="BA116" i="142"/>
  <c r="AQ116" i="142"/>
  <c r="AU116" i="142"/>
  <c r="AS116" i="142"/>
  <c r="BD116" i="142"/>
  <c r="BJ116" i="142"/>
  <c r="BT26" i="136"/>
  <c r="CF26" i="136"/>
  <c r="G24" i="126"/>
  <c r="AY70" i="136"/>
  <c r="AG70" i="136"/>
  <c r="AK70" i="136"/>
  <c r="AQ70" i="136"/>
  <c r="AM70" i="136"/>
  <c r="D30" i="126"/>
  <c r="AW105" i="143"/>
  <c r="G86" i="126"/>
  <c r="CA74" i="140"/>
  <c r="BT18" i="137"/>
  <c r="AK70" i="137"/>
  <c r="AE30" i="140"/>
  <c r="BY76" i="142"/>
  <c r="BM76" i="142"/>
  <c r="BA77" i="144"/>
  <c r="AY77" i="144"/>
  <c r="BQ73" i="144"/>
  <c r="E21" i="126"/>
  <c r="AM114" i="135"/>
  <c r="BA65" i="144"/>
  <c r="BJ53" i="144"/>
  <c r="AK70" i="138"/>
  <c r="BO16" i="142"/>
  <c r="BT50" i="136"/>
  <c r="BL114" i="138"/>
  <c r="AK22" i="140"/>
  <c r="BF116" i="142"/>
  <c r="BM29" i="143"/>
  <c r="AO82" i="136"/>
  <c r="AO18" i="139"/>
  <c r="AY80" i="142"/>
  <c r="CC117" i="144"/>
  <c r="CE105" i="144"/>
  <c r="BZ90" i="135"/>
  <c r="G44" i="126"/>
  <c r="BZ74" i="137"/>
  <c r="AY66" i="138"/>
  <c r="AO37" i="144"/>
  <c r="AY33" i="143"/>
  <c r="BN114" i="139"/>
  <c r="BY74" i="140"/>
  <c r="CG74" i="140"/>
  <c r="CB18" i="137"/>
  <c r="BX18" i="137"/>
  <c r="AI30" i="140"/>
  <c r="AK30" i="140"/>
  <c r="CG76" i="142"/>
  <c r="BS76" i="142"/>
  <c r="CE118" i="140"/>
  <c r="BQ118" i="140"/>
  <c r="AU77" i="144"/>
  <c r="CG73" i="144"/>
  <c r="BU73" i="144"/>
  <c r="AE106" i="137"/>
  <c r="AM70" i="135"/>
  <c r="AU114" i="135"/>
  <c r="AG114" i="135"/>
  <c r="AK114" i="135"/>
  <c r="AS106" i="135"/>
  <c r="AE106" i="135"/>
  <c r="BH65" i="144"/>
  <c r="AO53" i="144"/>
  <c r="BH53" i="144"/>
  <c r="BD53" i="144"/>
  <c r="AS102" i="135"/>
  <c r="AI70" i="138"/>
  <c r="AE70" i="138"/>
  <c r="BV50" i="136"/>
  <c r="BX50" i="136"/>
  <c r="BV26" i="136"/>
  <c r="BN26" i="136"/>
  <c r="BZ26" i="136"/>
  <c r="CD114" i="138"/>
  <c r="CB58" i="135"/>
  <c r="BV58" i="135"/>
  <c r="AU22" i="140"/>
  <c r="BX66" i="139"/>
  <c r="AW116" i="142"/>
  <c r="BY29" i="143"/>
  <c r="BW29" i="143"/>
  <c r="CC109" i="144"/>
  <c r="AK82" i="136"/>
  <c r="D69" i="126"/>
  <c r="AS18" i="139"/>
  <c r="AY20" i="142"/>
  <c r="BU113" i="144"/>
  <c r="AU70" i="136"/>
  <c r="BD65" i="143"/>
  <c r="CG117" i="144"/>
  <c r="BZ42" i="136"/>
  <c r="BT42" i="137"/>
  <c r="AW108" i="141"/>
  <c r="BM105" i="144"/>
  <c r="CD74" i="137"/>
  <c r="BQ66" i="140"/>
  <c r="BJ68" i="141"/>
  <c r="AQ54" i="136"/>
  <c r="E57" i="126"/>
  <c r="AO28" i="141"/>
  <c r="BJ33" i="143"/>
  <c r="CE93" i="144"/>
  <c r="CD66" i="137"/>
  <c r="BZ18" i="136"/>
  <c r="AE122" i="139"/>
  <c r="AO38" i="139"/>
  <c r="CD50" i="138"/>
  <c r="N181" i="126"/>
  <c r="G181" i="126" s="1"/>
  <c r="BP114" i="139"/>
  <c r="BL66" i="139"/>
  <c r="BW109" i="144"/>
  <c r="CA122" i="140"/>
  <c r="AK62" i="135"/>
  <c r="BT114" i="139"/>
  <c r="BM89" i="144"/>
  <c r="CC89" i="144"/>
  <c r="G71" i="126"/>
  <c r="CD66" i="139"/>
  <c r="BN114" i="136"/>
  <c r="BX114" i="136"/>
  <c r="BS109" i="144"/>
  <c r="BO122" i="140"/>
  <c r="CC122" i="140"/>
  <c r="BV42" i="137"/>
  <c r="CB90" i="135"/>
  <c r="CC37" i="143"/>
  <c r="G77" i="126"/>
  <c r="CB114" i="139"/>
  <c r="BR18" i="137"/>
  <c r="BL18" i="137"/>
  <c r="AI70" i="137"/>
  <c r="AS106" i="137"/>
  <c r="BW89" i="144"/>
  <c r="BY89" i="144"/>
  <c r="G63" i="126"/>
  <c r="BV114" i="138"/>
  <c r="BR114" i="138"/>
  <c r="BP66" i="139"/>
  <c r="BT66" i="139"/>
  <c r="BV114" i="136"/>
  <c r="BU109" i="144"/>
  <c r="CE109" i="144"/>
  <c r="AS78" i="138"/>
  <c r="BW122" i="140"/>
  <c r="BQ122" i="140"/>
  <c r="CF42" i="136"/>
  <c r="CB42" i="136"/>
  <c r="G40" i="126"/>
  <c r="BX42" i="137"/>
  <c r="G18" i="126"/>
  <c r="BQ37" i="143"/>
  <c r="G23" i="126"/>
  <c r="BL18" i="136"/>
  <c r="G21" i="126"/>
  <c r="BP122" i="135"/>
  <c r="CE109" i="143"/>
  <c r="BX74" i="139"/>
  <c r="AY86" i="137"/>
  <c r="BP106" i="139"/>
  <c r="CA45" i="143"/>
  <c r="CA29" i="145"/>
  <c r="BM92" i="142"/>
  <c r="CA50" i="140"/>
  <c r="BP82" i="138"/>
  <c r="BY85" i="144"/>
  <c r="CD26" i="137"/>
  <c r="BX50" i="135"/>
  <c r="CG50" i="140"/>
  <c r="G58" i="126"/>
  <c r="G35" i="146"/>
  <c r="AW90" i="135"/>
  <c r="AO70" i="137"/>
  <c r="BF29" i="143"/>
  <c r="AW106" i="137"/>
  <c r="AW109" i="143"/>
  <c r="AM86" i="137"/>
  <c r="BD57" i="143"/>
  <c r="G84" i="146"/>
  <c r="AK34" i="138"/>
  <c r="AY102" i="135"/>
  <c r="AE34" i="137"/>
  <c r="AQ30" i="137"/>
  <c r="AE78" i="138"/>
  <c r="AW93" i="144"/>
  <c r="AI62" i="135"/>
  <c r="BD105" i="143"/>
  <c r="AQ109" i="143"/>
  <c r="AY34" i="137"/>
  <c r="AQ62" i="135"/>
  <c r="AU70" i="137"/>
  <c r="BA109" i="143"/>
  <c r="AI70" i="135"/>
  <c r="AM102" i="135"/>
  <c r="AW42" i="135"/>
  <c r="AI46" i="140"/>
  <c r="AI78" i="138"/>
  <c r="D134" i="126"/>
  <c r="AS68" i="142"/>
  <c r="AQ65" i="143"/>
  <c r="AU60" i="142"/>
  <c r="G20" i="146"/>
  <c r="AU16" i="142"/>
  <c r="AW62" i="135"/>
  <c r="AU105" i="143"/>
  <c r="BH105" i="143"/>
  <c r="AY70" i="137"/>
  <c r="BA29" i="143"/>
  <c r="E48" i="126"/>
  <c r="AQ106" i="137"/>
  <c r="BF109" i="143"/>
  <c r="AG70" i="135"/>
  <c r="AG114" i="136"/>
  <c r="AQ54" i="140"/>
  <c r="AM62" i="140"/>
  <c r="AO118" i="139"/>
  <c r="AU102" i="135"/>
  <c r="G42" i="146"/>
  <c r="AU34" i="137"/>
  <c r="AY82" i="135"/>
  <c r="BD72" i="142"/>
  <c r="BJ44" i="141"/>
  <c r="AQ20" i="141"/>
  <c r="BA60" i="142"/>
  <c r="AU46" i="136"/>
  <c r="AS54" i="140"/>
  <c r="BO116" i="142"/>
  <c r="BY21" i="143"/>
  <c r="BX58" i="139"/>
  <c r="G39" i="126"/>
  <c r="G53" i="126"/>
  <c r="CD74" i="135"/>
  <c r="BX122" i="136"/>
  <c r="BS80" i="141"/>
  <c r="BM80" i="142"/>
  <c r="BT114" i="135"/>
  <c r="BR122" i="135"/>
  <c r="BX122" i="138"/>
  <c r="CB34" i="137"/>
  <c r="CD34" i="138"/>
  <c r="BS104" i="141"/>
  <c r="BZ82" i="137"/>
  <c r="CC60" i="142"/>
  <c r="F158" i="126"/>
  <c r="CE116" i="142"/>
  <c r="CE21" i="143"/>
  <c r="BT122" i="135"/>
  <c r="BO109" i="143"/>
  <c r="BV122" i="138"/>
  <c r="CD58" i="139"/>
  <c r="BZ34" i="137"/>
  <c r="BL98" i="137"/>
  <c r="CB34" i="138"/>
  <c r="BL74" i="139"/>
  <c r="BW26" i="140"/>
  <c r="BT74" i="135"/>
  <c r="BP82" i="137"/>
  <c r="BR82" i="139"/>
  <c r="BV122" i="136"/>
  <c r="BM94" i="140"/>
  <c r="BM33" i="145"/>
  <c r="BV106" i="137"/>
  <c r="BO61" i="143"/>
  <c r="BX114" i="135"/>
  <c r="BU116" i="142"/>
  <c r="CA21" i="143"/>
  <c r="BS109" i="143"/>
  <c r="BZ122" i="138"/>
  <c r="G70" i="126"/>
  <c r="CD34" i="137"/>
  <c r="BV98" i="137"/>
  <c r="BR34" i="138"/>
  <c r="BN74" i="139"/>
  <c r="BS26" i="140"/>
  <c r="CA104" i="141"/>
  <c r="BQ88" i="141"/>
  <c r="BS33" i="143"/>
  <c r="BP106" i="136"/>
  <c r="CA53" i="143"/>
  <c r="BJ29" i="143"/>
  <c r="D32" i="126"/>
  <c r="AM86" i="136"/>
  <c r="AW42" i="136"/>
  <c r="AS56" i="142"/>
  <c r="AQ56" i="142"/>
  <c r="BJ56" i="142"/>
  <c r="BD53" i="143"/>
  <c r="AQ53" i="143"/>
  <c r="BA53" i="143"/>
  <c r="D46" i="126"/>
  <c r="D127" i="126"/>
  <c r="BH104" i="141"/>
  <c r="AW104" i="141"/>
  <c r="E56" i="126"/>
  <c r="AS58" i="138"/>
  <c r="AW58" i="138"/>
  <c r="AO122" i="140"/>
  <c r="BH122" i="140"/>
  <c r="BA57" i="143"/>
  <c r="AQ73" i="143"/>
  <c r="BJ73" i="143"/>
  <c r="AM118" i="139"/>
  <c r="AY62" i="137"/>
  <c r="AW62" i="137"/>
  <c r="BF113" i="143"/>
  <c r="AS38" i="135"/>
  <c r="G21" i="146"/>
  <c r="BD118" i="135" s="1"/>
  <c r="AU118" i="135"/>
  <c r="AU18" i="136"/>
  <c r="AG30" i="138"/>
  <c r="BH77" i="143"/>
  <c r="AS66" i="137"/>
  <c r="AY78" i="136"/>
  <c r="AY122" i="136"/>
  <c r="AW110" i="135"/>
  <c r="AO122" i="135"/>
  <c r="AO76" i="141"/>
  <c r="G43" i="146"/>
  <c r="BJ70" i="137" s="1"/>
  <c r="AY86" i="136"/>
  <c r="AK86" i="136"/>
  <c r="AY42" i="136"/>
  <c r="AW56" i="142"/>
  <c r="AY56" i="142"/>
  <c r="AW53" i="143"/>
  <c r="AW86" i="137"/>
  <c r="AU104" i="141"/>
  <c r="BJ104" i="141"/>
  <c r="AU54" i="140"/>
  <c r="AQ58" i="138"/>
  <c r="AU58" i="138"/>
  <c r="BF122" i="140"/>
  <c r="AS122" i="140"/>
  <c r="AQ57" i="143"/>
  <c r="AO73" i="143"/>
  <c r="AY62" i="140"/>
  <c r="AK118" i="139"/>
  <c r="AW118" i="139"/>
  <c r="AQ62" i="137"/>
  <c r="D119" i="126"/>
  <c r="BZ114" i="135"/>
  <c r="BL114" i="135"/>
  <c r="BS116" i="142"/>
  <c r="CC116" i="142"/>
  <c r="BQ116" i="142"/>
  <c r="BU21" i="143"/>
  <c r="BQ21" i="143"/>
  <c r="G22" i="126"/>
  <c r="BX122" i="135"/>
  <c r="BW109" i="143"/>
  <c r="BL122" i="138"/>
  <c r="CD122" i="138"/>
  <c r="BR58" i="139"/>
  <c r="BP58" i="139"/>
  <c r="BV34" i="137"/>
  <c r="BR34" i="137"/>
  <c r="G47" i="126"/>
  <c r="CF98" i="137"/>
  <c r="CF34" i="138"/>
  <c r="BT34" i="138"/>
  <c r="G72" i="126"/>
  <c r="BZ74" i="139"/>
  <c r="BQ26" i="140"/>
  <c r="BO26" i="140"/>
  <c r="BY104" i="141"/>
  <c r="CE104" i="141"/>
  <c r="BL82" i="139"/>
  <c r="G36" i="126"/>
  <c r="BR122" i="136"/>
  <c r="CE60" i="142"/>
  <c r="CF106" i="136"/>
  <c r="BN114" i="135"/>
  <c r="CB114" i="135"/>
  <c r="BM116" i="142"/>
  <c r="BW116" i="142"/>
  <c r="BO21" i="143"/>
  <c r="BS21" i="143"/>
  <c r="CB122" i="135"/>
  <c r="BZ122" i="135"/>
  <c r="BM109" i="143"/>
  <c r="CG109" i="143"/>
  <c r="G64" i="126"/>
  <c r="BN122" i="138"/>
  <c r="CF122" i="138"/>
  <c r="CB58" i="139"/>
  <c r="BP34" i="137"/>
  <c r="BL34" i="137"/>
  <c r="BP98" i="137"/>
  <c r="BT98" i="137"/>
  <c r="BX34" i="138"/>
  <c r="BV34" i="138"/>
  <c r="BP74" i="139"/>
  <c r="BT74" i="139"/>
  <c r="F127" i="126"/>
  <c r="AQ42" i="135"/>
  <c r="AS46" i="140"/>
  <c r="AQ34" i="137"/>
  <c r="AU42" i="135"/>
  <c r="G15" i="146"/>
  <c r="BR70" i="135" s="1"/>
  <c r="AU88" i="141"/>
  <c r="BA96" i="141"/>
  <c r="AW72" i="141"/>
  <c r="AU38" i="136"/>
  <c r="D15" i="126"/>
  <c r="AO62" i="135"/>
  <c r="AS105" i="143"/>
  <c r="AK90" i="135"/>
  <c r="AG70" i="137"/>
  <c r="AM70" i="137"/>
  <c r="AY29" i="143"/>
  <c r="AO42" i="136"/>
  <c r="AM42" i="136"/>
  <c r="AU106" i="137"/>
  <c r="AY106" i="137"/>
  <c r="BD109" i="143"/>
  <c r="AS109" i="143"/>
  <c r="AW70" i="135"/>
  <c r="AG78" i="135"/>
  <c r="AU86" i="137"/>
  <c r="AK54" i="140"/>
  <c r="AO57" i="143"/>
  <c r="AO110" i="138"/>
  <c r="AU62" i="140"/>
  <c r="AO102" i="135"/>
  <c r="AI102" i="135"/>
  <c r="AO89" i="143"/>
  <c r="BA88" i="142"/>
  <c r="AO34" i="137"/>
  <c r="AI42" i="135"/>
  <c r="AU46" i="140"/>
  <c r="AK74" i="137"/>
  <c r="AS44" i="141"/>
  <c r="AW46" i="136"/>
  <c r="AM66" i="139"/>
  <c r="AM18" i="137"/>
  <c r="AU102" i="136"/>
  <c r="AK22" i="137"/>
  <c r="AW64" i="142"/>
  <c r="BJ88" i="141"/>
  <c r="D157" i="126"/>
  <c r="AS90" i="135"/>
  <c r="D135" i="126"/>
  <c r="AO22" i="137"/>
  <c r="D152" i="126"/>
  <c r="BF72" i="141"/>
  <c r="AO48" i="142"/>
  <c r="AU70" i="140"/>
  <c r="AS30" i="139"/>
  <c r="AY62" i="135"/>
  <c r="AU62" i="135"/>
  <c r="BJ105" i="143"/>
  <c r="AY105" i="143"/>
  <c r="D131" i="126"/>
  <c r="E18" i="126"/>
  <c r="AI90" i="135"/>
  <c r="AW70" i="137"/>
  <c r="AS70" i="137"/>
  <c r="AW29" i="143"/>
  <c r="AI42" i="136"/>
  <c r="AU42" i="136"/>
  <c r="AK106" i="137"/>
  <c r="AO106" i="137"/>
  <c r="AU109" i="143"/>
  <c r="BH109" i="143"/>
  <c r="AO70" i="135"/>
  <c r="AK70" i="135"/>
  <c r="AY70" i="135"/>
  <c r="AM114" i="136"/>
  <c r="AE86" i="137"/>
  <c r="AI86" i="137"/>
  <c r="AY22" i="137"/>
  <c r="BH64" i="142"/>
  <c r="AW54" i="140"/>
  <c r="D123" i="126"/>
  <c r="BH96" i="141"/>
  <c r="AU110" i="138"/>
  <c r="AQ62" i="140"/>
  <c r="AO62" i="140"/>
  <c r="AE102" i="135"/>
  <c r="AG102" i="135"/>
  <c r="BH92" i="142"/>
  <c r="AY72" i="141"/>
  <c r="BD88" i="142"/>
  <c r="AG42" i="135"/>
  <c r="AU62" i="138"/>
  <c r="BF16" i="142"/>
  <c r="AY14" i="137"/>
  <c r="AO78" i="138"/>
  <c r="D99" i="126"/>
  <c r="AK46" i="135"/>
  <c r="BF20" i="142"/>
  <c r="D112" i="126"/>
  <c r="BH44" i="141"/>
  <c r="AY65" i="143"/>
  <c r="AU20" i="141"/>
  <c r="AO60" i="142"/>
  <c r="AK118" i="136"/>
  <c r="AK114" i="136"/>
  <c r="AS38" i="136"/>
  <c r="AW102" i="136"/>
  <c r="BF64" i="142"/>
  <c r="AO88" i="141"/>
  <c r="AS110" i="138"/>
  <c r="AS118" i="136"/>
  <c r="AE62" i="138"/>
  <c r="AO14" i="137"/>
  <c r="AE46" i="135"/>
  <c r="AU48" i="141"/>
  <c r="AU90" i="135"/>
  <c r="BH29" i="143"/>
  <c r="AO29" i="143"/>
  <c r="AS42" i="136"/>
  <c r="AK42" i="136"/>
  <c r="D17" i="126"/>
  <c r="AS86" i="137"/>
  <c r="AO86" i="137"/>
  <c r="AQ22" i="139"/>
  <c r="D84" i="126"/>
  <c r="AG54" i="140"/>
  <c r="AQ110" i="136"/>
  <c r="CA85" i="144"/>
  <c r="CF26" i="137"/>
  <c r="BZ50" i="135"/>
  <c r="CB50" i="135"/>
  <c r="F152" i="126"/>
  <c r="BP42" i="139"/>
  <c r="BP74" i="138"/>
  <c r="G32" i="126"/>
  <c r="BY96" i="142"/>
  <c r="CD82" i="138"/>
  <c r="BS45" i="143"/>
  <c r="BZ26" i="137"/>
  <c r="BP50" i="135"/>
  <c r="BX82" i="135"/>
  <c r="BY92" i="142"/>
  <c r="BX42" i="139"/>
  <c r="G83" i="126"/>
  <c r="BU101" i="143"/>
  <c r="BU96" i="142"/>
  <c r="BR90" i="138"/>
  <c r="BY81" i="143"/>
  <c r="CG81" i="143"/>
  <c r="BQ76" i="141"/>
  <c r="BY76" i="141"/>
  <c r="BZ106" i="137"/>
  <c r="BL106" i="137"/>
  <c r="G48" i="126"/>
  <c r="BU33" i="143"/>
  <c r="BO33" i="143"/>
  <c r="BY94" i="140"/>
  <c r="CG94" i="140"/>
  <c r="BO94" i="140"/>
  <c r="CE94" i="140"/>
  <c r="BM69" i="144"/>
  <c r="BQ69" i="144"/>
  <c r="BU69" i="144"/>
  <c r="E255" i="126"/>
  <c r="D255" i="126"/>
  <c r="BU80" i="142"/>
  <c r="CE80" i="142"/>
  <c r="CC80" i="142"/>
  <c r="BW33" i="145"/>
  <c r="BU33" i="145"/>
  <c r="CE33" i="145"/>
  <c r="BQ33" i="145"/>
  <c r="BM80" i="141"/>
  <c r="BW80" i="141"/>
  <c r="F121" i="126"/>
  <c r="CC80" i="141"/>
  <c r="BO80" i="141"/>
  <c r="AU66" i="139"/>
  <c r="AQ66" i="139"/>
  <c r="AE66" i="139"/>
  <c r="AW66" i="139"/>
  <c r="AM110" i="138"/>
  <c r="AK110" i="138"/>
  <c r="D63" i="126"/>
  <c r="BU88" i="141"/>
  <c r="BW88" i="141"/>
  <c r="CA88" i="141"/>
  <c r="CC88" i="141"/>
  <c r="BO88" i="141"/>
  <c r="AO77" i="143"/>
  <c r="AW77" i="143"/>
  <c r="BA77" i="143"/>
  <c r="AS30" i="137"/>
  <c r="AG30" i="137"/>
  <c r="D39" i="126"/>
  <c r="AK30" i="137"/>
  <c r="AQ74" i="137"/>
  <c r="AI74" i="137"/>
  <c r="E44" i="126"/>
  <c r="AU74" i="137"/>
  <c r="CC61" i="143"/>
  <c r="BW61" i="143"/>
  <c r="CG61" i="143"/>
  <c r="BU61" i="143"/>
  <c r="CE26" i="140"/>
  <c r="BU26" i="140"/>
  <c r="CG26" i="140"/>
  <c r="G80" i="126"/>
  <c r="AG62" i="140"/>
  <c r="AS62" i="140"/>
  <c r="AI62" i="140"/>
  <c r="BJ57" i="143"/>
  <c r="AY57" i="143"/>
  <c r="BF57" i="143"/>
  <c r="BH72" i="142"/>
  <c r="BA72" i="142"/>
  <c r="AS72" i="142"/>
  <c r="BJ72" i="142"/>
  <c r="BF72" i="142"/>
  <c r="D147" i="126"/>
  <c r="BZ82" i="139"/>
  <c r="BP82" i="139"/>
  <c r="BT82" i="139"/>
  <c r="CF82" i="139"/>
  <c r="BV82" i="139"/>
  <c r="CB82" i="139"/>
  <c r="CG53" i="143"/>
  <c r="BQ53" i="143"/>
  <c r="BU53" i="143"/>
  <c r="BS53" i="143"/>
  <c r="BO53" i="143"/>
  <c r="AQ122" i="136"/>
  <c r="AO122" i="136"/>
  <c r="AE122" i="136"/>
  <c r="AI122" i="136"/>
  <c r="AS122" i="136"/>
  <c r="BH36" i="141"/>
  <c r="BD36" i="141"/>
  <c r="BJ36" i="141"/>
  <c r="AI38" i="135"/>
  <c r="AK38" i="135"/>
  <c r="D12" i="126"/>
  <c r="AY38" i="135"/>
  <c r="AM38" i="135"/>
  <c r="AG38" i="135"/>
  <c r="AG18" i="136"/>
  <c r="AO18" i="136"/>
  <c r="AE18" i="136"/>
  <c r="AK18" i="136"/>
  <c r="AM18" i="136"/>
  <c r="AY18" i="136"/>
  <c r="AY30" i="138"/>
  <c r="AO30" i="138"/>
  <c r="AS30" i="138"/>
  <c r="AI30" i="138"/>
  <c r="AU30" i="138"/>
  <c r="AK30" i="138"/>
  <c r="CF122" i="136"/>
  <c r="BL122" i="136"/>
  <c r="BN122" i="136"/>
  <c r="BZ122" i="136"/>
  <c r="BP122" i="136"/>
  <c r="CD122" i="136"/>
  <c r="AU113" i="143"/>
  <c r="BH113" i="143"/>
  <c r="AW113" i="143"/>
  <c r="BA113" i="143"/>
  <c r="AQ113" i="143"/>
  <c r="BD76" i="141"/>
  <c r="AW76" i="141"/>
  <c r="BH76" i="141"/>
  <c r="D120" i="126"/>
  <c r="BF76" i="141"/>
  <c r="BA76" i="141"/>
  <c r="AS118" i="135"/>
  <c r="AW118" i="135"/>
  <c r="AG118" i="135"/>
  <c r="AM118" i="135"/>
  <c r="AY118" i="135"/>
  <c r="AK118" i="135"/>
  <c r="AQ66" i="137"/>
  <c r="AG66" i="137"/>
  <c r="E43" i="126"/>
  <c r="AK66" i="137"/>
  <c r="AW66" i="137"/>
  <c r="AM66" i="137"/>
  <c r="AS122" i="135"/>
  <c r="AU122" i="135"/>
  <c r="AE122" i="135"/>
  <c r="AQ122" i="135"/>
  <c r="AW122" i="135"/>
  <c r="AK122" i="135"/>
  <c r="AO78" i="136"/>
  <c r="AE78" i="136"/>
  <c r="AQ78" i="136"/>
  <c r="AU78" i="136"/>
  <c r="AK78" i="136"/>
  <c r="D31" i="126"/>
  <c r="AU73" i="143"/>
  <c r="BH73" i="143"/>
  <c r="AW73" i="143"/>
  <c r="BQ56" i="142"/>
  <c r="BW56" i="142"/>
  <c r="BX82" i="137"/>
  <c r="CF82" i="137"/>
  <c r="BL82" i="137"/>
  <c r="BV82" i="137"/>
  <c r="BR82" i="137"/>
  <c r="BJ72" i="141"/>
  <c r="BH72" i="141"/>
  <c r="AS74" i="135"/>
  <c r="AI74" i="135"/>
  <c r="CA77" i="143"/>
  <c r="BM77" i="143"/>
  <c r="BW77" i="143"/>
  <c r="CG77" i="143"/>
  <c r="AM46" i="135"/>
  <c r="AU46" i="135"/>
  <c r="AO46" i="135"/>
  <c r="AS89" i="143"/>
  <c r="BJ89" i="143"/>
  <c r="BF89" i="143"/>
  <c r="BD89" i="143"/>
  <c r="AY89" i="143"/>
  <c r="BV106" i="139"/>
  <c r="BR106" i="139"/>
  <c r="G76" i="126"/>
  <c r="BT106" i="139"/>
  <c r="G16" i="126"/>
  <c r="CF74" i="135"/>
  <c r="BN74" i="135"/>
  <c r="BX74" i="135"/>
  <c r="BJ88" i="142"/>
  <c r="BF88" i="142"/>
  <c r="E149" i="146"/>
  <c r="AW88" i="142"/>
  <c r="AS88" i="142"/>
  <c r="AY93" i="144"/>
  <c r="BA93" i="144"/>
  <c r="AO93" i="144"/>
  <c r="AW82" i="135"/>
  <c r="AK82" i="135"/>
  <c r="AE82" i="135"/>
  <c r="AM82" i="135"/>
  <c r="BS60" i="142"/>
  <c r="CA60" i="142"/>
  <c r="CG60" i="142"/>
  <c r="F144" i="126"/>
  <c r="BU60" i="142"/>
  <c r="BM60" i="142"/>
  <c r="CB106" i="136"/>
  <c r="BV106" i="136"/>
  <c r="BR106" i="136"/>
  <c r="BT106" i="136"/>
  <c r="BX106" i="136"/>
  <c r="AQ118" i="139"/>
  <c r="AG118" i="139"/>
  <c r="AS118" i="139"/>
  <c r="AO62" i="137"/>
  <c r="AE62" i="137"/>
  <c r="AI62" i="137"/>
  <c r="BW104" i="141"/>
  <c r="BM104" i="141"/>
  <c r="BQ104" i="141"/>
  <c r="AY61" i="143"/>
  <c r="AO61" i="143"/>
  <c r="AY110" i="135"/>
  <c r="AO110" i="135"/>
  <c r="AI110" i="135"/>
  <c r="AQ110" i="135"/>
  <c r="AM110" i="135"/>
  <c r="AE110" i="135"/>
  <c r="AI98" i="137"/>
  <c r="AS98" i="137"/>
  <c r="AE98" i="137"/>
  <c r="CF114" i="135"/>
  <c r="BR114" i="135"/>
  <c r="CC21" i="143"/>
  <c r="BW21" i="143"/>
  <c r="BL122" i="135"/>
  <c r="CD122" i="135"/>
  <c r="AE90" i="135"/>
  <c r="AM90" i="135"/>
  <c r="AQ90" i="135"/>
  <c r="BU109" i="143"/>
  <c r="BY109" i="143"/>
  <c r="AQ29" i="143"/>
  <c r="AU29" i="143"/>
  <c r="AQ86" i="136"/>
  <c r="AG86" i="136"/>
  <c r="E26" i="126"/>
  <c r="AG42" i="136"/>
  <c r="BR122" i="138"/>
  <c r="CB122" i="138"/>
  <c r="BZ58" i="139"/>
  <c r="BN58" i="139"/>
  <c r="BN34" i="137"/>
  <c r="CF34" i="137"/>
  <c r="BN98" i="137"/>
  <c r="BZ98" i="137"/>
  <c r="BP34" i="138"/>
  <c r="BZ34" i="138"/>
  <c r="CD74" i="139"/>
  <c r="CF74" i="139"/>
  <c r="AK86" i="137"/>
  <c r="AG86" i="137"/>
  <c r="AS104" i="141"/>
  <c r="BA104" i="141"/>
  <c r="AM54" i="140"/>
  <c r="AI54" i="140"/>
  <c r="AI58" i="138"/>
  <c r="AE58" i="138"/>
  <c r="AQ122" i="140"/>
  <c r="BD122" i="140"/>
  <c r="AW57" i="143"/>
  <c r="AS57" i="143"/>
  <c r="BY26" i="140"/>
  <c r="CC26" i="140"/>
  <c r="AY110" i="138"/>
  <c r="CG104" i="141"/>
  <c r="CC104" i="141"/>
  <c r="D85" i="126"/>
  <c r="AE62" i="140"/>
  <c r="AW62" i="140"/>
  <c r="G77" i="146"/>
  <c r="BP118" i="139" s="1"/>
  <c r="AU118" i="139"/>
  <c r="AY118" i="139"/>
  <c r="D43" i="126"/>
  <c r="AK62" i="137"/>
  <c r="AG62" i="137"/>
  <c r="AQ72" i="141"/>
  <c r="BH89" i="143"/>
  <c r="AY88" i="142"/>
  <c r="BP74" i="135"/>
  <c r="G73" i="126"/>
  <c r="BX82" i="139"/>
  <c r="AK66" i="139"/>
  <c r="BM88" i="141"/>
  <c r="CB122" i="136"/>
  <c r="BO60" i="142"/>
  <c r="AY113" i="143"/>
  <c r="F96" i="126"/>
  <c r="AE38" i="135"/>
  <c r="D22" i="126"/>
  <c r="AE118" i="135"/>
  <c r="AO30" i="137"/>
  <c r="AI18" i="136"/>
  <c r="AS18" i="136"/>
  <c r="D53" i="126"/>
  <c r="AW30" i="138"/>
  <c r="AO72" i="142"/>
  <c r="CC33" i="145"/>
  <c r="AE66" i="137"/>
  <c r="AY66" i="137"/>
  <c r="CG80" i="141"/>
  <c r="BS77" i="143"/>
  <c r="AI78" i="136"/>
  <c r="AG78" i="136"/>
  <c r="BL106" i="136"/>
  <c r="AK122" i="136"/>
  <c r="BY53" i="143"/>
  <c r="AS110" i="135"/>
  <c r="AG122" i="135"/>
  <c r="CG76" i="141"/>
  <c r="CA61" i="143"/>
  <c r="BX106" i="139"/>
  <c r="AQ76" i="141"/>
  <c r="BF61" i="143"/>
  <c r="AY98" i="137"/>
  <c r="F358" i="126"/>
  <c r="G62" i="146"/>
  <c r="BT110" i="138" s="1"/>
  <c r="C260" i="126"/>
  <c r="G261" i="126" s="1"/>
  <c r="G11" i="146"/>
  <c r="BJ38" i="135" s="1"/>
  <c r="CA48" i="141"/>
  <c r="CC45" i="143"/>
  <c r="BT26" i="137"/>
  <c r="CF50" i="135"/>
  <c r="BO92" i="142"/>
  <c r="G68" i="126"/>
  <c r="CB106" i="135"/>
  <c r="BO50" i="140"/>
  <c r="AO78" i="135"/>
  <c r="AW114" i="136"/>
  <c r="D66" i="126"/>
  <c r="BD96" i="141"/>
  <c r="AY118" i="136"/>
  <c r="CE101" i="143"/>
  <c r="BO110" i="140"/>
  <c r="AI62" i="138"/>
  <c r="AY112" i="142"/>
  <c r="BT82" i="138"/>
  <c r="BR82" i="138"/>
  <c r="BJ48" i="141"/>
  <c r="CG85" i="144"/>
  <c r="BA120" i="141"/>
  <c r="BN50" i="135"/>
  <c r="BN82" i="135"/>
  <c r="CD82" i="135"/>
  <c r="BZ42" i="139"/>
  <c r="AS24" i="142"/>
  <c r="AQ102" i="136"/>
  <c r="AS22" i="137"/>
  <c r="BD64" i="142"/>
  <c r="AU64" i="142"/>
  <c r="AY88" i="141"/>
  <c r="D125" i="126"/>
  <c r="BJ92" i="142"/>
  <c r="BM101" i="143"/>
  <c r="BW96" i="142"/>
  <c r="AM38" i="136"/>
  <c r="AS16" i="142"/>
  <c r="BD16" i="142"/>
  <c r="AW106" i="140"/>
  <c r="AW70" i="140"/>
  <c r="CB82" i="138"/>
  <c r="BZ82" i="138"/>
  <c r="CG45" i="143"/>
  <c r="BO45" i="143"/>
  <c r="BV114" i="135"/>
  <c r="BP114" i="135"/>
  <c r="G38" i="126"/>
  <c r="CB26" i="137"/>
  <c r="BF120" i="141"/>
  <c r="CF122" i="135"/>
  <c r="BV122" i="135"/>
  <c r="CG120" i="142"/>
  <c r="CD50" i="135"/>
  <c r="BL50" i="135"/>
  <c r="CF82" i="135"/>
  <c r="CB82" i="135"/>
  <c r="AO90" i="135"/>
  <c r="AG90" i="135"/>
  <c r="CF122" i="139"/>
  <c r="BW92" i="142"/>
  <c r="CD42" i="139"/>
  <c r="BL42" i="139"/>
  <c r="CC109" i="143"/>
  <c r="BQ109" i="143"/>
  <c r="AS29" i="143"/>
  <c r="BL106" i="135"/>
  <c r="BL58" i="139"/>
  <c r="BV58" i="139"/>
  <c r="BW50" i="140"/>
  <c r="CD98" i="137"/>
  <c r="BR98" i="137"/>
  <c r="BV74" i="139"/>
  <c r="BR74" i="139"/>
  <c r="AE102" i="136"/>
  <c r="AE114" i="136"/>
  <c r="AY114" i="136"/>
  <c r="AG22" i="137"/>
  <c r="AO22" i="139"/>
  <c r="AY64" i="142"/>
  <c r="G83" i="146"/>
  <c r="BD54" i="140" s="1"/>
  <c r="AE54" i="140"/>
  <c r="AO54" i="140"/>
  <c r="BH88" i="141"/>
  <c r="AU96" i="141"/>
  <c r="AE70" i="139"/>
  <c r="AI110" i="138"/>
  <c r="AO118" i="136"/>
  <c r="BJ73" i="144"/>
  <c r="AY34" i="138"/>
  <c r="BD92" i="142"/>
  <c r="AU72" i="141"/>
  <c r="AW89" i="143"/>
  <c r="CA101" i="143"/>
  <c r="BH88" i="142"/>
  <c r="AO88" i="142"/>
  <c r="BO81" i="143"/>
  <c r="CB74" i="135"/>
  <c r="CB82" i="137"/>
  <c r="CE96" i="142"/>
  <c r="D57" i="126"/>
  <c r="AQ62" i="138"/>
  <c r="E71" i="126"/>
  <c r="AY66" i="139"/>
  <c r="BS88" i="141"/>
  <c r="D26" i="126"/>
  <c r="AY38" i="136"/>
  <c r="BH16" i="142"/>
  <c r="BW94" i="140"/>
  <c r="AM14" i="137"/>
  <c r="E17" i="126"/>
  <c r="AS18" i="137"/>
  <c r="AM74" i="137"/>
  <c r="BF112" i="142"/>
  <c r="AQ77" i="143"/>
  <c r="BS33" i="145"/>
  <c r="BN46" i="135"/>
  <c r="AQ36" i="142"/>
  <c r="BY80" i="141"/>
  <c r="D140" i="126"/>
  <c r="CA33" i="143"/>
  <c r="BQ33" i="143"/>
  <c r="AI70" i="140"/>
  <c r="BN106" i="137"/>
  <c r="CA69" i="144"/>
  <c r="BO100" i="142"/>
  <c r="BW80" i="142"/>
  <c r="BQ61" i="143"/>
  <c r="BM61" i="143"/>
  <c r="CE61" i="143"/>
  <c r="BH93" i="144"/>
  <c r="AQ50" i="135"/>
  <c r="E461" i="126"/>
  <c r="Z232" i="126"/>
  <c r="D465" i="126" s="1"/>
  <c r="G59" i="126"/>
  <c r="BN82" i="138"/>
  <c r="BX82" i="138"/>
  <c r="BY45" i="143"/>
  <c r="BM45" i="143"/>
  <c r="BW45" i="143"/>
  <c r="BS85" i="144"/>
  <c r="BP26" i="137"/>
  <c r="BR26" i="137"/>
  <c r="BN26" i="137"/>
  <c r="BV50" i="135"/>
  <c r="BR50" i="135"/>
  <c r="BV82" i="135"/>
  <c r="BR82" i="135"/>
  <c r="BL82" i="135"/>
  <c r="BL122" i="139"/>
  <c r="BQ92" i="142"/>
  <c r="CE92" i="142"/>
  <c r="BU92" i="142"/>
  <c r="BN42" i="139"/>
  <c r="CF42" i="139"/>
  <c r="BT42" i="139"/>
  <c r="BP106" i="135"/>
  <c r="BV106" i="135"/>
  <c r="BM50" i="140"/>
  <c r="CE50" i="140"/>
  <c r="BZ74" i="138"/>
  <c r="BN50" i="139"/>
  <c r="BY101" i="143"/>
  <c r="CC101" i="143"/>
  <c r="CG110" i="140"/>
  <c r="BQ96" i="142"/>
  <c r="BS96" i="142"/>
  <c r="BZ58" i="136"/>
  <c r="BS108" i="142"/>
  <c r="BY112" i="142"/>
  <c r="BX42" i="135"/>
  <c r="BL82" i="138"/>
  <c r="BV82" i="138"/>
  <c r="BQ45" i="143"/>
  <c r="BU45" i="143"/>
  <c r="BU85" i="144"/>
  <c r="BX26" i="137"/>
  <c r="BL26" i="137"/>
  <c r="BM120" i="142"/>
  <c r="BZ82" i="135"/>
  <c r="BP82" i="135"/>
  <c r="CD122" i="139"/>
  <c r="CG92" i="142"/>
  <c r="BS92" i="142"/>
  <c r="BV42" i="139"/>
  <c r="BR42" i="139"/>
  <c r="BT106" i="135"/>
  <c r="CD106" i="135"/>
  <c r="BU50" i="140"/>
  <c r="BY50" i="140"/>
  <c r="CG101" i="143"/>
  <c r="BQ101" i="143"/>
  <c r="CG96" i="142"/>
  <c r="BM96" i="142"/>
  <c r="F134" i="126"/>
  <c r="CA88" i="142"/>
  <c r="BM25" i="145"/>
  <c r="D113" i="126"/>
  <c r="BF48" i="141"/>
  <c r="AO120" i="141"/>
  <c r="BJ24" i="142"/>
  <c r="AY78" i="135"/>
  <c r="AK102" i="136"/>
  <c r="AG102" i="136"/>
  <c r="AY102" i="136"/>
  <c r="AO114" i="136"/>
  <c r="AI114" i="136"/>
  <c r="AS114" i="136"/>
  <c r="AE22" i="137"/>
  <c r="AI22" i="137"/>
  <c r="AU22" i="139"/>
  <c r="AY22" i="139"/>
  <c r="AS64" i="142"/>
  <c r="AQ64" i="142"/>
  <c r="BJ64" i="142"/>
  <c r="BF88" i="141"/>
  <c r="AQ88" i="141"/>
  <c r="AW88" i="141"/>
  <c r="AS96" i="141"/>
  <c r="BJ96" i="141"/>
  <c r="AI118" i="136"/>
  <c r="D36" i="126"/>
  <c r="AM118" i="136"/>
  <c r="AQ34" i="138"/>
  <c r="AM34" i="138"/>
  <c r="AQ92" i="142"/>
  <c r="AK62" i="138"/>
  <c r="AG62" i="138"/>
  <c r="AY62" i="138"/>
  <c r="AE38" i="136"/>
  <c r="AI38" i="136"/>
  <c r="BA16" i="142"/>
  <c r="AO16" i="142"/>
  <c r="AG14" i="137"/>
  <c r="AQ18" i="137"/>
  <c r="AU18" i="137"/>
  <c r="AO112" i="142"/>
  <c r="BH112" i="142"/>
  <c r="BJ106" i="140"/>
  <c r="BJ44" i="142"/>
  <c r="D86" i="126"/>
  <c r="AK70" i="140"/>
  <c r="D47" i="126"/>
  <c r="BD48" i="141"/>
  <c r="AY120" i="141"/>
  <c r="AS33" i="145"/>
  <c r="AO24" i="142"/>
  <c r="G16" i="146"/>
  <c r="D34" i="126"/>
  <c r="AO102" i="136"/>
  <c r="AU114" i="136"/>
  <c r="E35" i="126"/>
  <c r="G37" i="146"/>
  <c r="AM22" i="137"/>
  <c r="AQ22" i="137"/>
  <c r="AG22" i="139"/>
  <c r="D145" i="126"/>
  <c r="AO64" i="142"/>
  <c r="AS88" i="141"/>
  <c r="BA88" i="141"/>
  <c r="AY96" i="141"/>
  <c r="AO96" i="141"/>
  <c r="AQ118" i="136"/>
  <c r="AW118" i="136"/>
  <c r="AU118" i="136"/>
  <c r="AG34" i="138"/>
  <c r="AU34" i="138"/>
  <c r="AU92" i="142"/>
  <c r="BF80" i="141"/>
  <c r="AS62" i="138"/>
  <c r="AO62" i="138"/>
  <c r="E81" i="146"/>
  <c r="G25" i="146"/>
  <c r="AG38" i="136"/>
  <c r="AQ38" i="136"/>
  <c r="AY16" i="142"/>
  <c r="AW16" i="142"/>
  <c r="AE14" i="137"/>
  <c r="AQ14" i="137"/>
  <c r="AI18" i="137"/>
  <c r="AW18" i="137"/>
  <c r="AS48" i="142"/>
  <c r="AW112" i="142"/>
  <c r="AQ40" i="142"/>
  <c r="AM82" i="138"/>
  <c r="G85" i="146"/>
  <c r="AS70" i="140"/>
  <c r="AO109" i="144"/>
  <c r="BO56" i="142"/>
  <c r="BU76" i="141"/>
  <c r="BU120" i="141"/>
  <c r="CE81" i="143"/>
  <c r="CE56" i="142"/>
  <c r="CC76" i="141"/>
  <c r="BJ92" i="141"/>
  <c r="AO92" i="141"/>
  <c r="G38" i="146"/>
  <c r="BM16" i="142"/>
  <c r="BU85" i="143"/>
  <c r="G82" i="146"/>
  <c r="AQ46" i="140"/>
  <c r="BA68" i="142"/>
  <c r="AG46" i="140"/>
  <c r="AM62" i="135"/>
  <c r="AG62" i="135"/>
  <c r="BF105" i="143"/>
  <c r="AO105" i="143"/>
  <c r="D44" i="126"/>
  <c r="AQ70" i="137"/>
  <c r="AG106" i="137"/>
  <c r="AM106" i="137"/>
  <c r="AO109" i="143"/>
  <c r="AY109" i="143"/>
  <c r="AS70" i="135"/>
  <c r="AE70" i="135"/>
  <c r="AO65" i="144"/>
  <c r="AY65" i="144"/>
  <c r="AK102" i="135"/>
  <c r="AW102" i="135"/>
  <c r="E39" i="126"/>
  <c r="AW34" i="137"/>
  <c r="AK34" i="137"/>
  <c r="E12" i="126"/>
  <c r="AK42" i="135"/>
  <c r="AY42" i="135"/>
  <c r="AE46" i="140"/>
  <c r="AO46" i="140"/>
  <c r="AY46" i="140"/>
  <c r="G79" i="146"/>
  <c r="AS22" i="140"/>
  <c r="AG22" i="140"/>
  <c r="E131" i="146"/>
  <c r="AE82" i="136"/>
  <c r="AW82" i="136"/>
  <c r="D59" i="126"/>
  <c r="AQ78" i="138"/>
  <c r="AM78" i="138"/>
  <c r="AO46" i="139"/>
  <c r="AQ113" i="144"/>
  <c r="AQ46" i="135"/>
  <c r="AS80" i="142"/>
  <c r="AS20" i="142"/>
  <c r="BJ20" i="142"/>
  <c r="BD44" i="141"/>
  <c r="AY44" i="141"/>
  <c r="AS65" i="143"/>
  <c r="AO65" i="143"/>
  <c r="BF20" i="141"/>
  <c r="AU26" i="136"/>
  <c r="AS26" i="136"/>
  <c r="D144" i="126"/>
  <c r="BF60" i="142"/>
  <c r="BJ60" i="142"/>
  <c r="BJ108" i="141"/>
  <c r="AO68" i="141"/>
  <c r="AE46" i="136"/>
  <c r="AI46" i="136"/>
  <c r="AI54" i="136"/>
  <c r="AW54" i="136"/>
  <c r="AO66" i="138"/>
  <c r="BD28" i="141"/>
  <c r="AQ100" i="141"/>
  <c r="BJ37" i="144"/>
  <c r="BA33" i="143"/>
  <c r="AO122" i="139"/>
  <c r="AY38" i="139"/>
  <c r="AE38" i="139"/>
  <c r="BA117" i="144"/>
  <c r="AM34" i="137"/>
  <c r="AI34" i="137"/>
  <c r="AS34" i="137"/>
  <c r="AS42" i="135"/>
  <c r="AO42" i="135"/>
  <c r="AE42" i="135"/>
  <c r="D83" i="126"/>
  <c r="AM46" i="140"/>
  <c r="AW46" i="140"/>
  <c r="AG78" i="138"/>
  <c r="BH20" i="142"/>
  <c r="AW44" i="141"/>
  <c r="BA65" i="143"/>
  <c r="D106" i="126"/>
  <c r="AW60" i="142"/>
  <c r="AK46" i="136"/>
  <c r="BD100" i="141"/>
  <c r="AI38" i="139"/>
  <c r="AE74" i="135"/>
  <c r="AY74" i="135"/>
  <c r="AG46" i="135"/>
  <c r="AI46" i="135"/>
  <c r="BD77" i="143"/>
  <c r="BF77" i="143"/>
  <c r="BJ77" i="143"/>
  <c r="AY77" i="143"/>
  <c r="AS93" i="144"/>
  <c r="BJ93" i="144"/>
  <c r="BF93" i="144"/>
  <c r="AS82" i="135"/>
  <c r="AQ82" i="135"/>
  <c r="AU82" i="135"/>
  <c r="AU30" i="137"/>
  <c r="AW30" i="137"/>
  <c r="AE30" i="137"/>
  <c r="AY74" i="137"/>
  <c r="AW74" i="137"/>
  <c r="AS74" i="137"/>
  <c r="AU78" i="138"/>
  <c r="AK78" i="138"/>
  <c r="AW78" i="138"/>
  <c r="BD20" i="142"/>
  <c r="AO20" i="142"/>
  <c r="AQ20" i="142"/>
  <c r="AS20" i="141"/>
  <c r="BA20" i="141"/>
  <c r="AW20" i="141"/>
  <c r="BH65" i="143"/>
  <c r="AW65" i="143"/>
  <c r="BJ65" i="143"/>
  <c r="BA44" i="141"/>
  <c r="AQ44" i="141"/>
  <c r="AO44" i="141"/>
  <c r="AO46" i="136"/>
  <c r="AS46" i="136"/>
  <c r="D27" i="126"/>
  <c r="BH60" i="142"/>
  <c r="AY60" i="142"/>
  <c r="BD60" i="142"/>
  <c r="AW38" i="139"/>
  <c r="AM38" i="139"/>
  <c r="AQ38" i="139"/>
  <c r="AU113" i="144"/>
  <c r="BH113" i="144"/>
  <c r="BF113" i="144"/>
  <c r="AU66" i="138"/>
  <c r="AK66" i="138"/>
  <c r="AW66" i="138"/>
  <c r="G30" i="146"/>
  <c r="AQ82" i="136"/>
  <c r="E31" i="126"/>
  <c r="AU82" i="136"/>
  <c r="BD80" i="142"/>
  <c r="AU80" i="142"/>
  <c r="BH80" i="142"/>
  <c r="AW26" i="136"/>
  <c r="AK26" i="136"/>
  <c r="AO26" i="136"/>
  <c r="AM122" i="139"/>
  <c r="AY122" i="139"/>
  <c r="AW122" i="139"/>
  <c r="BF117" i="144"/>
  <c r="AU117" i="144"/>
  <c r="AY117" i="144"/>
  <c r="BH28" i="141"/>
  <c r="AY28" i="141"/>
  <c r="AW28" i="141"/>
  <c r="AS54" i="136"/>
  <c r="AO54" i="136"/>
  <c r="D28" i="126"/>
  <c r="AM46" i="139"/>
  <c r="AY46" i="139"/>
  <c r="AG46" i="139"/>
  <c r="AQ33" i="143"/>
  <c r="BD33" i="143"/>
  <c r="AS33" i="143"/>
  <c r="AW18" i="139"/>
  <c r="AM18" i="139"/>
  <c r="AK18" i="139"/>
  <c r="BD108" i="141"/>
  <c r="AU108" i="141"/>
  <c r="D128" i="126"/>
  <c r="BF68" i="141"/>
  <c r="AU68" i="141"/>
  <c r="D118" i="126"/>
  <c r="AQ37" i="144"/>
  <c r="BD37" i="144"/>
  <c r="AS37" i="144"/>
  <c r="AE70" i="136"/>
  <c r="AO70" i="136"/>
  <c r="G27" i="146"/>
  <c r="BR54" i="136" s="1"/>
  <c r="BY85" i="143"/>
  <c r="BO72" i="141"/>
  <c r="AI14" i="139"/>
  <c r="BO120" i="141"/>
  <c r="F133" i="126"/>
  <c r="BW16" i="142"/>
  <c r="CC16" i="142"/>
  <c r="BS72" i="141"/>
  <c r="BO85" i="143"/>
  <c r="CG85" i="143"/>
  <c r="BY113" i="143"/>
  <c r="CE120" i="141"/>
  <c r="BQ16" i="142"/>
  <c r="BS16" i="142"/>
  <c r="BW85" i="143"/>
  <c r="BS85" i="143"/>
  <c r="CG73" i="143"/>
  <c r="BS120" i="141"/>
  <c r="CG16" i="142"/>
  <c r="CC85" i="143"/>
  <c r="BW120" i="141"/>
  <c r="CG120" i="141"/>
  <c r="BU72" i="141"/>
  <c r="BW72" i="141"/>
  <c r="BU16" i="142"/>
  <c r="CE16" i="142"/>
  <c r="BY16" i="142"/>
  <c r="CA85" i="143"/>
  <c r="BQ85" i="143"/>
  <c r="BM85" i="143"/>
  <c r="CA113" i="143"/>
  <c r="BO113" i="143"/>
  <c r="BM113" i="143"/>
  <c r="CC73" i="143"/>
  <c r="BO73" i="143"/>
  <c r="BZ82" i="136"/>
  <c r="CB82" i="136"/>
  <c r="BR82" i="136"/>
  <c r="CF114" i="139"/>
  <c r="BV114" i="139"/>
  <c r="BL114" i="139"/>
  <c r="BY109" i="144"/>
  <c r="BO109" i="144"/>
  <c r="CF58" i="138"/>
  <c r="BT58" i="138"/>
  <c r="G56" i="126"/>
  <c r="CB114" i="136"/>
  <c r="BR114" i="136"/>
  <c r="CD114" i="136"/>
  <c r="BO37" i="143"/>
  <c r="BY37" i="143"/>
  <c r="F147" i="126"/>
  <c r="BU72" i="142"/>
  <c r="BU89" i="144"/>
  <c r="BO89" i="144"/>
  <c r="BM81" i="143"/>
  <c r="CB114" i="138"/>
  <c r="BP114" i="138"/>
  <c r="BL58" i="135"/>
  <c r="BT58" i="135"/>
  <c r="CF66" i="139"/>
  <c r="BZ66" i="139"/>
  <c r="BW113" i="144"/>
  <c r="BS113" i="144"/>
  <c r="F103" i="126"/>
  <c r="BM122" i="140"/>
  <c r="BP106" i="137"/>
  <c r="BQ117" i="144"/>
  <c r="CA117" i="144"/>
  <c r="BT42" i="136"/>
  <c r="BL42" i="136"/>
  <c r="BY56" i="142"/>
  <c r="BW69" i="144"/>
  <c r="BL42" i="137"/>
  <c r="CD42" i="137"/>
  <c r="BR42" i="137"/>
  <c r="CC105" i="144"/>
  <c r="BW105" i="144"/>
  <c r="CF90" i="135"/>
  <c r="BT90" i="135"/>
  <c r="BX90" i="135"/>
  <c r="BT74" i="137"/>
  <c r="BV74" i="137"/>
  <c r="BO76" i="141"/>
  <c r="CG80" i="142"/>
  <c r="BW66" i="140"/>
  <c r="CG66" i="140"/>
  <c r="BM37" i="143"/>
  <c r="BW37" i="143"/>
  <c r="CG37" i="143"/>
  <c r="BO72" i="142"/>
  <c r="BS72" i="142"/>
  <c r="CC93" i="144"/>
  <c r="BW93" i="144"/>
  <c r="BN66" i="137"/>
  <c r="CF66" i="137"/>
  <c r="BP18" i="136"/>
  <c r="CD18" i="136"/>
  <c r="BT18" i="136"/>
  <c r="CB42" i="137"/>
  <c r="BP42" i="137"/>
  <c r="BP90" i="135"/>
  <c r="CD90" i="135"/>
  <c r="BU37" i="143"/>
  <c r="CE37" i="143"/>
  <c r="BW72" i="142"/>
  <c r="BV18" i="136"/>
  <c r="BN18" i="136"/>
  <c r="AK74" i="135"/>
  <c r="AY14" i="139"/>
  <c r="AO68" i="142"/>
  <c r="BH68" i="142"/>
  <c r="BH100" i="141"/>
  <c r="G64" i="146"/>
  <c r="AS14" i="139"/>
  <c r="D146" i="126"/>
  <c r="AY68" i="142"/>
  <c r="BJ68" i="142"/>
  <c r="AU100" i="141"/>
  <c r="AG14" i="139"/>
  <c r="AM14" i="139"/>
  <c r="BA20" i="142"/>
  <c r="AU20" i="142"/>
  <c r="BD68" i="142"/>
  <c r="AQ68" i="142"/>
  <c r="AO20" i="141"/>
  <c r="AY20" i="141"/>
  <c r="AQ46" i="136"/>
  <c r="AY46" i="136"/>
  <c r="BA100" i="141"/>
  <c r="AO100" i="141"/>
  <c r="CA73" i="143"/>
  <c r="BN82" i="136"/>
  <c r="BL82" i="136"/>
  <c r="BZ58" i="138"/>
  <c r="BX58" i="138"/>
  <c r="CE113" i="143"/>
  <c r="CC113" i="143"/>
  <c r="BQ73" i="143"/>
  <c r="CF82" i="136"/>
  <c r="BN58" i="138"/>
  <c r="BH29" i="145"/>
  <c r="AG74" i="135"/>
  <c r="F131" i="126"/>
  <c r="BY120" i="141"/>
  <c r="CC120" i="141"/>
  <c r="BW113" i="143"/>
  <c r="CG113" i="143"/>
  <c r="BU113" i="143"/>
  <c r="BW73" i="143"/>
  <c r="BY73" i="143"/>
  <c r="BM73" i="143"/>
  <c r="BV82" i="136"/>
  <c r="BX82" i="136"/>
  <c r="BT82" i="136"/>
  <c r="BR58" i="138"/>
  <c r="CB58" i="138"/>
  <c r="BP58" i="138"/>
  <c r="BY72" i="142"/>
  <c r="CG72" i="142"/>
  <c r="CE72" i="142"/>
  <c r="CA120" i="141"/>
  <c r="BM120" i="141"/>
  <c r="BQ72" i="141"/>
  <c r="BM72" i="141"/>
  <c r="BQ113" i="143"/>
  <c r="CE73" i="143"/>
  <c r="BS73" i="143"/>
  <c r="G31" i="126"/>
  <c r="BP82" i="136"/>
  <c r="BL58" i="138"/>
  <c r="BV58" i="138"/>
  <c r="BM72" i="142"/>
  <c r="CC72" i="142"/>
  <c r="F119" i="126"/>
  <c r="BY72" i="141"/>
  <c r="CG72" i="141"/>
  <c r="CA72" i="141"/>
  <c r="CE72" i="141"/>
  <c r="C365" i="126"/>
  <c r="D65" i="126"/>
  <c r="AO14" i="139"/>
  <c r="AK14" i="139"/>
  <c r="AU14" i="139"/>
  <c r="D126" i="126"/>
  <c r="AY100" i="141"/>
  <c r="BF100" i="141"/>
  <c r="E110" i="146"/>
  <c r="AW14" i="139"/>
  <c r="AQ14" i="139"/>
  <c r="AW68" i="142"/>
  <c r="BF68" i="142"/>
  <c r="BD20" i="141"/>
  <c r="BJ20" i="141"/>
  <c r="BJ100" i="141"/>
  <c r="AS100" i="141"/>
  <c r="BA21" i="143"/>
  <c r="BJ21" i="143"/>
  <c r="C462" i="126"/>
  <c r="BS120" i="142"/>
  <c r="BY120" i="142"/>
  <c r="BS29" i="145"/>
  <c r="BZ122" i="139"/>
  <c r="BV122" i="139"/>
  <c r="CD74" i="138"/>
  <c r="BR74" i="138"/>
  <c r="CB74" i="138"/>
  <c r="G69" i="126"/>
  <c r="CC110" i="140"/>
  <c r="CE21" i="144"/>
  <c r="BV58" i="136"/>
  <c r="CB58" i="136"/>
  <c r="BR58" i="136"/>
  <c r="CA102" i="140"/>
  <c r="F154" i="126"/>
  <c r="BO112" i="142"/>
  <c r="BY20" i="141"/>
  <c r="CA34" i="140"/>
  <c r="BO88" i="142"/>
  <c r="BN66" i="138"/>
  <c r="CC48" i="141"/>
  <c r="CC85" i="144"/>
  <c r="CE29" i="145"/>
  <c r="CC29" i="145"/>
  <c r="BP122" i="139"/>
  <c r="BT122" i="139"/>
  <c r="CF106" i="135"/>
  <c r="BZ106" i="135"/>
  <c r="BX106" i="135"/>
  <c r="BN74" i="138"/>
  <c r="BX74" i="138"/>
  <c r="BL74" i="138"/>
  <c r="BT90" i="136"/>
  <c r="BX50" i="139"/>
  <c r="BW110" i="140"/>
  <c r="BS110" i="140"/>
  <c r="CB90" i="138"/>
  <c r="G28" i="126"/>
  <c r="BT58" i="136"/>
  <c r="BX58" i="136"/>
  <c r="CC108" i="142"/>
  <c r="CE102" i="140"/>
  <c r="CA100" i="142"/>
  <c r="BM20" i="141"/>
  <c r="G81" i="126"/>
  <c r="BO20" i="142"/>
  <c r="CF42" i="135"/>
  <c r="BP66" i="138"/>
  <c r="BW25" i="145"/>
  <c r="BQ48" i="141"/>
  <c r="BO85" i="144"/>
  <c r="BW85" i="144"/>
  <c r="BO120" i="142"/>
  <c r="BQ85" i="144"/>
  <c r="BM85" i="144"/>
  <c r="BW120" i="142"/>
  <c r="BQ29" i="145"/>
  <c r="BX122" i="139"/>
  <c r="BN122" i="139"/>
  <c r="G20" i="126"/>
  <c r="BR106" i="135"/>
  <c r="BS50" i="140"/>
  <c r="CC50" i="140"/>
  <c r="BV74" i="138"/>
  <c r="CF74" i="138"/>
  <c r="BX90" i="136"/>
  <c r="BU110" i="140"/>
  <c r="BU21" i="144"/>
  <c r="F153" i="126"/>
  <c r="BO96" i="142"/>
  <c r="BP90" i="138"/>
  <c r="BN58" i="136"/>
  <c r="BL58" i="136"/>
  <c r="BQ108" i="142"/>
  <c r="BQ102" i="140"/>
  <c r="BS112" i="142"/>
  <c r="BO20" i="141"/>
  <c r="BQ34" i="140"/>
  <c r="CA20" i="142"/>
  <c r="F151" i="126"/>
  <c r="BN42" i="135"/>
  <c r="BZ66" i="138"/>
  <c r="CG25" i="145"/>
  <c r="BN66" i="135"/>
  <c r="AI70" i="139"/>
  <c r="BH73" i="144"/>
  <c r="BF73" i="144"/>
  <c r="AU58" i="136"/>
  <c r="AE38" i="137"/>
  <c r="BD100" i="142"/>
  <c r="BF48" i="142"/>
  <c r="AO106" i="140"/>
  <c r="BH106" i="140"/>
  <c r="BA40" i="142"/>
  <c r="BD40" i="142"/>
  <c r="AS36" i="142"/>
  <c r="AO36" i="142"/>
  <c r="AY44" i="142"/>
  <c r="AK82" i="138"/>
  <c r="AI82" i="138"/>
  <c r="BD109" i="144"/>
  <c r="BJ109" i="144"/>
  <c r="G26" i="146"/>
  <c r="AM50" i="135"/>
  <c r="AU50" i="136"/>
  <c r="AS54" i="138"/>
  <c r="AS32" i="141"/>
  <c r="AO48" i="141"/>
  <c r="AW120" i="141"/>
  <c r="AQ24" i="142"/>
  <c r="AE78" i="135"/>
  <c r="AM78" i="135"/>
  <c r="AE22" i="139"/>
  <c r="AW22" i="139"/>
  <c r="AK22" i="139"/>
  <c r="AO70" i="139"/>
  <c r="AU73" i="144"/>
  <c r="AO34" i="138"/>
  <c r="AW34" i="138"/>
  <c r="AS34" i="138"/>
  <c r="BA92" i="142"/>
  <c r="AY92" i="142"/>
  <c r="AO92" i="142"/>
  <c r="AW58" i="136"/>
  <c r="AG38" i="137"/>
  <c r="BH80" i="141"/>
  <c r="G36" i="146"/>
  <c r="AW14" i="137"/>
  <c r="AK14" i="137"/>
  <c r="AY18" i="137"/>
  <c r="AK18" i="137"/>
  <c r="AG18" i="137"/>
  <c r="BH100" i="142"/>
  <c r="BH48" i="142"/>
  <c r="AW48" i="142"/>
  <c r="AU112" i="142"/>
  <c r="BD112" i="142"/>
  <c r="AS112" i="142"/>
  <c r="BF106" i="140"/>
  <c r="AS106" i="140"/>
  <c r="D139" i="126"/>
  <c r="AU40" i="142"/>
  <c r="AY36" i="142"/>
  <c r="AS44" i="142"/>
  <c r="AO44" i="142"/>
  <c r="AU82" i="138"/>
  <c r="AG70" i="140"/>
  <c r="AQ70" i="140"/>
  <c r="AE70" i="140"/>
  <c r="AG94" i="137"/>
  <c r="AS110" i="136"/>
  <c r="AY109" i="144"/>
  <c r="AI78" i="137"/>
  <c r="AS38" i="138"/>
  <c r="AU50" i="135"/>
  <c r="AW50" i="135"/>
  <c r="AO54" i="139"/>
  <c r="AU89" i="144"/>
  <c r="AW54" i="135"/>
  <c r="AE30" i="139"/>
  <c r="AQ48" i="141"/>
  <c r="BA48" i="141"/>
  <c r="AU120" i="141"/>
  <c r="AW48" i="141"/>
  <c r="AY48" i="141"/>
  <c r="BH48" i="141"/>
  <c r="AS120" i="141"/>
  <c r="BD120" i="141"/>
  <c r="AY24" i="142"/>
  <c r="AU78" i="135"/>
  <c r="AS78" i="135"/>
  <c r="AS102" i="136"/>
  <c r="AM102" i="136"/>
  <c r="D38" i="126"/>
  <c r="AU22" i="137"/>
  <c r="G65" i="146"/>
  <c r="BV22" i="139" s="1"/>
  <c r="AM22" i="139"/>
  <c r="AI22" i="139"/>
  <c r="BF96" i="141"/>
  <c r="AQ96" i="141"/>
  <c r="AG118" i="136"/>
  <c r="AY73" i="144"/>
  <c r="AW73" i="144"/>
  <c r="E53" i="126"/>
  <c r="AI34" i="138"/>
  <c r="AE34" i="138"/>
  <c r="AS92" i="142"/>
  <c r="BF92" i="142"/>
  <c r="AQ38" i="137"/>
  <c r="AO80" i="141"/>
  <c r="G56" i="146"/>
  <c r="AM62" i="138"/>
  <c r="AO38" i="136"/>
  <c r="AK38" i="136"/>
  <c r="D133" i="126"/>
  <c r="AQ16" i="142"/>
  <c r="D37" i="126"/>
  <c r="AU14" i="137"/>
  <c r="AI14" i="137"/>
  <c r="E37" i="126"/>
  <c r="AE18" i="137"/>
  <c r="AU100" i="142"/>
  <c r="AY48" i="142"/>
  <c r="G58" i="146"/>
  <c r="BJ112" i="142"/>
  <c r="AQ112" i="142"/>
  <c r="AY106" i="140"/>
  <c r="BA106" i="140"/>
  <c r="AS40" i="142"/>
  <c r="BJ40" i="142"/>
  <c r="D138" i="126"/>
  <c r="BJ36" i="142"/>
  <c r="AQ44" i="142"/>
  <c r="E59" i="126"/>
  <c r="AW82" i="138"/>
  <c r="AO70" i="140"/>
  <c r="AY70" i="140"/>
  <c r="AO110" i="136"/>
  <c r="BH109" i="144"/>
  <c r="AM38" i="138"/>
  <c r="E13" i="126"/>
  <c r="AK50" i="135"/>
  <c r="D56" i="126"/>
  <c r="BD32" i="141"/>
  <c r="AI54" i="135"/>
  <c r="E28" i="146"/>
  <c r="AY70" i="139"/>
  <c r="AS70" i="139"/>
  <c r="AG70" i="139"/>
  <c r="AM58" i="136"/>
  <c r="AO58" i="136"/>
  <c r="AY58" i="136"/>
  <c r="AO38" i="137"/>
  <c r="AI38" i="137"/>
  <c r="AS38" i="137"/>
  <c r="D121" i="126"/>
  <c r="AY80" i="141"/>
  <c r="BJ80" i="141"/>
  <c r="AS100" i="142"/>
  <c r="BF100" i="142"/>
  <c r="AW100" i="142"/>
  <c r="AS94" i="137"/>
  <c r="AK110" i="136"/>
  <c r="AG110" i="136"/>
  <c r="AW78" i="137"/>
  <c r="AQ38" i="138"/>
  <c r="AE38" i="138"/>
  <c r="AW38" i="138"/>
  <c r="AY50" i="136"/>
  <c r="AK50" i="136"/>
  <c r="AG54" i="139"/>
  <c r="G55" i="146"/>
  <c r="AK54" i="138"/>
  <c r="AO89" i="144"/>
  <c r="BD25" i="143"/>
  <c r="AQ32" i="141"/>
  <c r="AG54" i="135"/>
  <c r="AS54" i="135"/>
  <c r="AM54" i="135"/>
  <c r="BH24" i="142"/>
  <c r="BF24" i="142"/>
  <c r="AW24" i="142"/>
  <c r="G71" i="146"/>
  <c r="AQ70" i="139"/>
  <c r="AM70" i="139"/>
  <c r="AW70" i="139"/>
  <c r="AS73" i="144"/>
  <c r="BD73" i="144"/>
  <c r="AE58" i="136"/>
  <c r="AK58" i="136"/>
  <c r="AI58" i="136"/>
  <c r="D40" i="126"/>
  <c r="AY38" i="137"/>
  <c r="AM38" i="137"/>
  <c r="AU80" i="141"/>
  <c r="AQ80" i="141"/>
  <c r="AW80" i="141"/>
  <c r="D154" i="126"/>
  <c r="AQ100" i="142"/>
  <c r="BJ100" i="142"/>
  <c r="G52" i="146"/>
  <c r="BA48" i="142"/>
  <c r="AU48" i="142"/>
  <c r="BD48" i="142"/>
  <c r="AY40" i="142"/>
  <c r="AO40" i="142"/>
  <c r="BH36" i="142"/>
  <c r="BF36" i="142"/>
  <c r="AW36" i="142"/>
  <c r="BH44" i="142"/>
  <c r="BF44" i="142"/>
  <c r="AW44" i="142"/>
  <c r="AS82" i="138"/>
  <c r="AG82" i="138"/>
  <c r="AQ82" i="138"/>
  <c r="AQ94" i="137"/>
  <c r="AW94" i="137"/>
  <c r="G34" i="146"/>
  <c r="AE110" i="136"/>
  <c r="AU109" i="144"/>
  <c r="BF109" i="144"/>
  <c r="AS109" i="144"/>
  <c r="AE78" i="137"/>
  <c r="AK78" i="137"/>
  <c r="AI38" i="138"/>
  <c r="AG38" i="138"/>
  <c r="AI50" i="135"/>
  <c r="AG50" i="135"/>
  <c r="AS50" i="135"/>
  <c r="AM50" i="136"/>
  <c r="D70" i="126"/>
  <c r="AQ54" i="139"/>
  <c r="AG54" i="138"/>
  <c r="AQ89" i="144"/>
  <c r="AO32" i="141"/>
  <c r="BA32" i="141"/>
  <c r="AK54" i="135"/>
  <c r="AY54" i="135"/>
  <c r="AG30" i="139"/>
  <c r="BJ120" i="141"/>
  <c r="BH120" i="141"/>
  <c r="BA24" i="142"/>
  <c r="AU24" i="142"/>
  <c r="AQ78" i="135"/>
  <c r="AI78" i="135"/>
  <c r="AK78" i="135"/>
  <c r="D72" i="126"/>
  <c r="AK70" i="139"/>
  <c r="AQ73" i="144"/>
  <c r="BA73" i="144"/>
  <c r="E28" i="126"/>
  <c r="AG58" i="136"/>
  <c r="AQ58" i="136"/>
  <c r="AW38" i="137"/>
  <c r="AK38" i="137"/>
  <c r="AS80" i="141"/>
  <c r="BA80" i="141"/>
  <c r="BA100" i="142"/>
  <c r="AY100" i="142"/>
  <c r="D141" i="126"/>
  <c r="AQ48" i="142"/>
  <c r="AQ106" i="140"/>
  <c r="BD106" i="140"/>
  <c r="BH40" i="142"/>
  <c r="BF40" i="142"/>
  <c r="E136" i="146"/>
  <c r="BA36" i="142"/>
  <c r="AU36" i="142"/>
  <c r="BA44" i="142"/>
  <c r="AU44" i="142"/>
  <c r="AE82" i="138"/>
  <c r="AO82" i="138"/>
  <c r="AK94" i="137"/>
  <c r="D35" i="126"/>
  <c r="AU110" i="136"/>
  <c r="AW109" i="144"/>
  <c r="AQ109" i="144"/>
  <c r="AU78" i="137"/>
  <c r="AS78" i="137"/>
  <c r="G53" i="146"/>
  <c r="AK38" i="138"/>
  <c r="AO38" i="138"/>
  <c r="AE50" i="135"/>
  <c r="AY50" i="135"/>
  <c r="E27" i="126"/>
  <c r="AQ50" i="136"/>
  <c r="AU54" i="139"/>
  <c r="AY54" i="139"/>
  <c r="AW54" i="138"/>
  <c r="BJ89" i="144"/>
  <c r="AO25" i="143"/>
  <c r="BJ32" i="141"/>
  <c r="D14" i="126"/>
  <c r="AE54" i="135"/>
  <c r="AO30" i="139"/>
  <c r="G66" i="146"/>
  <c r="CD90" i="136"/>
  <c r="BP90" i="136"/>
  <c r="BZ90" i="136"/>
  <c r="BT50" i="139"/>
  <c r="BP50" i="139"/>
  <c r="BZ50" i="139"/>
  <c r="BM21" i="144"/>
  <c r="BW21" i="144"/>
  <c r="CG21" i="144"/>
  <c r="G60" i="126"/>
  <c r="BT90" i="138"/>
  <c r="CD90" i="138"/>
  <c r="F156" i="126"/>
  <c r="BU108" i="142"/>
  <c r="CE108" i="142"/>
  <c r="BW102" i="140"/>
  <c r="CC102" i="140"/>
  <c r="BS102" i="140"/>
  <c r="CG100" i="142"/>
  <c r="BS100" i="142"/>
  <c r="CC100" i="142"/>
  <c r="CA112" i="142"/>
  <c r="CC112" i="142"/>
  <c r="BQ112" i="142"/>
  <c r="CC20" i="141"/>
  <c r="CA20" i="141"/>
  <c r="BQ20" i="141"/>
  <c r="CE34" i="140"/>
  <c r="BS34" i="140"/>
  <c r="CC34" i="140"/>
  <c r="CG20" i="142"/>
  <c r="BS20" i="142"/>
  <c r="CC20" i="142"/>
  <c r="CG88" i="142"/>
  <c r="BS88" i="142"/>
  <c r="CC88" i="142"/>
  <c r="BT42" i="135"/>
  <c r="BP42" i="135"/>
  <c r="G12" i="126"/>
  <c r="G57" i="126"/>
  <c r="BR66" i="138"/>
  <c r="CB66" i="138"/>
  <c r="BO25" i="145"/>
  <c r="BY25" i="145"/>
  <c r="F113" i="126"/>
  <c r="BS48" i="141"/>
  <c r="CE48" i="141"/>
  <c r="F159" i="126"/>
  <c r="BO29" i="145"/>
  <c r="BM29" i="145"/>
  <c r="BN90" i="136"/>
  <c r="BL90" i="136"/>
  <c r="CF90" i="136"/>
  <c r="CB50" i="139"/>
  <c r="BV50" i="139"/>
  <c r="CF50" i="139"/>
  <c r="CE110" i="140"/>
  <c r="BQ110" i="140"/>
  <c r="CA110" i="140"/>
  <c r="BS21" i="144"/>
  <c r="CC21" i="144"/>
  <c r="BQ21" i="144"/>
  <c r="BZ90" i="138"/>
  <c r="BN90" i="138"/>
  <c r="BX90" i="138"/>
  <c r="CA108" i="142"/>
  <c r="BO108" i="142"/>
  <c r="BY108" i="142"/>
  <c r="F98" i="126"/>
  <c r="BM102" i="140"/>
  <c r="BY102" i="140"/>
  <c r="BY100" i="142"/>
  <c r="BW100" i="142"/>
  <c r="BM100" i="142"/>
  <c r="BM112" i="142"/>
  <c r="BW112" i="142"/>
  <c r="CG112" i="142"/>
  <c r="BU20" i="141"/>
  <c r="BW20" i="141"/>
  <c r="CG20" i="141"/>
  <c r="BO34" i="140"/>
  <c r="BY34" i="140"/>
  <c r="BM34" i="140"/>
  <c r="BQ20" i="142"/>
  <c r="BW20" i="142"/>
  <c r="BM20" i="142"/>
  <c r="BZ66" i="135"/>
  <c r="BY88" i="142"/>
  <c r="BW88" i="142"/>
  <c r="BM88" i="142"/>
  <c r="BL42" i="135"/>
  <c r="BR42" i="135"/>
  <c r="BV42" i="135"/>
  <c r="BX66" i="138"/>
  <c r="BL66" i="138"/>
  <c r="BV66" i="138"/>
  <c r="BU25" i="145"/>
  <c r="CE25" i="145"/>
  <c r="BS25" i="145"/>
  <c r="BM48" i="141"/>
  <c r="BO48" i="141"/>
  <c r="BY48" i="141"/>
  <c r="BU120" i="142"/>
  <c r="CE120" i="142"/>
  <c r="BY29" i="145"/>
  <c r="CA120" i="142"/>
  <c r="CC120" i="142"/>
  <c r="BW29" i="145"/>
  <c r="CG29" i="145"/>
  <c r="G78" i="126"/>
  <c r="BR122" i="139"/>
  <c r="BV90" i="136"/>
  <c r="CB90" i="136"/>
  <c r="BL50" i="139"/>
  <c r="CD50" i="139"/>
  <c r="F100" i="126"/>
  <c r="BM110" i="140"/>
  <c r="CA21" i="144"/>
  <c r="BO21" i="144"/>
  <c r="BL90" i="138"/>
  <c r="BV90" i="138"/>
  <c r="BM108" i="142"/>
  <c r="BW108" i="142"/>
  <c r="BO102" i="140"/>
  <c r="BU102" i="140"/>
  <c r="BQ100" i="142"/>
  <c r="CE100" i="142"/>
  <c r="F157" i="126"/>
  <c r="BU112" i="142"/>
  <c r="F106" i="126"/>
  <c r="BS20" i="141"/>
  <c r="BW34" i="140"/>
  <c r="CG34" i="140"/>
  <c r="BY20" i="142"/>
  <c r="CE20" i="142"/>
  <c r="BP66" i="135"/>
  <c r="BQ88" i="142"/>
  <c r="CE88" i="142"/>
  <c r="CB42" i="135"/>
  <c r="BZ42" i="135"/>
  <c r="CF66" i="138"/>
  <c r="BT66" i="138"/>
  <c r="CC25" i="145"/>
  <c r="BQ25" i="145"/>
  <c r="BU48" i="141"/>
  <c r="BW48" i="141"/>
  <c r="AU94" i="140"/>
  <c r="AU112" i="141"/>
  <c r="AW102" i="140"/>
  <c r="G39" i="146"/>
  <c r="G68" i="146"/>
  <c r="AE110" i="139"/>
  <c r="G29" i="146"/>
  <c r="BD21" i="143"/>
  <c r="AO21" i="143"/>
  <c r="AO29" i="145"/>
  <c r="BD29" i="145"/>
  <c r="E100" i="146"/>
  <c r="AY29" i="145"/>
  <c r="BA118" i="140"/>
  <c r="AS29" i="145"/>
  <c r="BY64" i="142"/>
  <c r="BQ64" i="142"/>
  <c r="CA64" i="142"/>
  <c r="E365" i="126"/>
  <c r="AO118" i="140"/>
  <c r="AW29" i="145"/>
  <c r="AQ21" i="143"/>
  <c r="AY21" i="143"/>
  <c r="BO64" i="142"/>
  <c r="CC64" i="142"/>
  <c r="BM64" i="142"/>
  <c r="CE64" i="142"/>
  <c r="CG64" i="142"/>
  <c r="BS64" i="142"/>
  <c r="AW21" i="143"/>
  <c r="BH21" i="143"/>
  <c r="AU21" i="143"/>
  <c r="BF21" i="143"/>
  <c r="D102" i="126"/>
  <c r="BJ118" i="140"/>
  <c r="BD118" i="140"/>
  <c r="BW45" i="144"/>
  <c r="BU56" i="142"/>
  <c r="BW76" i="141"/>
  <c r="F145" i="126"/>
  <c r="BW64" i="142"/>
  <c r="BU25" i="143"/>
  <c r="BL66" i="135"/>
  <c r="CD66" i="135"/>
  <c r="G15" i="126"/>
  <c r="AW25" i="143"/>
  <c r="AU25" i="143"/>
  <c r="G46" i="146"/>
  <c r="AM94" i="137"/>
  <c r="D45" i="126"/>
  <c r="AG78" i="137"/>
  <c r="AQ78" i="137"/>
  <c r="AI50" i="136"/>
  <c r="AW50" i="136"/>
  <c r="AS50" i="136"/>
  <c r="AE54" i="139"/>
  <c r="AW54" i="139"/>
  <c r="AK54" i="139"/>
  <c r="AM54" i="138"/>
  <c r="AI54" i="138"/>
  <c r="AS89" i="144"/>
  <c r="AY89" i="144"/>
  <c r="BH25" i="143"/>
  <c r="AW32" i="141"/>
  <c r="AY32" i="141"/>
  <c r="BH32" i="141"/>
  <c r="AY94" i="137"/>
  <c r="AU94" i="137"/>
  <c r="AI110" i="136"/>
  <c r="AY110" i="136"/>
  <c r="AM110" i="136"/>
  <c r="AM78" i="137"/>
  <c r="AO78" i="137"/>
  <c r="D54" i="126"/>
  <c r="AY38" i="138"/>
  <c r="AE50" i="136"/>
  <c r="AO50" i="136"/>
  <c r="AM54" i="139"/>
  <c r="AI54" i="139"/>
  <c r="AU54" i="138"/>
  <c r="AQ54" i="138"/>
  <c r="AW89" i="144"/>
  <c r="BD89" i="144"/>
  <c r="BH89" i="144"/>
  <c r="AS25" i="143"/>
  <c r="D109" i="126"/>
  <c r="AU32" i="141"/>
  <c r="AO54" i="135"/>
  <c r="AQ54" i="135"/>
  <c r="G45" i="146"/>
  <c r="AQ37" i="143"/>
  <c r="AE78" i="139"/>
  <c r="AM82" i="139"/>
  <c r="AY42" i="139"/>
  <c r="AY86" i="135"/>
  <c r="D153" i="126"/>
  <c r="BA16" i="141"/>
  <c r="AQ25" i="143"/>
  <c r="BA25" i="143"/>
  <c r="BH108" i="142"/>
  <c r="AI50" i="139"/>
  <c r="BD85" i="144"/>
  <c r="AI94" i="137"/>
  <c r="AE94" i="137"/>
  <c r="AE54" i="138"/>
  <c r="AO54" i="138"/>
  <c r="BA89" i="144"/>
  <c r="BF25" i="143"/>
  <c r="AY25" i="143"/>
  <c r="AY69" i="144"/>
  <c r="BD116" i="141"/>
  <c r="AK34" i="136"/>
  <c r="AK90" i="136"/>
  <c r="AG90" i="137"/>
  <c r="BD81" i="143"/>
  <c r="BF41" i="143"/>
  <c r="AY118" i="140"/>
  <c r="AW22" i="136"/>
  <c r="AK102" i="139"/>
  <c r="AM58" i="139"/>
  <c r="CE44" i="141"/>
  <c r="F360" i="126"/>
  <c r="N231" i="126" s="1"/>
  <c r="G231" i="126" s="1"/>
  <c r="BZ74" i="136"/>
  <c r="BR66" i="135"/>
  <c r="BT66" i="135"/>
  <c r="BX66" i="135"/>
  <c r="BV66" i="135"/>
  <c r="CB66" i="135"/>
  <c r="F141" i="126"/>
  <c r="BL90" i="137"/>
  <c r="CC37" i="144"/>
  <c r="BS58" i="140"/>
  <c r="BS16" i="141"/>
  <c r="BU106" i="140"/>
  <c r="BY105" i="143"/>
  <c r="BW24" i="142"/>
  <c r="BU100" i="141"/>
  <c r="BM32" i="141"/>
  <c r="BQ116" i="141"/>
  <c r="CC45" i="144"/>
  <c r="CA48" i="142"/>
  <c r="CD18" i="139"/>
  <c r="CC57" i="143"/>
  <c r="F112" i="126"/>
  <c r="CA44" i="142"/>
  <c r="AO112" i="141"/>
  <c r="E154" i="146"/>
  <c r="AQ101" i="143"/>
  <c r="BD33" i="145"/>
  <c r="E40" i="126"/>
  <c r="BH102" i="140"/>
  <c r="AW82" i="139"/>
  <c r="AW106" i="139"/>
  <c r="AU21" i="144"/>
  <c r="AU86" i="135"/>
  <c r="AY96" i="142"/>
  <c r="AO98" i="140"/>
  <c r="AI110" i="139"/>
  <c r="AY81" i="143"/>
  <c r="AY90" i="137"/>
  <c r="AU105" i="144"/>
  <c r="AK14" i="136"/>
  <c r="E14" i="126"/>
  <c r="AW34" i="136"/>
  <c r="AI82" i="137"/>
  <c r="AM102" i="139"/>
  <c r="G69" i="146"/>
  <c r="BJ120" i="142"/>
  <c r="AY76" i="142"/>
  <c r="AU66" i="135"/>
  <c r="AM42" i="137"/>
  <c r="D96" i="126"/>
  <c r="AY110" i="140"/>
  <c r="BF25" i="145"/>
  <c r="D25" i="126"/>
  <c r="AU90" i="137"/>
  <c r="D73" i="126"/>
  <c r="AM14" i="136"/>
  <c r="AW58" i="135"/>
  <c r="AI106" i="136"/>
  <c r="AM118" i="138"/>
  <c r="AY120" i="142"/>
  <c r="AW62" i="139"/>
  <c r="AG86" i="138"/>
  <c r="AY112" i="141"/>
  <c r="BJ108" i="142"/>
  <c r="AK50" i="139"/>
  <c r="AU101" i="143"/>
  <c r="BF85" i="144"/>
  <c r="E61" i="146"/>
  <c r="AS45" i="143"/>
  <c r="AY108" i="142"/>
  <c r="BH92" i="141"/>
  <c r="AU50" i="139"/>
  <c r="BF101" i="143"/>
  <c r="AW42" i="137"/>
  <c r="BF102" i="140"/>
  <c r="AK82" i="139"/>
  <c r="AS85" i="144"/>
  <c r="AG42" i="139"/>
  <c r="BF94" i="140"/>
  <c r="AG86" i="135"/>
  <c r="BA110" i="140"/>
  <c r="AW30" i="136"/>
  <c r="AW14" i="136"/>
  <c r="AY58" i="135"/>
  <c r="AE106" i="136"/>
  <c r="G75" i="146"/>
  <c r="AQ118" i="138"/>
  <c r="AS116" i="141"/>
  <c r="BO48" i="142"/>
  <c r="BR18" i="139"/>
  <c r="BM24" i="142"/>
  <c r="BS112" i="141"/>
  <c r="F138" i="126"/>
  <c r="CD90" i="137"/>
  <c r="F125" i="126"/>
  <c r="CG37" i="144"/>
  <c r="BY97" i="143"/>
  <c r="G54" i="126"/>
  <c r="BO92" i="141"/>
  <c r="CA77" i="144"/>
  <c r="BT34" i="136"/>
  <c r="BN74" i="136"/>
  <c r="BW58" i="140"/>
  <c r="BQ16" i="141"/>
  <c r="BO68" i="142"/>
  <c r="BO25" i="143"/>
  <c r="CE53" i="144"/>
  <c r="BW57" i="143"/>
  <c r="BQ41" i="143"/>
  <c r="BW36" i="142"/>
  <c r="BW40" i="142"/>
  <c r="CE96" i="141"/>
  <c r="BW89" i="143"/>
  <c r="BU28" i="141"/>
  <c r="CE98" i="140"/>
  <c r="CE97" i="143"/>
  <c r="BX42" i="138"/>
  <c r="BU92" i="141"/>
  <c r="BO77" i="144"/>
  <c r="BT26" i="139"/>
  <c r="BV34" i="136"/>
  <c r="BW68" i="141"/>
  <c r="BQ68" i="142"/>
  <c r="BU65" i="144"/>
  <c r="CE84" i="141"/>
  <c r="BW100" i="141"/>
  <c r="CG112" i="141"/>
  <c r="BU36" i="141"/>
  <c r="BL18" i="139"/>
  <c r="BS57" i="143"/>
  <c r="BQ24" i="142"/>
  <c r="BS44" i="141"/>
  <c r="BY100" i="141"/>
  <c r="BO112" i="141"/>
  <c r="CA41" i="143"/>
  <c r="BQ36" i="141"/>
  <c r="BU36" i="142"/>
  <c r="BU40" i="142"/>
  <c r="BQ28" i="141"/>
  <c r="BQ68" i="141"/>
  <c r="BY65" i="144"/>
  <c r="CC105" i="143"/>
  <c r="CG25" i="143"/>
  <c r="BS45" i="144"/>
  <c r="BQ45" i="144"/>
  <c r="CE25" i="143"/>
  <c r="BS25" i="143"/>
  <c r="BY25" i="143"/>
  <c r="BU68" i="142"/>
  <c r="BW68" i="142"/>
  <c r="F146" i="126"/>
  <c r="BA41" i="143"/>
  <c r="AQ41" i="143"/>
  <c r="AY105" i="144"/>
  <c r="AO105" i="144"/>
  <c r="AS105" i="144"/>
  <c r="CF26" i="139"/>
  <c r="BV26" i="139"/>
  <c r="BL26" i="139"/>
  <c r="BT42" i="138"/>
  <c r="CF42" i="138"/>
  <c r="BV42" i="138"/>
  <c r="CB90" i="137"/>
  <c r="BR90" i="137"/>
  <c r="G46" i="126"/>
  <c r="CA89" i="143"/>
  <c r="BQ89" i="143"/>
  <c r="L195" i="126"/>
  <c r="L176" i="126"/>
  <c r="G176" i="126" s="1"/>
  <c r="Y176" i="126" s="1"/>
  <c r="Z176" i="126" s="1"/>
  <c r="D21" i="148" s="1"/>
  <c r="BA69" i="144"/>
  <c r="AQ69" i="144"/>
  <c r="AI106" i="139"/>
  <c r="AS106" i="139"/>
  <c r="AG106" i="139"/>
  <c r="BM96" i="141"/>
  <c r="BS96" i="141"/>
  <c r="BQ96" i="141"/>
  <c r="AO122" i="138"/>
  <c r="AE122" i="138"/>
  <c r="AI122" i="138"/>
  <c r="AG122" i="138"/>
  <c r="AS122" i="138"/>
  <c r="E64" i="126"/>
  <c r="AM122" i="138"/>
  <c r="AK122" i="138"/>
  <c r="AQ122" i="138"/>
  <c r="AY122" i="138"/>
  <c r="AW122" i="138"/>
  <c r="AU122" i="138"/>
  <c r="F61" i="146"/>
  <c r="AO45" i="143"/>
  <c r="BA45" i="143"/>
  <c r="AY45" i="143"/>
  <c r="BJ98" i="140"/>
  <c r="AS98" i="140"/>
  <c r="AY98" i="140"/>
  <c r="AO34" i="136"/>
  <c r="AU34" i="136"/>
  <c r="AI34" i="136"/>
  <c r="AY50" i="138"/>
  <c r="AO50" i="138"/>
  <c r="AE50" i="138"/>
  <c r="AQ50" i="138"/>
  <c r="AG50" i="138"/>
  <c r="AS50" i="138"/>
  <c r="AW50" i="138"/>
  <c r="E55" i="126"/>
  <c r="AU50" i="138"/>
  <c r="AI50" i="138"/>
  <c r="AM50" i="138"/>
  <c r="AK50" i="138"/>
  <c r="CA84" i="141"/>
  <c r="BO84" i="141"/>
  <c r="CC84" i="141"/>
  <c r="BS84" i="141"/>
  <c r="BQ84" i="141"/>
  <c r="BW84" i="141"/>
  <c r="BM84" i="141"/>
  <c r="BY84" i="141"/>
  <c r="F122" i="126"/>
  <c r="CG97" i="143"/>
  <c r="CA97" i="143"/>
  <c r="AS37" i="143"/>
  <c r="BF37" i="143"/>
  <c r="BD37" i="143"/>
  <c r="AM78" i="139"/>
  <c r="AY78" i="139"/>
  <c r="AG78" i="139"/>
  <c r="AU22" i="136"/>
  <c r="AO22" i="136"/>
  <c r="AG22" i="136"/>
  <c r="G23" i="146"/>
  <c r="CC44" i="142"/>
  <c r="BS44" i="142"/>
  <c r="CG44" i="142"/>
  <c r="CE32" i="141"/>
  <c r="BS32" i="141"/>
  <c r="F109" i="126"/>
  <c r="BY98" i="140"/>
  <c r="BM98" i="140"/>
  <c r="F97" i="126"/>
  <c r="BY106" i="140"/>
  <c r="BM106" i="140"/>
  <c r="F99" i="126"/>
  <c r="BH21" i="144"/>
  <c r="AW21" i="144"/>
  <c r="AS21" i="144"/>
  <c r="BF101" i="144"/>
  <c r="AU101" i="144"/>
  <c r="AS101" i="144"/>
  <c r="AW101" i="144"/>
  <c r="BA101" i="144"/>
  <c r="AQ101" i="144"/>
  <c r="BD101" i="144"/>
  <c r="AY101" i="144"/>
  <c r="BH101" i="144"/>
  <c r="BJ101" i="144"/>
  <c r="AO101" i="144"/>
  <c r="BD96" i="142"/>
  <c r="AU96" i="142"/>
  <c r="BH96" i="142"/>
  <c r="AS16" i="141"/>
  <c r="BH16" i="141"/>
  <c r="AY16" i="141"/>
  <c r="AW16" i="141"/>
  <c r="E103" i="146"/>
  <c r="BF16" i="141"/>
  <c r="AO16" i="141"/>
  <c r="AU102" i="137"/>
  <c r="AK102" i="137"/>
  <c r="AW102" i="137"/>
  <c r="G47" i="146"/>
  <c r="AE102" i="137"/>
  <c r="AQ102" i="137"/>
  <c r="D48" i="126"/>
  <c r="AS102" i="137"/>
  <c r="AO102" i="137"/>
  <c r="BW108" i="141"/>
  <c r="BM108" i="141"/>
  <c r="BS108" i="141"/>
  <c r="CC108" i="141"/>
  <c r="BY108" i="141"/>
  <c r="F128" i="126"/>
  <c r="CE108" i="141"/>
  <c r="BQ108" i="141"/>
  <c r="BY65" i="143"/>
  <c r="BO65" i="143"/>
  <c r="BS65" i="143"/>
  <c r="CE65" i="143"/>
  <c r="BU65" i="143"/>
  <c r="BW65" i="143"/>
  <c r="AU29" i="144"/>
  <c r="BH29" i="144"/>
  <c r="BF29" i="144"/>
  <c r="BJ29" i="144"/>
  <c r="AY29" i="144"/>
  <c r="AW29" i="144"/>
  <c r="BD29" i="144"/>
  <c r="AO29" i="144"/>
  <c r="AQ29" i="144"/>
  <c r="BA29" i="144"/>
  <c r="AS29" i="144"/>
  <c r="BJ85" i="143"/>
  <c r="AY85" i="143"/>
  <c r="AO85" i="143"/>
  <c r="AS85" i="143"/>
  <c r="BF85" i="143"/>
  <c r="AU85" i="143"/>
  <c r="BA85" i="143"/>
  <c r="BD85" i="143"/>
  <c r="AE74" i="136"/>
  <c r="AY74" i="136"/>
  <c r="E30" i="126"/>
  <c r="AU74" i="136"/>
  <c r="AK74" i="136"/>
  <c r="AO74" i="136"/>
  <c r="F28" i="146"/>
  <c r="AQ74" i="136"/>
  <c r="AG82" i="137"/>
  <c r="AS82" i="137"/>
  <c r="AY82" i="137"/>
  <c r="BJ25" i="145"/>
  <c r="AY25" i="145"/>
  <c r="AO25" i="145"/>
  <c r="BD97" i="143"/>
  <c r="BH97" i="143"/>
  <c r="AU97" i="143"/>
  <c r="AY97" i="143"/>
  <c r="AO97" i="143"/>
  <c r="AS97" i="143"/>
  <c r="AW97" i="143"/>
  <c r="AW112" i="141"/>
  <c r="D156" i="126"/>
  <c r="BF108" i="142"/>
  <c r="BW48" i="142"/>
  <c r="BP18" i="139"/>
  <c r="BQ57" i="143"/>
  <c r="CA57" i="143"/>
  <c r="CE24" i="142"/>
  <c r="AQ92" i="141"/>
  <c r="AW92" i="141"/>
  <c r="AG50" i="139"/>
  <c r="CC44" i="141"/>
  <c r="BQ44" i="141"/>
  <c r="BQ100" i="141"/>
  <c r="BA101" i="143"/>
  <c r="BH101" i="143"/>
  <c r="BA33" i="145"/>
  <c r="CA112" i="141"/>
  <c r="BY41" i="143"/>
  <c r="AS42" i="137"/>
  <c r="AI42" i="137"/>
  <c r="AU82" i="139"/>
  <c r="BA85" i="144"/>
  <c r="BY36" i="141"/>
  <c r="CE36" i="142"/>
  <c r="BP90" i="137"/>
  <c r="BQ40" i="142"/>
  <c r="CC40" i="142"/>
  <c r="BJ45" i="143"/>
  <c r="BF45" i="143"/>
  <c r="E68" i="126"/>
  <c r="AS42" i="139"/>
  <c r="AK106" i="139"/>
  <c r="CA96" i="141"/>
  <c r="BW37" i="144"/>
  <c r="AO94" i="140"/>
  <c r="AY94" i="140"/>
  <c r="AY21" i="144"/>
  <c r="BU89" i="143"/>
  <c r="AQ86" i="135"/>
  <c r="BS98" i="140"/>
  <c r="BO97" i="143"/>
  <c r="AU37" i="143"/>
  <c r="BN42" i="138"/>
  <c r="AO110" i="140"/>
  <c r="BW92" i="141"/>
  <c r="BS77" i="144"/>
  <c r="BF96" i="142"/>
  <c r="G66" i="126"/>
  <c r="BX26" i="139"/>
  <c r="D97" i="126"/>
  <c r="AW98" i="140"/>
  <c r="AU98" i="140"/>
  <c r="AQ25" i="145"/>
  <c r="BH69" i="144"/>
  <c r="BD69" i="144"/>
  <c r="BO44" i="142"/>
  <c r="BZ34" i="136"/>
  <c r="G30" i="126"/>
  <c r="CD74" i="136"/>
  <c r="AO30" i="136"/>
  <c r="AM110" i="139"/>
  <c r="BS68" i="141"/>
  <c r="CA68" i="141"/>
  <c r="G84" i="126"/>
  <c r="CE58" i="140"/>
  <c r="BJ81" i="143"/>
  <c r="AO81" i="143"/>
  <c r="AK90" i="137"/>
  <c r="BY16" i="141"/>
  <c r="G44" i="146"/>
  <c r="G72" i="146"/>
  <c r="AU78" i="139"/>
  <c r="BA105" i="144"/>
  <c r="AQ14" i="136"/>
  <c r="CC68" i="142"/>
  <c r="CC106" i="140"/>
  <c r="BS65" i="144"/>
  <c r="BU32" i="141"/>
  <c r="AK58" i="135"/>
  <c r="BU105" i="143"/>
  <c r="AK22" i="136"/>
  <c r="AY34" i="136"/>
  <c r="AY106" i="136"/>
  <c r="AS102" i="139"/>
  <c r="AU102" i="139"/>
  <c r="AY118" i="138"/>
  <c r="AY116" i="141"/>
  <c r="BF120" i="142"/>
  <c r="AO90" i="136"/>
  <c r="BF76" i="142"/>
  <c r="CA65" i="143"/>
  <c r="CG65" i="143"/>
  <c r="AS74" i="136"/>
  <c r="AW86" i="138"/>
  <c r="BA112" i="141"/>
  <c r="BD112" i="141"/>
  <c r="AW108" i="142"/>
  <c r="AS108" i="142"/>
  <c r="CE48" i="142"/>
  <c r="G65" i="126"/>
  <c r="BX18" i="139"/>
  <c r="CE57" i="143"/>
  <c r="BY57" i="143"/>
  <c r="BM57" i="143"/>
  <c r="CG24" i="142"/>
  <c r="CC24" i="142"/>
  <c r="AU92" i="141"/>
  <c r="AE50" i="139"/>
  <c r="AY50" i="139"/>
  <c r="BO44" i="141"/>
  <c r="CE100" i="141"/>
  <c r="AY101" i="143"/>
  <c r="AY33" i="145"/>
  <c r="AW33" i="145"/>
  <c r="BU112" i="141"/>
  <c r="CE112" i="141"/>
  <c r="BO41" i="143"/>
  <c r="BU41" i="143"/>
  <c r="AK42" i="137"/>
  <c r="AQ42" i="137"/>
  <c r="AY102" i="140"/>
  <c r="AS102" i="140"/>
  <c r="BJ102" i="140"/>
  <c r="AG82" i="139"/>
  <c r="AY85" i="144"/>
  <c r="BO36" i="141"/>
  <c r="CF90" i="137"/>
  <c r="BN90" i="137"/>
  <c r="AQ45" i="143"/>
  <c r="AU45" i="143"/>
  <c r="AO106" i="139"/>
  <c r="CG96" i="141"/>
  <c r="BA21" i="144"/>
  <c r="CG89" i="143"/>
  <c r="CC28" i="141"/>
  <c r="BO98" i="140"/>
  <c r="BQ97" i="143"/>
  <c r="AO37" i="143"/>
  <c r="BH37" i="143"/>
  <c r="BJ96" i="142"/>
  <c r="BN26" i="139"/>
  <c r="BD98" i="140"/>
  <c r="BH25" i="145"/>
  <c r="AO69" i="144"/>
  <c r="AS69" i="144"/>
  <c r="F140" i="126"/>
  <c r="BW44" i="142"/>
  <c r="BU44" i="142"/>
  <c r="CD34" i="136"/>
  <c r="BR34" i="136"/>
  <c r="BP74" i="136"/>
  <c r="AY30" i="136"/>
  <c r="G24" i="146"/>
  <c r="D77" i="126"/>
  <c r="AO110" i="139"/>
  <c r="F118" i="126"/>
  <c r="CE68" i="141"/>
  <c r="BY58" i="140"/>
  <c r="BA81" i="143"/>
  <c r="AW90" i="137"/>
  <c r="CC16" i="141"/>
  <c r="AO41" i="143"/>
  <c r="BH41" i="143"/>
  <c r="BD41" i="143"/>
  <c r="AW78" i="139"/>
  <c r="AK78" i="139"/>
  <c r="BD105" i="144"/>
  <c r="BH105" i="144"/>
  <c r="D23" i="126"/>
  <c r="BM68" i="142"/>
  <c r="CE68" i="142"/>
  <c r="BW106" i="140"/>
  <c r="BQ106" i="140"/>
  <c r="CE65" i="144"/>
  <c r="CA32" i="141"/>
  <c r="BY32" i="141"/>
  <c r="AS58" i="135"/>
  <c r="CA105" i="143"/>
  <c r="D24" i="126"/>
  <c r="AI22" i="136"/>
  <c r="AM22" i="136"/>
  <c r="AM34" i="136"/>
  <c r="AQ34" i="136"/>
  <c r="E34" i="126"/>
  <c r="AK82" i="137"/>
  <c r="AO82" i="137"/>
  <c r="AG102" i="139"/>
  <c r="G63" i="146"/>
  <c r="AO118" i="138"/>
  <c r="D130" i="126"/>
  <c r="AO116" i="141"/>
  <c r="AW120" i="142"/>
  <c r="BJ16" i="141"/>
  <c r="AW85" i="143"/>
  <c r="BA97" i="143"/>
  <c r="BM65" i="143"/>
  <c r="CA108" i="141"/>
  <c r="AW74" i="136"/>
  <c r="AM74" i="136"/>
  <c r="AI102" i="137"/>
  <c r="BQ81" i="143"/>
  <c r="CC81" i="143"/>
  <c r="BS81" i="143"/>
  <c r="CA25" i="143"/>
  <c r="BQ25" i="143"/>
  <c r="CA56" i="142"/>
  <c r="CC56" i="142"/>
  <c r="BM56" i="142"/>
  <c r="CC29" i="144"/>
  <c r="CA29" i="144"/>
  <c r="CG29" i="144"/>
  <c r="BU29" i="144"/>
  <c r="BQ29" i="144"/>
  <c r="BO29" i="144"/>
  <c r="BM29" i="144"/>
  <c r="CE29" i="144"/>
  <c r="BW29" i="144"/>
  <c r="CA76" i="141"/>
  <c r="CE76" i="141"/>
  <c r="F120" i="126"/>
  <c r="CD82" i="137"/>
  <c r="BT82" i="137"/>
  <c r="G45" i="126"/>
  <c r="CF106" i="137"/>
  <c r="BT106" i="137"/>
  <c r="BX106" i="137"/>
  <c r="BH45" i="144"/>
  <c r="BA45" i="144"/>
  <c r="AW45" i="144"/>
  <c r="AQ45" i="144"/>
  <c r="BF45" i="144"/>
  <c r="AS45" i="144"/>
  <c r="BJ45" i="144"/>
  <c r="AU45" i="144"/>
  <c r="BD45" i="144"/>
  <c r="AO45" i="144"/>
  <c r="BA29" i="145"/>
  <c r="AQ29" i="145"/>
  <c r="E116" i="146"/>
  <c r="BD72" i="141"/>
  <c r="BA72" i="141"/>
  <c r="AS72" i="141"/>
  <c r="AU74" i="135"/>
  <c r="AQ74" i="135"/>
  <c r="AW74" i="135"/>
  <c r="CG33" i="143"/>
  <c r="BW33" i="143"/>
  <c r="BM33" i="143"/>
  <c r="BS94" i="140"/>
  <c r="CC94" i="140"/>
  <c r="BU94" i="140"/>
  <c r="CC69" i="144"/>
  <c r="BS69" i="144"/>
  <c r="CE69" i="144"/>
  <c r="BT98" i="139"/>
  <c r="BN98" i="139"/>
  <c r="BV98" i="139"/>
  <c r="BL98" i="139"/>
  <c r="CB98" i="139"/>
  <c r="BR98" i="139"/>
  <c r="G75" i="126"/>
  <c r="BX98" i="139"/>
  <c r="BZ98" i="139"/>
  <c r="BP98" i="139"/>
  <c r="CA80" i="142"/>
  <c r="BO80" i="142"/>
  <c r="F149" i="126"/>
  <c r="CE77" i="143"/>
  <c r="BU77" i="143"/>
  <c r="BQ77" i="143"/>
  <c r="BO33" i="145"/>
  <c r="CA33" i="145"/>
  <c r="BY33" i="145"/>
  <c r="BU80" i="141"/>
  <c r="CE80" i="141"/>
  <c r="CA80" i="141"/>
  <c r="AS66" i="139"/>
  <c r="AI66" i="139"/>
  <c r="AO66" i="139"/>
  <c r="BF33" i="144"/>
  <c r="AU33" i="144"/>
  <c r="AY33" i="144"/>
  <c r="AW33" i="144"/>
  <c r="BJ33" i="144"/>
  <c r="AQ33" i="144"/>
  <c r="BA33" i="144"/>
  <c r="AS33" i="144"/>
  <c r="BH33" i="144"/>
  <c r="AO33" i="144"/>
  <c r="BD33" i="144"/>
  <c r="BH118" i="140"/>
  <c r="AW118" i="140"/>
  <c r="BF118" i="140"/>
  <c r="AE110" i="138"/>
  <c r="AQ110" i="138"/>
  <c r="AG110" i="138"/>
  <c r="AS46" i="135"/>
  <c r="AY46" i="135"/>
  <c r="D13" i="126"/>
  <c r="E10" i="146"/>
  <c r="BA89" i="143"/>
  <c r="AQ89" i="143"/>
  <c r="CF106" i="139"/>
  <c r="BN106" i="139"/>
  <c r="CB106" i="139"/>
  <c r="CG88" i="141"/>
  <c r="BY88" i="141"/>
  <c r="F123" i="126"/>
  <c r="BV74" i="135"/>
  <c r="BR74" i="135"/>
  <c r="BL74" i="135"/>
  <c r="E41" i="146"/>
  <c r="CA40" i="142"/>
  <c r="BO40" i="142"/>
  <c r="F139" i="126"/>
  <c r="CE36" i="141"/>
  <c r="BS36" i="141"/>
  <c r="F110" i="126"/>
  <c r="CF34" i="136"/>
  <c r="BL34" i="136"/>
  <c r="G25" i="126"/>
  <c r="BH81" i="143"/>
  <c r="AW81" i="143"/>
  <c r="AS81" i="143"/>
  <c r="AS90" i="137"/>
  <c r="AI90" i="137"/>
  <c r="E46" i="126"/>
  <c r="CG105" i="143"/>
  <c r="BW105" i="143"/>
  <c r="BM105" i="143"/>
  <c r="CG65" i="144"/>
  <c r="BW65" i="144"/>
  <c r="CC65" i="144"/>
  <c r="CE28" i="141"/>
  <c r="BS28" i="141"/>
  <c r="F108" i="126"/>
  <c r="CA92" i="141"/>
  <c r="CE92" i="141"/>
  <c r="F124" i="126"/>
  <c r="BY37" i="144"/>
  <c r="BO37" i="144"/>
  <c r="CA37" i="144"/>
  <c r="CC36" i="142"/>
  <c r="BS36" i="142"/>
  <c r="CG36" i="142"/>
  <c r="AY102" i="139"/>
  <c r="AW102" i="139"/>
  <c r="D76" i="126"/>
  <c r="BD76" i="142"/>
  <c r="AU76" i="142"/>
  <c r="AQ76" i="142"/>
  <c r="AO76" i="142"/>
  <c r="BH76" i="142"/>
  <c r="BA76" i="142"/>
  <c r="AS76" i="142"/>
  <c r="AQ58" i="135"/>
  <c r="AE58" i="135"/>
  <c r="AO58" i="135"/>
  <c r="F10" i="146"/>
  <c r="CG77" i="144"/>
  <c r="BW77" i="144"/>
  <c r="BM77" i="144"/>
  <c r="CC53" i="144"/>
  <c r="BS53" i="144"/>
  <c r="BO53" i="144"/>
  <c r="BM53" i="144"/>
  <c r="BY53" i="144"/>
  <c r="BW53" i="144"/>
  <c r="CA53" i="144"/>
  <c r="CG16" i="141"/>
  <c r="BW16" i="141"/>
  <c r="BU16" i="141"/>
  <c r="F105" i="126"/>
  <c r="AE86" i="135"/>
  <c r="AO86" i="135"/>
  <c r="AK86" i="135"/>
  <c r="AK30" i="136"/>
  <c r="AM30" i="136"/>
  <c r="AI30" i="136"/>
  <c r="AQ116" i="141"/>
  <c r="BH116" i="141"/>
  <c r="AU116" i="141"/>
  <c r="AO58" i="139"/>
  <c r="AE58" i="139"/>
  <c r="AQ58" i="139"/>
  <c r="AU58" i="139"/>
  <c r="AK58" i="139"/>
  <c r="AI58" i="139"/>
  <c r="AW58" i="139"/>
  <c r="AY58" i="139"/>
  <c r="BU68" i="141"/>
  <c r="BO68" i="141"/>
  <c r="BM68" i="141"/>
  <c r="BO58" i="140"/>
  <c r="CA58" i="140"/>
  <c r="BQ58" i="140"/>
  <c r="AQ90" i="136"/>
  <c r="AG90" i="136"/>
  <c r="AE90" i="136"/>
  <c r="AW90" i="136"/>
  <c r="AS90" i="136"/>
  <c r="AU90" i="136"/>
  <c r="AY90" i="136"/>
  <c r="AM90" i="136"/>
  <c r="AU110" i="140"/>
  <c r="BD110" i="140"/>
  <c r="AQ110" i="140"/>
  <c r="AM106" i="136"/>
  <c r="AQ106" i="136"/>
  <c r="AG106" i="136"/>
  <c r="AK42" i="139"/>
  <c r="AW42" i="139"/>
  <c r="AU42" i="139"/>
  <c r="AE14" i="138"/>
  <c r="AO14" i="138"/>
  <c r="D51" i="126"/>
  <c r="AU14" i="138"/>
  <c r="AW14" i="138"/>
  <c r="AG14" i="138"/>
  <c r="AM14" i="138"/>
  <c r="E49" i="146"/>
  <c r="AK14" i="138"/>
  <c r="G50" i="146"/>
  <c r="AS14" i="138"/>
  <c r="AQ14" i="138"/>
  <c r="BW116" i="141"/>
  <c r="BM116" i="141"/>
  <c r="BS116" i="141"/>
  <c r="CC116" i="141"/>
  <c r="BY116" i="141"/>
  <c r="F130" i="126"/>
  <c r="BU116" i="141"/>
  <c r="BV74" i="136"/>
  <c r="BL74" i="136"/>
  <c r="BX74" i="136"/>
  <c r="AI62" i="139"/>
  <c r="AU62" i="139"/>
  <c r="AK62" i="139"/>
  <c r="AY62" i="139"/>
  <c r="AO62" i="139"/>
  <c r="AE62" i="139"/>
  <c r="G70" i="146"/>
  <c r="AQ62" i="139"/>
  <c r="AS62" i="139"/>
  <c r="AO14" i="136"/>
  <c r="AY14" i="136"/>
  <c r="G22" i="146"/>
  <c r="E18" i="146"/>
  <c r="AY86" i="138"/>
  <c r="AO86" i="138"/>
  <c r="AE86" i="138"/>
  <c r="AS86" i="138"/>
  <c r="AI86" i="138"/>
  <c r="AU86" i="138"/>
  <c r="G59" i="146"/>
  <c r="AK86" i="138"/>
  <c r="AM86" i="138"/>
  <c r="AS66" i="135"/>
  <c r="E15" i="126"/>
  <c r="AM66" i="135"/>
  <c r="AO66" i="135"/>
  <c r="AY66" i="135"/>
  <c r="AE66" i="135"/>
  <c r="AG66" i="135"/>
  <c r="AQ66" i="135"/>
  <c r="AS120" i="142"/>
  <c r="BA120" i="142"/>
  <c r="BD120" i="142"/>
  <c r="AU120" i="142"/>
  <c r="BJ94" i="140"/>
  <c r="AS94" i="140"/>
  <c r="BD94" i="140"/>
  <c r="E94" i="146"/>
  <c r="AS118" i="138"/>
  <c r="AI118" i="138"/>
  <c r="AU118" i="138"/>
  <c r="D64" i="126"/>
  <c r="E73" i="146"/>
  <c r="AQ110" i="139"/>
  <c r="AG110" i="139"/>
  <c r="G76" i="146"/>
  <c r="AS112" i="141"/>
  <c r="BF112" i="141"/>
  <c r="AO108" i="142"/>
  <c r="BQ48" i="142"/>
  <c r="BM48" i="142"/>
  <c r="BT18" i="139"/>
  <c r="BZ18" i="139"/>
  <c r="BY24" i="142"/>
  <c r="BU24" i="142"/>
  <c r="AS92" i="141"/>
  <c r="G31" i="146"/>
  <c r="AS50" i="139"/>
  <c r="AQ50" i="139"/>
  <c r="CA44" i="141"/>
  <c r="BS100" i="141"/>
  <c r="CC100" i="141"/>
  <c r="AQ33" i="145"/>
  <c r="AO33" i="145"/>
  <c r="BM112" i="141"/>
  <c r="BW112" i="141"/>
  <c r="BW41" i="143"/>
  <c r="BM41" i="143"/>
  <c r="AU42" i="137"/>
  <c r="AQ102" i="140"/>
  <c r="BD102" i="140"/>
  <c r="AU102" i="140"/>
  <c r="E73" i="126"/>
  <c r="AI82" i="139"/>
  <c r="AQ85" i="144"/>
  <c r="CA36" i="141"/>
  <c r="BQ36" i="142"/>
  <c r="BT90" i="137"/>
  <c r="CE40" i="142"/>
  <c r="AO42" i="139"/>
  <c r="AU106" i="139"/>
  <c r="BW96" i="141"/>
  <c r="BS37" i="144"/>
  <c r="BD21" i="144"/>
  <c r="BY89" i="143"/>
  <c r="CA28" i="141"/>
  <c r="BY28" i="141"/>
  <c r="AI86" i="135"/>
  <c r="BU98" i="140"/>
  <c r="BW97" i="143"/>
  <c r="AY37" i="143"/>
  <c r="BR42" i="138"/>
  <c r="BH110" i="140"/>
  <c r="BY92" i="141"/>
  <c r="CE77" i="144"/>
  <c r="BA96" i="142"/>
  <c r="CB26" i="139"/>
  <c r="BD25" i="145"/>
  <c r="BF69" i="144"/>
  <c r="BM44" i="142"/>
  <c r="BP34" i="136"/>
  <c r="BR74" i="136"/>
  <c r="AG30" i="136"/>
  <c r="AY110" i="139"/>
  <c r="BM58" i="140"/>
  <c r="AO90" i="137"/>
  <c r="CA16" i="141"/>
  <c r="AY41" i="143"/>
  <c r="AU41" i="143"/>
  <c r="AQ78" i="139"/>
  <c r="AQ105" i="144"/>
  <c r="AI14" i="136"/>
  <c r="BY68" i="142"/>
  <c r="BO106" i="140"/>
  <c r="CA106" i="140"/>
  <c r="BO65" i="144"/>
  <c r="BQ32" i="141"/>
  <c r="AM58" i="135"/>
  <c r="BO105" i="143"/>
  <c r="AE22" i="136"/>
  <c r="AE34" i="136"/>
  <c r="AW106" i="136"/>
  <c r="AU106" i="136"/>
  <c r="AQ82" i="137"/>
  <c r="AU82" i="137"/>
  <c r="AO102" i="139"/>
  <c r="AG118" i="138"/>
  <c r="BA116" i="141"/>
  <c r="AO120" i="142"/>
  <c r="AU16" i="141"/>
  <c r="BJ97" i="143"/>
  <c r="CG116" i="141"/>
  <c r="BQ53" i="144"/>
  <c r="D71" i="126"/>
  <c r="BO108" i="141"/>
  <c r="AI66" i="135"/>
  <c r="AG102" i="137"/>
  <c r="G67" i="146"/>
  <c r="AG58" i="139"/>
  <c r="AI14" i="138"/>
  <c r="G14" i="146"/>
  <c r="D129" i="126"/>
  <c r="BD108" i="142"/>
  <c r="BY48" i="142"/>
  <c r="BU48" i="142"/>
  <c r="BN18" i="139"/>
  <c r="BS24" i="142"/>
  <c r="BA92" i="141"/>
  <c r="BD92" i="141"/>
  <c r="AO50" i="139"/>
  <c r="BM44" i="141"/>
  <c r="BY44" i="141"/>
  <c r="F126" i="126"/>
  <c r="CA100" i="141"/>
  <c r="AS101" i="143"/>
  <c r="AO101" i="143"/>
  <c r="BJ33" i="145"/>
  <c r="BQ112" i="141"/>
  <c r="CG41" i="143"/>
  <c r="G33" i="146"/>
  <c r="AG42" i="137"/>
  <c r="AS82" i="139"/>
  <c r="AQ82" i="139"/>
  <c r="AO85" i="144"/>
  <c r="BJ85" i="144"/>
  <c r="CC36" i="141"/>
  <c r="BY36" i="142"/>
  <c r="BS40" i="142"/>
  <c r="AI42" i="139"/>
  <c r="F73" i="146"/>
  <c r="AQ106" i="139"/>
  <c r="BO96" i="141"/>
  <c r="BM37" i="144"/>
  <c r="BA94" i="140"/>
  <c r="AO21" i="144"/>
  <c r="CE89" i="143"/>
  <c r="CC89" i="143"/>
  <c r="BO28" i="141"/>
  <c r="D18" i="126"/>
  <c r="CC98" i="140"/>
  <c r="CA98" i="140"/>
  <c r="BM97" i="143"/>
  <c r="CD42" i="138"/>
  <c r="BZ42" i="138"/>
  <c r="AW110" i="140"/>
  <c r="BJ110" i="140"/>
  <c r="CG92" i="141"/>
  <c r="BQ92" i="141"/>
  <c r="BQ77" i="144"/>
  <c r="AS96" i="142"/>
  <c r="BZ26" i="139"/>
  <c r="BF98" i="140"/>
  <c r="AU25" i="145"/>
  <c r="BJ112" i="141"/>
  <c r="BH112" i="141"/>
  <c r="AU108" i="142"/>
  <c r="AQ108" i="142"/>
  <c r="CG48" i="142"/>
  <c r="BS48" i="142"/>
  <c r="CB18" i="139"/>
  <c r="BV18" i="139"/>
  <c r="CF18" i="139"/>
  <c r="BO57" i="143"/>
  <c r="CG57" i="143"/>
  <c r="F135" i="126"/>
  <c r="BO24" i="142"/>
  <c r="D124" i="126"/>
  <c r="AY92" i="141"/>
  <c r="E69" i="126"/>
  <c r="AM50" i="139"/>
  <c r="BU44" i="141"/>
  <c r="BW44" i="141"/>
  <c r="CG100" i="141"/>
  <c r="BO100" i="141"/>
  <c r="BJ101" i="143"/>
  <c r="BD101" i="143"/>
  <c r="BH33" i="145"/>
  <c r="AU33" i="145"/>
  <c r="F129" i="126"/>
  <c r="BY112" i="141"/>
  <c r="CE41" i="143"/>
  <c r="BS41" i="143"/>
  <c r="F18" i="146"/>
  <c r="AE42" i="137"/>
  <c r="AO42" i="137"/>
  <c r="D98" i="126"/>
  <c r="AO102" i="140"/>
  <c r="AE82" i="139"/>
  <c r="AO82" i="139"/>
  <c r="AW85" i="144"/>
  <c r="BH85" i="144"/>
  <c r="BM36" i="141"/>
  <c r="BW36" i="141"/>
  <c r="BO36" i="142"/>
  <c r="BM36" i="142"/>
  <c r="BZ90" i="137"/>
  <c r="BV90" i="137"/>
  <c r="CG40" i="142"/>
  <c r="BM40" i="142"/>
  <c r="BH45" i="143"/>
  <c r="BD45" i="143"/>
  <c r="AE42" i="139"/>
  <c r="AQ42" i="139"/>
  <c r="E76" i="126"/>
  <c r="AE106" i="139"/>
  <c r="AY106" i="139"/>
  <c r="BY96" i="141"/>
  <c r="BU96" i="141"/>
  <c r="BU37" i="144"/>
  <c r="BQ37" i="144"/>
  <c r="AW94" i="140"/>
  <c r="BH94" i="140"/>
  <c r="BJ21" i="144"/>
  <c r="BF21" i="144"/>
  <c r="BO89" i="143"/>
  <c r="BS89" i="143"/>
  <c r="BM28" i="141"/>
  <c r="BW28" i="141"/>
  <c r="CA81" i="143"/>
  <c r="BW81" i="143"/>
  <c r="G17" i="146"/>
  <c r="AW86" i="135"/>
  <c r="AM86" i="135"/>
  <c r="BW98" i="140"/>
  <c r="BQ98" i="140"/>
  <c r="BS97" i="143"/>
  <c r="BU97" i="143"/>
  <c r="AW37" i="143"/>
  <c r="BA37" i="143"/>
  <c r="BP42" i="138"/>
  <c r="BL42" i="138"/>
  <c r="BF110" i="140"/>
  <c r="AS110" i="140"/>
  <c r="BS92" i="141"/>
  <c r="BM92" i="141"/>
  <c r="CC77" i="144"/>
  <c r="BY77" i="144"/>
  <c r="AQ96" i="142"/>
  <c r="AO96" i="142"/>
  <c r="BR26" i="139"/>
  <c r="CD26" i="139"/>
  <c r="AQ98" i="140"/>
  <c r="BA98" i="140"/>
  <c r="AW25" i="145"/>
  <c r="AS25" i="145"/>
  <c r="AW69" i="144"/>
  <c r="BJ69" i="144"/>
  <c r="BQ44" i="142"/>
  <c r="CE44" i="142"/>
  <c r="E16" i="126"/>
  <c r="AO74" i="135"/>
  <c r="AM74" i="135"/>
  <c r="BN34" i="136"/>
  <c r="CB34" i="136"/>
  <c r="F41" i="146"/>
  <c r="CF74" i="136"/>
  <c r="CB74" i="136"/>
  <c r="BY77" i="143"/>
  <c r="CC77" i="143"/>
  <c r="AE30" i="136"/>
  <c r="AU30" i="136"/>
  <c r="AS30" i="136"/>
  <c r="CC33" i="143"/>
  <c r="BY33" i="143"/>
  <c r="AU110" i="139"/>
  <c r="AW110" i="139"/>
  <c r="AS110" i="139"/>
  <c r="CG68" i="141"/>
  <c r="BY68" i="141"/>
  <c r="CB106" i="137"/>
  <c r="BR106" i="137"/>
  <c r="CG58" i="140"/>
  <c r="CC58" i="140"/>
  <c r="AU81" i="143"/>
  <c r="AQ81" i="143"/>
  <c r="BF29" i="145"/>
  <c r="BJ29" i="145"/>
  <c r="F143" i="126"/>
  <c r="CG56" i="142"/>
  <c r="BS56" i="142"/>
  <c r="AQ90" i="137"/>
  <c r="AM90" i="137"/>
  <c r="BM16" i="141"/>
  <c r="CE16" i="141"/>
  <c r="AW41" i="143"/>
  <c r="AS41" i="143"/>
  <c r="AO78" i="139"/>
  <c r="AS78" i="139"/>
  <c r="BJ105" i="144"/>
  <c r="AW105" i="144"/>
  <c r="BO69" i="144"/>
  <c r="CG69" i="144"/>
  <c r="AE14" i="136"/>
  <c r="AU14" i="136"/>
  <c r="AG14" i="136"/>
  <c r="CG68" i="142"/>
  <c r="BS68" i="142"/>
  <c r="CE106" i="140"/>
  <c r="CG106" i="140"/>
  <c r="BM65" i="144"/>
  <c r="BQ65" i="144"/>
  <c r="BS76" i="141"/>
  <c r="BM76" i="141"/>
  <c r="BQ80" i="142"/>
  <c r="BS80" i="142"/>
  <c r="CC32" i="141"/>
  <c r="BO32" i="141"/>
  <c r="CG32" i="141"/>
  <c r="AG58" i="135"/>
  <c r="AI58" i="135"/>
  <c r="BL106" i="139"/>
  <c r="CD106" i="139"/>
  <c r="AQ118" i="140"/>
  <c r="AS118" i="140"/>
  <c r="BS105" i="143"/>
  <c r="BQ105" i="143"/>
  <c r="BW25" i="143"/>
  <c r="BM25" i="143"/>
  <c r="AQ22" i="136"/>
  <c r="AS22" i="136"/>
  <c r="AS34" i="136"/>
  <c r="AG34" i="136"/>
  <c r="AO106" i="136"/>
  <c r="AS106" i="136"/>
  <c r="E45" i="126"/>
  <c r="AE82" i="137"/>
  <c r="AW82" i="137"/>
  <c r="AI102" i="139"/>
  <c r="AE102" i="139"/>
  <c r="AE118" i="138"/>
  <c r="AW118" i="138"/>
  <c r="BJ116" i="141"/>
  <c r="AW116" i="141"/>
  <c r="D159" i="126"/>
  <c r="AQ120" i="142"/>
  <c r="D105" i="126"/>
  <c r="AQ16" i="141"/>
  <c r="AQ85" i="143"/>
  <c r="BF97" i="143"/>
  <c r="E32" i="126"/>
  <c r="CA116" i="141"/>
  <c r="CE116" i="141"/>
  <c r="D148" i="126"/>
  <c r="AW76" i="142"/>
  <c r="BU53" i="144"/>
  <c r="AG62" i="139"/>
  <c r="CC65" i="143"/>
  <c r="CG108" i="141"/>
  <c r="AG74" i="136"/>
  <c r="G13" i="146"/>
  <c r="AW66" i="135"/>
  <c r="AY102" i="137"/>
  <c r="AS58" i="139"/>
  <c r="D60" i="126"/>
  <c r="BS29" i="144"/>
  <c r="BU84" i="141"/>
  <c r="BY29" i="144"/>
  <c r="D52" i="126"/>
  <c r="AK22" i="138"/>
  <c r="AO22" i="138"/>
  <c r="AE22" i="138"/>
  <c r="G51" i="146"/>
  <c r="AM22" i="138"/>
  <c r="AQ22" i="138"/>
  <c r="AI22" i="138"/>
  <c r="AY22" i="138"/>
  <c r="AU22" i="138"/>
  <c r="AW22" i="138"/>
  <c r="AS22" i="138"/>
  <c r="AG22" i="138"/>
  <c r="BJ49" i="144"/>
  <c r="AY49" i="144"/>
  <c r="AO49" i="144"/>
  <c r="BA49" i="144"/>
  <c r="AQ49" i="144"/>
  <c r="BD49" i="144"/>
  <c r="BH49" i="144"/>
  <c r="BF49" i="144"/>
  <c r="AU49" i="144"/>
  <c r="AW49" i="144"/>
  <c r="AS49" i="144"/>
  <c r="AE46" i="138"/>
  <c r="AQ46" i="138"/>
  <c r="AG46" i="138"/>
  <c r="AU46" i="138"/>
  <c r="AY46" i="138"/>
  <c r="D55" i="126"/>
  <c r="AI46" i="138"/>
  <c r="AW46" i="138"/>
  <c r="AK46" i="138"/>
  <c r="AM46" i="138"/>
  <c r="G54" i="146"/>
  <c r="AS46" i="138"/>
  <c r="AO46" i="138"/>
  <c r="G67" i="126"/>
  <c r="BR34" i="139"/>
  <c r="BV34" i="139"/>
  <c r="BP34" i="139"/>
  <c r="CB34" i="139"/>
  <c r="BL34" i="139"/>
  <c r="CD34" i="139"/>
  <c r="BZ34" i="139"/>
  <c r="BX34" i="139"/>
  <c r="BW33" i="144"/>
  <c r="CE33" i="144"/>
  <c r="CG33" i="144"/>
  <c r="BU33" i="144"/>
  <c r="CA33" i="144"/>
  <c r="BQ33" i="144"/>
  <c r="BO33" i="144"/>
  <c r="BS33" i="144"/>
  <c r="BY33" i="144"/>
  <c r="CD98" i="136"/>
  <c r="BL98" i="136"/>
  <c r="BR98" i="136"/>
  <c r="CF98" i="136"/>
  <c r="BV98" i="136"/>
  <c r="G33" i="126"/>
  <c r="BN98" i="136"/>
  <c r="BX98" i="136"/>
  <c r="CB98" i="136"/>
  <c r="BT98" i="136"/>
  <c r="BP98" i="136"/>
  <c r="BZ98" i="136"/>
  <c r="AW61" i="143"/>
  <c r="BJ61" i="143"/>
  <c r="AQ61" i="143"/>
  <c r="BD61" i="143"/>
  <c r="AS61" i="143"/>
  <c r="BD52" i="142"/>
  <c r="AQ52" i="142"/>
  <c r="AO52" i="142"/>
  <c r="AS52" i="142"/>
  <c r="AY52" i="142"/>
  <c r="D142" i="126"/>
  <c r="BJ52" i="142"/>
  <c r="BA52" i="142"/>
  <c r="BH52" i="142"/>
  <c r="BF52" i="142"/>
  <c r="AQ98" i="137"/>
  <c r="AG98" i="137"/>
  <c r="E47" i="126"/>
  <c r="AK98" i="137"/>
  <c r="AW98" i="137"/>
  <c r="AM98" i="137"/>
  <c r="AK94" i="136"/>
  <c r="AW94" i="136"/>
  <c r="D33" i="126"/>
  <c r="AY94" i="136"/>
  <c r="AG94" i="136"/>
  <c r="G32" i="146"/>
  <c r="AI94" i="136"/>
  <c r="AE94" i="136"/>
  <c r="AS94" i="136"/>
  <c r="AU94" i="136"/>
  <c r="AM94" i="136"/>
  <c r="AO94" i="136"/>
  <c r="AQ94" i="136"/>
  <c r="BA36" i="141"/>
  <c r="AQ36" i="141"/>
  <c r="AO36" i="141"/>
  <c r="BF36" i="141"/>
  <c r="AU36" i="141"/>
  <c r="D110" i="126"/>
  <c r="E106" i="146"/>
  <c r="G74" i="146"/>
  <c r="AO98" i="139"/>
  <c r="AE98" i="139"/>
  <c r="AI98" i="139"/>
  <c r="AU98" i="139"/>
  <c r="AK98" i="139"/>
  <c r="AQ98" i="139"/>
  <c r="AY98" i="139"/>
  <c r="AG98" i="139"/>
  <c r="AM98" i="139"/>
  <c r="E75" i="126"/>
  <c r="AI94" i="139"/>
  <c r="AM94" i="139"/>
  <c r="D75" i="126"/>
  <c r="AW94" i="139"/>
  <c r="AQ94" i="139"/>
  <c r="AE94" i="139"/>
  <c r="AY94" i="139"/>
  <c r="AO94" i="139"/>
  <c r="AS94" i="139"/>
  <c r="AG94" i="139"/>
  <c r="AU94" i="139"/>
  <c r="AK94" i="139"/>
  <c r="D151" i="126"/>
  <c r="AQ88" i="142"/>
  <c r="BY60" i="142"/>
  <c r="BQ60" i="142"/>
  <c r="AI30" i="137"/>
  <c r="AY30" i="137"/>
  <c r="AI82" i="135"/>
  <c r="AG82" i="135"/>
  <c r="AE74" i="137"/>
  <c r="AO74" i="137"/>
  <c r="AW72" i="142"/>
  <c r="AY72" i="142"/>
  <c r="AS77" i="143"/>
  <c r="G34" i="126"/>
  <c r="BZ106" i="136"/>
  <c r="E36" i="126"/>
  <c r="AG122" i="136"/>
  <c r="CC53" i="143"/>
  <c r="BW53" i="143"/>
  <c r="D21" i="126"/>
  <c r="AK110" i="135"/>
  <c r="BS61" i="143"/>
  <c r="AU93" i="144"/>
  <c r="AQ93" i="144"/>
  <c r="BJ76" i="141"/>
  <c r="AU76" i="141"/>
  <c r="BA61" i="143"/>
  <c r="AO98" i="137"/>
  <c r="AY36" i="141"/>
  <c r="BT34" i="139"/>
  <c r="CF34" i="139"/>
  <c r="CC33" i="144"/>
  <c r="CE52" i="142"/>
  <c r="BS52" i="142"/>
  <c r="BY52" i="142"/>
  <c r="BM52" i="142"/>
  <c r="BO52" i="142"/>
  <c r="BQ52" i="142"/>
  <c r="CG52" i="142"/>
  <c r="BU52" i="142"/>
  <c r="CC52" i="142"/>
  <c r="CA52" i="142"/>
  <c r="F142" i="126"/>
  <c r="BW52" i="142"/>
  <c r="BZ18" i="138"/>
  <c r="BP18" i="138"/>
  <c r="CB18" i="138"/>
  <c r="BR18" i="138"/>
  <c r="BT18" i="138"/>
  <c r="BL18" i="138"/>
  <c r="BN18" i="138"/>
  <c r="CF18" i="138"/>
  <c r="BV18" i="138"/>
  <c r="G51" i="126"/>
  <c r="BX18" i="138"/>
  <c r="CD18" i="138"/>
  <c r="G52" i="126"/>
  <c r="CD26" i="138"/>
  <c r="BR26" i="138"/>
  <c r="CF26" i="138"/>
  <c r="BV26" i="138"/>
  <c r="CB26" i="138"/>
  <c r="BX26" i="138"/>
  <c r="BL26" i="138"/>
  <c r="BP26" i="138"/>
  <c r="BN26" i="138"/>
  <c r="BT26" i="138"/>
  <c r="BZ26" i="138"/>
  <c r="CE61" i="144"/>
  <c r="BU61" i="144"/>
  <c r="BW61" i="144"/>
  <c r="BY61" i="144"/>
  <c r="CA61" i="144"/>
  <c r="BQ61" i="144"/>
  <c r="BS61" i="144"/>
  <c r="CG61" i="144"/>
  <c r="BM61" i="144"/>
  <c r="BO61" i="144"/>
  <c r="CC61" i="144"/>
  <c r="AQ61" i="144"/>
  <c r="BD61" i="144"/>
  <c r="BJ61" i="144"/>
  <c r="AY61" i="144"/>
  <c r="AU61" i="144"/>
  <c r="BA61" i="144"/>
  <c r="AS61" i="144"/>
  <c r="BH61" i="144"/>
  <c r="BF61" i="144"/>
  <c r="AW61" i="144"/>
  <c r="AO61" i="144"/>
  <c r="AQ114" i="138"/>
  <c r="AG114" i="138"/>
  <c r="AS114" i="138"/>
  <c r="AI114" i="138"/>
  <c r="AU114" i="138"/>
  <c r="AK114" i="138"/>
  <c r="AY114" i="138"/>
  <c r="AE114" i="138"/>
  <c r="E63" i="126"/>
  <c r="AO114" i="138"/>
  <c r="AM114" i="138"/>
  <c r="AW114" i="138"/>
  <c r="CE101" i="144"/>
  <c r="BU101" i="144"/>
  <c r="BQ101" i="144"/>
  <c r="BW101" i="144"/>
  <c r="CA101" i="144"/>
  <c r="BS101" i="144"/>
  <c r="CG101" i="144"/>
  <c r="BM101" i="144"/>
  <c r="BO101" i="144"/>
  <c r="BY101" i="144"/>
  <c r="CC101" i="144"/>
  <c r="F359" i="126"/>
  <c r="H248" i="126"/>
  <c r="AY30" i="139"/>
  <c r="AW30" i="139"/>
  <c r="D67" i="126"/>
  <c r="AU30" i="139"/>
  <c r="AK30" i="139"/>
  <c r="AI30" i="139"/>
  <c r="AM30" i="139"/>
  <c r="CG45" i="144"/>
  <c r="BU45" i="144"/>
  <c r="BO45" i="144"/>
  <c r="BY45" i="144"/>
  <c r="CE45" i="144"/>
  <c r="CA45" i="144"/>
  <c r="AM34" i="139"/>
  <c r="AY34" i="139"/>
  <c r="AW34" i="139"/>
  <c r="AE34" i="139"/>
  <c r="AQ34" i="139"/>
  <c r="AO34" i="139"/>
  <c r="AU34" i="139"/>
  <c r="AG34" i="139"/>
  <c r="E67" i="126"/>
  <c r="AS34" i="139"/>
  <c r="AK34" i="139"/>
  <c r="AI34" i="139"/>
  <c r="CG49" i="144"/>
  <c r="BW49" i="144"/>
  <c r="BM49" i="144"/>
  <c r="BO49" i="144"/>
  <c r="BQ49" i="144"/>
  <c r="CE49" i="144"/>
  <c r="BY49" i="144"/>
  <c r="CA49" i="144"/>
  <c r="CC49" i="144"/>
  <c r="BS49" i="144"/>
  <c r="BU49" i="144"/>
  <c r="BX50" i="138"/>
  <c r="CF50" i="138"/>
  <c r="BL50" i="138"/>
  <c r="BP50" i="138"/>
  <c r="CB50" i="138"/>
  <c r="BZ50" i="138"/>
  <c r="BV50" i="138"/>
  <c r="AO84" i="141"/>
  <c r="BH84" i="141"/>
  <c r="BJ84" i="141"/>
  <c r="BF84" i="141"/>
  <c r="AY84" i="141"/>
  <c r="AW84" i="141"/>
  <c r="AQ84" i="141"/>
  <c r="BD84" i="141"/>
  <c r="BA84" i="141"/>
  <c r="AU84" i="141"/>
  <c r="D122" i="126"/>
  <c r="AS84" i="141"/>
  <c r="AW98" i="136"/>
  <c r="AM98" i="136"/>
  <c r="AI98" i="136"/>
  <c r="AO98" i="136"/>
  <c r="AE98" i="136"/>
  <c r="AY98" i="136"/>
  <c r="AS98" i="136"/>
  <c r="AQ98" i="136"/>
  <c r="AU98" i="136"/>
  <c r="E33" i="126"/>
  <c r="AG98" i="136"/>
  <c r="AK98" i="136"/>
  <c r="N195" i="126"/>
  <c r="CB106" i="138"/>
  <c r="G270" i="126" l="1"/>
  <c r="G177" i="126"/>
  <c r="Y177" i="126" s="1"/>
  <c r="Z177" i="126" s="1"/>
  <c r="H108" i="126"/>
  <c r="F365" i="126"/>
  <c r="N170" i="126" s="1"/>
  <c r="G170" i="126" s="1"/>
  <c r="Y170" i="126" s="1"/>
  <c r="Z170" i="126" s="1"/>
  <c r="D15" i="148" s="1"/>
  <c r="H143" i="126"/>
  <c r="BP110" i="135"/>
  <c r="H124" i="126"/>
  <c r="BJ62" i="137"/>
  <c r="CD106" i="138"/>
  <c r="BP62" i="137"/>
  <c r="BR110" i="135"/>
  <c r="I249" i="126"/>
  <c r="F85" i="126"/>
  <c r="BH102" i="135"/>
  <c r="BU62" i="140"/>
  <c r="BV118" i="136"/>
  <c r="BS30" i="140"/>
  <c r="BP70" i="138"/>
  <c r="BR70" i="138"/>
  <c r="BF70" i="138"/>
  <c r="BL46" i="135"/>
  <c r="BF54" i="140"/>
  <c r="BH62" i="140"/>
  <c r="BR118" i="136"/>
  <c r="BV118" i="135"/>
  <c r="BD62" i="140"/>
  <c r="BP118" i="136"/>
  <c r="BL118" i="136"/>
  <c r="BB118" i="136"/>
  <c r="BO62" i="140"/>
  <c r="BJ62" i="140"/>
  <c r="F36" i="126"/>
  <c r="H36" i="126" s="1"/>
  <c r="BH70" i="138"/>
  <c r="BT46" i="135"/>
  <c r="BD70" i="138"/>
  <c r="BN70" i="138"/>
  <c r="BB70" i="138"/>
  <c r="BL70" i="138"/>
  <c r="BV70" i="138"/>
  <c r="F58" i="126"/>
  <c r="H58" i="126" s="1"/>
  <c r="BJ70" i="138"/>
  <c r="BT70" i="138"/>
  <c r="BU114" i="140"/>
  <c r="CG114" i="140"/>
  <c r="BO114" i="140"/>
  <c r="BD30" i="140"/>
  <c r="BQ30" i="140"/>
  <c r="BF30" i="140"/>
  <c r="BH30" i="140"/>
  <c r="BO30" i="140"/>
  <c r="H148" i="126"/>
  <c r="F237" i="126" s="1"/>
  <c r="Y237" i="126" s="1"/>
  <c r="Z237" i="126" s="1"/>
  <c r="D82" i="148" s="1"/>
  <c r="BR106" i="138"/>
  <c r="BP106" i="138"/>
  <c r="G62" i="126"/>
  <c r="BZ106" i="138"/>
  <c r="BH118" i="135"/>
  <c r="BQ62" i="140"/>
  <c r="BS62" i="140"/>
  <c r="BF62" i="140"/>
  <c r="BH118" i="136"/>
  <c r="BN118" i="136"/>
  <c r="BD118" i="136"/>
  <c r="BB62" i="140"/>
  <c r="BM62" i="140"/>
  <c r="BW62" i="140"/>
  <c r="BF118" i="136"/>
  <c r="BJ118" i="136"/>
  <c r="BT118" i="136"/>
  <c r="BT62" i="137"/>
  <c r="BB70" i="135"/>
  <c r="BF110" i="135"/>
  <c r="BF102" i="135"/>
  <c r="AW122" i="137"/>
  <c r="AS122" i="137"/>
  <c r="AY122" i="137"/>
  <c r="BH38" i="135"/>
  <c r="BT102" i="135"/>
  <c r="BF62" i="137"/>
  <c r="F21" i="126"/>
  <c r="BN110" i="135"/>
  <c r="BL102" i="135"/>
  <c r="F20" i="126"/>
  <c r="E50" i="126"/>
  <c r="F43" i="126"/>
  <c r="BR62" i="137"/>
  <c r="BB110" i="135"/>
  <c r="BP102" i="135"/>
  <c r="BD62" i="137"/>
  <c r="BH110" i="135"/>
  <c r="BB70" i="137"/>
  <c r="BB102" i="135"/>
  <c r="F48" i="146"/>
  <c r="AO114" i="137" s="1"/>
  <c r="AO122" i="137"/>
  <c r="BH62" i="137"/>
  <c r="BN62" i="137"/>
  <c r="BJ110" i="135"/>
  <c r="BV110" i="135"/>
  <c r="BR102" i="135"/>
  <c r="BD102" i="135"/>
  <c r="BB62" i="137"/>
  <c r="BL62" i="137"/>
  <c r="BV62" i="137"/>
  <c r="BL110" i="135"/>
  <c r="BD110" i="135"/>
  <c r="BT110" i="135"/>
  <c r="BV102" i="135"/>
  <c r="BJ102" i="135"/>
  <c r="BN102" i="135"/>
  <c r="AI122" i="137"/>
  <c r="AM122" i="137"/>
  <c r="H100" i="126"/>
  <c r="AQ122" i="137"/>
  <c r="AG122" i="137"/>
  <c r="AK122" i="137"/>
  <c r="BX106" i="138"/>
  <c r="BM30" i="140"/>
  <c r="H131" i="126"/>
  <c r="BN106" i="138"/>
  <c r="BL106" i="138"/>
  <c r="BB30" i="140"/>
  <c r="BW30" i="140"/>
  <c r="BV106" i="138"/>
  <c r="CF106" i="138"/>
  <c r="BT106" i="138"/>
  <c r="F81" i="126"/>
  <c r="BJ30" i="140"/>
  <c r="BU30" i="140"/>
  <c r="H154" i="126"/>
  <c r="H121" i="126"/>
  <c r="BW114" i="140"/>
  <c r="CC114" i="140"/>
  <c r="BS114" i="140"/>
  <c r="CE114" i="140"/>
  <c r="BQ114" i="140"/>
  <c r="CA114" i="140"/>
  <c r="F101" i="126"/>
  <c r="BM114" i="140"/>
  <c r="BY114" i="140"/>
  <c r="BH24" i="141"/>
  <c r="AQ17" i="143"/>
  <c r="AU58" i="137"/>
  <c r="AO90" i="139"/>
  <c r="BN38" i="139"/>
  <c r="AO93" i="143"/>
  <c r="BB86" i="138"/>
  <c r="BP14" i="136"/>
  <c r="BA64" i="141"/>
  <c r="BJ30" i="136"/>
  <c r="BB78" i="137"/>
  <c r="AU66" i="136"/>
  <c r="BH12" i="141"/>
  <c r="CC93" i="143"/>
  <c r="CB58" i="137"/>
  <c r="BP54" i="139"/>
  <c r="BA41" i="144"/>
  <c r="F30" i="126"/>
  <c r="H30" i="126" s="1"/>
  <c r="CA104" i="142"/>
  <c r="CE21" i="145"/>
  <c r="BJ32" i="142"/>
  <c r="BN70" i="139"/>
  <c r="BJ46" i="136"/>
  <c r="BT78" i="136"/>
  <c r="BU22" i="140"/>
  <c r="BD30" i="137"/>
  <c r="BN38" i="136"/>
  <c r="BD22" i="137"/>
  <c r="BL110" i="138"/>
  <c r="BJ84" i="142"/>
  <c r="CG13" i="143"/>
  <c r="BY13" i="143"/>
  <c r="BQ13" i="143"/>
  <c r="CE13" i="143"/>
  <c r="BW13" i="143"/>
  <c r="BO13" i="143"/>
  <c r="CC13" i="143"/>
  <c r="BM13" i="143"/>
  <c r="BU13" i="143"/>
  <c r="BS13" i="143"/>
  <c r="CA13" i="143"/>
  <c r="BT54" i="135"/>
  <c r="AW98" i="135"/>
  <c r="BB62" i="135"/>
  <c r="BH62" i="139"/>
  <c r="AS34" i="135"/>
  <c r="AY54" i="137"/>
  <c r="BY24" i="141"/>
  <c r="BU13" i="144"/>
  <c r="CD66" i="136"/>
  <c r="AW102" i="138"/>
  <c r="AO104" i="142"/>
  <c r="CG69" i="143"/>
  <c r="BL30" i="139"/>
  <c r="BT110" i="136"/>
  <c r="BR54" i="138"/>
  <c r="CA12" i="142"/>
  <c r="AS40" i="141"/>
  <c r="BD12" i="142"/>
  <c r="BJ46" i="140"/>
  <c r="AE38" i="140"/>
  <c r="BN78" i="135"/>
  <c r="BR46" i="135"/>
  <c r="BH54" i="140"/>
  <c r="BP86" i="135"/>
  <c r="BJ69" i="143"/>
  <c r="BQ40" i="141"/>
  <c r="CG90" i="140"/>
  <c r="BV102" i="136"/>
  <c r="BJ110" i="139"/>
  <c r="AU90" i="140"/>
  <c r="CA41" i="144"/>
  <c r="BJ13" i="144"/>
  <c r="BP34" i="135"/>
  <c r="CE57" i="144"/>
  <c r="BS42" i="140"/>
  <c r="BQ12" i="141"/>
  <c r="BJ102" i="137"/>
  <c r="BF22" i="136"/>
  <c r="AG106" i="138"/>
  <c r="CG17" i="143"/>
  <c r="BX98" i="135"/>
  <c r="BA21" i="145"/>
  <c r="BN94" i="137"/>
  <c r="BD46" i="139"/>
  <c r="CA84" i="142"/>
  <c r="BV38" i="138"/>
  <c r="BP30" i="138"/>
  <c r="BR78" i="138"/>
  <c r="BP22" i="139"/>
  <c r="BL54" i="136"/>
  <c r="BL38" i="135"/>
  <c r="BH118" i="139"/>
  <c r="BY18" i="140"/>
  <c r="BP118" i="135"/>
  <c r="AQ14" i="140"/>
  <c r="CE64" i="141"/>
  <c r="BD86" i="136"/>
  <c r="AW94" i="135"/>
  <c r="CA32" i="142"/>
  <c r="D11" i="126"/>
  <c r="BR118" i="138"/>
  <c r="BD78" i="139"/>
  <c r="CA25" i="144"/>
  <c r="BT102" i="139"/>
  <c r="BV86" i="137"/>
  <c r="BH114" i="140"/>
  <c r="BT38" i="137"/>
  <c r="BX90" i="139"/>
  <c r="AK62" i="136"/>
  <c r="BP62" i="138"/>
  <c r="BP14" i="137"/>
  <c r="BT14" i="139"/>
  <c r="BD70" i="140"/>
  <c r="BL70" i="135"/>
  <c r="BD70" i="137"/>
  <c r="BH13" i="143"/>
  <c r="AY13" i="143"/>
  <c r="AQ13" i="143"/>
  <c r="BF13" i="143"/>
  <c r="AW13" i="143"/>
  <c r="AO13" i="143"/>
  <c r="AU13" i="143"/>
  <c r="BJ13" i="143"/>
  <c r="AS13" i="143"/>
  <c r="BD13" i="143"/>
  <c r="BA13" i="143"/>
  <c r="AU122" i="137"/>
  <c r="BJ14" i="137"/>
  <c r="BR118" i="139"/>
  <c r="BL22" i="136"/>
  <c r="BB70" i="140"/>
  <c r="BH14" i="139"/>
  <c r="BV62" i="138"/>
  <c r="BL14" i="137"/>
  <c r="BN30" i="138"/>
  <c r="BB22" i="139"/>
  <c r="BV94" i="137"/>
  <c r="BV30" i="138"/>
  <c r="AK106" i="138"/>
  <c r="BB22" i="136"/>
  <c r="BN78" i="138"/>
  <c r="F54" i="126"/>
  <c r="H54" i="126" s="1"/>
  <c r="H127" i="126"/>
  <c r="CF58" i="137"/>
  <c r="AY14" i="140"/>
  <c r="AO38" i="140"/>
  <c r="AM14" i="140"/>
  <c r="BP78" i="135"/>
  <c r="AE14" i="140"/>
  <c r="BR102" i="137"/>
  <c r="AY97" i="144"/>
  <c r="AK14" i="140"/>
  <c r="AI62" i="136"/>
  <c r="BT46" i="139"/>
  <c r="BL78" i="138"/>
  <c r="BR62" i="138"/>
  <c r="BF21" i="145"/>
  <c r="AO14" i="140"/>
  <c r="V180" i="126"/>
  <c r="V249" i="126" s="1"/>
  <c r="AI14" i="140"/>
  <c r="BP54" i="138"/>
  <c r="AU14" i="140"/>
  <c r="AS14" i="140"/>
  <c r="D79" i="126"/>
  <c r="AG14" i="140"/>
  <c r="BM12" i="142"/>
  <c r="AE102" i="138"/>
  <c r="H149" i="126"/>
  <c r="E462" i="126"/>
  <c r="D371" i="126"/>
  <c r="BQ84" i="142"/>
  <c r="BF70" i="135"/>
  <c r="BT70" i="135"/>
  <c r="BA84" i="142"/>
  <c r="F44" i="126"/>
  <c r="BL70" i="137"/>
  <c r="E260" i="126"/>
  <c r="E262" i="126" s="1"/>
  <c r="BF110" i="136"/>
  <c r="AG34" i="135"/>
  <c r="BJ70" i="135"/>
  <c r="BH70" i="135"/>
  <c r="AO84" i="142"/>
  <c r="BF70" i="137"/>
  <c r="BT70" i="137"/>
  <c r="D260" i="126"/>
  <c r="D262" i="126" s="1"/>
  <c r="BF110" i="138"/>
  <c r="BF104" i="142"/>
  <c r="BO93" i="143"/>
  <c r="BS97" i="144"/>
  <c r="BU97" i="144"/>
  <c r="BW84" i="142"/>
  <c r="BV46" i="139"/>
  <c r="F84" i="126"/>
  <c r="BA97" i="144"/>
  <c r="BB46" i="135"/>
  <c r="BO54" i="140"/>
  <c r="BV78" i="138"/>
  <c r="BH54" i="136"/>
  <c r="BR38" i="138"/>
  <c r="F53" i="126"/>
  <c r="BH46" i="135"/>
  <c r="BF46" i="135"/>
  <c r="BB46" i="139"/>
  <c r="BJ54" i="140"/>
  <c r="BQ54" i="140"/>
  <c r="BJ94" i="137"/>
  <c r="BD78" i="138"/>
  <c r="BJ54" i="136"/>
  <c r="BT38" i="138"/>
  <c r="BR30" i="138"/>
  <c r="BD22" i="139"/>
  <c r="AI102" i="138"/>
  <c r="AI54" i="137"/>
  <c r="AY84" i="142"/>
  <c r="BJ110" i="138"/>
  <c r="H99" i="126"/>
  <c r="BQ12" i="142"/>
  <c r="CE13" i="144"/>
  <c r="CE69" i="143"/>
  <c r="BW12" i="142"/>
  <c r="BU18" i="140"/>
  <c r="CF90" i="139"/>
  <c r="BQ18" i="140"/>
  <c r="D29" i="126"/>
  <c r="AQ62" i="136"/>
  <c r="BJ70" i="140"/>
  <c r="BV14" i="137"/>
  <c r="BD118" i="139"/>
  <c r="BN118" i="135"/>
  <c r="F22" i="126"/>
  <c r="BL118" i="135"/>
  <c r="BO70" i="140"/>
  <c r="BM70" i="140"/>
  <c r="F65" i="126"/>
  <c r="BR14" i="139"/>
  <c r="BN14" i="137"/>
  <c r="BF118" i="139"/>
  <c r="BT86" i="137"/>
  <c r="BN70" i="135"/>
  <c r="BD70" i="135"/>
  <c r="BP70" i="135"/>
  <c r="BR118" i="135"/>
  <c r="BF118" i="135"/>
  <c r="BT118" i="135"/>
  <c r="BL62" i="138"/>
  <c r="BV70" i="137"/>
  <c r="BH70" i="137"/>
  <c r="BR70" i="137"/>
  <c r="BR38" i="135"/>
  <c r="BP14" i="139"/>
  <c r="BB86" i="137"/>
  <c r="BD62" i="138"/>
  <c r="BB38" i="135"/>
  <c r="AU62" i="136"/>
  <c r="AS62" i="136"/>
  <c r="AO62" i="136"/>
  <c r="BP22" i="137"/>
  <c r="BF70" i="140"/>
  <c r="BU70" i="140"/>
  <c r="BF14" i="139"/>
  <c r="BD14" i="139"/>
  <c r="F37" i="126"/>
  <c r="H37" i="126" s="1"/>
  <c r="BB14" i="137"/>
  <c r="F78" i="126"/>
  <c r="H78" i="126" s="1"/>
  <c r="BN118" i="139"/>
  <c r="BV70" i="135"/>
  <c r="F16" i="126"/>
  <c r="BB118" i="135"/>
  <c r="BJ118" i="135"/>
  <c r="F57" i="126"/>
  <c r="H57" i="126" s="1"/>
  <c r="BN62" i="138"/>
  <c r="BN70" i="137"/>
  <c r="BP70" i="137"/>
  <c r="AQ114" i="140"/>
  <c r="BV38" i="135"/>
  <c r="BT38" i="135"/>
  <c r="BF38" i="137"/>
  <c r="CC18" i="140"/>
  <c r="BS18" i="140"/>
  <c r="BW18" i="140"/>
  <c r="BT58" i="137"/>
  <c r="G79" i="126"/>
  <c r="F244" i="126" s="1"/>
  <c r="CG18" i="140"/>
  <c r="BM18" i="140"/>
  <c r="CE18" i="140"/>
  <c r="H144" i="126"/>
  <c r="BU84" i="142"/>
  <c r="BO97" i="144"/>
  <c r="H147" i="126"/>
  <c r="BP30" i="136"/>
  <c r="BP102" i="137"/>
  <c r="AM106" i="138"/>
  <c r="AE34" i="135"/>
  <c r="F24" i="126"/>
  <c r="AW32" i="142"/>
  <c r="BB78" i="136"/>
  <c r="BN54" i="139"/>
  <c r="G78" i="146"/>
  <c r="BB14" i="140" s="1"/>
  <c r="AU102" i="138"/>
  <c r="BL46" i="136"/>
  <c r="BL70" i="136"/>
  <c r="BR38" i="136"/>
  <c r="AS54" i="137"/>
  <c r="BL78" i="136"/>
  <c r="BD22" i="140"/>
  <c r="AM34" i="135"/>
  <c r="AY34" i="135"/>
  <c r="AK102" i="138"/>
  <c r="AG102" i="138"/>
  <c r="BL22" i="137"/>
  <c r="F27" i="126"/>
  <c r="BF70" i="136"/>
  <c r="BD38" i="136"/>
  <c r="AM54" i="137"/>
  <c r="BJ62" i="135"/>
  <c r="BJ30" i="137"/>
  <c r="BV78" i="136"/>
  <c r="BN102" i="136"/>
  <c r="H123" i="126"/>
  <c r="BD102" i="137"/>
  <c r="AW106" i="138"/>
  <c r="BO22" i="140"/>
  <c r="AQ34" i="135"/>
  <c r="AK34" i="135"/>
  <c r="D62" i="126"/>
  <c r="AS102" i="138"/>
  <c r="AO102" i="138"/>
  <c r="BF22" i="137"/>
  <c r="BN46" i="136"/>
  <c r="BP70" i="136"/>
  <c r="BT38" i="136"/>
  <c r="AU54" i="137"/>
  <c r="BR62" i="139"/>
  <c r="BB94" i="137"/>
  <c r="AY32" i="142"/>
  <c r="BT30" i="137"/>
  <c r="AU21" i="145"/>
  <c r="AS104" i="142"/>
  <c r="H135" i="126"/>
  <c r="AQ102" i="138"/>
  <c r="BD62" i="135"/>
  <c r="BB70" i="139"/>
  <c r="AI34" i="135"/>
  <c r="AO34" i="135"/>
  <c r="F39" i="126"/>
  <c r="H39" i="126" s="1"/>
  <c r="AW104" i="142"/>
  <c r="AW34" i="135"/>
  <c r="E135" i="146"/>
  <c r="AG62" i="136"/>
  <c r="BW70" i="140"/>
  <c r="BB14" i="139"/>
  <c r="BL118" i="139"/>
  <c r="BH62" i="138"/>
  <c r="BH38" i="137"/>
  <c r="BD78" i="137"/>
  <c r="AE62" i="136"/>
  <c r="AY62" i="136"/>
  <c r="BR30" i="136"/>
  <c r="BH70" i="140"/>
  <c r="BS70" i="140"/>
  <c r="BN14" i="139"/>
  <c r="BL14" i="139"/>
  <c r="BT14" i="137"/>
  <c r="BH14" i="137"/>
  <c r="BR14" i="137"/>
  <c r="BB118" i="139"/>
  <c r="BV118" i="139"/>
  <c r="BH86" i="137"/>
  <c r="BB62" i="138"/>
  <c r="BT62" i="138"/>
  <c r="BD114" i="140"/>
  <c r="BN38" i="135"/>
  <c r="BD38" i="135"/>
  <c r="BP38" i="135"/>
  <c r="BD54" i="139"/>
  <c r="BV78" i="137"/>
  <c r="AM62" i="136"/>
  <c r="AW62" i="136"/>
  <c r="E11" i="126"/>
  <c r="AU34" i="135"/>
  <c r="E60" i="146"/>
  <c r="AO94" i="138" s="1"/>
  <c r="AY102" i="138"/>
  <c r="AM102" i="138"/>
  <c r="F86" i="126"/>
  <c r="BQ70" i="140"/>
  <c r="BV14" i="139"/>
  <c r="BJ14" i="139"/>
  <c r="BD14" i="137"/>
  <c r="BF14" i="137"/>
  <c r="D42" i="126"/>
  <c r="AW54" i="137"/>
  <c r="BJ118" i="139"/>
  <c r="BT118" i="139"/>
  <c r="BP62" i="139"/>
  <c r="BJ62" i="138"/>
  <c r="BF62" i="138"/>
  <c r="AU114" i="140"/>
  <c r="BF38" i="135"/>
  <c r="F12" i="126"/>
  <c r="BR38" i="137"/>
  <c r="AQ41" i="144"/>
  <c r="H128" i="126"/>
  <c r="CA18" i="140"/>
  <c r="BO18" i="140"/>
  <c r="CE84" i="142"/>
  <c r="CE97" i="144"/>
  <c r="CC97" i="144"/>
  <c r="BN58" i="137"/>
  <c r="BL90" i="139"/>
  <c r="CA93" i="143"/>
  <c r="BY84" i="142"/>
  <c r="BM84" i="142"/>
  <c r="BW97" i="144"/>
  <c r="G42" i="126"/>
  <c r="BV90" i="139"/>
  <c r="H153" i="126"/>
  <c r="AQ12" i="142"/>
  <c r="AS84" i="142"/>
  <c r="BS69" i="143"/>
  <c r="BY12" i="142"/>
  <c r="BU12" i="142"/>
  <c r="BH110" i="138"/>
  <c r="BD46" i="140"/>
  <c r="BH64" i="141"/>
  <c r="BJ46" i="135"/>
  <c r="BJ46" i="139"/>
  <c r="AM38" i="140"/>
  <c r="BS54" i="140"/>
  <c r="BM54" i="140"/>
  <c r="BW54" i="140"/>
  <c r="CG84" i="142"/>
  <c r="BS84" i="142"/>
  <c r="CC84" i="142"/>
  <c r="BQ97" i="144"/>
  <c r="CA97" i="144"/>
  <c r="BL94" i="137"/>
  <c r="BP78" i="138"/>
  <c r="BH84" i="142"/>
  <c r="AU84" i="142"/>
  <c r="BD84" i="142"/>
  <c r="BV78" i="135"/>
  <c r="BZ58" i="137"/>
  <c r="BV58" i="137"/>
  <c r="BV54" i="136"/>
  <c r="BT54" i="136"/>
  <c r="BH38" i="138"/>
  <c r="BF38" i="138"/>
  <c r="BT30" i="138"/>
  <c r="CG12" i="142"/>
  <c r="BS12" i="142"/>
  <c r="CC12" i="142"/>
  <c r="BN110" i="138"/>
  <c r="BP110" i="138"/>
  <c r="BD110" i="138"/>
  <c r="BL22" i="139"/>
  <c r="BJ22" i="139"/>
  <c r="AY38" i="140"/>
  <c r="BF84" i="142"/>
  <c r="AW84" i="142"/>
  <c r="BJ78" i="135"/>
  <c r="CE12" i="142"/>
  <c r="F63" i="126"/>
  <c r="BR110" i="138"/>
  <c r="BJ78" i="137"/>
  <c r="BH30" i="136"/>
  <c r="BP46" i="135"/>
  <c r="BV46" i="135"/>
  <c r="F45" i="126"/>
  <c r="BR78" i="137"/>
  <c r="BD30" i="136"/>
  <c r="BQ93" i="143"/>
  <c r="BS46" i="140"/>
  <c r="BF12" i="141"/>
  <c r="AQ40" i="141"/>
  <c r="F13" i="126"/>
  <c r="BD46" i="135"/>
  <c r="BN46" i="139"/>
  <c r="BL46" i="139"/>
  <c r="BB54" i="140"/>
  <c r="BU54" i="140"/>
  <c r="AQ66" i="136"/>
  <c r="F150" i="126"/>
  <c r="BO84" i="142"/>
  <c r="BY97" i="144"/>
  <c r="CG97" i="144"/>
  <c r="BM97" i="144"/>
  <c r="BP94" i="137"/>
  <c r="BT94" i="137"/>
  <c r="BB78" i="138"/>
  <c r="D150" i="126"/>
  <c r="H150" i="126" s="1"/>
  <c r="AQ84" i="142"/>
  <c r="BP58" i="137"/>
  <c r="BL58" i="137"/>
  <c r="CD58" i="137"/>
  <c r="F28" i="126"/>
  <c r="BB38" i="138"/>
  <c r="BU69" i="143"/>
  <c r="BJ30" i="138"/>
  <c r="F132" i="126"/>
  <c r="BO12" i="142"/>
  <c r="BV110" i="138"/>
  <c r="BB110" i="138"/>
  <c r="BN22" i="139"/>
  <c r="H125" i="126"/>
  <c r="F48" i="126"/>
  <c r="BH97" i="144"/>
  <c r="AI106" i="138"/>
  <c r="AS106" i="138"/>
  <c r="BW22" i="140"/>
  <c r="F38" i="126"/>
  <c r="H38" i="126" s="1"/>
  <c r="F211" i="126" s="1"/>
  <c r="Y211" i="126" s="1"/>
  <c r="Z211" i="126" s="1"/>
  <c r="D56" i="148" s="1"/>
  <c r="BR46" i="136"/>
  <c r="BV46" i="136"/>
  <c r="BH22" i="136"/>
  <c r="BN70" i="136"/>
  <c r="BB38" i="136"/>
  <c r="BH38" i="136"/>
  <c r="BW21" i="145"/>
  <c r="CC57" i="144"/>
  <c r="AS32" i="142"/>
  <c r="BR30" i="137"/>
  <c r="BH78" i="136"/>
  <c r="BR78" i="136"/>
  <c r="BD21" i="145"/>
  <c r="AQ21" i="145"/>
  <c r="AU41" i="144"/>
  <c r="BJ41" i="144"/>
  <c r="BF102" i="137"/>
  <c r="BL102" i="137"/>
  <c r="AQ97" i="144"/>
  <c r="AU97" i="144"/>
  <c r="F60" i="146"/>
  <c r="AQ106" i="138"/>
  <c r="CG104" i="142"/>
  <c r="BB22" i="140"/>
  <c r="BH22" i="140"/>
  <c r="BR22" i="137"/>
  <c r="BV22" i="137"/>
  <c r="BB46" i="136"/>
  <c r="BP46" i="136"/>
  <c r="BN22" i="136"/>
  <c r="BV22" i="136"/>
  <c r="BR70" i="136"/>
  <c r="BD70" i="136"/>
  <c r="BV70" i="136"/>
  <c r="BV38" i="136"/>
  <c r="F26" i="126"/>
  <c r="BP38" i="136"/>
  <c r="BH32" i="142"/>
  <c r="AU32" i="142"/>
  <c r="BP30" i="137"/>
  <c r="BN30" i="137"/>
  <c r="BL70" i="139"/>
  <c r="F31" i="126"/>
  <c r="H31" i="126" s="1"/>
  <c r="BJ78" i="136"/>
  <c r="BF78" i="136"/>
  <c r="AO21" i="145"/>
  <c r="AY21" i="145"/>
  <c r="BD41" i="144"/>
  <c r="BH102" i="137"/>
  <c r="BV102" i="137"/>
  <c r="BT102" i="137"/>
  <c r="AW97" i="144"/>
  <c r="AS97" i="144"/>
  <c r="BD97" i="144"/>
  <c r="BH78" i="137"/>
  <c r="BV30" i="136"/>
  <c r="BN30" i="136"/>
  <c r="AE106" i="138"/>
  <c r="AO106" i="138"/>
  <c r="AY106" i="138"/>
  <c r="F80" i="126"/>
  <c r="BJ22" i="140"/>
  <c r="BF22" i="140"/>
  <c r="BQ22" i="140"/>
  <c r="BB22" i="137"/>
  <c r="BT22" i="137"/>
  <c r="BH22" i="137"/>
  <c r="BH46" i="136"/>
  <c r="BT46" i="136"/>
  <c r="BF46" i="136"/>
  <c r="BR22" i="136"/>
  <c r="BP22" i="136"/>
  <c r="BD22" i="136"/>
  <c r="CC64" i="141"/>
  <c r="BB70" i="136"/>
  <c r="BT70" i="136"/>
  <c r="BH70" i="136"/>
  <c r="BL38" i="136"/>
  <c r="BF38" i="136"/>
  <c r="BJ38" i="136"/>
  <c r="BP86" i="136"/>
  <c r="BT86" i="138"/>
  <c r="BA32" i="142"/>
  <c r="AO32" i="142"/>
  <c r="BB30" i="137"/>
  <c r="BL30" i="137"/>
  <c r="BV30" i="137"/>
  <c r="BP70" i="139"/>
  <c r="BV70" i="139"/>
  <c r="BX58" i="137"/>
  <c r="BR58" i="137"/>
  <c r="BP78" i="136"/>
  <c r="BD78" i="136"/>
  <c r="BN78" i="136"/>
  <c r="BJ21" i="145"/>
  <c r="AW21" i="145"/>
  <c r="BH21" i="145"/>
  <c r="BH41" i="144"/>
  <c r="H126" i="126"/>
  <c r="BN102" i="137"/>
  <c r="BJ97" i="144"/>
  <c r="E62" i="126"/>
  <c r="BS22" i="140"/>
  <c r="BN22" i="137"/>
  <c r="BF32" i="142"/>
  <c r="BH30" i="137"/>
  <c r="BD70" i="139"/>
  <c r="BB102" i="137"/>
  <c r="AO97" i="144"/>
  <c r="AU106" i="138"/>
  <c r="BM22" i="140"/>
  <c r="BJ22" i="137"/>
  <c r="BD46" i="136"/>
  <c r="BJ22" i="136"/>
  <c r="BT22" i="136"/>
  <c r="BJ70" i="136"/>
  <c r="BD32" i="142"/>
  <c r="BF30" i="137"/>
  <c r="AS21" i="145"/>
  <c r="BF97" i="144"/>
  <c r="BH70" i="139"/>
  <c r="H145" i="126"/>
  <c r="BT90" i="139"/>
  <c r="CC104" i="142"/>
  <c r="BZ90" i="139"/>
  <c r="CB90" i="139"/>
  <c r="BP90" i="139"/>
  <c r="E271" i="126"/>
  <c r="G74" i="126"/>
  <c r="CD90" i="139"/>
  <c r="BR90" i="139"/>
  <c r="BN90" i="139"/>
  <c r="AW38" i="140"/>
  <c r="AU38" i="140"/>
  <c r="BJ12" i="142"/>
  <c r="BD78" i="135"/>
  <c r="BB54" i="139"/>
  <c r="BT78" i="137"/>
  <c r="BF78" i="137"/>
  <c r="BP78" i="137"/>
  <c r="F35" i="126"/>
  <c r="H35" i="126" s="1"/>
  <c r="BF30" i="136"/>
  <c r="BT30" i="136"/>
  <c r="BB30" i="136"/>
  <c r="AQ30" i="135"/>
  <c r="G81" i="146"/>
  <c r="BH46" i="140"/>
  <c r="G41" i="146"/>
  <c r="D104" i="126"/>
  <c r="F69" i="126"/>
  <c r="H69" i="126" s="1"/>
  <c r="BH46" i="139"/>
  <c r="BR46" i="139"/>
  <c r="D82" i="126"/>
  <c r="AI38" i="140"/>
  <c r="AS38" i="140"/>
  <c r="AK66" i="136"/>
  <c r="F47" i="126"/>
  <c r="BR94" i="137"/>
  <c r="BF94" i="137"/>
  <c r="BF78" i="138"/>
  <c r="BJ78" i="138"/>
  <c r="BT78" i="138"/>
  <c r="F17" i="126"/>
  <c r="BT78" i="135"/>
  <c r="BF78" i="135"/>
  <c r="F56" i="126"/>
  <c r="H56" i="126" s="1"/>
  <c r="BP54" i="136"/>
  <c r="BN54" i="136"/>
  <c r="BD54" i="136"/>
  <c r="BJ38" i="138"/>
  <c r="BD38" i="138"/>
  <c r="BN38" i="138"/>
  <c r="BB30" i="138"/>
  <c r="BL30" i="138"/>
  <c r="BH30" i="138"/>
  <c r="BT22" i="139"/>
  <c r="BH22" i="139"/>
  <c r="BR22" i="139"/>
  <c r="BO46" i="140"/>
  <c r="BA40" i="141"/>
  <c r="AK38" i="140"/>
  <c r="BH78" i="135"/>
  <c r="BR78" i="135"/>
  <c r="BL78" i="137"/>
  <c r="BN78" i="137"/>
  <c r="BJ110" i="136"/>
  <c r="BL30" i="136"/>
  <c r="F25" i="126"/>
  <c r="AS30" i="135"/>
  <c r="BM46" i="140"/>
  <c r="BB46" i="140"/>
  <c r="AU12" i="141"/>
  <c r="AO40" i="141"/>
  <c r="BF46" i="139"/>
  <c r="BP46" i="139"/>
  <c r="AG38" i="140"/>
  <c r="AQ38" i="140"/>
  <c r="AG66" i="136"/>
  <c r="BH94" i="137"/>
  <c r="BD94" i="137"/>
  <c r="F59" i="126"/>
  <c r="H59" i="126" s="1"/>
  <c r="BH78" i="138"/>
  <c r="D132" i="126"/>
  <c r="BL78" i="135"/>
  <c r="BB78" i="135"/>
  <c r="BF54" i="138"/>
  <c r="BF54" i="136"/>
  <c r="BB54" i="136"/>
  <c r="BP38" i="138"/>
  <c r="BL38" i="138"/>
  <c r="BD30" i="138"/>
  <c r="BF30" i="138"/>
  <c r="F66" i="126"/>
  <c r="H66" i="126" s="1"/>
  <c r="BF22" i="139"/>
  <c r="F64" i="126"/>
  <c r="BB78" i="139"/>
  <c r="BP110" i="136"/>
  <c r="BD110" i="136"/>
  <c r="BN110" i="136"/>
  <c r="F83" i="126"/>
  <c r="BF46" i="140"/>
  <c r="BQ46" i="140"/>
  <c r="E115" i="146"/>
  <c r="AW40" i="141"/>
  <c r="AY40" i="141"/>
  <c r="BH40" i="141"/>
  <c r="BT14" i="136"/>
  <c r="AS12" i="142"/>
  <c r="AY12" i="142"/>
  <c r="AO12" i="142"/>
  <c r="BL54" i="138"/>
  <c r="BN54" i="138"/>
  <c r="BB54" i="138"/>
  <c r="AU40" i="141"/>
  <c r="BF40" i="141"/>
  <c r="BH12" i="142"/>
  <c r="BF12" i="142"/>
  <c r="AW12" i="142"/>
  <c r="BT54" i="138"/>
  <c r="BV54" i="138"/>
  <c r="BJ54" i="138"/>
  <c r="BF30" i="139"/>
  <c r="H146" i="126"/>
  <c r="BL78" i="139"/>
  <c r="BB110" i="136"/>
  <c r="BL110" i="136"/>
  <c r="BV110" i="136"/>
  <c r="AW64" i="141"/>
  <c r="D111" i="126"/>
  <c r="BH110" i="136"/>
  <c r="BR110" i="136"/>
  <c r="BU46" i="140"/>
  <c r="BW46" i="140"/>
  <c r="AY64" i="141"/>
  <c r="BD40" i="141"/>
  <c r="BJ40" i="141"/>
  <c r="BA12" i="142"/>
  <c r="AU12" i="142"/>
  <c r="BD54" i="138"/>
  <c r="BH54" i="138"/>
  <c r="BJ30" i="139"/>
  <c r="BD30" i="139"/>
  <c r="BS104" i="142"/>
  <c r="CG21" i="145"/>
  <c r="BQ57" i="144"/>
  <c r="BW57" i="144"/>
  <c r="BS57" i="144"/>
  <c r="BM21" i="145"/>
  <c r="BM57" i="144"/>
  <c r="BF54" i="135"/>
  <c r="BH30" i="139"/>
  <c r="BY104" i="142"/>
  <c r="BW104" i="142"/>
  <c r="BM104" i="142"/>
  <c r="BS21" i="145"/>
  <c r="CC21" i="145"/>
  <c r="BQ21" i="145"/>
  <c r="BQ104" i="142"/>
  <c r="CE104" i="142"/>
  <c r="BU104" i="142"/>
  <c r="CA21" i="145"/>
  <c r="BO21" i="145"/>
  <c r="BY21" i="145"/>
  <c r="CC25" i="144"/>
  <c r="F155" i="126"/>
  <c r="BO104" i="142"/>
  <c r="BU21" i="145"/>
  <c r="BP54" i="135"/>
  <c r="BF62" i="139"/>
  <c r="BN54" i="135"/>
  <c r="BF62" i="135"/>
  <c r="AM98" i="135"/>
  <c r="L249" i="126"/>
  <c r="BD86" i="135"/>
  <c r="BN30" i="139"/>
  <c r="F67" i="126"/>
  <c r="H67" i="126" s="1"/>
  <c r="BB30" i="139"/>
  <c r="AO98" i="135"/>
  <c r="H141" i="126"/>
  <c r="BR30" i="139"/>
  <c r="BT30" i="139"/>
  <c r="BP30" i="139"/>
  <c r="BV30" i="139"/>
  <c r="CC69" i="143"/>
  <c r="BQ69" i="143"/>
  <c r="CA69" i="143"/>
  <c r="BS25" i="144"/>
  <c r="BO69" i="143"/>
  <c r="BY69" i="143"/>
  <c r="BM69" i="143"/>
  <c r="BW69" i="143"/>
  <c r="BF118" i="138"/>
  <c r="E42" i="126"/>
  <c r="AY90" i="140"/>
  <c r="BT110" i="139"/>
  <c r="D137" i="126"/>
  <c r="AQ32" i="142"/>
  <c r="F72" i="126"/>
  <c r="H72" i="126" s="1"/>
  <c r="BJ70" i="139"/>
  <c r="BT70" i="139"/>
  <c r="AW13" i="144"/>
  <c r="BP118" i="138"/>
  <c r="BN78" i="139"/>
  <c r="AI58" i="137"/>
  <c r="AS90" i="140"/>
  <c r="AW69" i="143"/>
  <c r="BH110" i="139"/>
  <c r="F18" i="126"/>
  <c r="BR70" i="139"/>
  <c r="BF70" i="139"/>
  <c r="BH13" i="144"/>
  <c r="AS58" i="137"/>
  <c r="BJ90" i="140"/>
  <c r="BH69" i="143"/>
  <c r="BR110" i="139"/>
  <c r="BJ86" i="135"/>
  <c r="BJ102" i="136"/>
  <c r="F14" i="126"/>
  <c r="BV54" i="135"/>
  <c r="BD54" i="135"/>
  <c r="AK54" i="137"/>
  <c r="AG54" i="137"/>
  <c r="AQ54" i="137"/>
  <c r="BT62" i="135"/>
  <c r="BN62" i="135"/>
  <c r="BR62" i="135"/>
  <c r="F71" i="126"/>
  <c r="H71" i="126" s="1"/>
  <c r="BD62" i="139"/>
  <c r="BN62" i="139"/>
  <c r="AY98" i="135"/>
  <c r="AS41" i="144"/>
  <c r="AW41" i="144"/>
  <c r="BB54" i="135"/>
  <c r="BJ54" i="135"/>
  <c r="BL54" i="135"/>
  <c r="AE54" i="137"/>
  <c r="AO54" i="137"/>
  <c r="BP62" i="135"/>
  <c r="BH62" i="135"/>
  <c r="BV62" i="135"/>
  <c r="BB62" i="139"/>
  <c r="BL62" i="139"/>
  <c r="BV62" i="139"/>
  <c r="AI98" i="135"/>
  <c r="BF41" i="144"/>
  <c r="BR54" i="135"/>
  <c r="BH54" i="135"/>
  <c r="F15" i="126"/>
  <c r="BL62" i="135"/>
  <c r="BJ62" i="139"/>
  <c r="BT62" i="139"/>
  <c r="AU98" i="135"/>
  <c r="AU13" i="144"/>
  <c r="AG58" i="137"/>
  <c r="AQ58" i="137"/>
  <c r="AE58" i="137"/>
  <c r="D95" i="126"/>
  <c r="AO90" i="140"/>
  <c r="BA90" i="140"/>
  <c r="BD69" i="143"/>
  <c r="BF69" i="143"/>
  <c r="AS69" i="143"/>
  <c r="BR102" i="139"/>
  <c r="F77" i="126"/>
  <c r="H77" i="126" s="1"/>
  <c r="F221" i="126" s="1"/>
  <c r="Y221" i="126" s="1"/>
  <c r="Z221" i="126" s="1"/>
  <c r="D66" i="148" s="1"/>
  <c r="BF110" i="139"/>
  <c r="BP110" i="139"/>
  <c r="BH86" i="135"/>
  <c r="BV86" i="135"/>
  <c r="BL86" i="135"/>
  <c r="BB102" i="136"/>
  <c r="BH102" i="136"/>
  <c r="AO58" i="137"/>
  <c r="AY58" i="137"/>
  <c r="AM58" i="137"/>
  <c r="AW90" i="140"/>
  <c r="AQ90" i="140"/>
  <c r="BH90" i="140"/>
  <c r="AU69" i="143"/>
  <c r="AQ69" i="143"/>
  <c r="BA69" i="143"/>
  <c r="BP102" i="139"/>
  <c r="BD110" i="139"/>
  <c r="BN110" i="139"/>
  <c r="BB110" i="139"/>
  <c r="BN86" i="135"/>
  <c r="BF86" i="135"/>
  <c r="BT86" i="135"/>
  <c r="F34" i="126"/>
  <c r="H34" i="126" s="1"/>
  <c r="AW58" i="137"/>
  <c r="AK58" i="137"/>
  <c r="BF90" i="140"/>
  <c r="BD90" i="140"/>
  <c r="AO69" i="143"/>
  <c r="AY69" i="143"/>
  <c r="BL110" i="139"/>
  <c r="BV110" i="139"/>
  <c r="BB86" i="135"/>
  <c r="BR86" i="135"/>
  <c r="BT102" i="136"/>
  <c r="BO25" i="144"/>
  <c r="CE25" i="144"/>
  <c r="H129" i="126"/>
  <c r="BY25" i="144"/>
  <c r="H122" i="126"/>
  <c r="BA17" i="143"/>
  <c r="D117" i="126"/>
  <c r="AU64" i="141"/>
  <c r="BF64" i="141"/>
  <c r="BJ86" i="137"/>
  <c r="BF86" i="137"/>
  <c r="BP86" i="137"/>
  <c r="BV86" i="138"/>
  <c r="AQ93" i="143"/>
  <c r="BF14" i="136"/>
  <c r="BL38" i="139"/>
  <c r="AY114" i="140"/>
  <c r="AS114" i="140"/>
  <c r="BJ114" i="140"/>
  <c r="BV38" i="137"/>
  <c r="BP38" i="137"/>
  <c r="BD38" i="137"/>
  <c r="AK90" i="139"/>
  <c r="BH104" i="142"/>
  <c r="AU104" i="142"/>
  <c r="BD104" i="142"/>
  <c r="AO17" i="143"/>
  <c r="BD64" i="141"/>
  <c r="BJ64" i="141"/>
  <c r="AS64" i="141"/>
  <c r="BR86" i="137"/>
  <c r="BD86" i="137"/>
  <c r="BN86" i="137"/>
  <c r="BJ86" i="138"/>
  <c r="AW93" i="143"/>
  <c r="D101" i="126"/>
  <c r="AO114" i="140"/>
  <c r="BA114" i="140"/>
  <c r="F40" i="126"/>
  <c r="H40" i="126" s="1"/>
  <c r="BB38" i="137"/>
  <c r="BL38" i="137"/>
  <c r="D155" i="126"/>
  <c r="AQ104" i="142"/>
  <c r="BJ104" i="142"/>
  <c r="AY17" i="143"/>
  <c r="BJ24" i="141"/>
  <c r="AO64" i="141"/>
  <c r="AQ64" i="141"/>
  <c r="F46" i="126"/>
  <c r="BL86" i="137"/>
  <c r="BH14" i="136"/>
  <c r="BF114" i="140"/>
  <c r="AW114" i="140"/>
  <c r="BN38" i="137"/>
  <c r="BJ38" i="137"/>
  <c r="BA104" i="142"/>
  <c r="AY104" i="142"/>
  <c r="BU24" i="141"/>
  <c r="CB66" i="136"/>
  <c r="CG24" i="141"/>
  <c r="AS17" i="143"/>
  <c r="BH17" i="143"/>
  <c r="D107" i="126"/>
  <c r="BF24" i="141"/>
  <c r="BD86" i="138"/>
  <c r="BR86" i="138"/>
  <c r="AY93" i="143"/>
  <c r="BF93" i="143"/>
  <c r="F23" i="126"/>
  <c r="F68" i="126"/>
  <c r="H68" i="126" s="1"/>
  <c r="BT38" i="139"/>
  <c r="AM90" i="139"/>
  <c r="G18" i="146"/>
  <c r="BD24" i="141"/>
  <c r="AS24" i="141"/>
  <c r="BJ93" i="143"/>
  <c r="BB38" i="139"/>
  <c r="BV38" i="139"/>
  <c r="AU90" i="139"/>
  <c r="AW17" i="143"/>
  <c r="AU24" i="141"/>
  <c r="BH86" i="138"/>
  <c r="AU93" i="143"/>
  <c r="BL14" i="136"/>
  <c r="BN14" i="136"/>
  <c r="BJ38" i="139"/>
  <c r="AI90" i="139"/>
  <c r="AQ98" i="135"/>
  <c r="AS98" i="135"/>
  <c r="AE98" i="135"/>
  <c r="AG98" i="135"/>
  <c r="E19" i="126"/>
  <c r="AK98" i="135"/>
  <c r="AY90" i="139"/>
  <c r="AW90" i="139"/>
  <c r="AY41" i="144"/>
  <c r="BL102" i="136"/>
  <c r="BF102" i="136"/>
  <c r="BP102" i="136"/>
  <c r="BR102" i="136"/>
  <c r="BD102" i="136"/>
  <c r="G10" i="146"/>
  <c r="G29" i="126"/>
  <c r="BM32" i="142"/>
  <c r="CG57" i="144"/>
  <c r="CA57" i="144"/>
  <c r="BO57" i="144"/>
  <c r="BW24" i="141"/>
  <c r="BU25" i="144"/>
  <c r="BW25" i="144"/>
  <c r="CG25" i="144"/>
  <c r="BP66" i="136"/>
  <c r="CC13" i="144"/>
  <c r="BY57" i="144"/>
  <c r="BU57" i="144"/>
  <c r="BM25" i="144"/>
  <c r="BQ25" i="144"/>
  <c r="F76" i="126"/>
  <c r="H76" i="126" s="1"/>
  <c r="BU17" i="143"/>
  <c r="BM90" i="140"/>
  <c r="BO40" i="141"/>
  <c r="CE41" i="144"/>
  <c r="BV54" i="139"/>
  <c r="BJ78" i="139"/>
  <c r="AU94" i="135"/>
  <c r="BB86" i="136"/>
  <c r="BJ102" i="139"/>
  <c r="BF102" i="139"/>
  <c r="BD102" i="139"/>
  <c r="H109" i="126"/>
  <c r="BL54" i="139"/>
  <c r="BV78" i="139"/>
  <c r="BT54" i="139"/>
  <c r="BH54" i="139"/>
  <c r="BR54" i="139"/>
  <c r="F73" i="126"/>
  <c r="H73" i="126" s="1"/>
  <c r="BH78" i="139"/>
  <c r="BR78" i="139"/>
  <c r="AO30" i="135"/>
  <c r="AG94" i="135"/>
  <c r="BL86" i="136"/>
  <c r="BN102" i="139"/>
  <c r="BV102" i="139"/>
  <c r="BL102" i="139"/>
  <c r="BJ54" i="139"/>
  <c r="BT78" i="139"/>
  <c r="AG30" i="135"/>
  <c r="F70" i="126"/>
  <c r="H70" i="126" s="1"/>
  <c r="BF54" i="139"/>
  <c r="BF78" i="139"/>
  <c r="BP78" i="139"/>
  <c r="AI30" i="135"/>
  <c r="AK30" i="135"/>
  <c r="AK94" i="135"/>
  <c r="BB102" i="139"/>
  <c r="BH102" i="139"/>
  <c r="BN98" i="135"/>
  <c r="CE17" i="143"/>
  <c r="BU90" i="140"/>
  <c r="BY40" i="141"/>
  <c r="BR98" i="135"/>
  <c r="CC41" i="144"/>
  <c r="BX34" i="135"/>
  <c r="BS90" i="140"/>
  <c r="CA42" i="140"/>
  <c r="BO12" i="141"/>
  <c r="CF98" i="135"/>
  <c r="BQ41" i="144"/>
  <c r="BM40" i="141"/>
  <c r="AO41" i="144"/>
  <c r="CA64" i="141"/>
  <c r="BT98" i="135"/>
  <c r="BL98" i="135"/>
  <c r="CB98" i="135"/>
  <c r="BS17" i="143"/>
  <c r="CC17" i="143"/>
  <c r="BQ17" i="143"/>
  <c r="BQ64" i="141"/>
  <c r="BQ32" i="142"/>
  <c r="BZ98" i="135"/>
  <c r="BV98" i="135"/>
  <c r="BP98" i="135"/>
  <c r="CA17" i="143"/>
  <c r="BO17" i="143"/>
  <c r="BY17" i="143"/>
  <c r="BW32" i="142"/>
  <c r="CD98" i="135"/>
  <c r="G19" i="126"/>
  <c r="BM17" i="143"/>
  <c r="BW17" i="143"/>
  <c r="BW12" i="141"/>
  <c r="BZ66" i="136"/>
  <c r="BN66" i="136"/>
  <c r="BX66" i="136"/>
  <c r="BQ13" i="144"/>
  <c r="F107" i="126"/>
  <c r="BS24" i="141"/>
  <c r="CE24" i="141"/>
  <c r="BO41" i="144"/>
  <c r="BY41" i="144"/>
  <c r="CC90" i="140"/>
  <c r="BQ90" i="140"/>
  <c r="CA90" i="140"/>
  <c r="BU40" i="141"/>
  <c r="BW40" i="141"/>
  <c r="CG40" i="141"/>
  <c r="BM12" i="141"/>
  <c r="BY12" i="141"/>
  <c r="BT66" i="136"/>
  <c r="BV66" i="136"/>
  <c r="CF66" i="136"/>
  <c r="BS13" i="144"/>
  <c r="CC24" i="141"/>
  <c r="CA24" i="141"/>
  <c r="BQ24" i="141"/>
  <c r="BM41" i="144"/>
  <c r="BW41" i="144"/>
  <c r="BS41" i="144"/>
  <c r="F95" i="126"/>
  <c r="BO90" i="140"/>
  <c r="BY90" i="140"/>
  <c r="F111" i="126"/>
  <c r="BS40" i="141"/>
  <c r="CE40" i="141"/>
  <c r="CC42" i="140"/>
  <c r="BU12" i="141"/>
  <c r="CG12" i="141"/>
  <c r="BR66" i="136"/>
  <c r="BL66" i="136"/>
  <c r="CA13" i="144"/>
  <c r="BM24" i="141"/>
  <c r="BO24" i="141"/>
  <c r="BU41" i="144"/>
  <c r="CG41" i="144"/>
  <c r="BL34" i="135"/>
  <c r="BW90" i="140"/>
  <c r="CE90" i="140"/>
  <c r="CC40" i="141"/>
  <c r="CA40" i="141"/>
  <c r="BQ42" i="140"/>
  <c r="H110" i="126"/>
  <c r="AO57" i="144"/>
  <c r="BA57" i="144"/>
  <c r="AY57" i="144"/>
  <c r="AW57" i="144"/>
  <c r="AS57" i="144"/>
  <c r="AQ57" i="144"/>
  <c r="AU57" i="144"/>
  <c r="BH57" i="144"/>
  <c r="BF57" i="144"/>
  <c r="BJ57" i="144"/>
  <c r="BD57" i="144"/>
  <c r="BP94" i="139"/>
  <c r="BT94" i="139"/>
  <c r="F75" i="126"/>
  <c r="H75" i="126" s="1"/>
  <c r="BV94" i="139"/>
  <c r="BL94" i="139"/>
  <c r="BH94" i="139"/>
  <c r="BF94" i="139"/>
  <c r="BD94" i="139"/>
  <c r="BN94" i="139"/>
  <c r="BB94" i="139"/>
  <c r="BJ94" i="139"/>
  <c r="BR94" i="139"/>
  <c r="N179" i="126"/>
  <c r="AS13" i="144"/>
  <c r="BL118" i="138"/>
  <c r="BB118" i="138"/>
  <c r="BY93" i="143"/>
  <c r="BM93" i="143"/>
  <c r="BW93" i="143"/>
  <c r="BD12" i="141"/>
  <c r="AS12" i="141"/>
  <c r="BO64" i="141"/>
  <c r="CE32" i="142"/>
  <c r="BU32" i="142"/>
  <c r="BF86" i="136"/>
  <c r="BJ86" i="136"/>
  <c r="BT86" i="136"/>
  <c r="AY66" i="136"/>
  <c r="AO66" i="136"/>
  <c r="G61" i="146"/>
  <c r="G82" i="126"/>
  <c r="BY42" i="140"/>
  <c r="BB22" i="138"/>
  <c r="BF22" i="138"/>
  <c r="BL22" i="138"/>
  <c r="BT22" i="138"/>
  <c r="BH22" i="138"/>
  <c r="BV22" i="138"/>
  <c r="BP22" i="138"/>
  <c r="F52" i="126"/>
  <c r="BR22" i="138"/>
  <c r="BD22" i="138"/>
  <c r="BJ22" i="138"/>
  <c r="BN22" i="138"/>
  <c r="BL14" i="138"/>
  <c r="BB14" i="138"/>
  <c r="BN14" i="138"/>
  <c r="BR14" i="138"/>
  <c r="BF14" i="138"/>
  <c r="F51" i="126"/>
  <c r="BD14" i="138"/>
  <c r="BH14" i="138"/>
  <c r="BP14" i="138"/>
  <c r="BT14" i="138"/>
  <c r="BJ14" i="138"/>
  <c r="BV14" i="138"/>
  <c r="AQ13" i="144"/>
  <c r="BA13" i="144"/>
  <c r="BT118" i="138"/>
  <c r="BV118" i="138"/>
  <c r="BJ118" i="138"/>
  <c r="AY30" i="135"/>
  <c r="AE30" i="135"/>
  <c r="AW30" i="135"/>
  <c r="CG93" i="143"/>
  <c r="BU93" i="143"/>
  <c r="CE93" i="143"/>
  <c r="AU17" i="143"/>
  <c r="BF17" i="143"/>
  <c r="AO12" i="141"/>
  <c r="AQ12" i="141"/>
  <c r="BA12" i="141"/>
  <c r="AO24" i="141"/>
  <c r="AQ24" i="141"/>
  <c r="BA24" i="141"/>
  <c r="F104" i="126"/>
  <c r="BS12" i="141"/>
  <c r="CE12" i="141"/>
  <c r="F117" i="126"/>
  <c r="BU64" i="141"/>
  <c r="BW64" i="141"/>
  <c r="CG64" i="141"/>
  <c r="D19" i="126"/>
  <c r="AY94" i="135"/>
  <c r="AM94" i="135"/>
  <c r="F137" i="126"/>
  <c r="CG32" i="142"/>
  <c r="BS32" i="142"/>
  <c r="CC32" i="142"/>
  <c r="BH86" i="136"/>
  <c r="BV86" i="136"/>
  <c r="BR86" i="136"/>
  <c r="BO13" i="144"/>
  <c r="BY13" i="144"/>
  <c r="BM13" i="144"/>
  <c r="F60" i="126"/>
  <c r="H60" i="126" s="1"/>
  <c r="BF86" i="138"/>
  <c r="BP86" i="138"/>
  <c r="AI66" i="136"/>
  <c r="AM66" i="136"/>
  <c r="AW66" i="136"/>
  <c r="AS93" i="143"/>
  <c r="BD93" i="143"/>
  <c r="BR14" i="136"/>
  <c r="BD14" i="136"/>
  <c r="BV14" i="136"/>
  <c r="BH38" i="139"/>
  <c r="BR38" i="139"/>
  <c r="BF38" i="139"/>
  <c r="G11" i="126"/>
  <c r="BV34" i="135"/>
  <c r="CB34" i="135"/>
  <c r="E74" i="126"/>
  <c r="AS90" i="139"/>
  <c r="AG90" i="139"/>
  <c r="BM42" i="140"/>
  <c r="BW42" i="140"/>
  <c r="CG42" i="140"/>
  <c r="G73" i="146"/>
  <c r="CB122" i="137"/>
  <c r="BV122" i="137"/>
  <c r="BR122" i="137"/>
  <c r="G50" i="126"/>
  <c r="BZ122" i="137"/>
  <c r="BP122" i="137"/>
  <c r="CF122" i="137"/>
  <c r="BN122" i="137"/>
  <c r="BL122" i="137"/>
  <c r="BT122" i="137"/>
  <c r="CD122" i="137"/>
  <c r="BX122" i="137"/>
  <c r="BR46" i="138"/>
  <c r="BH46" i="138"/>
  <c r="F55" i="126"/>
  <c r="H55" i="126" s="1"/>
  <c r="BL46" i="138"/>
  <c r="BP46" i="138"/>
  <c r="BJ46" i="138"/>
  <c r="BT46" i="138"/>
  <c r="BB46" i="138"/>
  <c r="BD46" i="138"/>
  <c r="BF46" i="138"/>
  <c r="BV46" i="138"/>
  <c r="BN46" i="138"/>
  <c r="AQ86" i="139"/>
  <c r="AG86" i="139"/>
  <c r="D74" i="126"/>
  <c r="AK86" i="139"/>
  <c r="AW86" i="139"/>
  <c r="AE86" i="139"/>
  <c r="AY86" i="139"/>
  <c r="AU86" i="139"/>
  <c r="AO86" i="139"/>
  <c r="AS86" i="139"/>
  <c r="AI86" i="139"/>
  <c r="AM86" i="139"/>
  <c r="H130" i="126"/>
  <c r="BA25" i="144"/>
  <c r="AQ25" i="144"/>
  <c r="BD25" i="144"/>
  <c r="AS25" i="144"/>
  <c r="AU25" i="144"/>
  <c r="AW25" i="144"/>
  <c r="BJ25" i="144"/>
  <c r="AO25" i="144"/>
  <c r="BF25" i="144"/>
  <c r="BH25" i="144"/>
  <c r="AY25" i="144"/>
  <c r="BF13" i="144"/>
  <c r="BD13" i="144"/>
  <c r="BN118" i="138"/>
  <c r="E9" i="146"/>
  <c r="BJ12" i="141"/>
  <c r="BM64" i="141"/>
  <c r="BY64" i="141"/>
  <c r="G28" i="146"/>
  <c r="AE94" i="135"/>
  <c r="AQ94" i="135"/>
  <c r="AS94" i="135"/>
  <c r="BY32" i="142"/>
  <c r="AE66" i="136"/>
  <c r="CD34" i="135"/>
  <c r="BR34" i="135"/>
  <c r="BT34" i="135"/>
  <c r="CF34" i="135"/>
  <c r="G195" i="126"/>
  <c r="BO42" i="140"/>
  <c r="N196" i="126"/>
  <c r="G196" i="126" s="1"/>
  <c r="D372" i="126"/>
  <c r="AO13" i="144"/>
  <c r="AY13" i="144"/>
  <c r="BD118" i="138"/>
  <c r="BH118" i="138"/>
  <c r="AM30" i="135"/>
  <c r="AU30" i="135"/>
  <c r="BS93" i="143"/>
  <c r="F9" i="146"/>
  <c r="BJ17" i="143"/>
  <c r="BD17" i="143"/>
  <c r="G49" i="146"/>
  <c r="AW12" i="141"/>
  <c r="AY12" i="141"/>
  <c r="AW24" i="141"/>
  <c r="AY24" i="141"/>
  <c r="CC12" i="141"/>
  <c r="CA12" i="141"/>
  <c r="BS64" i="141"/>
  <c r="AO94" i="135"/>
  <c r="AI94" i="135"/>
  <c r="BO32" i="142"/>
  <c r="F32" i="126"/>
  <c r="H32" i="126" s="1"/>
  <c r="BN86" i="136"/>
  <c r="BW13" i="144"/>
  <c r="CG13" i="144"/>
  <c r="BL86" i="138"/>
  <c r="BN86" i="138"/>
  <c r="E29" i="126"/>
  <c r="AS66" i="136"/>
  <c r="BH93" i="143"/>
  <c r="BA93" i="143"/>
  <c r="BB14" i="136"/>
  <c r="BJ14" i="136"/>
  <c r="BP38" i="139"/>
  <c r="BD38" i="139"/>
  <c r="BN34" i="135"/>
  <c r="BZ34" i="135"/>
  <c r="AQ90" i="139"/>
  <c r="AE90" i="139"/>
  <c r="BU42" i="140"/>
  <c r="CE42" i="140"/>
  <c r="BJ94" i="136"/>
  <c r="BN94" i="136"/>
  <c r="BL94" i="136"/>
  <c r="BP94" i="136"/>
  <c r="BF94" i="136"/>
  <c r="BD94" i="136"/>
  <c r="BV94" i="136"/>
  <c r="BR94" i="136"/>
  <c r="F33" i="126"/>
  <c r="H33" i="126" s="1"/>
  <c r="BH94" i="136"/>
  <c r="BT94" i="136"/>
  <c r="BB94" i="136"/>
  <c r="H142" i="126"/>
  <c r="AY118" i="137"/>
  <c r="AE118" i="137"/>
  <c r="AK118" i="137"/>
  <c r="E48" i="146"/>
  <c r="AQ118" i="137"/>
  <c r="AM118" i="137"/>
  <c r="D50" i="126"/>
  <c r="AU118" i="137"/>
  <c r="AO118" i="137"/>
  <c r="AW118" i="137"/>
  <c r="AI118" i="137"/>
  <c r="AG118" i="137"/>
  <c r="AS118" i="137"/>
  <c r="D77" i="148"/>
  <c r="F231" i="126" l="1"/>
  <c r="Y231" i="126" s="1"/>
  <c r="Z231" i="126" s="1"/>
  <c r="F200" i="126"/>
  <c r="BX98" i="138"/>
  <c r="BT98" i="138"/>
  <c r="BV98" i="138"/>
  <c r="BR98" i="138"/>
  <c r="CF98" i="138"/>
  <c r="CB98" i="138"/>
  <c r="G61" i="126"/>
  <c r="BL98" i="138"/>
  <c r="CD98" i="138"/>
  <c r="BP98" i="138"/>
  <c r="BZ98" i="138"/>
  <c r="BN98" i="138"/>
  <c r="AE114" i="137"/>
  <c r="F218" i="126"/>
  <c r="Y218" i="126" s="1"/>
  <c r="Z218" i="126" s="1"/>
  <c r="D63" i="148" s="1"/>
  <c r="BS81" i="144"/>
  <c r="BA81" i="144"/>
  <c r="AY114" i="137"/>
  <c r="AQ114" i="137"/>
  <c r="AG114" i="137"/>
  <c r="AS114" i="137"/>
  <c r="AK114" i="137"/>
  <c r="AU114" i="137"/>
  <c r="E49" i="126"/>
  <c r="AU81" i="144"/>
  <c r="BJ81" i="144"/>
  <c r="AM114" i="137"/>
  <c r="AW114" i="137"/>
  <c r="AI114" i="137"/>
  <c r="BF81" i="144"/>
  <c r="BH81" i="144"/>
  <c r="AY81" i="144"/>
  <c r="AS81" i="144"/>
  <c r="BD81" i="144"/>
  <c r="BM14" i="140"/>
  <c r="AE94" i="138"/>
  <c r="BO14" i="140"/>
  <c r="AW81" i="144"/>
  <c r="AO81" i="144"/>
  <c r="AQ81" i="144"/>
  <c r="H101" i="126"/>
  <c r="BW81" i="144"/>
  <c r="F227" i="126"/>
  <c r="Y227" i="126" s="1"/>
  <c r="Z227" i="126" s="1"/>
  <c r="D72" i="148" s="1"/>
  <c r="CA81" i="144"/>
  <c r="BU81" i="144"/>
  <c r="BY81" i="144"/>
  <c r="CE81" i="144"/>
  <c r="CG81" i="144"/>
  <c r="BO81" i="144"/>
  <c r="CC81" i="144"/>
  <c r="BM81" i="144"/>
  <c r="BQ81" i="144"/>
  <c r="BN102" i="138"/>
  <c r="CC28" i="142"/>
  <c r="BY60" i="141"/>
  <c r="BR30" i="135"/>
  <c r="BU38" i="140"/>
  <c r="AU22" i="135"/>
  <c r="BQ117" i="143"/>
  <c r="BT94" i="135"/>
  <c r="AM98" i="138"/>
  <c r="AQ94" i="138"/>
  <c r="BQ14" i="140"/>
  <c r="BR62" i="136"/>
  <c r="AY26" i="135"/>
  <c r="BV26" i="135"/>
  <c r="BF60" i="141"/>
  <c r="BN54" i="137"/>
  <c r="BL118" i="137"/>
  <c r="BN86" i="139"/>
  <c r="CC17" i="144"/>
  <c r="AQ28" i="142"/>
  <c r="AK98" i="138"/>
  <c r="AW98" i="138"/>
  <c r="AY94" i="138"/>
  <c r="AU98" i="138"/>
  <c r="BA28" i="142"/>
  <c r="BD28" i="142"/>
  <c r="H155" i="126"/>
  <c r="AU28" i="142"/>
  <c r="AS60" i="141"/>
  <c r="H179" i="126"/>
  <c r="H180" i="126"/>
  <c r="G180" i="126" s="1"/>
  <c r="BT26" i="135"/>
  <c r="BR54" i="137"/>
  <c r="F229" i="126"/>
  <c r="Y229" i="126" s="1"/>
  <c r="AF233" i="126" s="1"/>
  <c r="AF234" i="126" s="1"/>
  <c r="BL54" i="137"/>
  <c r="BW14" i="140"/>
  <c r="AI98" i="138"/>
  <c r="AM94" i="138"/>
  <c r="BD14" i="140"/>
  <c r="BS14" i="140"/>
  <c r="BD60" i="141"/>
  <c r="AG98" i="138"/>
  <c r="AE98" i="138"/>
  <c r="AU94" i="138"/>
  <c r="BU14" i="140"/>
  <c r="BJ14" i="140"/>
  <c r="F40" i="146"/>
  <c r="E61" i="126"/>
  <c r="AS98" i="138"/>
  <c r="D61" i="126"/>
  <c r="AW94" i="138"/>
  <c r="BV54" i="137"/>
  <c r="BH14" i="140"/>
  <c r="AQ98" i="138"/>
  <c r="AK94" i="138"/>
  <c r="AI94" i="138"/>
  <c r="F79" i="126"/>
  <c r="F247" i="126" s="1"/>
  <c r="Y247" i="126" s="1"/>
  <c r="Z247" i="126" s="1"/>
  <c r="Z245" i="126" s="1"/>
  <c r="D90" i="148" s="1"/>
  <c r="BF14" i="140"/>
  <c r="BJ60" i="141"/>
  <c r="AO98" i="138"/>
  <c r="AY98" i="138"/>
  <c r="AS94" i="138"/>
  <c r="AG94" i="138"/>
  <c r="E40" i="146"/>
  <c r="E8" i="146" s="1"/>
  <c r="D136" i="126"/>
  <c r="BJ28" i="142"/>
  <c r="AS28" i="142"/>
  <c r="AY28" i="142"/>
  <c r="AO28" i="142"/>
  <c r="F82" i="126"/>
  <c r="H82" i="126" s="1"/>
  <c r="BH28" i="142"/>
  <c r="BF28" i="142"/>
  <c r="AW28" i="142"/>
  <c r="BS38" i="140"/>
  <c r="BO38" i="140"/>
  <c r="BH38" i="140"/>
  <c r="BD38" i="140"/>
  <c r="BQ38" i="140"/>
  <c r="H104" i="126"/>
  <c r="H132" i="126"/>
  <c r="F169" i="126" s="1"/>
  <c r="Y169" i="126" s="1"/>
  <c r="Z169" i="126" s="1"/>
  <c r="D14" i="148" s="1"/>
  <c r="BB38" i="140"/>
  <c r="H111" i="126"/>
  <c r="BW38" i="140"/>
  <c r="BM38" i="140"/>
  <c r="BF38" i="140"/>
  <c r="BJ38" i="140"/>
  <c r="BB54" i="137"/>
  <c r="AQ60" i="141"/>
  <c r="BF54" i="137"/>
  <c r="BP54" i="137"/>
  <c r="BT54" i="137"/>
  <c r="BH54" i="137"/>
  <c r="AO60" i="141"/>
  <c r="BA60" i="141"/>
  <c r="BJ54" i="137"/>
  <c r="E114" i="146"/>
  <c r="AW60" i="141"/>
  <c r="AY60" i="141"/>
  <c r="BH60" i="141"/>
  <c r="F42" i="126"/>
  <c r="H42" i="126" s="1"/>
  <c r="F181" i="126" s="1"/>
  <c r="Y181" i="126" s="1"/>
  <c r="Z181" i="126" s="1"/>
  <c r="D26" i="148" s="1"/>
  <c r="BD54" i="137"/>
  <c r="D116" i="126"/>
  <c r="AU60" i="141"/>
  <c r="CB26" i="135"/>
  <c r="CD26" i="135"/>
  <c r="BF30" i="135"/>
  <c r="BD86" i="139"/>
  <c r="CE117" i="143"/>
  <c r="G10" i="126"/>
  <c r="BX26" i="135"/>
  <c r="BR26" i="135"/>
  <c r="BP26" i="135"/>
  <c r="BN26" i="135"/>
  <c r="BZ26" i="135"/>
  <c r="BL26" i="135"/>
  <c r="CF26" i="135"/>
  <c r="Y200" i="126"/>
  <c r="BU49" i="143"/>
  <c r="CE49" i="143"/>
  <c r="BB94" i="135"/>
  <c r="CC49" i="143"/>
  <c r="CA49" i="143"/>
  <c r="BO49" i="143"/>
  <c r="BY49" i="143"/>
  <c r="BM49" i="143"/>
  <c r="BW49" i="143"/>
  <c r="CG49" i="143"/>
  <c r="BS49" i="143"/>
  <c r="BQ49" i="143"/>
  <c r="BL94" i="135"/>
  <c r="BD94" i="135"/>
  <c r="BJ30" i="135"/>
  <c r="BT30" i="135"/>
  <c r="BP30" i="135"/>
  <c r="F11" i="126"/>
  <c r="H11" i="126" s="1"/>
  <c r="BV30" i="135"/>
  <c r="BD30" i="135"/>
  <c r="BL30" i="135"/>
  <c r="BB30" i="135"/>
  <c r="BH30" i="135"/>
  <c r="BN30" i="135"/>
  <c r="H137" i="126"/>
  <c r="F202" i="126"/>
  <c r="Y202" i="126" s="1"/>
  <c r="Z203" i="126" s="1"/>
  <c r="D48" i="148" s="1"/>
  <c r="AI22" i="135"/>
  <c r="BY17" i="144"/>
  <c r="CA17" i="144"/>
  <c r="BO17" i="144"/>
  <c r="H117" i="126"/>
  <c r="BP94" i="135"/>
  <c r="BN94" i="135"/>
  <c r="BJ94" i="135"/>
  <c r="D75" i="148"/>
  <c r="BV94" i="135"/>
  <c r="BH94" i="135"/>
  <c r="BR94" i="135"/>
  <c r="H95" i="126"/>
  <c r="F217" i="126" s="1"/>
  <c r="Y217" i="126" s="1"/>
  <c r="Z217" i="126" s="1"/>
  <c r="D62" i="148" s="1"/>
  <c r="F19" i="126"/>
  <c r="H19" i="126" s="1"/>
  <c r="BF94" i="135"/>
  <c r="F182" i="126"/>
  <c r="Y182" i="126" s="1"/>
  <c r="Z182" i="126" s="1"/>
  <c r="D27" i="148" s="1"/>
  <c r="BT102" i="138"/>
  <c r="BM17" i="144"/>
  <c r="BQ17" i="144"/>
  <c r="BU17" i="144"/>
  <c r="CE17" i="144"/>
  <c r="CG17" i="144"/>
  <c r="BW17" i="144"/>
  <c r="BS17" i="144"/>
  <c r="BP62" i="136"/>
  <c r="AW26" i="135"/>
  <c r="AI26" i="135"/>
  <c r="AO26" i="135"/>
  <c r="CG60" i="141"/>
  <c r="AS26" i="135"/>
  <c r="AQ26" i="135"/>
  <c r="AE26" i="135"/>
  <c r="F50" i="126"/>
  <c r="H50" i="126" s="1"/>
  <c r="BJ118" i="137"/>
  <c r="F62" i="126"/>
  <c r="H62" i="126" s="1"/>
  <c r="BD62" i="136"/>
  <c r="BV118" i="137"/>
  <c r="BV86" i="139"/>
  <c r="N249" i="126"/>
  <c r="BJ102" i="138"/>
  <c r="BN118" i="137"/>
  <c r="BT118" i="137"/>
  <c r="BH118" i="137"/>
  <c r="AE22" i="135"/>
  <c r="BL86" i="139"/>
  <c r="G48" i="146"/>
  <c r="BB118" i="137"/>
  <c r="BF118" i="137"/>
  <c r="BP118" i="137"/>
  <c r="BB86" i="139"/>
  <c r="G9" i="146"/>
  <c r="BV62" i="136"/>
  <c r="BD118" i="137"/>
  <c r="BR118" i="137"/>
  <c r="AW22" i="135"/>
  <c r="F196" i="126"/>
  <c r="Y196" i="126" s="1"/>
  <c r="Z196" i="126" s="1"/>
  <c r="D41" i="148" s="1"/>
  <c r="CA28" i="142"/>
  <c r="BW60" i="141"/>
  <c r="BO28" i="142"/>
  <c r="F136" i="126"/>
  <c r="BU60" i="141"/>
  <c r="BQ28" i="142"/>
  <c r="BM28" i="142"/>
  <c r="BS60" i="141"/>
  <c r="CE60" i="141"/>
  <c r="BW28" i="142"/>
  <c r="F116" i="126"/>
  <c r="BY28" i="142"/>
  <c r="CE28" i="142"/>
  <c r="BU28" i="142"/>
  <c r="CC60" i="141"/>
  <c r="CA60" i="141"/>
  <c r="BQ60" i="141"/>
  <c r="CG28" i="142"/>
  <c r="BS28" i="142"/>
  <c r="BM60" i="141"/>
  <c r="BO60" i="141"/>
  <c r="BP102" i="138"/>
  <c r="BF102" i="138"/>
  <c r="BL62" i="136"/>
  <c r="F29" i="126"/>
  <c r="BB62" i="136"/>
  <c r="AK22" i="135"/>
  <c r="AM22" i="135"/>
  <c r="BH102" i="138"/>
  <c r="BD102" i="138"/>
  <c r="BT62" i="136"/>
  <c r="BN62" i="136"/>
  <c r="BJ62" i="136"/>
  <c r="G60" i="146"/>
  <c r="BB102" i="138"/>
  <c r="BL102" i="138"/>
  <c r="BV102" i="138"/>
  <c r="BF62" i="136"/>
  <c r="BH62" i="136"/>
  <c r="AG22" i="135"/>
  <c r="AS22" i="135"/>
  <c r="D10" i="126"/>
  <c r="AK26" i="135"/>
  <c r="AG26" i="135"/>
  <c r="AU26" i="135"/>
  <c r="AO17" i="144"/>
  <c r="BA17" i="144"/>
  <c r="AQ17" i="144"/>
  <c r="AU17" i="144"/>
  <c r="AW17" i="144"/>
  <c r="AY17" i="144"/>
  <c r="BD17" i="144"/>
  <c r="AS17" i="144"/>
  <c r="BF17" i="144"/>
  <c r="BH17" i="144"/>
  <c r="BJ17" i="144"/>
  <c r="BX114" i="137"/>
  <c r="BV114" i="137"/>
  <c r="BR114" i="137"/>
  <c r="CD114" i="137"/>
  <c r="CF114" i="137"/>
  <c r="BT114" i="137"/>
  <c r="BP114" i="137"/>
  <c r="BL114" i="137"/>
  <c r="CB114" i="137"/>
  <c r="BZ114" i="137"/>
  <c r="G49" i="126"/>
  <c r="BN114" i="137"/>
  <c r="BR102" i="138"/>
  <c r="AQ22" i="135"/>
  <c r="AU110" i="137"/>
  <c r="AY110" i="137"/>
  <c r="AM110" i="137"/>
  <c r="AQ110" i="137"/>
  <c r="AG110" i="137"/>
  <c r="AI110" i="137"/>
  <c r="AO110" i="137"/>
  <c r="D49" i="126"/>
  <c r="AS110" i="137"/>
  <c r="AE110" i="137"/>
  <c r="AK110" i="137"/>
  <c r="AW110" i="137"/>
  <c r="BH49" i="143"/>
  <c r="AW49" i="143"/>
  <c r="AS49" i="143"/>
  <c r="BD49" i="143"/>
  <c r="BF49" i="143"/>
  <c r="AY49" i="143"/>
  <c r="AO49" i="143"/>
  <c r="BA49" i="143"/>
  <c r="AQ49" i="143"/>
  <c r="BJ49" i="143"/>
  <c r="AU49" i="143"/>
  <c r="AO22" i="135"/>
  <c r="AY22" i="135"/>
  <c r="E10" i="126"/>
  <c r="AM26" i="135"/>
  <c r="BJ86" i="139"/>
  <c r="BF86" i="139"/>
  <c r="BP86" i="139"/>
  <c r="BR86" i="139"/>
  <c r="BT86" i="139"/>
  <c r="F74" i="126"/>
  <c r="BH86" i="139"/>
  <c r="Y244" i="126"/>
  <c r="Z200" i="126" l="1"/>
  <c r="D45" i="148" s="1"/>
  <c r="Z201" i="126"/>
  <c r="D46" i="148" s="1"/>
  <c r="CF50" i="137"/>
  <c r="CB50" i="137"/>
  <c r="BL50" i="137"/>
  <c r="BR50" i="137"/>
  <c r="BV50" i="137"/>
  <c r="G41" i="126"/>
  <c r="CD50" i="137"/>
  <c r="E437" i="126"/>
  <c r="E438" i="126" s="1"/>
  <c r="Z226" i="126"/>
  <c r="D71" i="148" s="1"/>
  <c r="BT50" i="137"/>
  <c r="BP50" i="137"/>
  <c r="BZ50" i="137"/>
  <c r="BN50" i="137"/>
  <c r="BX50" i="137"/>
  <c r="BW117" i="143"/>
  <c r="BY117" i="143"/>
  <c r="BS117" i="143"/>
  <c r="BM117" i="143"/>
  <c r="CG117" i="143"/>
  <c r="BO117" i="143"/>
  <c r="BU117" i="143"/>
  <c r="CA117" i="143"/>
  <c r="BT18" i="135"/>
  <c r="CA13" i="145"/>
  <c r="BP94" i="138"/>
  <c r="BP22" i="135"/>
  <c r="BA56" i="141"/>
  <c r="AK46" i="137"/>
  <c r="CC117" i="143"/>
  <c r="BR110" i="137"/>
  <c r="AU50" i="137"/>
  <c r="AM46" i="137"/>
  <c r="AO46" i="137"/>
  <c r="AY46" i="137"/>
  <c r="F171" i="126"/>
  <c r="Y171" i="126" s="1"/>
  <c r="Z171" i="126" s="1"/>
  <c r="D16" i="148" s="1"/>
  <c r="D10" i="148" s="1"/>
  <c r="AE14" i="135"/>
  <c r="AU46" i="137"/>
  <c r="AI46" i="137"/>
  <c r="AS46" i="137"/>
  <c r="D41" i="126"/>
  <c r="AG46" i="137"/>
  <c r="AQ46" i="137"/>
  <c r="AE46" i="137"/>
  <c r="AW46" i="137"/>
  <c r="H249" i="126"/>
  <c r="Z229" i="126"/>
  <c r="D74" i="148" s="1"/>
  <c r="G179" i="126"/>
  <c r="Z228" i="126"/>
  <c r="AI50" i="137"/>
  <c r="AE50" i="137"/>
  <c r="AO50" i="137"/>
  <c r="AM50" i="137"/>
  <c r="E41" i="126"/>
  <c r="AK50" i="137"/>
  <c r="F8" i="146"/>
  <c r="AQ18" i="135" s="1"/>
  <c r="AY50" i="137"/>
  <c r="AS50" i="137"/>
  <c r="AG50" i="137"/>
  <c r="AQ50" i="137"/>
  <c r="AW50" i="137"/>
  <c r="D92" i="148"/>
  <c r="H79" i="126"/>
  <c r="BD56" i="141"/>
  <c r="BJ56" i="141"/>
  <c r="AS56" i="141"/>
  <c r="AO56" i="141"/>
  <c r="AW56" i="141"/>
  <c r="AY56" i="141"/>
  <c r="BH56" i="141"/>
  <c r="D115" i="126"/>
  <c r="AU56" i="141"/>
  <c r="BF56" i="141"/>
  <c r="AQ56" i="141"/>
  <c r="G9" i="126"/>
  <c r="F180" i="126"/>
  <c r="Y180" i="126" s="1"/>
  <c r="Z180" i="126" s="1"/>
  <c r="D25" i="148" s="1"/>
  <c r="Z202" i="126"/>
  <c r="D47" i="148" s="1"/>
  <c r="BM13" i="145"/>
  <c r="CE13" i="145"/>
  <c r="BY13" i="145"/>
  <c r="BV110" i="137"/>
  <c r="AA216" i="126"/>
  <c r="D61" i="148" s="1"/>
  <c r="D76" i="148"/>
  <c r="BO13" i="145"/>
  <c r="CG13" i="145"/>
  <c r="BU13" i="145"/>
  <c r="BW13" i="145"/>
  <c r="BS13" i="145"/>
  <c r="CC13" i="145"/>
  <c r="BQ13" i="145"/>
  <c r="BM56" i="141"/>
  <c r="BJ110" i="137"/>
  <c r="F49" i="126"/>
  <c r="BN110" i="137"/>
  <c r="BT110" i="137"/>
  <c r="BP110" i="137"/>
  <c r="F195" i="126"/>
  <c r="Y195" i="126" s="1"/>
  <c r="AD197" i="126" s="1"/>
  <c r="AD200" i="126" s="1"/>
  <c r="BH110" i="137"/>
  <c r="BD110" i="137"/>
  <c r="BB110" i="137"/>
  <c r="BL110" i="137"/>
  <c r="BF110" i="137"/>
  <c r="F179" i="126"/>
  <c r="BO56" i="141"/>
  <c r="BY56" i="141"/>
  <c r="F10" i="126"/>
  <c r="BD22" i="135"/>
  <c r="BN94" i="138"/>
  <c r="F61" i="126"/>
  <c r="BV22" i="135"/>
  <c r="BR94" i="138"/>
  <c r="BV94" i="138"/>
  <c r="BB22" i="135"/>
  <c r="BJ22" i="135"/>
  <c r="BL22" i="135"/>
  <c r="BD94" i="138"/>
  <c r="BR22" i="135"/>
  <c r="BH22" i="135"/>
  <c r="BT22" i="135"/>
  <c r="BL94" i="138"/>
  <c r="BN22" i="135"/>
  <c r="BF22" i="135"/>
  <c r="BU56" i="141"/>
  <c r="BW56" i="141"/>
  <c r="CG56" i="141"/>
  <c r="F115" i="126"/>
  <c r="BS56" i="141"/>
  <c r="CE56" i="141"/>
  <c r="CC56" i="141"/>
  <c r="CA56" i="141"/>
  <c r="BQ56" i="141"/>
  <c r="AO117" i="143"/>
  <c r="BA117" i="143"/>
  <c r="AQ117" i="143"/>
  <c r="AS117" i="143"/>
  <c r="AU117" i="143"/>
  <c r="AW117" i="143"/>
  <c r="BJ117" i="143"/>
  <c r="AY117" i="143"/>
  <c r="BD117" i="143"/>
  <c r="BF117" i="143"/>
  <c r="BH117" i="143"/>
  <c r="BT94" i="138"/>
  <c r="BH94" i="138"/>
  <c r="BH13" i="145"/>
  <c r="AY13" i="145"/>
  <c r="BD13" i="145"/>
  <c r="AS13" i="145"/>
  <c r="AO13" i="145"/>
  <c r="AU13" i="145"/>
  <c r="BF13" i="145"/>
  <c r="BJ13" i="145"/>
  <c r="AW13" i="145"/>
  <c r="BA13" i="145"/>
  <c r="AQ13" i="145"/>
  <c r="BB94" i="138"/>
  <c r="G40" i="146"/>
  <c r="BJ94" i="138"/>
  <c r="BF94" i="138"/>
  <c r="Z244" i="126"/>
  <c r="D73" i="148" l="1"/>
  <c r="AE18" i="135"/>
  <c r="AS18" i="135"/>
  <c r="AM14" i="135"/>
  <c r="BP18" i="135"/>
  <c r="BY52" i="141"/>
  <c r="BZ18" i="135"/>
  <c r="CF18" i="135"/>
  <c r="BR18" i="135"/>
  <c r="BL18" i="135"/>
  <c r="BN18" i="135"/>
  <c r="BV18" i="135"/>
  <c r="CD18" i="135"/>
  <c r="BX18" i="135"/>
  <c r="CB18" i="135"/>
  <c r="BW17" i="145"/>
  <c r="D9" i="126"/>
  <c r="BP46" i="137"/>
  <c r="AO18" i="135"/>
  <c r="AK14" i="135"/>
  <c r="AG14" i="135"/>
  <c r="AU14" i="135"/>
  <c r="AO14" i="135"/>
  <c r="AA165" i="126"/>
  <c r="Y179" i="126"/>
  <c r="Z179" i="126" s="1"/>
  <c r="AI14" i="135"/>
  <c r="AS14" i="135"/>
  <c r="AW14" i="135"/>
  <c r="AQ14" i="135"/>
  <c r="AY14" i="135"/>
  <c r="AY18" i="135"/>
  <c r="CE17" i="145"/>
  <c r="AK18" i="135"/>
  <c r="AU18" i="135"/>
  <c r="AG18" i="135"/>
  <c r="AM18" i="135"/>
  <c r="AW18" i="135"/>
  <c r="AI18" i="135"/>
  <c r="E9" i="126"/>
  <c r="BQ17" i="145"/>
  <c r="CA17" i="145"/>
  <c r="BU17" i="145"/>
  <c r="BY17" i="145"/>
  <c r="CG17" i="145"/>
  <c r="CC17" i="145"/>
  <c r="BS17" i="145"/>
  <c r="BO17" i="145"/>
  <c r="BM17" i="145"/>
  <c r="AA225" i="126"/>
  <c r="Z195" i="126"/>
  <c r="AA213" i="126" s="1"/>
  <c r="BT46" i="137"/>
  <c r="BN46" i="137"/>
  <c r="BB46" i="137"/>
  <c r="BL46" i="137"/>
  <c r="G8" i="146"/>
  <c r="BV46" i="137"/>
  <c r="BJ46" i="137"/>
  <c r="BH46" i="137"/>
  <c r="BR46" i="137"/>
  <c r="BD46" i="137"/>
  <c r="F41" i="126"/>
  <c r="BF46" i="137"/>
  <c r="BD17" i="145"/>
  <c r="AS17" i="145"/>
  <c r="AU17" i="145"/>
  <c r="W164" i="126"/>
  <c r="AQ17" i="145"/>
  <c r="BF17" i="145"/>
  <c r="AY17" i="145"/>
  <c r="BJ17" i="145"/>
  <c r="AO17" i="145"/>
  <c r="BA17" i="145"/>
  <c r="BH17" i="145"/>
  <c r="AW17" i="145"/>
  <c r="D89" i="148"/>
  <c r="D24" i="148" l="1"/>
  <c r="D23" i="148" s="1"/>
  <c r="D70" i="148"/>
  <c r="CE52" i="141"/>
  <c r="BS52" i="141"/>
  <c r="BW52" i="141"/>
  <c r="CA52" i="141"/>
  <c r="BQ52" i="141"/>
  <c r="BM52" i="141"/>
  <c r="F114" i="126"/>
  <c r="C415" i="126" s="1"/>
  <c r="C424" i="126" s="1"/>
  <c r="CA86" i="140"/>
  <c r="CG52" i="141"/>
  <c r="BO52" i="141"/>
  <c r="CC52" i="141"/>
  <c r="BU52" i="141"/>
  <c r="CE37" i="145"/>
  <c r="BN14" i="135"/>
  <c r="AA178" i="126"/>
  <c r="BM37" i="145"/>
  <c r="BS37" i="145"/>
  <c r="CG37" i="145"/>
  <c r="CC37" i="145"/>
  <c r="BW37" i="145"/>
  <c r="BQ37" i="145"/>
  <c r="CA37" i="145"/>
  <c r="BO37" i="145"/>
  <c r="BY37" i="145"/>
  <c r="Z242" i="126"/>
  <c r="BU37" i="145"/>
  <c r="BV14" i="135"/>
  <c r="D40" i="148"/>
  <c r="BP14" i="135"/>
  <c r="BJ14" i="135"/>
  <c r="E113" i="146"/>
  <c r="BD14" i="135"/>
  <c r="BR14" i="135"/>
  <c r="BH14" i="135"/>
  <c r="F9" i="126"/>
  <c r="BT14" i="135"/>
  <c r="BF14" i="135"/>
  <c r="BL14" i="135"/>
  <c r="BB14" i="135"/>
  <c r="BF37" i="145"/>
  <c r="AY37" i="145"/>
  <c r="BH37" i="145"/>
  <c r="AW37" i="145"/>
  <c r="AQ37" i="145"/>
  <c r="BD37" i="145"/>
  <c r="BA37" i="145"/>
  <c r="AU37" i="145"/>
  <c r="AS37" i="145"/>
  <c r="AO37" i="145"/>
  <c r="BJ37" i="145"/>
  <c r="W248" i="126"/>
  <c r="G248" i="126" s="1"/>
  <c r="G164" i="126"/>
  <c r="D87" i="148" l="1"/>
  <c r="BM86" i="140"/>
  <c r="CC86" i="140"/>
  <c r="F94" i="126"/>
  <c r="BY86" i="140"/>
  <c r="BU86" i="140"/>
  <c r="CG86" i="140"/>
  <c r="BW86" i="140"/>
  <c r="BO86" i="140"/>
  <c r="BQ86" i="140"/>
  <c r="CE86" i="140"/>
  <c r="BS86" i="140"/>
  <c r="BA52" i="141"/>
  <c r="D58" i="148"/>
  <c r="AW52" i="141"/>
  <c r="E93" i="146"/>
  <c r="AY52" i="141"/>
  <c r="BH52" i="141"/>
  <c r="BJ52" i="141"/>
  <c r="BD52" i="141"/>
  <c r="AS52" i="141"/>
  <c r="D114" i="126"/>
  <c r="H114" i="126" s="1"/>
  <c r="F248" i="126" s="1"/>
  <c r="F249" i="126" s="1"/>
  <c r="AU52" i="141"/>
  <c r="BF52" i="141"/>
  <c r="AO52" i="141"/>
  <c r="AQ52" i="141"/>
  <c r="G249" i="126"/>
  <c r="W249" i="126"/>
  <c r="Y164" i="126"/>
  <c r="Z164" i="126" s="1"/>
  <c r="Z249" i="126" s="1"/>
  <c r="D9" i="148" l="1"/>
  <c r="D28" i="148" s="1"/>
  <c r="D36" i="148" s="1"/>
  <c r="CA82" i="140"/>
  <c r="BQ82" i="140"/>
  <c r="CC82" i="140"/>
  <c r="BS82" i="140"/>
  <c r="BU82" i="140"/>
  <c r="BM82" i="140"/>
  <c r="CG82" i="140"/>
  <c r="CE82" i="140"/>
  <c r="BW82" i="140"/>
  <c r="BY82" i="140"/>
  <c r="BO82" i="140"/>
  <c r="F93" i="126"/>
  <c r="BJ86" i="140"/>
  <c r="D94" i="126"/>
  <c r="AY86" i="140"/>
  <c r="AW86" i="140"/>
  <c r="BA86" i="140"/>
  <c r="AQ86" i="140"/>
  <c r="AU86" i="140"/>
  <c r="AO86" i="140"/>
  <c r="BF86" i="140"/>
  <c r="BH86" i="140"/>
  <c r="E92" i="146"/>
  <c r="BD86" i="140"/>
  <c r="AS86" i="140"/>
  <c r="Y249" i="126"/>
  <c r="AA183" i="126"/>
  <c r="BH82" i="140" l="1"/>
  <c r="AQ82" i="140"/>
  <c r="D93" i="126"/>
  <c r="BF82" i="140"/>
  <c r="BA82" i="140"/>
  <c r="BD82" i="140"/>
  <c r="AW82" i="140"/>
  <c r="AO82" i="140"/>
  <c r="AU82" i="140"/>
  <c r="AY82" i="140"/>
  <c r="AS82" i="140"/>
  <c r="BJ82" i="140"/>
  <c r="AA191" i="126"/>
  <c r="Z243" i="126" s="1"/>
  <c r="D88" i="148" l="1"/>
  <c r="D94" i="148" s="1"/>
  <c r="B10" i="99" l="1"/>
  <c r="C10" i="99" l="1"/>
  <c r="B6" i="118" s="1"/>
  <c r="B11" i="99"/>
  <c r="B12" i="99" l="1"/>
  <c r="C11" i="99"/>
  <c r="B7" i="118" s="1"/>
  <c r="C12" i="99" l="1"/>
  <c r="B9" i="118" s="1"/>
  <c r="B13" i="99"/>
  <c r="C13" i="99" l="1"/>
  <c r="B10" i="118" s="1"/>
  <c r="B14" i="99"/>
  <c r="B15" i="99" l="1"/>
  <c r="C14" i="99"/>
  <c r="B11" i="118" s="1"/>
  <c r="C15" i="99" l="1"/>
  <c r="B12" i="118" s="1"/>
  <c r="B16" i="99"/>
  <c r="B17" i="99" l="1"/>
  <c r="C16" i="99"/>
  <c r="B13" i="118" s="1"/>
  <c r="C17" i="99" l="1"/>
  <c r="B14" i="118" s="1"/>
  <c r="B18" i="99"/>
  <c r="B19" i="99" l="1"/>
  <c r="C18" i="99"/>
  <c r="B15" i="118" s="1"/>
  <c r="C19" i="99" l="1"/>
  <c r="B16" i="118" s="1"/>
  <c r="B20" i="99"/>
  <c r="B21" i="99" l="1"/>
  <c r="C20" i="99"/>
  <c r="B17" i="118" s="1"/>
  <c r="B22" i="99" l="1"/>
  <c r="C21" i="99"/>
  <c r="B18" i="118" s="1"/>
  <c r="B20" i="118" s="1"/>
  <c r="B23" i="99" l="1"/>
  <c r="C22" i="99"/>
  <c r="B24" i="118" s="1"/>
  <c r="B24" i="99" l="1"/>
  <c r="C23" i="99"/>
  <c r="B25" i="118" s="1"/>
  <c r="B29" i="118" s="1"/>
  <c r="B25" i="99" l="1"/>
  <c r="C24" i="99"/>
  <c r="B26" i="118" s="1"/>
  <c r="B30" i="118" s="1"/>
  <c r="B26" i="99" l="1"/>
  <c r="C25" i="99"/>
  <c r="B27" i="99" l="1"/>
  <c r="C26" i="99"/>
  <c r="E24" i="118" s="1"/>
  <c r="E28" i="118" s="1"/>
  <c r="B28" i="99" l="1"/>
  <c r="C27" i="99"/>
  <c r="B28" i="118" s="1"/>
  <c r="B29" i="99" l="1"/>
  <c r="C28" i="99"/>
  <c r="B32" i="118" s="1"/>
  <c r="B30" i="99" l="1"/>
  <c r="C29" i="99"/>
  <c r="B33" i="118" s="1"/>
  <c r="B31" i="99" l="1"/>
  <c r="C30" i="99"/>
  <c r="C18" i="118" l="1"/>
  <c r="B32" i="99"/>
  <c r="C31" i="99"/>
  <c r="E18" i="118" s="1"/>
  <c r="B33" i="99" l="1"/>
  <c r="C32" i="99"/>
  <c r="B34" i="99" l="1"/>
  <c r="C33" i="99"/>
  <c r="B35" i="99" l="1"/>
  <c r="C34" i="99"/>
  <c r="B36" i="99" l="1"/>
  <c r="C35" i="99"/>
  <c r="B19" i="118" s="1"/>
  <c r="B21" i="118" s="1"/>
  <c r="B23" i="118" s="1"/>
  <c r="B37" i="99" l="1"/>
  <c r="B38" i="99" s="1"/>
  <c r="C36" i="99"/>
  <c r="F9" i="118" l="1"/>
  <c r="F7" i="118"/>
  <c r="F16" i="118"/>
  <c r="F15" i="118"/>
  <c r="C38" i="99"/>
  <c r="B39" i="99"/>
  <c r="C39" i="99" l="1"/>
  <c r="B40" i="99"/>
  <c r="C40" i="99" l="1"/>
  <c r="B41" i="99"/>
  <c r="A3" i="126"/>
  <c r="A88" i="126" s="1"/>
  <c r="B87" i="146"/>
  <c r="C41" i="99" l="1"/>
  <c r="B42" i="99"/>
  <c r="A4" i="126"/>
  <c r="A89" i="126" s="1"/>
  <c r="B3" i="146"/>
  <c r="B4" i="147" l="1"/>
  <c r="B88" i="146"/>
  <c r="C42" i="99"/>
  <c r="B43" i="99"/>
  <c r="B4" i="126"/>
  <c r="C3" i="146"/>
  <c r="C43" i="99" l="1"/>
  <c r="B44" i="99"/>
  <c r="C4" i="126"/>
  <c r="C89" i="126" s="1"/>
  <c r="D3" i="146"/>
  <c r="D88" i="146" s="1"/>
  <c r="C44" i="99" l="1"/>
  <c r="B45" i="99"/>
  <c r="D4" i="126"/>
  <c r="D89" i="126" s="1"/>
  <c r="E3" i="146"/>
  <c r="E88" i="146" l="1"/>
  <c r="C45" i="99"/>
  <c r="B46" i="99"/>
  <c r="G4" i="126"/>
  <c r="F89" i="126" s="1"/>
  <c r="H3" i="146"/>
  <c r="G88" i="146" l="1"/>
  <c r="C46" i="99"/>
  <c r="B47" i="99"/>
  <c r="D6" i="126"/>
  <c r="E5" i="146"/>
  <c r="C47" i="99" l="1"/>
  <c r="B48" i="99"/>
  <c r="E6" i="126"/>
  <c r="F5" i="146"/>
  <c r="C48" i="99" l="1"/>
  <c r="B49" i="99"/>
  <c r="F6" i="126"/>
  <c r="H5" i="146"/>
  <c r="G5" i="146"/>
  <c r="G6" i="126"/>
  <c r="C49" i="99" l="1"/>
  <c r="B50" i="99"/>
  <c r="D7" i="126"/>
  <c r="E6" i="146"/>
  <c r="C50" i="99" l="1"/>
  <c r="B51" i="99"/>
  <c r="E7" i="126"/>
  <c r="F6" i="146"/>
  <c r="C51" i="99" l="1"/>
  <c r="B52" i="99"/>
  <c r="D8" i="126"/>
  <c r="G8" i="126"/>
  <c r="F8" i="126"/>
  <c r="H7" i="146"/>
  <c r="F7" i="146"/>
  <c r="G7" i="146"/>
  <c r="E8" i="126"/>
  <c r="E7" i="146"/>
  <c r="C52" i="99" l="1"/>
  <c r="B53" i="99"/>
  <c r="C53" i="99" l="1"/>
  <c r="B54" i="99"/>
  <c r="H12" i="135"/>
  <c r="C8" i="146"/>
  <c r="C54" i="99" l="1"/>
  <c r="B55" i="99"/>
  <c r="H20" i="135"/>
  <c r="C9" i="146"/>
  <c r="C55" i="99" l="1"/>
  <c r="B56" i="99"/>
  <c r="H28" i="135"/>
  <c r="C10" i="146"/>
  <c r="C56" i="99" l="1"/>
  <c r="B57" i="99"/>
  <c r="H36" i="135"/>
  <c r="C11" i="146"/>
  <c r="C57" i="99" l="1"/>
  <c r="B58" i="99"/>
  <c r="H44" i="135"/>
  <c r="C12" i="146"/>
  <c r="C58" i="99" l="1"/>
  <c r="B59" i="99"/>
  <c r="H52" i="135"/>
  <c r="C13" i="146"/>
  <c r="C59" i="99" l="1"/>
  <c r="B60" i="99"/>
  <c r="H60" i="135"/>
  <c r="C14" i="146"/>
  <c r="C60" i="99" l="1"/>
  <c r="B61" i="99"/>
  <c r="H68" i="135"/>
  <c r="C15" i="146"/>
  <c r="C61" i="99" l="1"/>
  <c r="B62" i="99"/>
  <c r="H76" i="135"/>
  <c r="C16" i="146"/>
  <c r="C62" i="99" l="1"/>
  <c r="B63" i="99"/>
  <c r="H84" i="135"/>
  <c r="C17" i="146"/>
  <c r="C63" i="99" l="1"/>
  <c r="B64" i="99"/>
  <c r="H92" i="135"/>
  <c r="C18" i="146"/>
  <c r="C64" i="99" l="1"/>
  <c r="B65" i="99"/>
  <c r="H100" i="135"/>
  <c r="C19" i="146"/>
  <c r="C65" i="99" l="1"/>
  <c r="B66" i="99"/>
  <c r="H108" i="135"/>
  <c r="C20" i="146"/>
  <c r="C66" i="99" l="1"/>
  <c r="B67" i="99"/>
  <c r="H116" i="135"/>
  <c r="C21" i="146"/>
  <c r="C67" i="99" l="1"/>
  <c r="B68" i="99"/>
  <c r="H12" i="136"/>
  <c r="C22" i="146"/>
  <c r="C68" i="99" l="1"/>
  <c r="B69" i="99"/>
  <c r="H20" i="136"/>
  <c r="C23" i="146"/>
  <c r="C69" i="99" l="1"/>
  <c r="B70" i="99"/>
  <c r="H28" i="136"/>
  <c r="C24" i="146"/>
  <c r="C70" i="99" l="1"/>
  <c r="B71" i="99"/>
  <c r="H36" i="136"/>
  <c r="C25" i="146"/>
  <c r="C71" i="99" l="1"/>
  <c r="B72" i="99"/>
  <c r="H44" i="136"/>
  <c r="C26" i="146"/>
  <c r="C72" i="99" l="1"/>
  <c r="B73" i="99"/>
  <c r="H52" i="136"/>
  <c r="C27" i="146"/>
  <c r="C73" i="99" l="1"/>
  <c r="B74" i="99"/>
  <c r="H60" i="136"/>
  <c r="C28" i="146"/>
  <c r="C74" i="99" l="1"/>
  <c r="B75" i="99"/>
  <c r="H68" i="136"/>
  <c r="C29" i="146"/>
  <c r="C75" i="99" l="1"/>
  <c r="B76" i="99"/>
  <c r="H76" i="136"/>
  <c r="C30" i="146"/>
  <c r="C76" i="99" l="1"/>
  <c r="B77" i="99"/>
  <c r="H84" i="136"/>
  <c r="C31" i="146"/>
  <c r="C77" i="99" l="1"/>
  <c r="B78" i="99"/>
  <c r="H92" i="136"/>
  <c r="C32" i="146"/>
  <c r="C78" i="99" l="1"/>
  <c r="B79" i="99"/>
  <c r="H100" i="136"/>
  <c r="C33" i="146"/>
  <c r="C79" i="99" l="1"/>
  <c r="B80" i="99"/>
  <c r="H108" i="136"/>
  <c r="C34" i="146"/>
  <c r="C80" i="99" l="1"/>
  <c r="B81" i="99"/>
  <c r="H116" i="136"/>
  <c r="C35" i="146"/>
  <c r="C81" i="99" l="1"/>
  <c r="B82" i="99"/>
  <c r="H12" i="137"/>
  <c r="C36" i="146"/>
  <c r="C82" i="99" l="1"/>
  <c r="B83" i="99"/>
  <c r="H20" i="137"/>
  <c r="C37" i="146"/>
  <c r="C83" i="99" l="1"/>
  <c r="B84" i="99"/>
  <c r="H28" i="137"/>
  <c r="C38" i="146"/>
  <c r="C84" i="99" l="1"/>
  <c r="B85" i="99"/>
  <c r="H36" i="137"/>
  <c r="C39" i="146"/>
  <c r="C85" i="99" l="1"/>
  <c r="B86" i="99"/>
  <c r="H44" i="137"/>
  <c r="C40" i="146"/>
  <c r="C86" i="99" l="1"/>
  <c r="B87" i="99"/>
  <c r="H52" i="137"/>
  <c r="C41" i="146"/>
  <c r="C87" i="99" l="1"/>
  <c r="B88" i="99"/>
  <c r="H60" i="137"/>
  <c r="C42" i="146"/>
  <c r="C88" i="99" l="1"/>
  <c r="B89" i="99"/>
  <c r="H68" i="137"/>
  <c r="C43" i="146"/>
  <c r="C89" i="99" l="1"/>
  <c r="B90" i="99"/>
  <c r="H76" i="137"/>
  <c r="C44" i="146"/>
  <c r="C90" i="99" l="1"/>
  <c r="B91" i="99"/>
  <c r="H84" i="137"/>
  <c r="C45" i="146"/>
  <c r="C91" i="99" l="1"/>
  <c r="B92" i="99"/>
  <c r="H92" i="137"/>
  <c r="C46" i="146"/>
  <c r="C92" i="99" l="1"/>
  <c r="B93" i="99"/>
  <c r="H100" i="137"/>
  <c r="C47" i="146"/>
  <c r="C93" i="99" l="1"/>
  <c r="B94" i="99"/>
  <c r="H108" i="137"/>
  <c r="C48" i="146"/>
  <c r="C94" i="99" l="1"/>
  <c r="B95" i="99"/>
  <c r="H116" i="137"/>
  <c r="C49" i="146"/>
  <c r="C95" i="99" l="1"/>
  <c r="B96" i="99"/>
  <c r="H12" i="138"/>
  <c r="C50" i="146"/>
  <c r="C96" i="99" l="1"/>
  <c r="B97" i="99"/>
  <c r="H20" i="138"/>
  <c r="C51" i="146"/>
  <c r="C97" i="99" l="1"/>
  <c r="B98" i="99"/>
  <c r="H28" i="138"/>
  <c r="C52" i="146"/>
  <c r="C98" i="99" l="1"/>
  <c r="B99" i="99"/>
  <c r="H36" i="138"/>
  <c r="C53" i="146"/>
  <c r="C99" i="99" l="1"/>
  <c r="B100" i="99"/>
  <c r="H44" i="138"/>
  <c r="C54" i="146"/>
  <c r="C100" i="99" l="1"/>
  <c r="B101" i="99"/>
  <c r="H52" i="138"/>
  <c r="C55" i="146"/>
  <c r="C101" i="99" l="1"/>
  <c r="B102" i="99"/>
  <c r="H60" i="138"/>
  <c r="C56" i="146"/>
  <c r="C102" i="99" l="1"/>
  <c r="B103" i="99"/>
  <c r="H68" i="138"/>
  <c r="C57" i="146"/>
  <c r="C103" i="99" l="1"/>
  <c r="B104" i="99"/>
  <c r="H76" i="138"/>
  <c r="C58" i="146"/>
  <c r="C104" i="99" l="1"/>
  <c r="B105" i="99"/>
  <c r="H84" i="138"/>
  <c r="C59" i="146"/>
  <c r="C105" i="99" l="1"/>
  <c r="B106" i="99"/>
  <c r="H92" i="138"/>
  <c r="C60" i="146"/>
  <c r="C106" i="99" l="1"/>
  <c r="B107" i="99"/>
  <c r="H100" i="138"/>
  <c r="C61" i="146"/>
  <c r="C107" i="99" l="1"/>
  <c r="B108" i="99"/>
  <c r="H108" i="138"/>
  <c r="C62" i="146"/>
  <c r="C108" i="99" l="1"/>
  <c r="B109" i="99"/>
  <c r="H116" i="138"/>
  <c r="C63" i="146"/>
  <c r="C109" i="99" l="1"/>
  <c r="B110" i="99"/>
  <c r="H12" i="139"/>
  <c r="C64" i="146"/>
  <c r="C110" i="99" l="1"/>
  <c r="B111" i="99"/>
  <c r="H20" i="139"/>
  <c r="C65" i="146"/>
  <c r="C111" i="99" l="1"/>
  <c r="B112" i="99"/>
  <c r="H28" i="139"/>
  <c r="C66" i="146"/>
  <c r="C112" i="99" l="1"/>
  <c r="B113" i="99"/>
  <c r="H36" i="139"/>
  <c r="C67" i="146"/>
  <c r="C113" i="99" l="1"/>
  <c r="B114" i="99"/>
  <c r="H44" i="139"/>
  <c r="C68" i="146"/>
  <c r="C114" i="99" l="1"/>
  <c r="B115" i="99"/>
  <c r="H52" i="139"/>
  <c r="C69" i="146"/>
  <c r="C115" i="99" l="1"/>
  <c r="B116" i="99"/>
  <c r="H60" i="139"/>
  <c r="C70" i="146"/>
  <c r="C116" i="99" l="1"/>
  <c r="B117" i="99"/>
  <c r="H68" i="139"/>
  <c r="C71" i="146"/>
  <c r="C117" i="99" l="1"/>
  <c r="B118" i="99"/>
  <c r="H76" i="139"/>
  <c r="C72" i="146"/>
  <c r="C118" i="99" l="1"/>
  <c r="B119" i="99"/>
  <c r="H84" i="139"/>
  <c r="C73" i="146"/>
  <c r="C119" i="99" l="1"/>
  <c r="B120" i="99"/>
  <c r="H92" i="139"/>
  <c r="C74" i="146"/>
  <c r="C120" i="99" l="1"/>
  <c r="B121" i="99"/>
  <c r="H100" i="139"/>
  <c r="C75" i="146"/>
  <c r="C121" i="99" l="1"/>
  <c r="B122" i="99"/>
  <c r="H108" i="139"/>
  <c r="C76" i="146"/>
  <c r="B123" i="99" l="1"/>
  <c r="C122" i="99"/>
  <c r="H116" i="139"/>
  <c r="C77" i="146"/>
  <c r="H12" i="140" l="1"/>
  <c r="C78" i="146"/>
  <c r="C123" i="99"/>
  <c r="B124" i="99"/>
  <c r="C124" i="99" l="1"/>
  <c r="B125" i="99"/>
  <c r="H20" i="140"/>
  <c r="C79" i="146"/>
  <c r="C125" i="99" l="1"/>
  <c r="B126" i="99"/>
  <c r="H28" i="140"/>
  <c r="C80" i="146"/>
  <c r="B127" i="99" l="1"/>
  <c r="C126" i="99"/>
  <c r="H36" i="140"/>
  <c r="C81" i="146"/>
  <c r="H44" i="140" l="1"/>
  <c r="C82" i="146"/>
  <c r="C127" i="99"/>
  <c r="B128" i="99"/>
  <c r="H52" i="140" l="1"/>
  <c r="C83" i="146"/>
  <c r="C128" i="99"/>
  <c r="B129" i="99"/>
  <c r="C129" i="99" l="1"/>
  <c r="B130" i="99"/>
  <c r="H60" i="140"/>
  <c r="C84" i="146"/>
  <c r="B131" i="99" l="1"/>
  <c r="C130" i="99"/>
  <c r="H68" i="140"/>
  <c r="C85" i="146"/>
  <c r="G80" i="140" l="1"/>
  <c r="C92" i="146"/>
  <c r="C131" i="99"/>
  <c r="B132" i="99"/>
  <c r="G84" i="140" l="1"/>
  <c r="C93" i="146"/>
  <c r="C132" i="99"/>
  <c r="B133" i="99"/>
  <c r="C133" i="99" l="1"/>
  <c r="B134" i="99"/>
  <c r="G88" i="140"/>
  <c r="C94" i="146"/>
  <c r="B135" i="99" l="1"/>
  <c r="C134" i="99"/>
  <c r="G92" i="140"/>
  <c r="C95" i="146"/>
  <c r="G96" i="140" l="1"/>
  <c r="C96" i="146"/>
  <c r="C135" i="99"/>
  <c r="B136" i="99"/>
  <c r="G100" i="140" l="1"/>
  <c r="C97" i="146"/>
  <c r="C136" i="99"/>
  <c r="B137" i="99"/>
  <c r="C137" i="99" l="1"/>
  <c r="B138" i="99"/>
  <c r="G104" i="140"/>
  <c r="C98" i="146"/>
  <c r="B139" i="99" l="1"/>
  <c r="C138" i="99"/>
  <c r="G108" i="140"/>
  <c r="C99" i="146"/>
  <c r="G112" i="140" l="1"/>
  <c r="C100" i="146"/>
  <c r="C139" i="99"/>
  <c r="B140" i="99"/>
  <c r="G116" i="140" l="1"/>
  <c r="C101" i="146"/>
  <c r="C140" i="99"/>
  <c r="B141" i="99"/>
  <c r="C141" i="99" l="1"/>
  <c r="B142" i="99"/>
  <c r="G120" i="140"/>
  <c r="C102" i="146"/>
  <c r="B143" i="99" l="1"/>
  <c r="C142" i="99"/>
  <c r="G10" i="141"/>
  <c r="C103" i="146"/>
  <c r="G14" i="141" l="1"/>
  <c r="C104" i="146"/>
  <c r="C143" i="99"/>
  <c r="B144" i="99"/>
  <c r="G18" i="141" l="1"/>
  <c r="C105" i="146"/>
  <c r="C144" i="99"/>
  <c r="B145" i="99"/>
  <c r="G22" i="141" l="1"/>
  <c r="C106" i="146"/>
  <c r="C145" i="99"/>
  <c r="B146" i="99"/>
  <c r="G26" i="141" l="1"/>
  <c r="C107" i="146"/>
  <c r="B147" i="99"/>
  <c r="C146" i="99"/>
  <c r="G30" i="141" l="1"/>
  <c r="C108" i="146"/>
  <c r="C147" i="99"/>
  <c r="B148" i="99"/>
  <c r="G34" i="141" l="1"/>
  <c r="C109" i="146"/>
  <c r="C148" i="99"/>
  <c r="B149" i="99"/>
  <c r="C149" i="99" l="1"/>
  <c r="B150" i="99"/>
  <c r="G38" i="141"/>
  <c r="C110" i="146"/>
  <c r="B151" i="99" l="1"/>
  <c r="C150" i="99"/>
  <c r="G42" i="141"/>
  <c r="C111" i="146"/>
  <c r="G46" i="141" l="1"/>
  <c r="C112" i="146"/>
  <c r="C151" i="99"/>
  <c r="B152" i="99"/>
  <c r="G50" i="141" l="1"/>
  <c r="C113" i="146"/>
  <c r="C152" i="99"/>
  <c r="B153" i="99"/>
  <c r="C153" i="99" l="1"/>
  <c r="B154" i="99"/>
  <c r="G54" i="141"/>
  <c r="C114" i="146"/>
  <c r="B155" i="99" l="1"/>
  <c r="C154" i="99"/>
  <c r="G58" i="141"/>
  <c r="C115" i="146"/>
  <c r="G62" i="141" l="1"/>
  <c r="C116" i="146"/>
  <c r="C155" i="99"/>
  <c r="B156" i="99"/>
  <c r="G66" i="141" l="1"/>
  <c r="C117" i="146"/>
  <c r="C156" i="99"/>
  <c r="B157" i="99"/>
  <c r="G70" i="141" l="1"/>
  <c r="C118" i="146"/>
  <c r="C157" i="99"/>
  <c r="B158" i="99"/>
  <c r="B159" i="99" l="1"/>
  <c r="C158" i="99"/>
  <c r="G74" i="141"/>
  <c r="C119" i="146"/>
  <c r="G78" i="141" l="1"/>
  <c r="C120" i="146"/>
  <c r="C159" i="99"/>
  <c r="B160" i="99"/>
  <c r="G82" i="141" l="1"/>
  <c r="C121" i="146"/>
  <c r="C160" i="99"/>
  <c r="B161" i="99"/>
  <c r="G86" i="141" l="1"/>
  <c r="C122" i="146"/>
  <c r="C161" i="99"/>
  <c r="B162" i="99"/>
  <c r="G90" i="141" l="1"/>
  <c r="C123" i="146"/>
  <c r="B163" i="99"/>
  <c r="C162" i="99"/>
  <c r="G94" i="141" l="1"/>
  <c r="C124" i="146"/>
  <c r="C163" i="99"/>
  <c r="B164" i="99"/>
  <c r="G98" i="141" l="1"/>
  <c r="C125" i="146"/>
  <c r="C164" i="99"/>
  <c r="B165" i="99"/>
  <c r="C165" i="99" l="1"/>
  <c r="B166" i="99"/>
  <c r="G102" i="141"/>
  <c r="C126" i="146"/>
  <c r="B167" i="99" l="1"/>
  <c r="C166" i="99"/>
  <c r="G106" i="141"/>
  <c r="C127" i="146"/>
  <c r="G110" i="141" l="1"/>
  <c r="C128" i="146"/>
  <c r="C167" i="99"/>
  <c r="B168" i="99"/>
  <c r="G114" i="141" l="1"/>
  <c r="C129" i="146"/>
  <c r="C168" i="99"/>
  <c r="B169" i="99"/>
  <c r="C169" i="99" l="1"/>
  <c r="B170" i="99"/>
  <c r="G118" i="141"/>
  <c r="C130" i="146"/>
  <c r="B171" i="99" l="1"/>
  <c r="C170" i="99"/>
  <c r="G10" i="142"/>
  <c r="C131" i="146"/>
  <c r="G14" i="142" l="1"/>
  <c r="C132" i="146"/>
  <c r="C171" i="99"/>
  <c r="B172" i="99"/>
  <c r="G18" i="142" l="1"/>
  <c r="C133" i="146"/>
  <c r="C172" i="99"/>
  <c r="B173" i="99"/>
  <c r="C173" i="99" l="1"/>
  <c r="B174" i="99"/>
  <c r="G22" i="142"/>
  <c r="C134" i="146"/>
  <c r="B175" i="99" l="1"/>
  <c r="C174" i="99"/>
  <c r="G26" i="142"/>
  <c r="C135" i="146"/>
  <c r="G30" i="142" l="1"/>
  <c r="C136" i="146"/>
  <c r="C175" i="99"/>
  <c r="B176" i="99"/>
  <c r="G34" i="142" l="1"/>
  <c r="C137" i="146"/>
  <c r="C176" i="99"/>
  <c r="B177" i="99"/>
  <c r="G38" i="142" l="1"/>
  <c r="C138" i="146"/>
  <c r="C177" i="99"/>
  <c r="B178" i="99"/>
  <c r="B179" i="99" l="1"/>
  <c r="C178" i="99"/>
  <c r="G42" i="142"/>
  <c r="C139" i="146"/>
  <c r="G46" i="142" l="1"/>
  <c r="C140" i="146"/>
  <c r="C179" i="99"/>
  <c r="B180" i="99"/>
  <c r="G50" i="142" l="1"/>
  <c r="C141" i="146"/>
  <c r="C180" i="99"/>
  <c r="B181" i="99"/>
  <c r="G54" i="142" l="1"/>
  <c r="C142" i="146"/>
  <c r="C181" i="99"/>
  <c r="B182" i="99"/>
  <c r="B183" i="99" l="1"/>
  <c r="C182" i="99"/>
  <c r="C144" i="146" s="1"/>
  <c r="G58" i="142"/>
  <c r="C143" i="146"/>
  <c r="G62" i="142" l="1"/>
  <c r="C183" i="99"/>
  <c r="B184" i="99"/>
  <c r="G66" i="142" l="1"/>
  <c r="C145" i="146"/>
  <c r="C184" i="99"/>
  <c r="B185" i="99"/>
  <c r="C185" i="99" l="1"/>
  <c r="B186" i="99"/>
  <c r="G70" i="142"/>
  <c r="C146" i="146"/>
  <c r="B187" i="99" l="1"/>
  <c r="C186" i="99"/>
  <c r="G74" i="142"/>
  <c r="C147" i="146"/>
  <c r="G78" i="142" l="1"/>
  <c r="C148" i="146"/>
  <c r="C187" i="99"/>
  <c r="B188" i="99"/>
  <c r="G82" i="142" l="1"/>
  <c r="C149" i="146"/>
  <c r="C188" i="99"/>
  <c r="B189" i="99"/>
  <c r="C189" i="99" l="1"/>
  <c r="B190" i="99"/>
  <c r="G86" i="142"/>
  <c r="C150" i="146"/>
  <c r="B191" i="99" l="1"/>
  <c r="C190" i="99"/>
  <c r="G90" i="142"/>
  <c r="C151" i="146"/>
  <c r="G94" i="142" l="1"/>
  <c r="C152" i="146"/>
  <c r="C191" i="99"/>
  <c r="B192" i="99"/>
  <c r="G98" i="142" l="1"/>
  <c r="C153" i="146"/>
  <c r="C192" i="99"/>
  <c r="B193" i="99"/>
  <c r="C193" i="99" l="1"/>
  <c r="B194" i="99"/>
  <c r="G102" i="142"/>
  <c r="C154" i="146"/>
  <c r="B195" i="99" l="1"/>
  <c r="C194" i="99"/>
  <c r="G106" i="142"/>
  <c r="C155" i="146"/>
  <c r="G110" i="142" l="1"/>
  <c r="C156" i="146"/>
  <c r="C195" i="99"/>
  <c r="B196" i="99"/>
  <c r="G114" i="142" l="1"/>
  <c r="C157" i="146"/>
  <c r="C196" i="99"/>
  <c r="B197" i="99"/>
  <c r="B198" i="99" s="1"/>
  <c r="C198" i="99" l="1"/>
  <c r="B199" i="99"/>
  <c r="G118" i="142"/>
  <c r="C158" i="146"/>
  <c r="B200" i="99" l="1"/>
  <c r="C199" i="99"/>
  <c r="C4" i="147" s="1"/>
  <c r="B201" i="99" l="1"/>
  <c r="C200" i="99"/>
  <c r="D4" i="147" s="1"/>
  <c r="B202" i="99" l="1"/>
  <c r="C201" i="99"/>
  <c r="C202" i="99" l="1"/>
  <c r="E5" i="147" s="1"/>
  <c r="B203" i="99"/>
  <c r="B204" i="99" l="1"/>
  <c r="C203" i="99"/>
  <c r="F5" i="147" s="1"/>
  <c r="B205" i="99" l="1"/>
  <c r="C204" i="99"/>
  <c r="E7" i="147" s="1"/>
  <c r="B206" i="99" l="1"/>
  <c r="C205" i="99"/>
  <c r="G11" i="143" l="1"/>
  <c r="C8" i="147"/>
  <c r="C206" i="99"/>
  <c r="B207" i="99"/>
  <c r="B208" i="99" l="1"/>
  <c r="C207" i="99"/>
  <c r="G15" i="143"/>
  <c r="C9" i="147"/>
  <c r="G19" i="143" l="1"/>
  <c r="C10" i="147"/>
  <c r="B209" i="99"/>
  <c r="C208" i="99"/>
  <c r="G23" i="143" l="1"/>
  <c r="C11" i="147"/>
  <c r="B210" i="99"/>
  <c r="C209" i="99"/>
  <c r="G27" i="143" l="1"/>
  <c r="C12" i="147"/>
  <c r="C210" i="99"/>
  <c r="B211" i="99"/>
  <c r="B212" i="99" l="1"/>
  <c r="C211" i="99"/>
  <c r="G31" i="143"/>
  <c r="C13" i="147"/>
  <c r="G35" i="143" l="1"/>
  <c r="C14" i="147"/>
  <c r="B213" i="99"/>
  <c r="C212" i="99"/>
  <c r="G39" i="143" l="1"/>
  <c r="C15" i="147"/>
  <c r="B214" i="99"/>
  <c r="C213" i="99"/>
  <c r="G43" i="143" l="1"/>
  <c r="C16" i="147"/>
  <c r="C214" i="99"/>
  <c r="B215" i="99"/>
  <c r="G47" i="143" l="1"/>
  <c r="C17" i="147"/>
  <c r="B216" i="99"/>
  <c r="C215" i="99"/>
  <c r="G51" i="143" l="1"/>
  <c r="C18" i="147"/>
  <c r="B217" i="99"/>
  <c r="C216" i="99"/>
  <c r="G55" i="143" l="1"/>
  <c r="C19" i="147"/>
  <c r="B218" i="99"/>
  <c r="C217" i="99"/>
  <c r="G59" i="143" l="1"/>
  <c r="C20" i="147"/>
  <c r="C218" i="99"/>
  <c r="B219" i="99"/>
  <c r="B220" i="99" l="1"/>
  <c r="C219" i="99"/>
  <c r="G63" i="143"/>
  <c r="C21" i="147"/>
  <c r="G67" i="143" l="1"/>
  <c r="C22" i="147"/>
  <c r="B221" i="99"/>
  <c r="C220" i="99"/>
  <c r="G71" i="143" l="1"/>
  <c r="C23" i="147"/>
  <c r="B222" i="99"/>
  <c r="C221" i="99"/>
  <c r="G75" i="143" l="1"/>
  <c r="C24" i="147"/>
  <c r="C222" i="99"/>
  <c r="B223" i="99"/>
  <c r="B224" i="99" l="1"/>
  <c r="C223" i="99"/>
  <c r="G79" i="143"/>
  <c r="C25" i="147"/>
  <c r="G83" i="143" l="1"/>
  <c r="C26" i="147"/>
  <c r="B225" i="99"/>
  <c r="C224" i="99"/>
  <c r="G87" i="143" l="1"/>
  <c r="C27" i="147"/>
  <c r="B226" i="99"/>
  <c r="C225" i="99"/>
  <c r="G91" i="143" l="1"/>
  <c r="C28" i="147"/>
  <c r="C226" i="99"/>
  <c r="B227" i="99"/>
  <c r="B228" i="99" l="1"/>
  <c r="C227" i="99"/>
  <c r="G95" i="143"/>
  <c r="C29" i="147"/>
  <c r="G99" i="143" l="1"/>
  <c r="C30" i="147"/>
  <c r="B229" i="99"/>
  <c r="C228" i="99"/>
  <c r="G103" i="143" l="1"/>
  <c r="C31" i="147"/>
  <c r="B230" i="99"/>
  <c r="C229" i="99"/>
  <c r="G107" i="143" l="1"/>
  <c r="C32" i="147"/>
  <c r="C230" i="99"/>
  <c r="B231" i="99"/>
  <c r="B232" i="99" l="1"/>
  <c r="C231" i="99"/>
  <c r="G111" i="143"/>
  <c r="C33" i="147"/>
  <c r="G115" i="143" l="1"/>
  <c r="C34" i="147"/>
  <c r="B233" i="99"/>
  <c r="C232" i="99"/>
  <c r="G11" i="144" l="1"/>
  <c r="C35" i="147"/>
  <c r="B234" i="99"/>
  <c r="C233" i="99"/>
  <c r="G15" i="144" l="1"/>
  <c r="C36" i="147"/>
  <c r="C234" i="99"/>
  <c r="B235" i="99"/>
  <c r="B236" i="99" l="1"/>
  <c r="C235" i="99"/>
  <c r="G19" i="144"/>
  <c r="C37" i="147"/>
  <c r="G23" i="144" l="1"/>
  <c r="C38" i="147"/>
  <c r="B237" i="99"/>
  <c r="C236" i="99"/>
  <c r="G27" i="144" l="1"/>
  <c r="C39" i="147"/>
  <c r="B238" i="99"/>
  <c r="C237" i="99"/>
  <c r="G31" i="144" l="1"/>
  <c r="C40" i="147"/>
  <c r="C238" i="99"/>
  <c r="B239" i="99"/>
  <c r="B240" i="99" l="1"/>
  <c r="C239" i="99"/>
  <c r="G35" i="144"/>
  <c r="C41" i="147"/>
  <c r="G39" i="144" l="1"/>
  <c r="C42" i="147"/>
  <c r="B241" i="99"/>
  <c r="C240" i="99"/>
  <c r="G43" i="144" l="1"/>
  <c r="C43" i="147"/>
  <c r="B242" i="99"/>
  <c r="C241" i="99"/>
  <c r="G47" i="144" l="1"/>
  <c r="C44" i="147"/>
  <c r="C242" i="99"/>
  <c r="B243" i="99"/>
  <c r="B244" i="99" l="1"/>
  <c r="C243" i="99"/>
  <c r="G51" i="144"/>
  <c r="C45" i="147"/>
  <c r="G55" i="144" l="1"/>
  <c r="C46" i="147"/>
  <c r="B245" i="99"/>
  <c r="C244" i="99"/>
  <c r="G59" i="144" l="1"/>
  <c r="C47" i="147"/>
  <c r="B246" i="99"/>
  <c r="C245" i="99"/>
  <c r="G63" i="144" l="1"/>
  <c r="C48" i="147"/>
  <c r="C246" i="99"/>
  <c r="B247" i="99"/>
  <c r="B248" i="99" l="1"/>
  <c r="C247" i="99"/>
  <c r="G67" i="144"/>
  <c r="C49" i="147"/>
  <c r="G71" i="144" l="1"/>
  <c r="C50" i="147"/>
  <c r="B249" i="99"/>
  <c r="C248" i="99"/>
  <c r="G75" i="144" l="1"/>
  <c r="C51" i="147"/>
  <c r="B250" i="99"/>
  <c r="C249" i="99"/>
  <c r="G79" i="144" l="1"/>
  <c r="C52" i="147"/>
  <c r="C250" i="99"/>
  <c r="B251" i="99"/>
  <c r="B252" i="99" l="1"/>
  <c r="C251" i="99"/>
  <c r="G83" i="144"/>
  <c r="C53" i="147"/>
  <c r="G87" i="144" l="1"/>
  <c r="C54" i="147"/>
  <c r="B253" i="99"/>
  <c r="C252" i="99"/>
  <c r="G91" i="144" l="1"/>
  <c r="C55" i="147"/>
  <c r="B254" i="99"/>
  <c r="C253" i="99"/>
  <c r="G95" i="144" l="1"/>
  <c r="C56" i="147"/>
  <c r="C254" i="99"/>
  <c r="B255" i="99"/>
  <c r="B256" i="99" l="1"/>
  <c r="C255" i="99"/>
  <c r="G99" i="144"/>
  <c r="C57" i="147"/>
  <c r="G103" i="144" l="1"/>
  <c r="C58" i="147"/>
  <c r="B257" i="99"/>
  <c r="C256" i="99"/>
  <c r="G107" i="144" l="1"/>
  <c r="C59" i="147"/>
  <c r="B258" i="99"/>
  <c r="C257" i="99"/>
  <c r="G111" i="144" l="1"/>
  <c r="C60" i="147"/>
  <c r="C258" i="99"/>
  <c r="B259" i="99"/>
  <c r="B260" i="99" l="1"/>
  <c r="C259" i="99"/>
  <c r="G115" i="144"/>
  <c r="C61" i="147"/>
  <c r="G11" i="145" l="1"/>
  <c r="C62" i="147"/>
  <c r="B261" i="99"/>
  <c r="C260" i="99"/>
  <c r="G15" i="145" l="1"/>
  <c r="C63" i="147"/>
  <c r="B262" i="99"/>
  <c r="C261" i="99"/>
  <c r="G19" i="145" l="1"/>
  <c r="C64" i="147"/>
  <c r="C262" i="99"/>
  <c r="B263" i="99"/>
  <c r="B264" i="99" l="1"/>
  <c r="C263" i="99"/>
  <c r="G23" i="145"/>
  <c r="C65" i="147"/>
  <c r="G27" i="145" l="1"/>
  <c r="C66" i="147"/>
  <c r="B265" i="99"/>
  <c r="C264" i="99"/>
  <c r="G31" i="145" l="1"/>
  <c r="C67" i="147"/>
  <c r="B266" i="99"/>
  <c r="B267" i="99" s="1"/>
  <c r="C265" i="99"/>
  <c r="G35" i="145" l="1"/>
  <c r="C68" i="147"/>
  <c r="B268" i="99"/>
  <c r="C267" i="99"/>
  <c r="C268" i="99" l="1"/>
  <c r="B269" i="99"/>
  <c r="C269" i="99" l="1"/>
  <c r="B270" i="99"/>
  <c r="C270" i="99" l="1"/>
  <c r="B271" i="99"/>
  <c r="B272" i="99" l="1"/>
  <c r="C271" i="99"/>
  <c r="C272" i="99" l="1"/>
  <c r="B273" i="99"/>
  <c r="C273" i="99" l="1"/>
  <c r="B274" i="99"/>
  <c r="C274" i="99" l="1"/>
  <c r="B275" i="99"/>
  <c r="B276" i="99" s="1"/>
  <c r="B277" i="99" l="1"/>
  <c r="C276" i="99"/>
  <c r="C9" i="148" s="1"/>
  <c r="B278" i="99" l="1"/>
  <c r="C277" i="99"/>
  <c r="C10" i="148" s="1"/>
  <c r="B279" i="99" l="1"/>
  <c r="C278" i="99"/>
  <c r="C11" i="148" s="1"/>
  <c r="C279" i="99" l="1"/>
  <c r="C12" i="148" s="1"/>
  <c r="B280" i="99"/>
  <c r="B281" i="99" l="1"/>
  <c r="C280" i="99"/>
  <c r="C13" i="148" s="1"/>
  <c r="B282" i="99" l="1"/>
  <c r="C281" i="99"/>
  <c r="C14" i="148" s="1"/>
  <c r="B283" i="99" l="1"/>
  <c r="C282" i="99"/>
  <c r="C15" i="148" s="1"/>
  <c r="C283" i="99" l="1"/>
  <c r="C16" i="148" s="1"/>
  <c r="B284" i="99"/>
  <c r="B285" i="99" l="1"/>
  <c r="C284" i="99"/>
  <c r="C17" i="148" s="1"/>
  <c r="B286" i="99" l="1"/>
  <c r="C285" i="99"/>
  <c r="C18" i="148" s="1"/>
  <c r="B287" i="99" l="1"/>
  <c r="C286" i="99"/>
  <c r="C19" i="148" s="1"/>
  <c r="C287" i="99" l="1"/>
  <c r="C20" i="148" s="1"/>
  <c r="B288" i="99"/>
  <c r="B289" i="99" l="1"/>
  <c r="C288" i="99"/>
  <c r="C21" i="148" s="1"/>
  <c r="B290" i="99" l="1"/>
  <c r="C289" i="99"/>
  <c r="C22" i="148" s="1"/>
  <c r="B291" i="99" l="1"/>
  <c r="C290" i="99"/>
  <c r="C23" i="148" s="1"/>
  <c r="C291" i="99" l="1"/>
  <c r="C24" i="148" s="1"/>
  <c r="B292" i="99"/>
  <c r="B293" i="99" l="1"/>
  <c r="C292" i="99"/>
  <c r="C25" i="148" s="1"/>
  <c r="B294" i="99" l="1"/>
  <c r="C293" i="99"/>
  <c r="C26" i="148" s="1"/>
  <c r="B295" i="99" l="1"/>
  <c r="C294" i="99"/>
  <c r="C27" i="148" s="1"/>
  <c r="C295" i="99" l="1"/>
  <c r="C28" i="148" s="1"/>
  <c r="B296" i="99"/>
  <c r="B297" i="99" l="1"/>
  <c r="C296" i="99"/>
  <c r="C29" i="148" s="1"/>
  <c r="B298" i="99" l="1"/>
  <c r="C297" i="99"/>
  <c r="C30" i="148" s="1"/>
  <c r="B299" i="99" l="1"/>
  <c r="C298" i="99"/>
  <c r="C31" i="148" s="1"/>
  <c r="C299" i="99" l="1"/>
  <c r="C32" i="148" s="1"/>
  <c r="B300" i="99"/>
  <c r="B301" i="99" l="1"/>
  <c r="C300" i="99"/>
  <c r="C33" i="148" s="1"/>
  <c r="B302" i="99" l="1"/>
  <c r="C301" i="99"/>
  <c r="C34" i="148" s="1"/>
  <c r="B303" i="99" l="1"/>
  <c r="C302" i="99"/>
  <c r="C35" i="148" s="1"/>
  <c r="C303" i="99" l="1"/>
  <c r="C36" i="148" s="1"/>
  <c r="B304" i="99"/>
  <c r="B305" i="99" l="1"/>
  <c r="C304" i="99"/>
  <c r="C39" i="148" s="1"/>
  <c r="B306" i="99" l="1"/>
  <c r="C305" i="99"/>
  <c r="C40" i="148" s="1"/>
  <c r="B307" i="99" l="1"/>
  <c r="C306" i="99"/>
  <c r="C41" i="148" s="1"/>
  <c r="C307" i="99" l="1"/>
  <c r="C42" i="148" s="1"/>
  <c r="B308" i="99"/>
  <c r="B309" i="99" l="1"/>
  <c r="C308" i="99"/>
  <c r="C43" i="148" s="1"/>
  <c r="B310" i="99" l="1"/>
  <c r="C309" i="99"/>
  <c r="C44" i="148" s="1"/>
  <c r="B311" i="99" l="1"/>
  <c r="C310" i="99"/>
  <c r="C45" i="148" s="1"/>
  <c r="C311" i="99" l="1"/>
  <c r="C46" i="148" s="1"/>
  <c r="B312" i="99"/>
  <c r="B313" i="99" l="1"/>
  <c r="C312" i="99"/>
  <c r="C47" i="148" s="1"/>
  <c r="B314" i="99" l="1"/>
  <c r="C313" i="99"/>
  <c r="C48" i="148" s="1"/>
  <c r="B315" i="99" l="1"/>
  <c r="C314" i="99"/>
  <c r="C49" i="148" s="1"/>
  <c r="C315" i="99" l="1"/>
  <c r="C50" i="148" s="1"/>
  <c r="B316" i="99"/>
  <c r="B317" i="99" l="1"/>
  <c r="C316" i="99"/>
  <c r="C51" i="148" s="1"/>
  <c r="B318" i="99" l="1"/>
  <c r="C317" i="99"/>
  <c r="C52" i="148" s="1"/>
  <c r="B319" i="99" l="1"/>
  <c r="C318" i="99"/>
  <c r="C53" i="148" s="1"/>
  <c r="C319" i="99" l="1"/>
  <c r="C54" i="148" s="1"/>
  <c r="B320" i="99"/>
  <c r="B321" i="99" l="1"/>
  <c r="C320" i="99"/>
  <c r="C55" i="148" s="1"/>
  <c r="B322" i="99" l="1"/>
  <c r="C321" i="99"/>
  <c r="C56" i="148" s="1"/>
  <c r="B323" i="99" l="1"/>
  <c r="C322" i="99"/>
  <c r="C57" i="148" s="1"/>
  <c r="C323" i="99" l="1"/>
  <c r="C58" i="148" s="1"/>
  <c r="B324" i="99"/>
  <c r="B325" i="99" l="1"/>
  <c r="C324" i="99"/>
  <c r="C61" i="148" s="1"/>
  <c r="B326" i="99" l="1"/>
  <c r="C325" i="99"/>
  <c r="C62" i="148" s="1"/>
  <c r="B327" i="99" l="1"/>
  <c r="C326" i="99"/>
  <c r="C63" i="148" s="1"/>
  <c r="C327" i="99" l="1"/>
  <c r="C64" i="148" s="1"/>
  <c r="B328" i="99"/>
  <c r="B329" i="99" l="1"/>
  <c r="C328" i="99"/>
  <c r="C65" i="148" s="1"/>
  <c r="B330" i="99" l="1"/>
  <c r="C329" i="99"/>
  <c r="C66" i="148" s="1"/>
  <c r="B331" i="99" l="1"/>
  <c r="C330" i="99"/>
  <c r="C67" i="148" s="1"/>
  <c r="C331" i="99" l="1"/>
  <c r="C68" i="148" s="1"/>
  <c r="B332" i="99"/>
  <c r="B333" i="99" l="1"/>
  <c r="C332" i="99"/>
  <c r="C69" i="148" s="1"/>
  <c r="B334" i="99" l="1"/>
  <c r="C333" i="99"/>
  <c r="C70" i="148" s="1"/>
  <c r="B335" i="99" l="1"/>
  <c r="C334" i="99"/>
  <c r="C71" i="148" s="1"/>
  <c r="C335" i="99" l="1"/>
  <c r="C72" i="148" s="1"/>
  <c r="B336" i="99"/>
  <c r="B337" i="99" l="1"/>
  <c r="C336" i="99"/>
  <c r="C73" i="148" s="1"/>
  <c r="B338" i="99" l="1"/>
  <c r="C337" i="99"/>
  <c r="C74" i="148" s="1"/>
  <c r="B339" i="99" l="1"/>
  <c r="C338" i="99"/>
  <c r="C75" i="148" s="1"/>
  <c r="C339" i="99" l="1"/>
  <c r="C76" i="148" s="1"/>
  <c r="B340" i="99"/>
  <c r="B341" i="99" l="1"/>
  <c r="C340" i="99"/>
  <c r="C77" i="148" s="1"/>
  <c r="B342" i="99" l="1"/>
  <c r="C341" i="99"/>
  <c r="C78" i="148" s="1"/>
  <c r="B343" i="99" l="1"/>
  <c r="C342" i="99"/>
  <c r="C79" i="148" s="1"/>
  <c r="C343" i="99" l="1"/>
  <c r="C80" i="148" s="1"/>
  <c r="B344" i="99"/>
  <c r="B345" i="99" l="1"/>
  <c r="C344" i="99"/>
  <c r="C81" i="148" s="1"/>
  <c r="B346" i="99" l="1"/>
  <c r="C345" i="99"/>
  <c r="C82" i="148" s="1"/>
  <c r="B347" i="99" l="1"/>
  <c r="C346" i="99"/>
  <c r="C83" i="148" s="1"/>
  <c r="C347" i="99" l="1"/>
  <c r="C84" i="148" s="1"/>
  <c r="B348" i="99"/>
  <c r="B349" i="99" l="1"/>
  <c r="C348" i="99"/>
  <c r="C85" i="148" s="1"/>
  <c r="B350" i="99" l="1"/>
  <c r="C349" i="99"/>
  <c r="C86" i="148" s="1"/>
  <c r="B351" i="99" l="1"/>
  <c r="C350" i="99"/>
  <c r="C87" i="148" s="1"/>
  <c r="C351" i="99" l="1"/>
  <c r="C88" i="148" s="1"/>
  <c r="B352" i="99"/>
  <c r="B353" i="99" l="1"/>
  <c r="C352" i="99"/>
  <c r="C89" i="148" s="1"/>
  <c r="B354" i="99" l="1"/>
  <c r="C353" i="99"/>
  <c r="C90" i="148" s="1"/>
  <c r="B355" i="99" l="1"/>
  <c r="C354" i="99"/>
  <c r="C91" i="148" s="1"/>
  <c r="C355" i="99" l="1"/>
  <c r="C92" i="148" s="1"/>
  <c r="B356" i="99"/>
  <c r="B357" i="99" l="1"/>
  <c r="C356" i="99"/>
  <c r="B2" i="148" s="1"/>
  <c r="B358" i="99" l="1"/>
  <c r="C357" i="99"/>
  <c r="B4" i="148" s="1"/>
  <c r="B359" i="99" l="1"/>
  <c r="C358" i="99"/>
  <c r="C4" i="148" s="1"/>
  <c r="C359" i="99" l="1"/>
  <c r="D4" i="148" s="1"/>
  <c r="B360" i="99"/>
  <c r="B361" i="99" l="1"/>
  <c r="C360" i="99"/>
  <c r="D5" i="148" s="1"/>
  <c r="B362" i="99" l="1"/>
  <c r="C361" i="99"/>
  <c r="E5" i="148" s="1"/>
  <c r="B363" i="99" l="1"/>
  <c r="C362" i="99"/>
  <c r="B8" i="148" s="1"/>
  <c r="C363" i="99" l="1"/>
  <c r="B38" i="148" s="1"/>
  <c r="B364" i="99"/>
  <c r="B365" i="99" l="1"/>
  <c r="B366" i="99" s="1"/>
  <c r="C364" i="99"/>
  <c r="B60" i="148" s="1"/>
  <c r="C366" i="99" l="1"/>
  <c r="U2" i="134" s="1"/>
  <c r="B367" i="99"/>
  <c r="C367" i="99" l="1"/>
  <c r="Y1" i="134" s="1"/>
  <c r="B368" i="99"/>
  <c r="B369" i="99" l="1"/>
  <c r="C368" i="99"/>
  <c r="X5" i="134" s="1"/>
  <c r="C369" i="99" l="1"/>
  <c r="Q9" i="134" s="1"/>
  <c r="B370" i="99"/>
  <c r="C370" i="99" l="1"/>
  <c r="C12" i="134" s="1"/>
  <c r="B371" i="99"/>
  <c r="C371" i="99" l="1"/>
  <c r="C13" i="134" s="1"/>
  <c r="B372" i="99"/>
  <c r="B373" i="99" l="1"/>
  <c r="C372" i="99"/>
  <c r="B18" i="134" s="1"/>
  <c r="C373" i="99" l="1"/>
  <c r="B23" i="134" s="1"/>
  <c r="B374" i="99"/>
  <c r="C374" i="99" l="1"/>
  <c r="Y18" i="134" s="1"/>
  <c r="B375" i="99"/>
  <c r="C375" i="99" l="1"/>
  <c r="B376" i="99"/>
  <c r="B377" i="99" l="1"/>
  <c r="C376" i="99"/>
  <c r="AB21" i="134" s="1"/>
  <c r="AK18" i="134"/>
  <c r="B22" i="118"/>
  <c r="C377" i="99" l="1"/>
  <c r="AB26" i="134" s="1"/>
  <c r="B378" i="99"/>
  <c r="C378" i="99" l="1"/>
  <c r="B379" i="99"/>
  <c r="C379" i="99" l="1"/>
  <c r="AW23" i="134" s="1"/>
  <c r="B380" i="99"/>
  <c r="AB32" i="134"/>
  <c r="C20" i="118"/>
  <c r="B381" i="99" l="1"/>
  <c r="C380" i="99"/>
  <c r="AW29" i="134" s="1"/>
  <c r="C381" i="99" l="1"/>
  <c r="B382" i="99"/>
  <c r="C382" i="99" l="1"/>
  <c r="B383" i="99"/>
  <c r="BF29" i="134"/>
  <c r="BF20" i="134"/>
  <c r="C383" i="99" l="1"/>
  <c r="B384" i="99"/>
  <c r="BH33" i="134"/>
  <c r="BH24" i="134"/>
  <c r="B385" i="99" l="1"/>
  <c r="C384" i="99"/>
  <c r="BQ18" i="134" s="1"/>
  <c r="BK18" i="134"/>
  <c r="D24" i="118"/>
  <c r="D28" i="118" s="1"/>
  <c r="C385" i="99" l="1"/>
  <c r="B37" i="134" s="1"/>
  <c r="B386" i="99"/>
  <c r="C386" i="99" l="1"/>
  <c r="B387" i="99"/>
  <c r="C387" i="99" l="1"/>
  <c r="B388" i="99"/>
  <c r="H2" i="142"/>
  <c r="F38" i="134"/>
  <c r="B389" i="99" l="1"/>
  <c r="C388" i="99"/>
  <c r="AA38" i="134" s="1"/>
  <c r="F39" i="134"/>
  <c r="AY39" i="134"/>
  <c r="AA39" i="134"/>
  <c r="C389" i="99" l="1"/>
  <c r="AX38" i="134" s="1"/>
  <c r="B390" i="99"/>
  <c r="C390" i="99" l="1"/>
  <c r="B41" i="134" s="1"/>
  <c r="B391" i="99"/>
  <c r="C391" i="99" l="1"/>
  <c r="B48" i="134" s="1"/>
  <c r="B392" i="99"/>
  <c r="B393" i="99" l="1"/>
  <c r="C392" i="99"/>
  <c r="C49" i="134" s="1"/>
  <c r="C393" i="99" l="1"/>
  <c r="C52" i="134" s="1"/>
  <c r="B394" i="99"/>
  <c r="C394" i="99" l="1"/>
  <c r="O52" i="134" s="1"/>
  <c r="B395" i="99"/>
  <c r="C395" i="99" l="1"/>
  <c r="BI49" i="134" s="1"/>
  <c r="B396" i="99"/>
  <c r="B397" i="99" l="1"/>
  <c r="C396" i="99"/>
  <c r="C55" i="134" l="1"/>
  <c r="B8" i="118"/>
  <c r="C397" i="99"/>
  <c r="C61" i="134" s="1"/>
  <c r="B398" i="99"/>
  <c r="C398" i="99" l="1"/>
  <c r="C64" i="134" s="1"/>
  <c r="B399" i="99"/>
  <c r="C399" i="99" l="1"/>
  <c r="AE61" i="134" s="1"/>
  <c r="B400" i="99"/>
  <c r="B401" i="99" l="1"/>
  <c r="C400" i="99"/>
  <c r="C70" i="134" s="1"/>
  <c r="C401" i="99" l="1"/>
  <c r="X70" i="134" s="1"/>
  <c r="B402" i="99"/>
  <c r="C402" i="99" l="1"/>
  <c r="AU70" i="134" s="1"/>
  <c r="B403" i="99"/>
  <c r="C403" i="99" l="1"/>
  <c r="H83" i="134" s="1"/>
  <c r="B404" i="99"/>
  <c r="B405" i="99" l="1"/>
  <c r="C404" i="99"/>
  <c r="O90" i="134" s="1"/>
  <c r="C405" i="99" l="1"/>
  <c r="AQ90" i="134" s="1"/>
  <c r="B406" i="99"/>
  <c r="C406" i="99" l="1"/>
  <c r="BL91" i="134" s="1"/>
  <c r="B407" i="99"/>
  <c r="C407" i="99" l="1"/>
  <c r="AW1" i="134" s="1"/>
  <c r="B408" i="99"/>
  <c r="B409" i="99" l="1"/>
  <c r="C408" i="99"/>
  <c r="C409" i="99" l="1"/>
  <c r="B410" i="99"/>
  <c r="C410" i="99" l="1"/>
  <c r="B411" i="99"/>
  <c r="H2" i="141"/>
  <c r="H2" i="140"/>
  <c r="H2" i="139"/>
  <c r="H2" i="137"/>
  <c r="H2" i="136"/>
  <c r="H2" i="135"/>
  <c r="H2" i="138"/>
  <c r="C411" i="99" l="1"/>
  <c r="B412" i="99"/>
  <c r="E7" i="145"/>
  <c r="E7" i="143"/>
  <c r="E7" i="144"/>
  <c r="E7" i="142"/>
  <c r="E77" i="140"/>
  <c r="E7" i="141"/>
  <c r="E7" i="139"/>
  <c r="E7" i="140"/>
  <c r="E7" i="137"/>
  <c r="E7" i="136"/>
  <c r="E7" i="135"/>
  <c r="B413" i="99" l="1"/>
  <c r="C412" i="99"/>
  <c r="G8" i="140"/>
  <c r="G8" i="138"/>
  <c r="G8" i="135"/>
  <c r="G8" i="136"/>
  <c r="G8" i="139"/>
  <c r="G8" i="137"/>
  <c r="AA9" i="140" l="1"/>
  <c r="AA9" i="138"/>
  <c r="AA9" i="139"/>
  <c r="AA9" i="136"/>
  <c r="AA9" i="135"/>
  <c r="C413" i="99"/>
  <c r="B414" i="99"/>
  <c r="C414" i="99" l="1"/>
  <c r="B415" i="99"/>
  <c r="AA10" i="139"/>
  <c r="AA10" i="138"/>
  <c r="AA10" i="140"/>
  <c r="AA10" i="136"/>
  <c r="AA10" i="135"/>
  <c r="C415" i="99" l="1"/>
  <c r="B416" i="99"/>
  <c r="AN8" i="145"/>
  <c r="AN8" i="143"/>
  <c r="AN8" i="144"/>
  <c r="AN7" i="142"/>
  <c r="AN77" i="140"/>
  <c r="AD7" i="140"/>
  <c r="AD7" i="139"/>
  <c r="AD7" i="138"/>
  <c r="AN7" i="141"/>
  <c r="AD7" i="137"/>
  <c r="AD7" i="136"/>
  <c r="AD7" i="135"/>
  <c r="B417" i="99" l="1"/>
  <c r="C416" i="99"/>
  <c r="BL8" i="144"/>
  <c r="BL7" i="142"/>
  <c r="BL77" i="140"/>
  <c r="BS7" i="140"/>
  <c r="BR7" i="139"/>
  <c r="BL7" i="141"/>
  <c r="BL8" i="145"/>
  <c r="BR7" i="137"/>
  <c r="BR7" i="136"/>
  <c r="BR7" i="135"/>
  <c r="BL8" i="143"/>
  <c r="BR7" i="138"/>
  <c r="AG9" i="140" l="1"/>
  <c r="AG9" i="139"/>
  <c r="AG9" i="138"/>
  <c r="AG9" i="136"/>
  <c r="AG9" i="135"/>
  <c r="AG9" i="137"/>
  <c r="C417" i="99"/>
  <c r="B418" i="99"/>
  <c r="BA9" i="139" l="1"/>
  <c r="BA9" i="136"/>
  <c r="BA9" i="135"/>
  <c r="BA9" i="137"/>
  <c r="BA9" i="138"/>
  <c r="C418" i="99"/>
  <c r="B419" i="99"/>
  <c r="AG11" i="139" l="1"/>
  <c r="AG11" i="137"/>
  <c r="AG11" i="138"/>
  <c r="AG11" i="140"/>
  <c r="AG11" i="136"/>
  <c r="AG11" i="135"/>
  <c r="C419" i="99"/>
  <c r="B420" i="99"/>
  <c r="BA9" i="140" l="1"/>
  <c r="BS11" i="140"/>
  <c r="BR11" i="139"/>
  <c r="BR11" i="138"/>
  <c r="BR11" i="136"/>
  <c r="BR11" i="135"/>
  <c r="BR11" i="137"/>
  <c r="B421" i="99"/>
  <c r="C420" i="99"/>
  <c r="CD128" i="135" s="1"/>
  <c r="C421" i="99" l="1"/>
  <c r="CD128" i="136" s="1"/>
  <c r="B422" i="99"/>
  <c r="C422" i="99" l="1"/>
  <c r="CD128" i="137" s="1"/>
  <c r="B423" i="99"/>
  <c r="C423" i="99" l="1"/>
  <c r="CD128" i="138" s="1"/>
  <c r="B424" i="99"/>
  <c r="B425" i="99" l="1"/>
  <c r="C424" i="99"/>
  <c r="BZ126" i="139" s="1"/>
  <c r="B426" i="99" l="1"/>
  <c r="C425" i="99"/>
  <c r="CA126" i="140" s="1"/>
  <c r="B427" i="99" l="1"/>
  <c r="C426" i="99"/>
  <c r="CA124" i="141" s="1"/>
  <c r="C427" i="99" l="1"/>
  <c r="CA124" i="142" s="1"/>
  <c r="B428" i="99"/>
  <c r="B429" i="99" l="1"/>
  <c r="C428" i="99"/>
  <c r="CA121" i="143" s="1"/>
  <c r="C429" i="99" l="1"/>
  <c r="CA125" i="144" s="1"/>
  <c r="B430" i="99"/>
  <c r="B431" i="99" l="1"/>
  <c r="C430" i="99"/>
  <c r="C431" i="99" l="1"/>
  <c r="B432" i="99"/>
  <c r="B433" i="99" l="1"/>
  <c r="C432" i="99"/>
  <c r="H2" i="144"/>
  <c r="H2" i="145"/>
  <c r="H2" i="143"/>
  <c r="G7" i="142" l="1"/>
  <c r="G7" i="141"/>
  <c r="G77" i="140"/>
  <c r="C88" i="146"/>
  <c r="B434" i="99"/>
  <c r="C433" i="99"/>
  <c r="AK7" i="141" l="1"/>
  <c r="AK7" i="145"/>
  <c r="AK7" i="143"/>
  <c r="AK7" i="144"/>
  <c r="AK77" i="140"/>
  <c r="AK7" i="142"/>
  <c r="B435" i="99"/>
  <c r="C434" i="99"/>
  <c r="AN7" i="145" l="1"/>
  <c r="AN7" i="143"/>
  <c r="AN7" i="144"/>
  <c r="B436" i="99"/>
  <c r="C435" i="99"/>
  <c r="G7" i="144" l="1"/>
  <c r="G7" i="145"/>
  <c r="G7" i="143"/>
  <c r="B437" i="99"/>
  <c r="C436" i="99"/>
  <c r="C22" i="118" s="1"/>
  <c r="B438" i="99" l="1"/>
  <c r="C437" i="99"/>
  <c r="E22" i="118" s="1"/>
  <c r="B439" i="99" l="1"/>
  <c r="C439" i="99" s="1"/>
  <c r="C438" i="99"/>
  <c r="C24" i="118" s="1"/>
  <c r="C28" i="118" s="1"/>
  <c r="B27" i="118" l="1"/>
  <c r="B31" i="118"/>
</calcChain>
</file>

<file path=xl/sharedStrings.xml><?xml version="1.0" encoding="utf-8"?>
<sst xmlns="http://schemas.openxmlformats.org/spreadsheetml/2006/main" count="9221" uniqueCount="3949">
  <si>
    <t>012x</t>
  </si>
  <si>
    <t>Development costs</t>
  </si>
  <si>
    <t>013x</t>
  </si>
  <si>
    <t>Software</t>
  </si>
  <si>
    <t>014x</t>
  </si>
  <si>
    <t>Valuable rights</t>
  </si>
  <si>
    <t>015x</t>
  </si>
  <si>
    <t>Goodwill</t>
  </si>
  <si>
    <t>019x</t>
  </si>
  <si>
    <t>021x</t>
  </si>
  <si>
    <t>Structures</t>
  </si>
  <si>
    <t>022x</t>
  </si>
  <si>
    <t>Separate moveable assets and sets of moveables</t>
  </si>
  <si>
    <t>025x</t>
  </si>
  <si>
    <t>Natural agricultural assets</t>
  </si>
  <si>
    <t>026x</t>
  </si>
  <si>
    <t>Livestock and draught animals</t>
  </si>
  <si>
    <t>029x</t>
  </si>
  <si>
    <t>031x</t>
  </si>
  <si>
    <t>Land</t>
  </si>
  <si>
    <t>032x</t>
  </si>
  <si>
    <t>Works of arts and collections</t>
  </si>
  <si>
    <t>041x</t>
  </si>
  <si>
    <t>Intangible fixed assets in acquisition</t>
  </si>
  <si>
    <t>042x</t>
  </si>
  <si>
    <t>Tangible fixed assets in acquisition</t>
  </si>
  <si>
    <t>043x</t>
  </si>
  <si>
    <t>051x</t>
  </si>
  <si>
    <t>052x</t>
  </si>
  <si>
    <t>053x</t>
  </si>
  <si>
    <t>061x</t>
  </si>
  <si>
    <t>Shares and ownership interests in subsidiaries</t>
  </si>
  <si>
    <t>065x</t>
  </si>
  <si>
    <t>Debt securities</t>
  </si>
  <si>
    <t>067a</t>
  </si>
  <si>
    <t>Other loans - long-term</t>
  </si>
  <si>
    <t>067b</t>
  </si>
  <si>
    <t>Other loans - short-term</t>
  </si>
  <si>
    <t>069a</t>
  </si>
  <si>
    <t>069b</t>
  </si>
  <si>
    <t>072x</t>
  </si>
  <si>
    <t>Accum. depreciation - development costs</t>
  </si>
  <si>
    <t>073x</t>
  </si>
  <si>
    <t>Accum. depreciation - software</t>
  </si>
  <si>
    <t>074x</t>
  </si>
  <si>
    <t>Accum. depreciation - valuable rights</t>
  </si>
  <si>
    <t>075x</t>
  </si>
  <si>
    <t>Accum. depreciation – goodwill</t>
  </si>
  <si>
    <t>079x</t>
  </si>
  <si>
    <t>Accum. depreciation - other intangible fixed assets</t>
  </si>
  <si>
    <t>081x</t>
  </si>
  <si>
    <t>Accum. depreciation – structures</t>
  </si>
  <si>
    <t>082x</t>
  </si>
  <si>
    <t>Accum. depreciation - separate moveable assets and sets of moveables</t>
  </si>
  <si>
    <t>085x</t>
  </si>
  <si>
    <t>Accum. depreciation - natural agricultural assets</t>
  </si>
  <si>
    <t>086x</t>
  </si>
  <si>
    <t>Accum. depreciation - livestock and draught animals</t>
  </si>
  <si>
    <t>089x</t>
  </si>
  <si>
    <t>091a</t>
  </si>
  <si>
    <t>091b</t>
  </si>
  <si>
    <t>091c</t>
  </si>
  <si>
    <t>091d</t>
  </si>
  <si>
    <t>091e</t>
  </si>
  <si>
    <t>092a</t>
  </si>
  <si>
    <t>092b</t>
  </si>
  <si>
    <t>092c</t>
  </si>
  <si>
    <t>092d</t>
  </si>
  <si>
    <t>092e</t>
  </si>
  <si>
    <t>092f</t>
  </si>
  <si>
    <t>093x</t>
  </si>
  <si>
    <t>Provision to intangible fixed assets in acquisition</t>
  </si>
  <si>
    <t>094x</t>
  </si>
  <si>
    <t>Provision to tangible fixed assets in acquisition</t>
  </si>
  <si>
    <t>095a</t>
  </si>
  <si>
    <t>Provision to advance payments - tangible assets</t>
  </si>
  <si>
    <t>095b</t>
  </si>
  <si>
    <t>Provision to advance payments - intangible assets</t>
  </si>
  <si>
    <t>095c</t>
  </si>
  <si>
    <t>Provision to advance payments - long-term financial investments</t>
  </si>
  <si>
    <t>096a</t>
  </si>
  <si>
    <t>096b</t>
  </si>
  <si>
    <t>096c</t>
  </si>
  <si>
    <t>096d</t>
  </si>
  <si>
    <t>096e</t>
  </si>
  <si>
    <t>096f</t>
  </si>
  <si>
    <t>097x</t>
  </si>
  <si>
    <t>Correction item to acquired assets</t>
  </si>
  <si>
    <t>098x</t>
  </si>
  <si>
    <t>Accum. depreciation - correction item to acquired assets</t>
  </si>
  <si>
    <t>111x</t>
  </si>
  <si>
    <t>Material in acquisition</t>
  </si>
  <si>
    <t>112x</t>
  </si>
  <si>
    <t>Material in warehouse</t>
  </si>
  <si>
    <t>119x</t>
  </si>
  <si>
    <t>Material in transit</t>
  </si>
  <si>
    <t>121x</t>
  </si>
  <si>
    <t>Work in progress</t>
  </si>
  <si>
    <t>122x</t>
  </si>
  <si>
    <t>Semi-finished products</t>
  </si>
  <si>
    <t>123x</t>
  </si>
  <si>
    <t>Finished products</t>
  </si>
  <si>
    <t>124x</t>
  </si>
  <si>
    <t>Livestock</t>
  </si>
  <si>
    <t>131x</t>
  </si>
  <si>
    <t>Merchandise in acquisition</t>
  </si>
  <si>
    <t>132x</t>
  </si>
  <si>
    <t>Merchandise in warehouse and retail shops</t>
  </si>
  <si>
    <t>133x</t>
  </si>
  <si>
    <t>Real estate property available for sale</t>
  </si>
  <si>
    <t>139x</t>
  </si>
  <si>
    <t>Merchandise in transit</t>
  </si>
  <si>
    <t>191x</t>
  </si>
  <si>
    <t>Provision to material</t>
  </si>
  <si>
    <t>192x</t>
  </si>
  <si>
    <t>Provision to work in progress</t>
  </si>
  <si>
    <t>193x</t>
  </si>
  <si>
    <t>Provision to semi-finished products</t>
  </si>
  <si>
    <t>194x</t>
  </si>
  <si>
    <t>Provision to finished products</t>
  </si>
  <si>
    <t>195x</t>
  </si>
  <si>
    <t>Provision to livestock</t>
  </si>
  <si>
    <t>196x</t>
  </si>
  <si>
    <t>Provision to merchandise</t>
  </si>
  <si>
    <t>211x</t>
  </si>
  <si>
    <t>Cash in hand</t>
  </si>
  <si>
    <t>213x</t>
  </si>
  <si>
    <t>Stamps and vouchers</t>
  </si>
  <si>
    <t>221a</t>
  </si>
  <si>
    <t>221b</t>
  </si>
  <si>
    <t>221c</t>
  </si>
  <si>
    <t>Bank accounts - liability/credit</t>
  </si>
  <si>
    <t>231x</t>
  </si>
  <si>
    <t>Short-term bank loans</t>
  </si>
  <si>
    <t>232x</t>
  </si>
  <si>
    <t>Loans for discounted securities</t>
  </si>
  <si>
    <t>241x</t>
  </si>
  <si>
    <t>Issued short-term bonds</t>
  </si>
  <si>
    <t>249x</t>
  </si>
  <si>
    <t>Other short-term financial assistance</t>
  </si>
  <si>
    <t>252x</t>
  </si>
  <si>
    <t>Own shares and ownership interests</t>
  </si>
  <si>
    <t>255a</t>
  </si>
  <si>
    <t>Own bonds issued - short-term</t>
  </si>
  <si>
    <t>255b</t>
  </si>
  <si>
    <t>Own bonds issued - long-term</t>
  </si>
  <si>
    <t>259x</t>
  </si>
  <si>
    <t>Short-term financial assets in acquisition</t>
  </si>
  <si>
    <t>261x</t>
  </si>
  <si>
    <t>Cash in transit</t>
  </si>
  <si>
    <t>291a</t>
  </si>
  <si>
    <t>291b</t>
  </si>
  <si>
    <t>311a</t>
  </si>
  <si>
    <t>311b</t>
  </si>
  <si>
    <t>312a</t>
  </si>
  <si>
    <t>312b</t>
  </si>
  <si>
    <t>313a</t>
  </si>
  <si>
    <t>313b</t>
  </si>
  <si>
    <t>314a</t>
  </si>
  <si>
    <t>Advance payments made - inventory</t>
  </si>
  <si>
    <t>314b</t>
  </si>
  <si>
    <t>314c</t>
  </si>
  <si>
    <t>315a</t>
  </si>
  <si>
    <t>Other receivables - long-term</t>
  </si>
  <si>
    <t>315b</t>
  </si>
  <si>
    <t>316a</t>
  </si>
  <si>
    <t>Net value of construction contracts - asset - short term</t>
  </si>
  <si>
    <t>316b</t>
  </si>
  <si>
    <t>Net value of construction contracts - asset - long term</t>
  </si>
  <si>
    <t>316c</t>
  </si>
  <si>
    <t>Net value of construction contracts - liability - short term</t>
  </si>
  <si>
    <t>316d</t>
  </si>
  <si>
    <t>321a</t>
  </si>
  <si>
    <t>321b</t>
  </si>
  <si>
    <t>323a</t>
  </si>
  <si>
    <t>323b</t>
  </si>
  <si>
    <t>331x</t>
  </si>
  <si>
    <t>Employees</t>
  </si>
  <si>
    <t>333x</t>
  </si>
  <si>
    <t>Other payables to employees</t>
  </si>
  <si>
    <t>335a</t>
  </si>
  <si>
    <t>Receivables from employees - long-term</t>
  </si>
  <si>
    <t>335b</t>
  </si>
  <si>
    <t>Receivables from employees - short-term</t>
  </si>
  <si>
    <t>336a</t>
  </si>
  <si>
    <t>336b</t>
  </si>
  <si>
    <t>341a</t>
  </si>
  <si>
    <t>Income tax - payable/credit</t>
  </si>
  <si>
    <t>341b</t>
  </si>
  <si>
    <t>Income tax - receivable/debit</t>
  </si>
  <si>
    <t>342a</t>
  </si>
  <si>
    <t>Other direct taxes - payable/credit</t>
  </si>
  <si>
    <t>342b</t>
  </si>
  <si>
    <t>Other direct taxes - receivable/debit</t>
  </si>
  <si>
    <t>343a</t>
  </si>
  <si>
    <t>Value added tax - payable/credit</t>
  </si>
  <si>
    <t>343b</t>
  </si>
  <si>
    <t>Value added tax - receivable/debit</t>
  </si>
  <si>
    <t>345a</t>
  </si>
  <si>
    <t>Other taxes and fees - payable/credit</t>
  </si>
  <si>
    <t>345b</t>
  </si>
  <si>
    <t>Other taxes and fees - receivable/debit</t>
  </si>
  <si>
    <t>351a</t>
  </si>
  <si>
    <t>351b</t>
  </si>
  <si>
    <t>351c</t>
  </si>
  <si>
    <t>353x</t>
  </si>
  <si>
    <t>354a</t>
  </si>
  <si>
    <t>354b</t>
  </si>
  <si>
    <t>Receivables from partners and members to cover losses - short-term</t>
  </si>
  <si>
    <t>355a</t>
  </si>
  <si>
    <t>Other receivables from partners and members - long-term</t>
  </si>
  <si>
    <t>355b</t>
  </si>
  <si>
    <t>Other receivables from partners and members - short-term</t>
  </si>
  <si>
    <t>358a</t>
  </si>
  <si>
    <t>Receivable from participants in association - long-term</t>
  </si>
  <si>
    <t>358b</t>
  </si>
  <si>
    <t>Receivable from participants in association - short-term</t>
  </si>
  <si>
    <t>364x</t>
  </si>
  <si>
    <t>365x</t>
  </si>
  <si>
    <t>Other payable to partners and members</t>
  </si>
  <si>
    <t>366x</t>
  </si>
  <si>
    <t>Payables to partners and members for employment and similar activities</t>
  </si>
  <si>
    <t>367x</t>
  </si>
  <si>
    <t>Payables for unpaid subscribed securities and shares</t>
  </si>
  <si>
    <t>368x</t>
  </si>
  <si>
    <t>371a</t>
  </si>
  <si>
    <t>Receivables from sale of company - long-term</t>
  </si>
  <si>
    <t>371b</t>
  </si>
  <si>
    <t>Receivables from sale of company - short-term</t>
  </si>
  <si>
    <t>372a</t>
  </si>
  <si>
    <t>372b</t>
  </si>
  <si>
    <t>Payables from purchase of company - short-term</t>
  </si>
  <si>
    <t>373a</t>
  </si>
  <si>
    <t>Receivables and payables from fixed derivative transactions - long-term payables</t>
  </si>
  <si>
    <t>373b</t>
  </si>
  <si>
    <t>Receivables and payables from fixed derivative transactions - short-term payables</t>
  </si>
  <si>
    <t>373c</t>
  </si>
  <si>
    <t>Receivables and payables from fixed derivative transactions - long-term receivables</t>
  </si>
  <si>
    <t>373d</t>
  </si>
  <si>
    <t>Receivables and payables from fixed derivative transactions - short-term receivables</t>
  </si>
  <si>
    <t>374a</t>
  </si>
  <si>
    <t>374b</t>
  </si>
  <si>
    <t>Receivables from leases - short-term</t>
  </si>
  <si>
    <t>375a</t>
  </si>
  <si>
    <t>375b</t>
  </si>
  <si>
    <t>376a</t>
  </si>
  <si>
    <t>Purchased options - long-term</t>
  </si>
  <si>
    <t>376b</t>
  </si>
  <si>
    <t>Purchased options - short-term</t>
  </si>
  <si>
    <t>377a</t>
  </si>
  <si>
    <t>Sold options - long-term</t>
  </si>
  <si>
    <t>377b</t>
  </si>
  <si>
    <t>Sold options - short-term</t>
  </si>
  <si>
    <t>378a</t>
  </si>
  <si>
    <t>378b</t>
  </si>
  <si>
    <t>379x</t>
  </si>
  <si>
    <t>381a</t>
  </si>
  <si>
    <t>Deferred expenses - long term</t>
  </si>
  <si>
    <t>381b</t>
  </si>
  <si>
    <t>Deffered expenses - short term</t>
  </si>
  <si>
    <t>382a</t>
  </si>
  <si>
    <t>Complex deferred expenses - long term</t>
  </si>
  <si>
    <t>382b</t>
  </si>
  <si>
    <t>383a</t>
  </si>
  <si>
    <t>Accrued expenses - long term</t>
  </si>
  <si>
    <t>383b</t>
  </si>
  <si>
    <t>Accrued expenses - short term</t>
  </si>
  <si>
    <t>384a</t>
  </si>
  <si>
    <t>Deferred income - long term</t>
  </si>
  <si>
    <t>384b</t>
  </si>
  <si>
    <t>385a</t>
  </si>
  <si>
    <t>Accrued income- long term</t>
  </si>
  <si>
    <t>385b</t>
  </si>
  <si>
    <t>Accrued income - short term</t>
  </si>
  <si>
    <t>391a</t>
  </si>
  <si>
    <t>391b</t>
  </si>
  <si>
    <t>391c</t>
  </si>
  <si>
    <t>391d</t>
  </si>
  <si>
    <t>391e</t>
  </si>
  <si>
    <t>391g</t>
  </si>
  <si>
    <t>391h</t>
  </si>
  <si>
    <t>391i</t>
  </si>
  <si>
    <t>391j</t>
  </si>
  <si>
    <t>391k</t>
  </si>
  <si>
    <t>391m</t>
  </si>
  <si>
    <t>398a</t>
  </si>
  <si>
    <t>Linking account for association - payable/credit</t>
  </si>
  <si>
    <t>398b</t>
  </si>
  <si>
    <t>Linking account for association - receivable/debit</t>
  </si>
  <si>
    <t>411x</t>
  </si>
  <si>
    <t>Registered capital</t>
  </si>
  <si>
    <t>412x</t>
  </si>
  <si>
    <t>Share premium</t>
  </si>
  <si>
    <t>413x</t>
  </si>
  <si>
    <t>Other capital funds</t>
  </si>
  <si>
    <t>414x</t>
  </si>
  <si>
    <t>Assets and liabilities revaluation reserve</t>
  </si>
  <si>
    <t>415x</t>
  </si>
  <si>
    <t>Financial investment revaluation reserve</t>
  </si>
  <si>
    <t>416x</t>
  </si>
  <si>
    <t>Revaluation reserve from mergers and separations</t>
  </si>
  <si>
    <t>418x</t>
  </si>
  <si>
    <t>419x</t>
  </si>
  <si>
    <t>422x</t>
  </si>
  <si>
    <t>Non-distributable fund</t>
  </si>
  <si>
    <t>423x</t>
  </si>
  <si>
    <t>Statutory funds</t>
  </si>
  <si>
    <t>427x</t>
  </si>
  <si>
    <t>Other funds</t>
  </si>
  <si>
    <t>428x</t>
  </si>
  <si>
    <t>Non-distributed profit from prior years</t>
  </si>
  <si>
    <t>429x</t>
  </si>
  <si>
    <t>Accumulated losses from previous years</t>
  </si>
  <si>
    <t>431x</t>
  </si>
  <si>
    <t>Profit and loss to be approved</t>
  </si>
  <si>
    <t>451a</t>
  </si>
  <si>
    <t>Legal provisions - long term portion</t>
  </si>
  <si>
    <t>451b</t>
  </si>
  <si>
    <t>Legal provisions - current portion</t>
  </si>
  <si>
    <t>459a</t>
  </si>
  <si>
    <t>459b</t>
  </si>
  <si>
    <t>Other long-term provisions - current portion</t>
  </si>
  <si>
    <t>461a</t>
  </si>
  <si>
    <t>Bank loans - long-term</t>
  </si>
  <si>
    <t>461b</t>
  </si>
  <si>
    <t>Bank loans - current portion</t>
  </si>
  <si>
    <t>471a</t>
  </si>
  <si>
    <t>471b</t>
  </si>
  <si>
    <t>472x</t>
  </si>
  <si>
    <t>Social fund payable</t>
  </si>
  <si>
    <t>473a</t>
  </si>
  <si>
    <t>Bonds issued - long-term</t>
  </si>
  <si>
    <t>473b</t>
  </si>
  <si>
    <t>Bonds issued - short-term</t>
  </si>
  <si>
    <t>474a</t>
  </si>
  <si>
    <t>474b</t>
  </si>
  <si>
    <t>Payables from leases - short-term</t>
  </si>
  <si>
    <t>475a</t>
  </si>
  <si>
    <t>475b</t>
  </si>
  <si>
    <t>478a</t>
  </si>
  <si>
    <t>478b</t>
  </si>
  <si>
    <t>478c</t>
  </si>
  <si>
    <t>479a</t>
  </si>
  <si>
    <t>479b</t>
  </si>
  <si>
    <t>479c</t>
  </si>
  <si>
    <t>479d</t>
  </si>
  <si>
    <t>481a</t>
  </si>
  <si>
    <t>Deferred tax liability</t>
  </si>
  <si>
    <t>481b</t>
  </si>
  <si>
    <t>Deferred tax asset</t>
  </si>
  <si>
    <t>491x</t>
  </si>
  <si>
    <t>Sole proprietor 's account</t>
  </si>
  <si>
    <t>501x</t>
  </si>
  <si>
    <t>Consumed material</t>
  </si>
  <si>
    <t>502x</t>
  </si>
  <si>
    <t>Energy consumption</t>
  </si>
  <si>
    <t>503x</t>
  </si>
  <si>
    <t>Consumption of other unstorable supplies</t>
  </si>
  <si>
    <t>504x</t>
  </si>
  <si>
    <t>Cost of merchandise sold</t>
  </si>
  <si>
    <t>507x</t>
  </si>
  <si>
    <t>511x</t>
  </si>
  <si>
    <t>Repair and maintenance</t>
  </si>
  <si>
    <t>512x</t>
  </si>
  <si>
    <t>Travel expenses</t>
  </si>
  <si>
    <t>513x</t>
  </si>
  <si>
    <t>521x</t>
  </si>
  <si>
    <t>Wages and salaries</t>
  </si>
  <si>
    <t>522x</t>
  </si>
  <si>
    <t>Employment remuneration of partners and members</t>
  </si>
  <si>
    <t>523x</t>
  </si>
  <si>
    <t>Remuneration of board members</t>
  </si>
  <si>
    <t>524x</t>
  </si>
  <si>
    <t>Legal social insurance</t>
  </si>
  <si>
    <t>525x</t>
  </si>
  <si>
    <t>Other social insurance</t>
  </si>
  <si>
    <t>526x</t>
  </si>
  <si>
    <t>Sole proprietor's social security expenses</t>
  </si>
  <si>
    <t>527x</t>
  </si>
  <si>
    <t>Legal social security expenses</t>
  </si>
  <si>
    <t>528x</t>
  </si>
  <si>
    <t>Other social security expenses</t>
  </si>
  <si>
    <t>531x</t>
  </si>
  <si>
    <t>Road tax</t>
  </si>
  <si>
    <t>532x</t>
  </si>
  <si>
    <t>Real estate tax</t>
  </si>
  <si>
    <t>538x</t>
  </si>
  <si>
    <t>Other indirect taxes and fees</t>
  </si>
  <si>
    <t>541x</t>
  </si>
  <si>
    <t>Net book value of intangible and tangible fixed assets sold</t>
  </si>
  <si>
    <t>542x</t>
  </si>
  <si>
    <t>Material sold</t>
  </si>
  <si>
    <t>543x</t>
  </si>
  <si>
    <t>Gifts</t>
  </si>
  <si>
    <t>544x</t>
  </si>
  <si>
    <t>Contractual fines, penalties and charges</t>
  </si>
  <si>
    <t>545x</t>
  </si>
  <si>
    <t>Other fines, penalties and charges</t>
  </si>
  <si>
    <t>546x</t>
  </si>
  <si>
    <t>Receivables write-off</t>
  </si>
  <si>
    <t>547x</t>
  </si>
  <si>
    <t>Additons and reversals of provision for receivables +/-</t>
  </si>
  <si>
    <t>548x</t>
  </si>
  <si>
    <t>Other operating expenses</t>
  </si>
  <si>
    <t>549x</t>
  </si>
  <si>
    <t>Shortages and damage</t>
  </si>
  <si>
    <t>551x</t>
  </si>
  <si>
    <t>Depreciation of intangible and tangible fixed assets</t>
  </si>
  <si>
    <t>553x</t>
  </si>
  <si>
    <t>Additions and reversals of provision to intangible and tangible fixed assets</t>
  </si>
  <si>
    <t>555x</t>
  </si>
  <si>
    <t>Accounting for complex deferred expenses</t>
  </si>
  <si>
    <t>557x</t>
  </si>
  <si>
    <t>Accounting for accumulated depreciation of provision to acquired assets</t>
  </si>
  <si>
    <t>561x</t>
  </si>
  <si>
    <t>Securities and ownership interests sold</t>
  </si>
  <si>
    <t>563x</t>
  </si>
  <si>
    <t>Foreign exchange losses</t>
  </si>
  <si>
    <t>564x</t>
  </si>
  <si>
    <t>Expenses related to revaluation of securities</t>
  </si>
  <si>
    <t>565x</t>
  </si>
  <si>
    <t>566x</t>
  </si>
  <si>
    <t>Expenses related to short-term financial assets</t>
  </si>
  <si>
    <t>567x</t>
  </si>
  <si>
    <t>Expenses related to derivative transactions</t>
  </si>
  <si>
    <t>568x</t>
  </si>
  <si>
    <t>Other financial expenses</t>
  </si>
  <si>
    <t>569x</t>
  </si>
  <si>
    <t>Shortages and damage of financial assets</t>
  </si>
  <si>
    <t>591x</t>
  </si>
  <si>
    <t>Income taxes ordinary activities - due</t>
  </si>
  <si>
    <t>592x</t>
  </si>
  <si>
    <t>Income taxes on ordinary activities - deferred</t>
  </si>
  <si>
    <t>595x</t>
  </si>
  <si>
    <t>Supplementary income tax</t>
  </si>
  <si>
    <t>596x</t>
  </si>
  <si>
    <t>Transfer of profit or loss to partners</t>
  </si>
  <si>
    <t>606x</t>
  </si>
  <si>
    <t>Revenues from construction contracts</t>
  </si>
  <si>
    <t>607x</t>
  </si>
  <si>
    <t>Revenues from real estate property available for sale</t>
  </si>
  <si>
    <t>611x</t>
  </si>
  <si>
    <t>Change in work-in-progress</t>
  </si>
  <si>
    <t>612x</t>
  </si>
  <si>
    <t>Change in semi-finished products</t>
  </si>
  <si>
    <t>613x</t>
  </si>
  <si>
    <t>Change in finished products</t>
  </si>
  <si>
    <t>614x</t>
  </si>
  <si>
    <t>Change in livestock</t>
  </si>
  <si>
    <t>621x</t>
  </si>
  <si>
    <t>Materials and merchandise capitalised</t>
  </si>
  <si>
    <t>622x</t>
  </si>
  <si>
    <t>Internal services capitalised</t>
  </si>
  <si>
    <t>623x</t>
  </si>
  <si>
    <t>Intangible fixed assets capitalised</t>
  </si>
  <si>
    <t>624x</t>
  </si>
  <si>
    <t>Tangible fixed assets capitalised</t>
  </si>
  <si>
    <t>641x</t>
  </si>
  <si>
    <t>Revenues from sale of intangible and tangible fixed assets</t>
  </si>
  <si>
    <t>642x</t>
  </si>
  <si>
    <t>Revenues from sale of material</t>
  </si>
  <si>
    <t>644x</t>
  </si>
  <si>
    <t>645x</t>
  </si>
  <si>
    <t>646x</t>
  </si>
  <si>
    <t>Recovery of receivables written-off</t>
  </si>
  <si>
    <t>648x</t>
  </si>
  <si>
    <t>Other operating revenues</t>
  </si>
  <si>
    <t>655x</t>
  </si>
  <si>
    <t>657x</t>
  </si>
  <si>
    <t>Accounting for accumulated depreciation of provision for acquired assets</t>
  </si>
  <si>
    <t>661x</t>
  </si>
  <si>
    <t>663x</t>
  </si>
  <si>
    <t>Foreign exchange gains</t>
  </si>
  <si>
    <t>664x</t>
  </si>
  <si>
    <t>Gains from revaluation of securities</t>
  </si>
  <si>
    <t>665c</t>
  </si>
  <si>
    <t>667x</t>
  </si>
  <si>
    <t>Revenues from derivative transactions</t>
  </si>
  <si>
    <t>668x</t>
  </si>
  <si>
    <t>Other financial revenues</t>
  </si>
  <si>
    <t>Account</t>
  </si>
  <si>
    <t>Description</t>
  </si>
  <si>
    <t>FS link</t>
  </si>
  <si>
    <t>in EUR</t>
  </si>
  <si>
    <t>STRANA AKTÍV</t>
  </si>
  <si>
    <t>č.r.</t>
  </si>
  <si>
    <t>Bežné účtovné obdobie</t>
  </si>
  <si>
    <t>Bezprostredne predchádzajúce účtovné obdobie</t>
  </si>
  <si>
    <t>Brutto</t>
  </si>
  <si>
    <t>Korekcia</t>
  </si>
  <si>
    <t>Netto</t>
  </si>
  <si>
    <t>a</t>
  </si>
  <si>
    <t>b</t>
  </si>
  <si>
    <t>c</t>
  </si>
  <si>
    <t>(v eurách)</t>
  </si>
  <si>
    <t>A.</t>
  </si>
  <si>
    <t>A.I.</t>
  </si>
  <si>
    <t>A.I.2.</t>
  </si>
  <si>
    <t>Aktivované náklady na vývoj (012) - /072, 091A/</t>
  </si>
  <si>
    <t>A.I.3.</t>
  </si>
  <si>
    <t>Softvér (013) - /073, 091A/</t>
  </si>
  <si>
    <t>A.I.4.</t>
  </si>
  <si>
    <t>Oceniteľné práva (014) - /074, 091A/</t>
  </si>
  <si>
    <t>A.I.5.</t>
  </si>
  <si>
    <t>Goodwill (015) - /075, 091A/</t>
  </si>
  <si>
    <t>A.I.6.</t>
  </si>
  <si>
    <t>Ostatný dlhodobý nehmotný majetok (019, 01X) - /079, 07X, 091A/</t>
  </si>
  <si>
    <t>A.I.7.</t>
  </si>
  <si>
    <t>Obstarávaný dlhodobý nehmotný majetok (041) - 093</t>
  </si>
  <si>
    <t>A.II.</t>
  </si>
  <si>
    <t>A.II.1.</t>
  </si>
  <si>
    <t>Pozemky (031) - 092A</t>
  </si>
  <si>
    <t>A.II.2.</t>
  </si>
  <si>
    <t>Stavby (021) - /081, 092A/</t>
  </si>
  <si>
    <t>A.II.3.</t>
  </si>
  <si>
    <t>Samostatné hnuteľné veci a súbory hnuteľných vecí (022) - /082, 092A/</t>
  </si>
  <si>
    <t>A.II.4.</t>
  </si>
  <si>
    <t>Pestovateľské celky trvalých porastov (025) - /085, 092A/</t>
  </si>
  <si>
    <t>A.II.5.</t>
  </si>
  <si>
    <t>Základné stádo a ťažné zvieratá (026) - /086, 092A/</t>
  </si>
  <si>
    <t>A.II.6.</t>
  </si>
  <si>
    <t>Ostatný dlhodobý hmotný majetok (029, 02X, 032) - /089, 08X, 092A/</t>
  </si>
  <si>
    <t>A.II.7.</t>
  </si>
  <si>
    <t>Obstarávaný dlhodobý hmotný majetok (042) - 094</t>
  </si>
  <si>
    <t>A.II.8.</t>
  </si>
  <si>
    <t>A.II.9.</t>
  </si>
  <si>
    <t>Opravná položka k nadobudnutému majetku (+/- 097) +/- 098</t>
  </si>
  <si>
    <t>A.III.</t>
  </si>
  <si>
    <t>A.III.1.</t>
  </si>
  <si>
    <t>A.III.2.</t>
  </si>
  <si>
    <t>A.III.3.</t>
  </si>
  <si>
    <t>A.III.4.</t>
  </si>
  <si>
    <t>A.III.5.</t>
  </si>
  <si>
    <t>A.III.6.</t>
  </si>
  <si>
    <t>A.III.7.</t>
  </si>
  <si>
    <t>A.III.8.</t>
  </si>
  <si>
    <t>B.</t>
  </si>
  <si>
    <t>B.I.</t>
  </si>
  <si>
    <t>B.I.1.</t>
  </si>
  <si>
    <t>Materiál (112, 119, 11X) - /191, 19X/</t>
  </si>
  <si>
    <t>B.I.2.</t>
  </si>
  <si>
    <t>Nedokončená výroba a polotovary vlastnej výroby (121, 122, 12X) - /192, 193, 19X/</t>
  </si>
  <si>
    <t>B.I.3.</t>
  </si>
  <si>
    <t>Výrobky (123) - 194</t>
  </si>
  <si>
    <t>B.I.4.</t>
  </si>
  <si>
    <t>Zvieratá (124) - 195</t>
  </si>
  <si>
    <t>B.I.5.</t>
  </si>
  <si>
    <t>Tovar (132, 133, 13X, 139) - /196, 19X/</t>
  </si>
  <si>
    <t>B.I.6.</t>
  </si>
  <si>
    <t>B.II.</t>
  </si>
  <si>
    <t>B.II.1.</t>
  </si>
  <si>
    <t>B.II.2.</t>
  </si>
  <si>
    <t>Čistá hodnota zákazky (316A)</t>
  </si>
  <si>
    <t>B.II.3.</t>
  </si>
  <si>
    <t>B.II.4.</t>
  </si>
  <si>
    <t>B.II.5.</t>
  </si>
  <si>
    <t>B.II.6.</t>
  </si>
  <si>
    <t>B.II.7.</t>
  </si>
  <si>
    <t>Odložená daňová pohľadávka (481A)</t>
  </si>
  <si>
    <t>B.III.</t>
  </si>
  <si>
    <t>B.III.1.</t>
  </si>
  <si>
    <t>B.III.2.</t>
  </si>
  <si>
    <t>B.III.3.</t>
  </si>
  <si>
    <t>B.III.4.</t>
  </si>
  <si>
    <t>B.III.5.</t>
  </si>
  <si>
    <t>B.III.6.</t>
  </si>
  <si>
    <t>B.III.7.</t>
  </si>
  <si>
    <t>B.III.8.</t>
  </si>
  <si>
    <t>B.IV.</t>
  </si>
  <si>
    <t>B.IV.1.</t>
  </si>
  <si>
    <t>Peniaze (211, 213, 21X)</t>
  </si>
  <si>
    <t>B.IV.2.</t>
  </si>
  <si>
    <t>Účty v bankách (221A, 22X +/-261)</t>
  </si>
  <si>
    <t>B.IV.3.</t>
  </si>
  <si>
    <t>B.IV.4.</t>
  </si>
  <si>
    <t>B.IV.5.</t>
  </si>
  <si>
    <t>C.</t>
  </si>
  <si>
    <t>C.1.</t>
  </si>
  <si>
    <t>Náklady budúcich období dlhodobé (381A, 382A)</t>
  </si>
  <si>
    <t>C.2.</t>
  </si>
  <si>
    <t>Náklady budúcich období krátkodobé (381A, 382A)</t>
  </si>
  <si>
    <t>C.3.</t>
  </si>
  <si>
    <t>Príjmy budúcich období dlhodobé (385A)</t>
  </si>
  <si>
    <t>C.4.</t>
  </si>
  <si>
    <t>Príjmy budúcich období krátkodobé (385A)</t>
  </si>
  <si>
    <t>STRANA PASÍV</t>
  </si>
  <si>
    <t>A.I.1.</t>
  </si>
  <si>
    <t>Základné imanie (411 alebo +/- 491)</t>
  </si>
  <si>
    <t>Zmena základného imania +/- 419</t>
  </si>
  <si>
    <t>Pohľadávky za upísané vlastné imanie (/-/353)</t>
  </si>
  <si>
    <t>Emisné ážio (412)</t>
  </si>
  <si>
    <t>Ostatné kapitálové fondy (413)</t>
  </si>
  <si>
    <t>Oceňovacie rozdiely z precenenia majetku a záväzkov (+/- 414)</t>
  </si>
  <si>
    <t>Oceňovacie rozdiely z kapitálových účastín (+/- 415)</t>
  </si>
  <si>
    <t>Oceňovacie rozdiely z precenenia pri zlúčení, splynutí a rozdelení (+/- 416)</t>
  </si>
  <si>
    <t>A.IV.</t>
  </si>
  <si>
    <t>A.IV.1.</t>
  </si>
  <si>
    <t>Nerozdelený zisk minulých rokov (428)</t>
  </si>
  <si>
    <t>A.IV.2.</t>
  </si>
  <si>
    <t>Neuhradená strata minulých rokov (/-/429)</t>
  </si>
  <si>
    <t>A.V.</t>
  </si>
  <si>
    <t xml:space="preserve">B. </t>
  </si>
  <si>
    <t>Dlhodobé prijaté preddavky (475A)</t>
  </si>
  <si>
    <t>100</t>
  </si>
  <si>
    <t>Dlhodobé zmenky na úhradu (478A)</t>
  </si>
  <si>
    <t>101</t>
  </si>
  <si>
    <t>B.II.8.</t>
  </si>
  <si>
    <t>Vydané dlhopisy (473A/-/255A)</t>
  </si>
  <si>
    <t>102</t>
  </si>
  <si>
    <t>Záväzky zo sociálneho fondu (472)</t>
  </si>
  <si>
    <t>103</t>
  </si>
  <si>
    <t>104</t>
  </si>
  <si>
    <t>Odložený daňový záväzok (481A)</t>
  </si>
  <si>
    <t>105</t>
  </si>
  <si>
    <t>106</t>
  </si>
  <si>
    <t>107</t>
  </si>
  <si>
    <t>108</t>
  </si>
  <si>
    <t>109</t>
  </si>
  <si>
    <t>110</t>
  </si>
  <si>
    <t>111</t>
  </si>
  <si>
    <t>Záväzky voči spoločníkom a združeniu (364, 365, 366, 367, 368, 398A, 478A, 479A)</t>
  </si>
  <si>
    <t>112</t>
  </si>
  <si>
    <t>Záväzky voči zamestnancom (331, 333, 33X, 479A)</t>
  </si>
  <si>
    <t>113</t>
  </si>
  <si>
    <t>114</t>
  </si>
  <si>
    <t>B.III.9.</t>
  </si>
  <si>
    <t>Daňové záväzky a dotácie (341, 342, 343, 345, 346, 347, 34X)</t>
  </si>
  <si>
    <t>115</t>
  </si>
  <si>
    <t>116</t>
  </si>
  <si>
    <t>Krátkodobé finančné výpomoci (241, 249, 24X, 473A, /-/255A)</t>
  </si>
  <si>
    <t>117</t>
  </si>
  <si>
    <t>B.V.</t>
  </si>
  <si>
    <t>118</t>
  </si>
  <si>
    <t>B.V.1.</t>
  </si>
  <si>
    <t>119</t>
  </si>
  <si>
    <t>B.V.2.</t>
  </si>
  <si>
    <t>Bežné bankové úvery (221A, 231, 232, 23X, 461A, 46XA)</t>
  </si>
  <si>
    <t>120</t>
  </si>
  <si>
    <t>121</t>
  </si>
  <si>
    <t>Výdavky budúcich období dlhodobé (383A)</t>
  </si>
  <si>
    <t>122</t>
  </si>
  <si>
    <t>Výdavky budúcich období krátkodobé (383A)</t>
  </si>
  <si>
    <t>123</t>
  </si>
  <si>
    <t>Výnosy budúcich období dlhodobé (384A)</t>
  </si>
  <si>
    <t>124</t>
  </si>
  <si>
    <t>Výnosy budúcich období krátkodobé (384A)</t>
  </si>
  <si>
    <t>125</t>
  </si>
  <si>
    <t>TEXT</t>
  </si>
  <si>
    <t>Skutočnosť</t>
  </si>
  <si>
    <t>I.</t>
  </si>
  <si>
    <t>Tržby z predaja tovaru (604, 607)</t>
  </si>
  <si>
    <t>01</t>
  </si>
  <si>
    <t>02</t>
  </si>
  <si>
    <t>03</t>
  </si>
  <si>
    <t>II.</t>
  </si>
  <si>
    <t>04</t>
  </si>
  <si>
    <t>05</t>
  </si>
  <si>
    <t>Zmeny stavu vnútroorganizačných zásob (+/- účtová skupina 61)</t>
  </si>
  <si>
    <t>06</t>
  </si>
  <si>
    <t>Aktivácia (účtová skupina 62)</t>
  </si>
  <si>
    <t>07</t>
  </si>
  <si>
    <t>08</t>
  </si>
  <si>
    <t>09</t>
  </si>
  <si>
    <t>Služby (účtová skupina 51)</t>
  </si>
  <si>
    <t>Mzdové náklady (521, 522)</t>
  </si>
  <si>
    <t>Odmeny členom orgánov spoločnosti a družstva (523)</t>
  </si>
  <si>
    <t>Náklady na sociálne poistenie (524, 525, 526)</t>
  </si>
  <si>
    <t>Sociálne náklady (527, 528)</t>
  </si>
  <si>
    <t>D.</t>
  </si>
  <si>
    <t>Dane a poplatky (účtová skupina 53)</t>
  </si>
  <si>
    <t>E.</t>
  </si>
  <si>
    <t>III.</t>
  </si>
  <si>
    <t>F.</t>
  </si>
  <si>
    <t>Zostatková cena predaného dlhodobého majetku a predaného materiálu (541, 542)</t>
  </si>
  <si>
    <t>G.</t>
  </si>
  <si>
    <t>IV.</t>
  </si>
  <si>
    <t>Ostatné  výnosy z hospodárskej činnosti (644, 645, 646, 648, 655, 657)</t>
  </si>
  <si>
    <t>H.</t>
  </si>
  <si>
    <t>Ostatné náklady na hospodársku činnosť (543, 544, 545, 546, 548, 549, 555, 557)</t>
  </si>
  <si>
    <t>V.</t>
  </si>
  <si>
    <t>*</t>
  </si>
  <si>
    <t>VI.</t>
  </si>
  <si>
    <t>Tržby z predaja cenných papierov a podielov (661)</t>
  </si>
  <si>
    <t>J.</t>
  </si>
  <si>
    <t>Predané cenné papiere a podiely (561)</t>
  </si>
  <si>
    <t>VII.</t>
  </si>
  <si>
    <t>VIII.</t>
  </si>
  <si>
    <t>K.</t>
  </si>
  <si>
    <t>Náklady na krátkodobý finančný majetok (566)</t>
  </si>
  <si>
    <t>IX.</t>
  </si>
  <si>
    <t>Výnosy z precenenia cenných papierov a výnosy z derivátových operácií (664, 667)</t>
  </si>
  <si>
    <t>L.</t>
  </si>
  <si>
    <t>Náklady na precenenie cenných papierov a náklady na derivátové operácie (564, 567)</t>
  </si>
  <si>
    <t>M.</t>
  </si>
  <si>
    <t>X.</t>
  </si>
  <si>
    <t>N.</t>
  </si>
  <si>
    <t>XI.</t>
  </si>
  <si>
    <t>Kurzové zisky (663)</t>
  </si>
  <si>
    <t>O.</t>
  </si>
  <si>
    <t>Kurzové straty (563)</t>
  </si>
  <si>
    <t>XII.</t>
  </si>
  <si>
    <t>Ostatné výnosy z finančnej činnosti (668)</t>
  </si>
  <si>
    <t>P.</t>
  </si>
  <si>
    <t>Ostatné náklady na finančnú činnosť (568, 569)</t>
  </si>
  <si>
    <t>XIII.</t>
  </si>
  <si>
    <t>R.</t>
  </si>
  <si>
    <t>**</t>
  </si>
  <si>
    <t>S.</t>
  </si>
  <si>
    <t>XIV.</t>
  </si>
  <si>
    <t>***</t>
  </si>
  <si>
    <t>Prevod podielov na výsledku hospodárenia spoločníkom (+/- 596)</t>
  </si>
  <si>
    <t>Closing Balance Current period</t>
  </si>
  <si>
    <t xml:space="preserve">Názov spoločnosti, DIČ: </t>
  </si>
  <si>
    <t>BS004</t>
  </si>
  <si>
    <t>BS005</t>
  </si>
  <si>
    <t>BS006</t>
  </si>
  <si>
    <t>BS007</t>
  </si>
  <si>
    <t>BS008</t>
  </si>
  <si>
    <t>BS013</t>
  </si>
  <si>
    <t>BS014</t>
  </si>
  <si>
    <t>BS015</t>
  </si>
  <si>
    <t>BS016</t>
  </si>
  <si>
    <t>BS017</t>
  </si>
  <si>
    <t>BS012</t>
  </si>
  <si>
    <t>BS009</t>
  </si>
  <si>
    <t>BS018</t>
  </si>
  <si>
    <t>BS028</t>
  </si>
  <si>
    <t>BS010</t>
  </si>
  <si>
    <t>BS019</t>
  </si>
  <si>
    <t>BS029</t>
  </si>
  <si>
    <t>BS022</t>
  </si>
  <si>
    <t>BS023</t>
  </si>
  <si>
    <t>BS024</t>
  </si>
  <si>
    <t>BS027</t>
  </si>
  <si>
    <t>BS026</t>
  </si>
  <si>
    <t>BS020</t>
  </si>
  <si>
    <t>BS032</t>
  </si>
  <si>
    <t>BS035</t>
  </si>
  <si>
    <t>BS036</t>
  </si>
  <si>
    <t>BS058</t>
  </si>
  <si>
    <t>BS120</t>
  </si>
  <si>
    <t>BS117</t>
  </si>
  <si>
    <t>BS070</t>
  </si>
  <si>
    <t>BS060</t>
  </si>
  <si>
    <t>BS039</t>
  </si>
  <si>
    <t>BS037</t>
  </si>
  <si>
    <t>BS040</t>
  </si>
  <si>
    <t>BS096</t>
  </si>
  <si>
    <t>BS107</t>
  </si>
  <si>
    <t>BS095</t>
  </si>
  <si>
    <t>BS091</t>
  </si>
  <si>
    <t>BS109</t>
  </si>
  <si>
    <t>BS113</t>
  </si>
  <si>
    <t>BS052</t>
  </si>
  <si>
    <t>BS114</t>
  </si>
  <si>
    <t>BS115</t>
  </si>
  <si>
    <t>BS049</t>
  </si>
  <si>
    <t>BS050</t>
  </si>
  <si>
    <t>BS072</t>
  </si>
  <si>
    <t>BS051</t>
  </si>
  <si>
    <t>BS110</t>
  </si>
  <si>
    <t>BS111</t>
  </si>
  <si>
    <t>BS104</t>
  </si>
  <si>
    <t>BS116</t>
  </si>
  <si>
    <t>BS062</t>
  </si>
  <si>
    <t>BS063</t>
  </si>
  <si>
    <t>BS064</t>
  </si>
  <si>
    <t>BS065</t>
  </si>
  <si>
    <t>BS069</t>
  </si>
  <si>
    <t>BS075</t>
  </si>
  <si>
    <t>BS077</t>
  </si>
  <si>
    <t>BS078</t>
  </si>
  <si>
    <t>BS076</t>
  </si>
  <si>
    <t>BS082</t>
  </si>
  <si>
    <t>BS083</t>
  </si>
  <si>
    <t>BS085</t>
  </si>
  <si>
    <t>BS086</t>
  </si>
  <si>
    <t>BS092</t>
  </si>
  <si>
    <t>BS119</t>
  </si>
  <si>
    <t>BS098</t>
  </si>
  <si>
    <t>BS099</t>
  </si>
  <si>
    <t>BS105</t>
  </si>
  <si>
    <t>BS045</t>
  </si>
  <si>
    <t>IS09</t>
  </si>
  <si>
    <t>IS14</t>
  </si>
  <si>
    <t>IS16</t>
  </si>
  <si>
    <t>IS17</t>
  </si>
  <si>
    <t>IS20</t>
  </si>
  <si>
    <t>IS23</t>
  </si>
  <si>
    <t>IS18</t>
  </si>
  <si>
    <t>IS41</t>
  </si>
  <si>
    <t>IS34</t>
  </si>
  <si>
    <t>IS43</t>
  </si>
  <si>
    <t>IS53</t>
  </si>
  <si>
    <t>IS60</t>
  </si>
  <si>
    <t>IS25</t>
  </si>
  <si>
    <t>IS05</t>
  </si>
  <si>
    <t>IS06</t>
  </si>
  <si>
    <t>IS07</t>
  </si>
  <si>
    <t>IS19</t>
  </si>
  <si>
    <t>IS22</t>
  </si>
  <si>
    <t>IS38</t>
  </si>
  <si>
    <t>IS30</t>
  </si>
  <si>
    <t>IS42</t>
  </si>
  <si>
    <t>IS52</t>
  </si>
  <si>
    <t>IS24</t>
  </si>
  <si>
    <t>IS44</t>
  </si>
  <si>
    <t>BS124</t>
  </si>
  <si>
    <t>BS125</t>
  </si>
  <si>
    <t>346a</t>
  </si>
  <si>
    <t>346b</t>
  </si>
  <si>
    <t>Subsidies from state budget  - payable/credit</t>
  </si>
  <si>
    <t>Subsidies from state budget  - receivable/debit</t>
  </si>
  <si>
    <t>Celkom</t>
  </si>
  <si>
    <t>T.01</t>
  </si>
  <si>
    <t>T.02</t>
  </si>
  <si>
    <t>T.03</t>
  </si>
  <si>
    <t>T.04</t>
  </si>
  <si>
    <t>T.05</t>
  </si>
  <si>
    <t>Dlhodobý hmotný majetok</t>
  </si>
  <si>
    <t>T.06</t>
  </si>
  <si>
    <t>T.07</t>
  </si>
  <si>
    <t>T.08</t>
  </si>
  <si>
    <t>T.09</t>
  </si>
  <si>
    <t>T.10</t>
  </si>
  <si>
    <t>English</t>
  </si>
  <si>
    <t>T.11</t>
  </si>
  <si>
    <t>Dlhodobé pohľadávky</t>
  </si>
  <si>
    <t>Krátkodobé pohľadávky</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</si>
  <si>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</si>
  <si>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</si>
  <si>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</si>
  <si>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</si>
  <si>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</si>
  <si>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</si>
  <si>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</si>
  <si>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</si>
  <si>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</si>
  <si>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</si>
  <si>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</si>
  <si>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</si>
  <si>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</si>
  <si>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</si>
  <si>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</si>
  <si>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</si>
  <si>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</si>
  <si>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</si>
  <si>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</si>
  <si>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</si>
  <si>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</si>
  <si>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</si>
  <si>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</si>
  <si>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Úhrada straty spoločníkmi</t>
  </si>
  <si>
    <t>T.35</t>
  </si>
  <si>
    <t>Dlhodobé rezervy</t>
  </si>
  <si>
    <t>T.36</t>
  </si>
  <si>
    <t>T.37</t>
  </si>
  <si>
    <t>T.38</t>
  </si>
  <si>
    <t>T.39</t>
  </si>
  <si>
    <t>T.40</t>
  </si>
  <si>
    <t>T.41</t>
  </si>
  <si>
    <t>T.42</t>
  </si>
  <si>
    <t>pohľadávky</t>
  </si>
  <si>
    <t>T.43</t>
  </si>
  <si>
    <t>T.44</t>
  </si>
  <si>
    <t>T.45</t>
  </si>
  <si>
    <t>T.46</t>
  </si>
  <si>
    <t>#</t>
  </si>
  <si>
    <t>Slovenčina</t>
  </si>
  <si>
    <t>T.47</t>
  </si>
  <si>
    <t>T.48</t>
  </si>
  <si>
    <t>Dary</t>
  </si>
  <si>
    <t>T.49</t>
  </si>
  <si>
    <t>T.50</t>
  </si>
  <si>
    <t>T.51</t>
  </si>
  <si>
    <t>T.52</t>
  </si>
  <si>
    <t>T.53</t>
  </si>
  <si>
    <t>T.54</t>
  </si>
  <si>
    <t>T.55</t>
  </si>
  <si>
    <t>T.56</t>
  </si>
  <si>
    <t>T.57</t>
  </si>
  <si>
    <t>T.58</t>
  </si>
  <si>
    <t>Item</t>
  </si>
  <si>
    <t>(EUR)</t>
  </si>
  <si>
    <t>Line</t>
  </si>
  <si>
    <t>Popis</t>
  </si>
  <si>
    <t>Number</t>
  </si>
  <si>
    <t xml:space="preserve">Legal reserve fund </t>
  </si>
  <si>
    <t>Deutsch</t>
  </si>
  <si>
    <t>Daňové identifikačné číslo</t>
  </si>
  <si>
    <t>IČO</t>
  </si>
  <si>
    <t>SK NACE</t>
  </si>
  <si>
    <t>Ulica</t>
  </si>
  <si>
    <t>Číslo</t>
  </si>
  <si>
    <t>PSČ</t>
  </si>
  <si>
    <t>Obec</t>
  </si>
  <si>
    <t>Číslo telefónu</t>
  </si>
  <si>
    <t>Číslo faxu</t>
  </si>
  <si>
    <t>E-mailová adresa</t>
  </si>
  <si>
    <t>Zostavená dňa:</t>
  </si>
  <si>
    <t>Schválená dňa:</t>
  </si>
  <si>
    <t>Účtovná závierka</t>
  </si>
  <si>
    <t>- riadna</t>
  </si>
  <si>
    <t>Za obdobie:</t>
  </si>
  <si>
    <t>Obchodné meno (názov) účtovnej jednotky</t>
  </si>
  <si>
    <t>- mimoriadna</t>
  </si>
  <si>
    <t>- zostavená</t>
  </si>
  <si>
    <t>- schválená</t>
  </si>
  <si>
    <t>od</t>
  </si>
  <si>
    <t>do</t>
  </si>
  <si>
    <t>Bezprostredne predchádzajúce obdobie:</t>
  </si>
  <si>
    <t>Mesiac</t>
  </si>
  <si>
    <t>Rok</t>
  </si>
  <si>
    <t>COVER</t>
  </si>
  <si>
    <t>Tax Registration Number</t>
  </si>
  <si>
    <t>Identification No.</t>
  </si>
  <si>
    <t>Business Name of the Reporting Entity</t>
  </si>
  <si>
    <t>Street</t>
  </si>
  <si>
    <t>Postal Code</t>
  </si>
  <si>
    <t>Municipality</t>
  </si>
  <si>
    <t>Phone Number</t>
  </si>
  <si>
    <t>Fax Number</t>
  </si>
  <si>
    <t>E-mail Address</t>
  </si>
  <si>
    <t>Financial Statements</t>
  </si>
  <si>
    <t xml:space="preserve">For the Period </t>
  </si>
  <si>
    <t>From</t>
  </si>
  <si>
    <t>To</t>
  </si>
  <si>
    <t>Month</t>
  </si>
  <si>
    <t>Year</t>
  </si>
  <si>
    <t>Immediately Preceding Period</t>
  </si>
  <si>
    <t>(Mark with X)</t>
  </si>
  <si>
    <t>(vyznačí sa X)</t>
  </si>
  <si>
    <t>Period End (DD.MM.YYYY)</t>
  </si>
  <si>
    <t>Prepared on:</t>
  </si>
  <si>
    <t>Approved on:</t>
  </si>
  <si>
    <t>- Ordinary</t>
  </si>
  <si>
    <t>- Extraordinary</t>
  </si>
  <si>
    <t>- Prepared</t>
  </si>
  <si>
    <t>- Approved</t>
  </si>
  <si>
    <t>INDEX</t>
  </si>
  <si>
    <t>096g</t>
  </si>
  <si>
    <t>1 (časť 1)</t>
  </si>
  <si>
    <t>1 (časť 2)</t>
  </si>
  <si>
    <t>ASSETS</t>
  </si>
  <si>
    <t>Current Reporting Period</t>
  </si>
  <si>
    <t>Immediately Preceding Reporting Period</t>
  </si>
  <si>
    <t>Gross</t>
  </si>
  <si>
    <t>Correction</t>
  </si>
  <si>
    <t>Net</t>
  </si>
  <si>
    <t>1 (part 1)</t>
  </si>
  <si>
    <t>1 (part 2)</t>
  </si>
  <si>
    <t>ITEM</t>
  </si>
  <si>
    <t>Actual</t>
  </si>
  <si>
    <t>BS</t>
  </si>
  <si>
    <t>IS</t>
  </si>
  <si>
    <t>T.59</t>
  </si>
  <si>
    <t>Sheet</t>
  </si>
  <si>
    <t>Not linked to FS</t>
  </si>
  <si>
    <t>Check</t>
  </si>
  <si>
    <t>Nenalinkované na výkazy</t>
  </si>
  <si>
    <t>Záložka</t>
  </si>
  <si>
    <t>Kontrolný súčet</t>
  </si>
  <si>
    <t>Summary check</t>
  </si>
  <si>
    <t>Súvaha Úč POD 1 - 01</t>
  </si>
  <si>
    <t>(v celých eurách)</t>
  </si>
  <si>
    <t xml:space="preserve"> </t>
  </si>
  <si>
    <t>.</t>
  </si>
  <si>
    <t>/</t>
  </si>
  <si>
    <t>Balance Sheet Úč POD 1 - 01</t>
  </si>
  <si>
    <t>(in EUR)</t>
  </si>
  <si>
    <t>Signature of a Member of the Statutory Body of the Reporting Entity or a Natural Person Acting as a Reporting Entity:</t>
  </si>
  <si>
    <t>Koniec obdobia (DD.MM.RRRR)</t>
  </si>
  <si>
    <t>Zeile</t>
  </si>
  <si>
    <t>Označenie</t>
  </si>
  <si>
    <t>Kennz.</t>
  </si>
  <si>
    <t>AKTIVA</t>
  </si>
  <si>
    <t>Zl. Nr.</t>
  </si>
  <si>
    <t>Laufende Buchungsperiode</t>
  </si>
  <si>
    <t xml:space="preserve">Unmittelbare Vorperiode  </t>
  </si>
  <si>
    <t>Korrektur</t>
  </si>
  <si>
    <t>1 (Teil 1)</t>
  </si>
  <si>
    <t>1 (Teil 2)</t>
  </si>
  <si>
    <t>PASSIVA</t>
  </si>
  <si>
    <t>Bilanz Úč POD 1 - 01</t>
  </si>
  <si>
    <t>Steuernummer</t>
  </si>
  <si>
    <t>Identifikationsnummer</t>
  </si>
  <si>
    <r>
      <t xml:space="preserve">Geschäftsname (Bezeichnung) </t>
    </r>
    <r>
      <rPr>
        <sz val="7"/>
        <rFont val="Verdana"/>
        <family val="2"/>
      </rPr>
      <t>der Buchführungseinheit</t>
    </r>
  </si>
  <si>
    <t>Nummer</t>
  </si>
  <si>
    <t>PLZ</t>
  </si>
  <si>
    <t>Ort</t>
  </si>
  <si>
    <t>Telefonnummer</t>
  </si>
  <si>
    <t>Faxnummer</t>
  </si>
  <si>
    <t>E-mail</t>
  </si>
  <si>
    <t>Jahresabschluss</t>
  </si>
  <si>
    <t>Für den Zeitraum</t>
  </si>
  <si>
    <t>vom</t>
  </si>
  <si>
    <t>bis</t>
  </si>
  <si>
    <t>Monat</t>
  </si>
  <si>
    <t>Jahr</t>
  </si>
  <si>
    <t>Unmittelbare Vorperiode:</t>
  </si>
  <si>
    <t>Erstellt am:</t>
  </si>
  <si>
    <t>Genehmigt am:</t>
  </si>
  <si>
    <t>- ordentlich</t>
  </si>
  <si>
    <t>- außerordentlich</t>
  </si>
  <si>
    <t>- erstellt</t>
  </si>
  <si>
    <t>- genehmigt</t>
  </si>
  <si>
    <t>(Kennzeichnung durch Ankreuzen X)</t>
  </si>
  <si>
    <t>Strasse</t>
  </si>
  <si>
    <t>Vyber jazyk / Select Language / Wählen Sie eine Sprache</t>
  </si>
  <si>
    <t>Tabuľka č. 1 - Prehľad peňažných tokov</t>
  </si>
  <si>
    <t>Ozna-čenie</t>
  </si>
  <si>
    <t>Názov položky</t>
  </si>
  <si>
    <t>Skutočnosť v eurách</t>
  </si>
  <si>
    <t>Peňažné toky z prevádzkovej činnosti</t>
  </si>
  <si>
    <t>Z/S</t>
  </si>
  <si>
    <t>A.1.</t>
  </si>
  <si>
    <t>Nepeňažné operácie ovplyvňujúce výsledok hospodárenia z bežnej činnosti pred zdanením daňou z príjmov (+/-)</t>
  </si>
  <si>
    <t>Odpisy dlhodobého nehmotného majetku a dlhodobého hmotného majetku (+)</t>
  </si>
  <si>
    <t>Zostatková hodnota dlhodobého nehmotného majetku a dlhodobého hmotného majetku účtovaná pri vyradení tohto majetku do nákladov na bežnú činnosť, s výnimkou jeho predaja (+)</t>
  </si>
  <si>
    <t>Zmena stavu rezerv (+/-)</t>
  </si>
  <si>
    <t>Zmena stavu opravných položiek (+/-)</t>
  </si>
  <si>
    <t>Zmena stavu položiek časového rozlíšenia nákladov a výnosov (+/-)</t>
  </si>
  <si>
    <t>Dividendy a iné podiely na zisku účtované do výnosov (-)</t>
  </si>
  <si>
    <t>Úroky účtované do nákladov (+)</t>
  </si>
  <si>
    <t>Úroky účtované do výnosov (-)</t>
  </si>
  <si>
    <t xml:space="preserve">Kurzový zisk/strata vyčíslený k peňažným prostriedkom a peňažným ekvivalentom ku dňu, ku ktorému sa zostavuje účtovná závierka (-/+) </t>
  </si>
  <si>
    <t>Ostatné položky nepeňažného charakteru (+/-)</t>
  </si>
  <si>
    <t>A.2.</t>
  </si>
  <si>
    <t>Vplyv zmien stavu pracovného kapitálu na výsledok hospodárenia z bežnej činnosti</t>
  </si>
  <si>
    <t>Zmena stavu pohľadávok z prevádzkovej činnosti (-/+)</t>
  </si>
  <si>
    <t>Zmena stavu záväzkov z prevádzkovej činnosti (+/-)</t>
  </si>
  <si>
    <t>Zmena stavu zásob (-/+)</t>
  </si>
  <si>
    <t xml:space="preserve">Zmena stavu krátkodobého finančného majetku, s výnimkou majetku, ktorý je súčasťou peňažných prostriedkov a peňažných ekvivalentov (-/+) </t>
  </si>
  <si>
    <t>Prijaté úroky (+)</t>
  </si>
  <si>
    <t>Výdavky na zaplatené úroky (-)</t>
  </si>
  <si>
    <t>Príjmy z dividend a iných podielov na zisku (+)</t>
  </si>
  <si>
    <t>Výdavky na vyplatené dividendy a iné podiely na zisku (-)</t>
  </si>
  <si>
    <t>Výdavky na daň z príjmov účtovnej jednotky (-/+)</t>
  </si>
  <si>
    <t>Čisté peňažné toky z prevádzkovej činnosti</t>
  </si>
  <si>
    <t>Peňažné toky z investičnej činnosti</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</si>
  <si>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</si>
  <si>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</si>
  <si>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</si>
  <si>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</si>
  <si>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</si>
  <si>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</si>
  <si>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</si>
  <si>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</si>
  <si>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</si>
  <si>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</si>
  <si>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Výdavky súvisiace s derivátmi s výnimkou, ak sú určené na predaj alebo na obchodovanie (-)</t>
  </si>
  <si>
    <t>Príjmy súvisiace s derivátmi s výnimkou, ak sú určené na predaj alebo na obchodovanie (-)</t>
  </si>
  <si>
    <t>Výdavky na daň z príjmov účtovnej jednotky (-)</t>
  </si>
  <si>
    <t>Ostatné príjmy vzťahujúce sa na investičnú činnosť (+)</t>
  </si>
  <si>
    <t>Ostatné výdavky vzťahujúce sa na investičnú činnosť (-)</t>
  </si>
  <si>
    <t>Čisté peňažné toky z investičnej činnosti</t>
  </si>
  <si>
    <t>Peňažné toky z finančnej činnosti</t>
  </si>
  <si>
    <t>Peňažné toky vo vlastnom imaní</t>
  </si>
  <si>
    <t>Príjmy z upísaných akcií a obchodných podielov (+)</t>
  </si>
  <si>
    <t>Príjmy z ďalších vkladov do vlastného imania spoločníkmi (+)</t>
  </si>
  <si>
    <t>Prijaté peňažné dary (+)</t>
  </si>
  <si>
    <t>Príjmy z úhrady straty spoločníkmi (+)</t>
  </si>
  <si>
    <t>Výdavky na obstaranie alebo spätné odkúpenie vlastných akcií a vlastných obchodných podielov (-)</t>
  </si>
  <si>
    <t>Výdavky spojené so znížením fondov vytvorených účtovnou jednotkou (-)</t>
  </si>
  <si>
    <t>Výdavky na vyplatenie podielu na vlastnom imaní spoločníkmi účtovnej jednotky (-)</t>
  </si>
  <si>
    <t>Výdavky z iných dôvodov, ktoré súvisia so znížením vlastného imania (-)</t>
  </si>
  <si>
    <t>Peňažné toky vznikajúce z dlhodobých záväzkov a krátkodobých záväzkov z finančnej činnosti</t>
  </si>
  <si>
    <t>Príjmy z emisie dlhových cenných papierov (+)</t>
  </si>
  <si>
    <t>Výdavky na úhradu záväzkov z dlhových cenných papierov (-)</t>
  </si>
  <si>
    <t>Príjmy z úverov (+)</t>
  </si>
  <si>
    <t>Výdavky na splácanie úverov (-)</t>
  </si>
  <si>
    <t>Príjmy z prijatých pôžičiek (+)</t>
  </si>
  <si>
    <t>Výdavky na splácanie pôžičiek (-)</t>
  </si>
  <si>
    <t>Výdavky na úhradu záväzkov z finančného lízingu (-)</t>
  </si>
  <si>
    <t>Príjmy z ostatných dlhodobých záväzkov a krátkodobých záväzkov vyplývajúcich z finančnej činnosti účtovnej jednotky (+)</t>
  </si>
  <si>
    <t>Výdavky na splácanie ostatných dlhodobých záväzkov a krátkodobých záväzkov vyplývajúcich z finančnej činnosti účtovnej jednotky (-)</t>
  </si>
  <si>
    <t>Príjmy súvisiace s derivátmi, s výnimkou, ak sú určené na predaj alebo na obchodovanie (+)</t>
  </si>
  <si>
    <t>Čisté peňažné toky z finančnej činnosti</t>
  </si>
  <si>
    <t>Čisté zvýšenie alebo čisté zníženie peňažných prostriedkov a peňažných ekvivalentov (+/-)                            (súčet A+B+C)</t>
  </si>
  <si>
    <t>Stav peňažných prostriedkov a peňažných ekvivalentov na začiatku účtovného obdobia</t>
  </si>
  <si>
    <t>Stav peňažných prostriedkov a peňažných ekvivalentov na konci účtovného obdobia pred zohľadnením kurzových rozdielov vyčíslených ku dňu, ku ktorému sa zostavuje účtovná závierka (+/-)</t>
  </si>
  <si>
    <t>Kurzové rozdiely vyčíslené k peňažným prostriedkom a peňažným ekvivalentom ku dňu, ku ktorému sa zostavuje účtovná závierka (+/-)</t>
  </si>
  <si>
    <t>Cash Flow</t>
  </si>
  <si>
    <t>Minulé účtovné obdobie</t>
  </si>
  <si>
    <t>Odpis opravnej položky k nadobudnutému majetku (+/-)</t>
  </si>
  <si>
    <t>Výsledok z predaja dlhodobého majetku, s výnimkou majetku, ktorý sa považuje za peňažný ekvivalent (+/-)</t>
  </si>
  <si>
    <t>Table 1 - Cash Flow Statement</t>
  </si>
  <si>
    <t>Actual amount in EUR</t>
  </si>
  <si>
    <t>Previous Reporting Period</t>
  </si>
  <si>
    <t>Cash flows from operating activities</t>
  </si>
  <si>
    <t>Profit/loss from ordinary activities before income tax (+/-)</t>
  </si>
  <si>
    <t>Non-cash transactions affecting profit/loss from ordinary activities before income tax (+/-)</t>
  </si>
  <si>
    <t>Amortisation and depreciation of non-current intangible and tangible assets (+)</t>
  </si>
  <si>
    <t>Net book value of non-current intangible and tangible assets recorded after disposal of such assets and charged to expenses for ordinary activities except for the sale (+)</t>
  </si>
  <si>
    <t>Change in provisions for liabilities (+/-)</t>
  </si>
  <si>
    <t>Change in provisions for assets (+/-)</t>
  </si>
  <si>
    <t>Change in expense and revenues accruals (+/-)</t>
  </si>
  <si>
    <t>Dividends and other profit sharing charged to revenues (-)</t>
  </si>
  <si>
    <t>Interest charged to expenses (+)</t>
  </si>
  <si>
    <t>Interest charged to income (-)</t>
  </si>
  <si>
    <t xml:space="preserve">Foreign exchange gain/loss quantified to cash and cash equivalents as at the reporting date (-/+) </t>
  </si>
  <si>
    <t>Other non-cash items (+/-)</t>
  </si>
  <si>
    <t>Effect of changes in working capital on profit/loss from ordinary activities</t>
  </si>
  <si>
    <t>Change in receivables from operations (-/+)</t>
  </si>
  <si>
    <t>Change in payables from operations (+/-)</t>
  </si>
  <si>
    <t>Change in inventories (-/+)</t>
  </si>
  <si>
    <t xml:space="preserve">Change in current financial assets except for those included in cash and cash equivalents (-/+) </t>
  </si>
  <si>
    <t>Cash flow from operating activities, except for income and expenditures listed separately in other sections of the cash flow statement  (+/-), (total Z/S+A.1.+A.2.)</t>
  </si>
  <si>
    <t>Interest received (+)</t>
  </si>
  <si>
    <t>Interest paid (-)</t>
  </si>
  <si>
    <t>Dividends and other profit sharing received (+)</t>
  </si>
  <si>
    <t>Dividends and other profit sharing paid (-)</t>
  </si>
  <si>
    <t>Income tax paid (-/+)</t>
  </si>
  <si>
    <t>Net cash flow from operating activities</t>
  </si>
  <si>
    <t>Cash flow from investing activities</t>
  </si>
  <si>
    <t>Expenditures for acquisition of non-current intangible assets (-)</t>
  </si>
  <si>
    <t>Expenditures for acquisition of non-current tangible assets (-)</t>
  </si>
  <si>
    <t>Expenditures for acquisition of long-term securities and shares in other entities except for securities considered cash equivalents and securities available for sale or trading securities (-)</t>
  </si>
  <si>
    <t>Income on sale of non-current intangible assets (+)</t>
  </si>
  <si>
    <t>Income on sale of non-current tangible assets (+)</t>
  </si>
  <si>
    <t>Income on sale of long-term securities and shares in other entities except for securities considered cash equivalents and securities available for sale or trading securities (+)</t>
  </si>
  <si>
    <t>Expenditures for non-current borrowings provided by the Company to another entity that is a member of the consolidation group (-)</t>
  </si>
  <si>
    <t>Income on repayment of non-current borrowings provided by the Company to another entity that is a member of the consolidation group (+)</t>
  </si>
  <si>
    <t>Expenditures for non-current borrowings provided by the Company to third parties except for non-current borrowings provided to the entity which is included in the consolidation group (-)</t>
  </si>
  <si>
    <t>Expenditures related to derivatives except for those which are available for sale or trading (-)</t>
  </si>
  <si>
    <t>Income related to derivatives except for those which are available for sale or trading (-)</t>
  </si>
  <si>
    <t>Income tax paid (-)</t>
  </si>
  <si>
    <t>Other income related to investing activity (+)</t>
  </si>
  <si>
    <t>Other expenditures related to investing activity (-)</t>
  </si>
  <si>
    <t>Net cash flow from investing activities</t>
  </si>
  <si>
    <t>Cash flows from financing activities</t>
  </si>
  <si>
    <t>Cash flows in equity</t>
  </si>
  <si>
    <t>Income on subscribed shares and ownership interests (+)</t>
  </si>
  <si>
    <t>Income on other capital stakes owned by the Company's partners (+)</t>
  </si>
  <si>
    <t>Monetary gifts received (+)</t>
  </si>
  <si>
    <t>Income on loss settlement by partners (+)</t>
  </si>
  <si>
    <t>Expenditures for acquisition or repurchase of treasury shares and treasury stock (-)</t>
  </si>
  <si>
    <t>Expenditures relating to decrease of funds created by the Company (-)</t>
  </si>
  <si>
    <t>Expenditures for repayment of capital stake to the Company's partners (-)</t>
  </si>
  <si>
    <t>Expenditures due to other reasons, which relate to a decrease of equity (-)</t>
  </si>
  <si>
    <t>Cash flows arising on non-current and current payables from financing activities</t>
  </si>
  <si>
    <t>Income on issue of debt securities (+)</t>
  </si>
  <si>
    <t>Settlement of payables from debt securities (-)</t>
  </si>
  <si>
    <t>Income on loans (+)</t>
  </si>
  <si>
    <t>Repayment of loans (-)</t>
  </si>
  <si>
    <t>Income on borrowings received (+)</t>
  </si>
  <si>
    <t>Repayment of borrowings (-)</t>
  </si>
  <si>
    <t>Settlement of obligations under finance lease (-)</t>
  </si>
  <si>
    <t>Income on other non-current and current payables resulting from financing activities of the Company (+)</t>
  </si>
  <si>
    <t>Repayment of other non-current and current payables resulting from financing activities of the Company (-)</t>
  </si>
  <si>
    <t>Dividends paid and other profit sharing (-)</t>
  </si>
  <si>
    <t>Expenditures related to derivatives except for those available for sale or trading (-)</t>
  </si>
  <si>
    <t>Income related to derivatives, except for those available for sale or trading (+)</t>
  </si>
  <si>
    <t>Net cash flows from financing activities</t>
  </si>
  <si>
    <t>Net increase or net decrease in cash and cash equivalents (+/-) (aggregate A+B+C)</t>
  </si>
  <si>
    <t>Cash and cash equivalents at the beginning of the reporting period</t>
  </si>
  <si>
    <t>Cash and cash equivalents at the end of the reporting period prior to reflecting foreign exchange gains/losses quantified as at the reporting date (+/-)</t>
  </si>
  <si>
    <t>Foreign exchange gains/losses quantified to cash and cash equivalents as at the reporting date (+/-)</t>
  </si>
  <si>
    <t>Cash and cash equivalents at the end of the reporting period adjusted for foreign exchange gains/losses quantified as at the reporting date (+/-) (total of D + E + G)</t>
  </si>
  <si>
    <t>Tabelle 1 - KAPITALFLUSSRECHNUNG</t>
  </si>
  <si>
    <t xml:space="preserve">Unmittelbare Vorperiode </t>
  </si>
  <si>
    <t>Geldflüsse aus der Betriebstätigkeit</t>
  </si>
  <si>
    <t>Transaktionen in Sachform mit Einfluss auf das Wirtschaftsergebnis der laufenden Geschäftstätigkeit vor Steuern (+/-)</t>
  </si>
  <si>
    <t>Abschreibungen auf Anlagevermögen  (+)</t>
  </si>
  <si>
    <t>Restbuchwert des Anlagevermögens, das beim Abgang in die Aufwendungen auf die laufende Geschäftstätigkeit verbucht wird, mit Ausnahme eines Verkaufs (+)</t>
  </si>
  <si>
    <t>Abschreibung der Wertberichtigung auf angeschafftes Anlagevermögen (+/-)</t>
  </si>
  <si>
    <t>Bestandsänderung der Rückstellungen  (+/-)</t>
  </si>
  <si>
    <t>Bestandsänderung der Wertberichtigungen (+/-)</t>
  </si>
  <si>
    <t>Dividenden und andere Gewinnanteile, die im Rahmen von Erträgen verbucht werden (-)</t>
  </si>
  <si>
    <t>Zinsen, die im Rahmen von Aufwendungen verbucht werden (+)</t>
  </si>
  <si>
    <t>Zinsen, die im Rahmen von Erträgen verbucht werden ( - )</t>
  </si>
  <si>
    <t xml:space="preserve">Kursgewinne/Kursverluste betreffend der Geldmittel und Geldäquivalente zum Stichtag des Jahresabschlusses (-/+) </t>
  </si>
  <si>
    <t>Sonstige Posten in Sachform (+/-)</t>
  </si>
  <si>
    <t>Auswirkung der Änderungen des Betriebskapitals auf das Wirtschaftsergebnis aus der laufenden Geschäftstätigkeit</t>
  </si>
  <si>
    <t>Bestandsänderung der Forderungen aus der  Betriebstätigkeit (-/+)</t>
  </si>
  <si>
    <t>Bestandsänderung der Verbindlichkeiten aus der Betriebstätigkeit (+/-)</t>
  </si>
  <si>
    <t>Bestandsänderung der Vorräte (-/+)</t>
  </si>
  <si>
    <t xml:space="preserve">Bestandsänderung  des kurzfristigen Finanzvermögens mit Ausnahme des Vermögens, das Bestandteil der Geldmittel und Geldäquivalente ist (-/+) </t>
  </si>
  <si>
    <t>Gledflüsse aus der Betriebstätigkeit  mit Ausnahme der Einnahmen und Ausgaben, welche separat in anderen Teilen der Kapitalflussrechnung angeführt werden (+/-), (Summe Z/S+A.1.+A.2.)</t>
  </si>
  <si>
    <t>Erhaltene Zinsen (+)</t>
  </si>
  <si>
    <t>Ausgaben für gezahlte Zinsen (-)</t>
  </si>
  <si>
    <t>Einnahmen aus Dividenden und anderen Gewinnbeteiligungen (+)</t>
  </si>
  <si>
    <t>Ausgaben für ausgezahlte Dividenden und sonstige Gewinnbeteiligungen (-)</t>
  </si>
  <si>
    <t>Ausserordentliche Einnahmen, die sich auf die Betriebstätigkeit beziehen (+)</t>
  </si>
  <si>
    <t>Ausserordentliche Ausgaben, die sich auf die Betriebstätigkeit beziehen (-)</t>
  </si>
  <si>
    <t>Geldflüsse aus der Investitionstätigkeit</t>
  </si>
  <si>
    <t>Ausgaben für die Anschaffung von immateriellem Anlagevermögen (-)</t>
  </si>
  <si>
    <t>Ausgaben für die Anschaffung von materiellem Anlagevermögen (-)</t>
  </si>
  <si>
    <t>Einnahmen aus dem Verkauf von immateriellem Anlagevermögen (+)</t>
  </si>
  <si>
    <t>Einnahmen aus dem Verkauf von materiellem Anlagevermögen (+)</t>
  </si>
  <si>
    <t>Einnahmen aus Dividenden und anderen Gewinnanteilen (+)</t>
  </si>
  <si>
    <t>Ausserordentliche Einnahmen, die sich auf die Investitionstätigkeit beziehen (+)</t>
  </si>
  <si>
    <t>Ausserordentliche Ausgaben, die sich auf die Investitionstätigkeit beziehen (-)</t>
  </si>
  <si>
    <t>Sonstige Einnahmen, die sich auf die Investitionstätigkeit beziehen (+)</t>
  </si>
  <si>
    <t>Sonstige Ausgaben, die sich  auf die Investitionstätigkeit beziehen (-)</t>
  </si>
  <si>
    <t>Geldflüsse aus der Finanzierungstätigkeit</t>
  </si>
  <si>
    <t>Geldflüsse im Rahmen des Eigenkapitals</t>
  </si>
  <si>
    <t>Einnahmen aus gezeichneten Aktien und Geschäftsanteilen (+)</t>
  </si>
  <si>
    <t>Eingenommene Geldspenden (+)</t>
  </si>
  <si>
    <t>Ausgaben für die Anschaffung oder den Rückkauf eigener Aktien und eigener Geschäftsanteile (-)</t>
  </si>
  <si>
    <t>Ausgaben aus anderen Gründen, die mit der Herabsetzung des Eigenkapitals zusammenhängen (-)</t>
  </si>
  <si>
    <t>Einnahmen aus der Emission von Schuldscheinen (+)</t>
  </si>
  <si>
    <t>Ausgaben für die Begleichung der Verbindlichkeiten aus Schuldscheinen (-)</t>
  </si>
  <si>
    <t>Krediteinnahmen (+)</t>
  </si>
  <si>
    <t>Einnahmen aus erhaltenen Darlehen (+)</t>
  </si>
  <si>
    <t>Ausgaben für die Rückzahlung von Darlehen (-)</t>
  </si>
  <si>
    <t>Ausgaben für die Begleichung der Verbindlichkeiten aus dem Finanzierungsleasing (-)</t>
  </si>
  <si>
    <t xml:space="preserve">Ausgaben für gezahlte Zinsen (-) </t>
  </si>
  <si>
    <t>Ausgaben für ausgezahlte Dividenden und andere Gewinnanteile (-)</t>
  </si>
  <si>
    <t>Ausserordentliche Einnahmen, die sich auf die Finanzierungstätigkeit beziehen (+)</t>
  </si>
  <si>
    <t>Ausserordentliche Ausgaben, die sich auf die Finanzierungstätigkeit beziehen (-)</t>
  </si>
  <si>
    <t>Saldo der Geldmittel und Geldäquivalente zum Beginn der Buchungsperiode</t>
  </si>
  <si>
    <t>Kursgewinne/Kursverluste betreffend der Geldmittel und Geldäquivalente zum Stichtag des Jahresabschlusses (+/-)</t>
  </si>
  <si>
    <t>Výdavky na obstaranie hmotného a nehmotného majetku</t>
  </si>
  <si>
    <t>Výdavky na obstaranie majetku celkom:</t>
  </si>
  <si>
    <t>-&gt; z toho:</t>
  </si>
  <si>
    <t>výdavky na obstaranie nehmotného majetku</t>
  </si>
  <si>
    <t>výdavky na obstaranie hmotného majetku</t>
  </si>
  <si>
    <t>Banka</t>
  </si>
  <si>
    <t>k 1.1.</t>
  </si>
  <si>
    <t>k 31.12.</t>
  </si>
  <si>
    <t>zmena</t>
  </si>
  <si>
    <t>Príjmy z úverov</t>
  </si>
  <si>
    <t>Výdavky na splácanie úverov</t>
  </si>
  <si>
    <t>kontrola</t>
  </si>
  <si>
    <t>Pohyb podla cash-flow kalkulacie</t>
  </si>
  <si>
    <t>Kontrola</t>
  </si>
  <si>
    <t>musi sa rovnat nule</t>
  </si>
  <si>
    <t>POZN.: V prípade kontokorentného úveru doplniť len súvahovú zmenu, v prípade ostatných úverov doplniť skutočné čerpanie/splácanie.</t>
  </si>
  <si>
    <t>check</t>
  </si>
  <si>
    <t>Pozor, údaje zadávať len do žltých polí!!!!!</t>
  </si>
  <si>
    <t>Rozdiel</t>
  </si>
  <si>
    <t>Dlhodobý finančný majetok súčet r. 022-024, 026, 028-029 (okrem pôžičiek na účtoch 066 a 067)</t>
  </si>
  <si>
    <t>Dlhodobý finančný majetok súčet r. 025 a 027 (pôžičky na účtoch 066 a 067)</t>
  </si>
  <si>
    <t>C</t>
  </si>
  <si>
    <t>Dlhodobé záväzky súčet r. 095, 096, 097, 100, 101, 104 a 105 (okrem finančného lízingu na účte 474)</t>
  </si>
  <si>
    <t>Dlhodobé záväzky - finančný lízing na účte 474</t>
  </si>
  <si>
    <t>B.IV.-B.V.</t>
  </si>
  <si>
    <t>Rozdiel zo súvahy</t>
  </si>
  <si>
    <t>Štandardné úpravy spolu</t>
  </si>
  <si>
    <t>Daň z príjmov splatná a odložená</t>
  </si>
  <si>
    <t>Odpisy</t>
  </si>
  <si>
    <t>Úroky nákladové</t>
  </si>
  <si>
    <t>Úroky výnosové</t>
  </si>
  <si>
    <t>(Zisk)/strata z predaja dlhodobého majetku</t>
  </si>
  <si>
    <t>Kurzové rozdiely</t>
  </si>
  <si>
    <t>Opravné položky</t>
  </si>
  <si>
    <t>Odpis pohľadávok</t>
  </si>
  <si>
    <t>Manká a škody</t>
  </si>
  <si>
    <t>Dividendy prijaté</t>
  </si>
  <si>
    <t>Rozdelenie zisku/úhrada straty</t>
  </si>
  <si>
    <t>Kapitálové fondy</t>
  </si>
  <si>
    <t>Opravy významných chýb minulých účtovných období</t>
  </si>
  <si>
    <t>Finančný lízing</t>
  </si>
  <si>
    <t>HV z bežnej činnosti pred zdanením</t>
  </si>
  <si>
    <t>Neštandardné úpravy</t>
  </si>
  <si>
    <t>Peňažný tok</t>
  </si>
  <si>
    <t>Zásoby</t>
  </si>
  <si>
    <t>Nerozdelený zisk (výsledný CF musí byť = 0)</t>
  </si>
  <si>
    <t>&lt;&lt;&lt; musí byť = 0</t>
  </si>
  <si>
    <t>Iné údaje</t>
  </si>
  <si>
    <t>v EUR</t>
  </si>
  <si>
    <t>Vyplniť len žlté políčka</t>
  </si>
  <si>
    <t>Daň z príjmov:</t>
  </si>
  <si>
    <t>pohľadávka</t>
  </si>
  <si>
    <t>záväzok</t>
  </si>
  <si>
    <t>341 k 1.1.bežného obdobia (+MD, -Dal)</t>
  </si>
  <si>
    <t>Zaplatené preddavky</t>
  </si>
  <si>
    <t>Vysporiadanie dane z minuleho roku (platba+, prijem-)</t>
  </si>
  <si>
    <t>Zaplatené dodatočné odvody DzP</t>
  </si>
  <si>
    <t>341 k 31.12 bežného obdobia (+MD, -Dal)</t>
  </si>
  <si>
    <t>musi byt 0</t>
  </si>
  <si>
    <t>Zmena dane z príjmov</t>
  </si>
  <si>
    <t>Odložená daň:</t>
  </si>
  <si>
    <t>481 k 1.1.bežného obdobia (+MD, -Dal)</t>
  </si>
  <si>
    <t>Odložená daň (592+594) (+MD, -Dal)</t>
  </si>
  <si>
    <t>481 k 31.12 bežného obdobia (+MD, -Dal)</t>
  </si>
  <si>
    <t>Zmena odloženej dane</t>
  </si>
  <si>
    <t>Odpisy dlhodobého hmotného a nehmotného majetku</t>
  </si>
  <si>
    <t>účet 551</t>
  </si>
  <si>
    <t>Úroky nákladové - prevádzkové a investičné</t>
  </si>
  <si>
    <t>prevádzkové</t>
  </si>
  <si>
    <t>investičné</t>
  </si>
  <si>
    <t>celkom</t>
  </si>
  <si>
    <t>Záväzok z neuhradených úrokov k 1.1.</t>
  </si>
  <si>
    <t>Platené počas roka</t>
  </si>
  <si>
    <t>Náklad bežného roka</t>
  </si>
  <si>
    <t>Záväzok z neuhradených úrokov k 31.12. (časové rozlíšenie)</t>
  </si>
  <si>
    <t>Zmena stavu záväzkov z nákladových úrokov, z toho:</t>
  </si>
  <si>
    <t>kontrola (musí byť rovné nule)</t>
  </si>
  <si>
    <t xml:space="preserve">Úroky výnosové - prevádzkové a investičné </t>
  </si>
  <si>
    <t>- z bankových účtov, termínovaných vkladov, poskytnutých pôžičiek</t>
  </si>
  <si>
    <t>prevádzkové (z krátkod. položiek)</t>
  </si>
  <si>
    <t>investičné (z dlhod. položiek)</t>
  </si>
  <si>
    <t>Pohľadávka z neuhradených úrokov k 1.1.</t>
  </si>
  <si>
    <t>Prijaté počas roka</t>
  </si>
  <si>
    <t>Výnos bežného roka</t>
  </si>
  <si>
    <t>Pohľadávka z neuhradených úrokov k 31.12. (časové rozlíšenie)</t>
  </si>
  <si>
    <t>Zmena stavu pohľadávok z výnosových úrokov, z toho:</t>
  </si>
  <si>
    <t>n/a</t>
  </si>
  <si>
    <t>- z dlhových cenných papierov (CP)</t>
  </si>
  <si>
    <t>Pohľadávka z neuhradených úrokov k 31.12. (analytický účet CP)</t>
  </si>
  <si>
    <t>Zmena analytického účtu dlhových cenných papierov</t>
  </si>
  <si>
    <t>Predaj investícií</t>
  </si>
  <si>
    <t>účet 641</t>
  </si>
  <si>
    <t>účet 541</t>
  </si>
  <si>
    <t>check also acc 066 and 067</t>
  </si>
  <si>
    <t>Zisk /(strata)</t>
  </si>
  <si>
    <t>Nerealizované kurzové zisky a straty (563-663 v jednotlivých riadkoch) (+MD; -Dal)</t>
  </si>
  <si>
    <t>stav 563 - nerealizované (+)</t>
  </si>
  <si>
    <t>stav 663 - nerealizované (+)</t>
  </si>
  <si>
    <t>kontrola (musi byt 0)</t>
  </si>
  <si>
    <t>OP zúčtovaná súvahovo</t>
  </si>
  <si>
    <t>zmena OP účtovaná výsledkovo</t>
  </si>
  <si>
    <t>dlhodobý hmotný majetok</t>
  </si>
  <si>
    <t>dlhodobý nehmotný majetok</t>
  </si>
  <si>
    <t>dlhodobý finančný majetok okrem pôžičiek na účtoch 066 a 067</t>
  </si>
  <si>
    <t>dlhodobý finančný majetok - pôžičky na účtoch 066 a 067</t>
  </si>
  <si>
    <t>krátkodobý finančný majetok</t>
  </si>
  <si>
    <t>zásoby</t>
  </si>
  <si>
    <t>časové rozlíšenie v aktívach</t>
  </si>
  <si>
    <t>Pozn. Do stĺpca "OP zúčtovaná súvahovo" uveďte sumu OP, ktorá sa počas roka zúčtovala oproti zodpovedajúcemu účtu majetku, z dôvodu vyradenia tohto majetku.</t>
  </si>
  <si>
    <t>účet 505</t>
  </si>
  <si>
    <t>účet 547</t>
  </si>
  <si>
    <t>účet 553</t>
  </si>
  <si>
    <t>účet 565</t>
  </si>
  <si>
    <t>peniaze a peňažné ekvivalenty</t>
  </si>
  <si>
    <t>dlhodobý hmotný a nehmotný majetok</t>
  </si>
  <si>
    <t>Celkom účet 543</t>
  </si>
  <si>
    <t>Nepeňažné celkom</t>
  </si>
  <si>
    <t>Odpis pohľadávok (účet 546)</t>
  </si>
  <si>
    <t>dlhodobý finančný majetok</t>
  </si>
  <si>
    <t>Dividendy a iné podiely na zisku - výnosové</t>
  </si>
  <si>
    <t>Pohľadávka k 1.1.</t>
  </si>
  <si>
    <t>Výnos (nárok)</t>
  </si>
  <si>
    <t>Prijaté</t>
  </si>
  <si>
    <t>Pohľadávka k 31.12.</t>
  </si>
  <si>
    <t>Zmena pohľadávky</t>
  </si>
  <si>
    <r>
      <rPr>
        <b/>
        <sz val="10"/>
        <color indexed="10"/>
        <rFont val="Arial"/>
        <family val="2"/>
      </rPr>
      <t>Poznámka:</t>
    </r>
    <r>
      <rPr>
        <sz val="10"/>
        <rFont val="Arial"/>
        <family val="2"/>
      </rPr>
      <t xml:space="preserve"> V</t>
    </r>
    <r>
      <rPr>
        <sz val="10"/>
        <rFont val="Arial"/>
        <family val="2"/>
      </rPr>
      <t xml:space="preserve"> prípade, že nárok na dividendy a iné podiely na zisku nie je účtovaný na účty pohľadávok ale na účty</t>
    </r>
  </si>
  <si>
    <t>časového rozlíšenia, bude sa zmena linkovať do riadku zmeny stavu položiek časového rozlíšenia nákladov a výnosov.</t>
  </si>
  <si>
    <t>Rozdelenie zisku (+) /úhrada straty (-)</t>
  </si>
  <si>
    <t>Zisk/(strata)</t>
  </si>
  <si>
    <t>účet 431 k 1.1.</t>
  </si>
  <si>
    <t>Dividendy vyplatené počas roka</t>
  </si>
  <si>
    <t>Dividendy nevyplatené počas roka</t>
  </si>
  <si>
    <t>Do/z rezervného fondu</t>
  </si>
  <si>
    <t>Na nerozdelený zisk/strata a fondy zo zisku</t>
  </si>
  <si>
    <t>Do sociálneho fondu</t>
  </si>
  <si>
    <t>Vyplatené podiely zamestnancov na zisku</t>
  </si>
  <si>
    <t>Kapitálové fondy (účet 413, 417, 418)</t>
  </si>
  <si>
    <t>Ďalšie kapitálové vklady do vlastného imania (aj dary) prijaté počas roka:</t>
  </si>
  <si>
    <t>Opravy významných chýb minulých období (účtované cez 428/429)</t>
  </si>
  <si>
    <t>Oprava významnej chyby minulých období:</t>
  </si>
  <si>
    <t>Oprava výnosov z hospodárskej činnosti (-)</t>
  </si>
  <si>
    <t>Oprava stavu zásob (+)</t>
  </si>
  <si>
    <t>Oprava odpisov dlhodobého nehmotného a hmotného majetku (+)</t>
  </si>
  <si>
    <t>Oprava nákladov z hospodárskej činnosti okrem opravy stavu zásob a odpisov dlhodobého nehmotného a hmotného majetku (+)</t>
  </si>
  <si>
    <t>Iné opravy významných chýb minulých období - udať charakter opravy</t>
  </si>
  <si>
    <t>Celkom oprava významných chýb na účte 428/429 (+MD; -Dal)</t>
  </si>
  <si>
    <r>
      <rPr>
        <b/>
        <sz val="10"/>
        <color indexed="10"/>
        <rFont val="Arial"/>
        <family val="2"/>
      </rPr>
      <t>Poznámka:</t>
    </r>
    <r>
      <rPr>
        <sz val="10"/>
        <rFont val="Arial"/>
        <family val="2"/>
      </rPr>
      <t xml:space="preserve"> V prípade, že sa iné opravy významných chýb minulých období týkajú peňažných tokov z investičnej alebo finančnej činnosti,</t>
    </r>
  </si>
  <si>
    <t>bude sa zmena linkovať do príslušného riadku v rámci investičnej alebo finančnej činnosti.</t>
  </si>
  <si>
    <t>Závazok z finančného lízingu</t>
  </si>
  <si>
    <t>=&gt; doplnit kladne cisla</t>
  </si>
  <si>
    <t>dlhodobá časť</t>
  </si>
  <si>
    <t>krátkodobá časť</t>
  </si>
  <si>
    <t xml:space="preserve"> - z toho:</t>
  </si>
  <si>
    <t>prírastok záväzkov z nových lízingov</t>
  </si>
  <si>
    <t>=&gt; doplnit kladne cislo, celkovu sumu leasingoveho zavazku pri obstaranii, t.j. prirastok a nie len zostatok na konci roka</t>
  </si>
  <si>
    <t>Neštandardné operácie</t>
  </si>
  <si>
    <t>Podľa povahy treba zaúčtovať do vyznačeného stĺpca aj neštandardné operácie.</t>
  </si>
  <si>
    <t>Napríklad:</t>
  </si>
  <si>
    <t>kapitalizácia dlhov</t>
  </si>
  <si>
    <t>úhrada dlhov hmotným a nehmotným investičným majetkom</t>
  </si>
  <si>
    <t>bezodplatné obstaranie majetku na dlh</t>
  </si>
  <si>
    <t>splatenie upísaných akcií a vkladov:</t>
  </si>
  <si>
    <t xml:space="preserve">   hmotným a nehmotným investičným majetkom (zostatková hodnota)</t>
  </si>
  <si>
    <t xml:space="preserve">   zásobami</t>
  </si>
  <si>
    <t xml:space="preserve">   pohľadávkami</t>
  </si>
  <si>
    <t xml:space="preserve">   finančnými investíciami</t>
  </si>
  <si>
    <t>uviesť ďalšie prípady</t>
  </si>
  <si>
    <t>Treba si uvedomiť, že sa jedná o podvojné zápisy, ktoré musia vždy ovplyvniť dve položky</t>
  </si>
  <si>
    <t>tak, aby bol kontrolný súčet rovný nule.</t>
  </si>
  <si>
    <t>Ende der Periode (TT.MM.JJJJ)</t>
  </si>
  <si>
    <t>T_intangible_assets_1</t>
  </si>
  <si>
    <t>T_intangible_assets_2</t>
  </si>
  <si>
    <t>T_tangible_assets_1</t>
  </si>
  <si>
    <t>T_tangible_assets_2</t>
  </si>
  <si>
    <t>T_debt_securities_held_to_maturity</t>
  </si>
  <si>
    <t>T_construction_contracts_1</t>
  </si>
  <si>
    <t>T_construction_contracts_2</t>
  </si>
  <si>
    <t>T_construction_contracts_3</t>
  </si>
  <si>
    <t>T_construction_contracts_4</t>
  </si>
  <si>
    <t>T_number_of_employees</t>
  </si>
  <si>
    <t>T_insurance_of_assets</t>
  </si>
  <si>
    <t>T_correction_item_to_assets</t>
  </si>
  <si>
    <t>T_assets_under_lien_1</t>
  </si>
  <si>
    <t>T_assets_under_lien_2</t>
  </si>
  <si>
    <t>T_research_and_development</t>
  </si>
  <si>
    <t>T_measurement_equity_method</t>
  </si>
  <si>
    <t>T_securities_for_sale</t>
  </si>
  <si>
    <t>T_fair_value_measurement</t>
  </si>
  <si>
    <t>T_intercompany_loans</t>
  </si>
  <si>
    <t>T_noncurrent_financial_assets_1</t>
  </si>
  <si>
    <t>T_noncurrent_financial_assets_2</t>
  </si>
  <si>
    <t>T_other_noncurrent_financial_assets</t>
  </si>
  <si>
    <t>T_provided_noncurrent_borrowings</t>
  </si>
  <si>
    <t>T_financial_assets_under_lien</t>
  </si>
  <si>
    <t>T_provisions_overview</t>
  </si>
  <si>
    <t>T_real_estate_for_sale</t>
  </si>
  <si>
    <t>T_inventories_under_lien</t>
  </si>
  <si>
    <t>T_receivables_ageing_1</t>
  </si>
  <si>
    <t>T_receivables_ageing_2</t>
  </si>
  <si>
    <t>T_receivables_maturity</t>
  </si>
  <si>
    <t>T_provisions_receivables</t>
  </si>
  <si>
    <t>T_receivables_under_lien</t>
  </si>
  <si>
    <t>T_financial_assets_breakdown_1</t>
  </si>
  <si>
    <t>T_financial_assets_breakdown_2</t>
  </si>
  <si>
    <t>T_provisions_current_financial_assets</t>
  </si>
  <si>
    <t>T_current_financial_assets_under_lien</t>
  </si>
  <si>
    <t>T_fair_value_current_financial_assets</t>
  </si>
  <si>
    <t>T_finance_lease_receivables</t>
  </si>
  <si>
    <t>T_provisions_liabilities_1</t>
  </si>
  <si>
    <t>T_provisions_liabilities_2</t>
  </si>
  <si>
    <t>T_payables_maturity</t>
  </si>
  <si>
    <t>T_deferred_tax</t>
  </si>
  <si>
    <t>T_social_fund_payables</t>
  </si>
  <si>
    <t>T_bonds_issued</t>
  </si>
  <si>
    <t>T_borrowings</t>
  </si>
  <si>
    <t>T_bank_loans</t>
  </si>
  <si>
    <t>T_deferred_expense_accrued_income</t>
  </si>
  <si>
    <t>T_accrued_expense_deferred_income</t>
  </si>
  <si>
    <t>T_derivatives_1</t>
  </si>
  <si>
    <t>T_derivatives_2</t>
  </si>
  <si>
    <t>T_items_hedged_by_derivatives</t>
  </si>
  <si>
    <t>T_obligations_under_finance_lease</t>
  </si>
  <si>
    <t>T_revenues</t>
  </si>
  <si>
    <t>T_net_turnover</t>
  </si>
  <si>
    <t>T_changes_in_inventories</t>
  </si>
  <si>
    <t>T_revenues_other</t>
  </si>
  <si>
    <t>T_costs</t>
  </si>
  <si>
    <t>T_income_tax</t>
  </si>
  <si>
    <t>T_reconciliation_of_income_tax_2</t>
  </si>
  <si>
    <t>T_offbalance_accounts</t>
  </si>
  <si>
    <t>T_contingent_liabilities_1</t>
  </si>
  <si>
    <t>T_contingent_liabilities_2</t>
  </si>
  <si>
    <t>T_contingent_assets</t>
  </si>
  <si>
    <t>T_income_and_benefits_of_members</t>
  </si>
  <si>
    <t>T_related_parties_1</t>
  </si>
  <si>
    <t>T_related_parties_2</t>
  </si>
  <si>
    <t>T_changes_in_equity_1</t>
  </si>
  <si>
    <t>T_changes_in_equity_2</t>
  </si>
  <si>
    <t>T_breakdown_of_cash</t>
  </si>
  <si>
    <t>T_noncurrent_financial_assets_structure</t>
  </si>
  <si>
    <t>Table</t>
  </si>
  <si>
    <t>Row</t>
  </si>
  <si>
    <t>zadaj bez medzier, lomítka, pomĺčky</t>
  </si>
  <si>
    <t>enter without space, slash, dash</t>
  </si>
  <si>
    <t>T_structure_of_shareholders1</t>
  </si>
  <si>
    <t>T_structure_of_shareholders2</t>
  </si>
  <si>
    <t>Doplniť data manuálne</t>
  </si>
  <si>
    <t>Insert data manualy</t>
  </si>
  <si>
    <t>Check input data, summary has to be '0'</t>
  </si>
  <si>
    <t>Skontrolovať údaje, súčet musí byť rovné '0'</t>
  </si>
  <si>
    <t>T_distribution_profit_settlement</t>
  </si>
  <si>
    <t>T_distribution_loss_settlement</t>
  </si>
  <si>
    <t>X</t>
  </si>
  <si>
    <t>Date</t>
  </si>
  <si>
    <t>Translation needed? Mark grenn cells Y/N.</t>
  </si>
  <si>
    <t>Potrebný preklad? Označ zelené bunky Y/N</t>
  </si>
  <si>
    <t>Peňažné toky z prevádzkovej činnosti s výnimkou príjmov a výdavkov, ktoré sa uvádzajú osobitne v iných častiach prehľadu peňažných tokov (+/-), (súčet Z/S+A.1.+A.2.)</t>
  </si>
  <si>
    <t>Zostatok peňažných prostriedkov a peňažných ekvivalentov na konci účtovného obdobia upravený o kurzové rozdiely vyčíslené ku dňu, ku ktorému sa zostavuje účtovná závierka 
(+/-) (súčet D + E + G)</t>
  </si>
  <si>
    <t>UZPODv14_1</t>
  </si>
  <si>
    <t>Príloha č.1 k opatreniu č. 4455/2003-92</t>
  </si>
  <si>
    <t>Príloha č. 1 k opatreniu č. MF/18009/2014-74</t>
  </si>
  <si>
    <t>Úč POD</t>
  </si>
  <si>
    <t>ÚČTOVNÁ ZÁVIERKA</t>
  </si>
  <si>
    <t>podnikateľov v podvojnom účtovníctve</t>
  </si>
  <si>
    <t>zostavená k</t>
  </si>
  <si>
    <t>Číselné údaje sa zarovnávajú vpravo, ostatné údaje sa píšu zľava.  Nevyplnené riadky sa ponechávajú prázdne.</t>
  </si>
  <si>
    <t>Á</t>
  </si>
  <si>
    <t>Ä</t>
  </si>
  <si>
    <t>B</t>
  </si>
  <si>
    <t>Č</t>
  </si>
  <si>
    <t>D</t>
  </si>
  <si>
    <t>É</t>
  </si>
  <si>
    <t>F</t>
  </si>
  <si>
    <t>G</t>
  </si>
  <si>
    <t>H</t>
  </si>
  <si>
    <t>Í</t>
  </si>
  <si>
    <t>J</t>
  </si>
  <si>
    <t>K</t>
  </si>
  <si>
    <t>L</t>
  </si>
  <si>
    <t>M</t>
  </si>
  <si>
    <t>N</t>
  </si>
  <si>
    <t>O</t>
  </si>
  <si>
    <t>P</t>
  </si>
  <si>
    <t>Q</t>
  </si>
  <si>
    <t>R</t>
  </si>
  <si>
    <t>Š</t>
  </si>
  <si>
    <t>T</t>
  </si>
  <si>
    <t>Ú</t>
  </si>
  <si>
    <t>V</t>
  </si>
  <si>
    <t>Ý</t>
  </si>
  <si>
    <t>Ž</t>
  </si>
  <si>
    <t>9</t>
  </si>
  <si>
    <t xml:space="preserve"> Účtovná závierka</t>
  </si>
  <si>
    <t>Účtovná jednotka</t>
  </si>
  <si>
    <t xml:space="preserve">od </t>
  </si>
  <si>
    <t>2</t>
  </si>
  <si>
    <t>0</t>
  </si>
  <si>
    <t xml:space="preserve">  riadna</t>
  </si>
  <si>
    <t xml:space="preserve">  malá</t>
  </si>
  <si>
    <t>Za obdobie</t>
  </si>
  <si>
    <t xml:space="preserve">  mimoriadna</t>
  </si>
  <si>
    <t xml:space="preserve">  veľká</t>
  </si>
  <si>
    <t>Bezprostredne
predchádzajúce
obdobie</t>
  </si>
  <si>
    <t>(vyznačí sa x)</t>
  </si>
  <si>
    <t>Priložené súčasti účtovnej závierky</t>
  </si>
  <si>
    <t>x</t>
  </si>
  <si>
    <t>Súvaha (Úč POD 1-01)</t>
  </si>
  <si>
    <t>Výkaz ziskov a strát (Úč POD 2-01)</t>
  </si>
  <si>
    <t>Poznámky (Úč POD 3-01)</t>
  </si>
  <si>
    <t xml:space="preserve"> Obchodné meno (názov) účtovnej jednotky</t>
  </si>
  <si>
    <t xml:space="preserve"> Sídlo účtovnej jednotky</t>
  </si>
  <si>
    <t>Označenie obchodného registra a číslo zápisu obchodnej spoločnosti</t>
  </si>
  <si>
    <t>Telefónne číslo</t>
  </si>
  <si>
    <t>Faxové číslo</t>
  </si>
  <si>
    <t>Podpisový záznam štatutárneho orgánu účtovnej jednotky alebo člena štatutárneho orgánu účtovnej jednotky alebo podpisový záznam fyzickej osoby, ktorá je účtovnou jednotkou:</t>
  </si>
  <si>
    <t xml:space="preserve"> Zostavená dňa:</t>
  </si>
  <si>
    <t>Záznamy daňového úradu</t>
  </si>
  <si>
    <t>Miesto pre evidenčné číslo</t>
  </si>
  <si>
    <t>Odtlačok prezentačnej pečiatky daňového úradu</t>
  </si>
  <si>
    <t>MF SR č. 18009/2014</t>
  </si>
  <si>
    <t>Strana 1</t>
  </si>
  <si>
    <t>UZPODv14_2</t>
  </si>
  <si>
    <t>DIČ</t>
  </si>
  <si>
    <t>1</t>
  </si>
  <si>
    <t>Netto 2</t>
  </si>
  <si>
    <t xml:space="preserve"> riadku</t>
  </si>
  <si>
    <t>Netto   3</t>
  </si>
  <si>
    <t xml:space="preserve">  </t>
  </si>
  <si>
    <t>A.I.1.,</t>
  </si>
  <si>
    <t>2.</t>
  </si>
  <si>
    <t>3.</t>
  </si>
  <si>
    <t>4.</t>
  </si>
  <si>
    <t>5.</t>
  </si>
  <si>
    <t>6.</t>
  </si>
  <si>
    <t>7.</t>
  </si>
  <si>
    <t>10</t>
  </si>
  <si>
    <t>11</t>
  </si>
  <si>
    <t>12</t>
  </si>
  <si>
    <t>13</t>
  </si>
  <si>
    <t>14</t>
  </si>
  <si>
    <t>Strana 2</t>
  </si>
  <si>
    <t>UZPODv14_3</t>
  </si>
  <si>
    <t>15</t>
  </si>
  <si>
    <t>16</t>
  </si>
  <si>
    <t>17</t>
  </si>
  <si>
    <t>18</t>
  </si>
  <si>
    <t>8.</t>
  </si>
  <si>
    <t>19</t>
  </si>
  <si>
    <t>9.</t>
  </si>
  <si>
    <t>20</t>
  </si>
  <si>
    <t>21</t>
  </si>
  <si>
    <t>22</t>
  </si>
  <si>
    <t xml:space="preserve">     2.</t>
  </si>
  <si>
    <t>23</t>
  </si>
  <si>
    <t>24</t>
  </si>
  <si>
    <t>25</t>
  </si>
  <si>
    <t>26</t>
  </si>
  <si>
    <t>27</t>
  </si>
  <si>
    <t>28</t>
  </si>
  <si>
    <t>Strana 3</t>
  </si>
  <si>
    <t>UZPODv14_4</t>
  </si>
  <si>
    <t>Ozna-
čenie</t>
  </si>
  <si>
    <t>29</t>
  </si>
  <si>
    <t>Účty v bankách s dobou viazanosti dlhšou ako jeden rok (22XA)</t>
  </si>
  <si>
    <t>30</t>
  </si>
  <si>
    <t>10.</t>
  </si>
  <si>
    <t>31</t>
  </si>
  <si>
    <t>11.</t>
  </si>
  <si>
    <t>32</t>
  </si>
  <si>
    <t>33</t>
  </si>
  <si>
    <t>34</t>
  </si>
  <si>
    <t>35</t>
  </si>
  <si>
    <t>36</t>
  </si>
  <si>
    <t>37</t>
  </si>
  <si>
    <t>38</t>
  </si>
  <si>
    <t>39</t>
  </si>
  <si>
    <t>40</t>
  </si>
  <si>
    <t>41</t>
  </si>
  <si>
    <t>B.II.1</t>
  </si>
  <si>
    <t>Pohľadávky z obchodného styku súčet (r. 43 až r. 45)</t>
  </si>
  <si>
    <t>42</t>
  </si>
  <si>
    <t>Strana 4</t>
  </si>
  <si>
    <t>UZPODv14_5</t>
  </si>
  <si>
    <t>1.a.</t>
  </si>
  <si>
    <t>43</t>
  </si>
  <si>
    <t>1.b.</t>
  </si>
  <si>
    <t>44</t>
  </si>
  <si>
    <t>1.c.</t>
  </si>
  <si>
    <t>45</t>
  </si>
  <si>
    <t>46</t>
  </si>
  <si>
    <t>47</t>
  </si>
  <si>
    <t>48</t>
  </si>
  <si>
    <t>49</t>
  </si>
  <si>
    <t>Pohľadávky z derivátových operácií (373A, 376A)</t>
  </si>
  <si>
    <t>50</t>
  </si>
  <si>
    <t>51</t>
  </si>
  <si>
    <t>52</t>
  </si>
  <si>
    <t>53</t>
  </si>
  <si>
    <t>Pohľadávky z obchodného styku súčet (r. 55 až r. 57)</t>
  </si>
  <si>
    <t>54</t>
  </si>
  <si>
    <t>55</t>
  </si>
  <si>
    <t>56</t>
  </si>
  <si>
    <t>Strana 5</t>
  </si>
  <si>
    <t>UZPODv14_6</t>
  </si>
  <si>
    <t>57</t>
  </si>
  <si>
    <t>58</t>
  </si>
  <si>
    <t>59</t>
  </si>
  <si>
    <t>60</t>
  </si>
  <si>
    <t>61</t>
  </si>
  <si>
    <t>62</t>
  </si>
  <si>
    <t>63</t>
  </si>
  <si>
    <t>64</t>
  </si>
  <si>
    <t>65</t>
  </si>
  <si>
    <t>66</t>
  </si>
  <si>
    <t>Krátkodobý finančný majetok v prepojených účtovných jednotkách (251A, 253A, 256A, 257A, 25XA) - /291A, 29XA/</t>
  </si>
  <si>
    <t>67</t>
  </si>
  <si>
    <t>68</t>
  </si>
  <si>
    <t>Vlastné akcie a vlastné obchodné podiely (252)</t>
  </si>
  <si>
    <t>69</t>
  </si>
  <si>
    <t>70</t>
  </si>
  <si>
    <t>Strana 6</t>
  </si>
  <si>
    <t>UZPODv14_7</t>
  </si>
  <si>
    <t>71</t>
  </si>
  <si>
    <t>72</t>
  </si>
  <si>
    <t>73</t>
  </si>
  <si>
    <t xml:space="preserve">C. </t>
  </si>
  <si>
    <t>74</t>
  </si>
  <si>
    <t>75</t>
  </si>
  <si>
    <t>76</t>
  </si>
  <si>
    <t>77</t>
  </si>
  <si>
    <t>78</t>
  </si>
  <si>
    <t>Číslo riadku</t>
  </si>
  <si>
    <t>79</t>
  </si>
  <si>
    <t>80</t>
  </si>
  <si>
    <t>81</t>
  </si>
  <si>
    <t>82</t>
  </si>
  <si>
    <t>83</t>
  </si>
  <si>
    <t>84</t>
  </si>
  <si>
    <t>85</t>
  </si>
  <si>
    <t>86</t>
  </si>
  <si>
    <t>Zákonné rezervné fondy r. 88 + r. 89</t>
  </si>
  <si>
    <t>87</t>
  </si>
  <si>
    <t>Zákonný rezervný fond a nedeliteľný fond (417A, 418, 421A, 422)</t>
  </si>
  <si>
    <t>88</t>
  </si>
  <si>
    <t>Rezervný fond na vlastné akcie a vlastné podiely (417A, 421A)</t>
  </si>
  <si>
    <t>89</t>
  </si>
  <si>
    <t>Strana 7</t>
  </si>
  <si>
    <t>UZPODv14_8</t>
  </si>
  <si>
    <t>90</t>
  </si>
  <si>
    <t>A.V.1.</t>
  </si>
  <si>
    <t>91</t>
  </si>
  <si>
    <t>Ostatné fondy (427, 42X)</t>
  </si>
  <si>
    <t>92</t>
  </si>
  <si>
    <t>A.VI.</t>
  </si>
  <si>
    <t>Oceňovacie rozdiely z precenenia súčet (r. 94 až r. 96)</t>
  </si>
  <si>
    <t>93</t>
  </si>
  <si>
    <t>A.VI.1</t>
  </si>
  <si>
    <t>94</t>
  </si>
  <si>
    <t>95</t>
  </si>
  <si>
    <t>96</t>
  </si>
  <si>
    <t>A.VII.</t>
  </si>
  <si>
    <t>97</t>
  </si>
  <si>
    <t>A.VII.1.</t>
  </si>
  <si>
    <t>98</t>
  </si>
  <si>
    <t>99</t>
  </si>
  <si>
    <t>A.VIII.</t>
  </si>
  <si>
    <t>Záväzky z obchodného styku voči prepojeným účtovným jednotkám (321A, 475A, 476A)</t>
  </si>
  <si>
    <t>Záväzky z obchodného styku v rámci podielovej účasti okrem záväzkov voči prepojeným účtovným jednotkám (321A, 475A, 476A)</t>
  </si>
  <si>
    <t>Ostatné záväzky z obchodného styku (321A, 475A, 476A)</t>
  </si>
  <si>
    <t>Ostatné záväzky voči prepojeným účtovným jednotkám (471A, 47XA)</t>
  </si>
  <si>
    <t>Ostatné záväzky v rámci podielovej účasti okrem záväzkov voči prepojeným účtovným jednotkám (471A, 47XA)</t>
  </si>
  <si>
    <t>Ostatné dlhodobé záväzky (479A, 47XA)</t>
  </si>
  <si>
    <t>12.</t>
  </si>
  <si>
    <t>Strana 8</t>
  </si>
  <si>
    <t>UZPODv14_9</t>
  </si>
  <si>
    <t>Zákonné rezervy (451A)</t>
  </si>
  <si>
    <t>Ostatné rezervy (459A, 45XA)</t>
  </si>
  <si>
    <t>Dlhodobé bankové úvery (461A, 46XA)</t>
  </si>
  <si>
    <t>B.IV.1</t>
  </si>
  <si>
    <t>Záväzky z obchodného styku súčet (r. 124 až r. 126)</t>
  </si>
  <si>
    <t>Záväzky z obchodného styku voči prepojeným účtovným jednotkám (321A, 322A, 324A, 325A, 326A, 32XA, 475A, 476A, 478A, 47XA)</t>
  </si>
  <si>
    <t>Ostatné záväzky z obchodného styku (321A, 322A, 324A, 325A, 326A, 32XA, 475A, 476A, 478A, 47XA)</t>
  </si>
  <si>
    <t>126</t>
  </si>
  <si>
    <t>127</t>
  </si>
  <si>
    <t>Ostatné záväzky voči prepojeným účtovným jednotkám (361A, 36XA, 471A, 47XA)</t>
  </si>
  <si>
    <t>128</t>
  </si>
  <si>
    <t>Ostatné záväzky v rámci podielovej účasti okrem záväzkov voči prepojeným účtovným jednotkám (361A, 36XA, 471A, 47XA)</t>
  </si>
  <si>
    <t>129</t>
  </si>
  <si>
    <t>130</t>
  </si>
  <si>
    <t>131</t>
  </si>
  <si>
    <t>Záväzky zo sociálneho poistenia (336A)</t>
  </si>
  <si>
    <t>132</t>
  </si>
  <si>
    <t>133</t>
  </si>
  <si>
    <t>Záväzky z derivátových operácií (373A, 377A)</t>
  </si>
  <si>
    <t>134</t>
  </si>
  <si>
    <t>135</t>
  </si>
  <si>
    <t>136</t>
  </si>
  <si>
    <t>Zákonné rezervy (323A, 451A)</t>
  </si>
  <si>
    <t>137</t>
  </si>
  <si>
    <t>Ostatné rezervy (323A, 32X, 459A, 45XA)</t>
  </si>
  <si>
    <t>138</t>
  </si>
  <si>
    <t>B.VI.</t>
  </si>
  <si>
    <t>139</t>
  </si>
  <si>
    <t>B.VII.</t>
  </si>
  <si>
    <t>140</t>
  </si>
  <si>
    <t>141</t>
  </si>
  <si>
    <t>142</t>
  </si>
  <si>
    <t>143</t>
  </si>
  <si>
    <t>144</t>
  </si>
  <si>
    <t>145</t>
  </si>
  <si>
    <t>Strana 9</t>
  </si>
  <si>
    <t>UZPODv14_10</t>
  </si>
  <si>
    <t>Text</t>
  </si>
  <si>
    <t>Čistý obrat (časť účt. tr. 6 podľa zákona)</t>
  </si>
  <si>
    <t>Tržby z predaja vlastných výrobkov (601)</t>
  </si>
  <si>
    <t>Tržby z predaja služieb (602, 606)</t>
  </si>
  <si>
    <t>Tržby z predaja dlhodobého nehmotného majetku, dlhodobého hmotného majetku a materiálu (641, 642)</t>
  </si>
  <si>
    <t>Náklady vynaložené na obstaranie predaného tovaru (504, 507)</t>
  </si>
  <si>
    <t>Spotreba materiálu, energie a ostatných neskladovateľných dodávok (501, 502, 503)</t>
  </si>
  <si>
    <t>Opravné položky k zásobám (+/-) (505)</t>
  </si>
  <si>
    <t>Osobné náklady súčet (r. 16 až r. 19)</t>
  </si>
  <si>
    <t>E.1.</t>
  </si>
  <si>
    <t>G.1.</t>
  </si>
  <si>
    <t>Odpisy dlhodobého nehmotného majetku a dlhodobého hmotného majetku (551)</t>
  </si>
  <si>
    <t>Opravné položky k pohľadávkam (+/-) (547)</t>
  </si>
  <si>
    <t>Výsledok hospodárenia z hospodárskej činnosti (+/-) (r. 02 - r. 10)</t>
  </si>
  <si>
    <t>Strana 10</t>
  </si>
  <si>
    <t>UZPODv14_11</t>
  </si>
  <si>
    <t>Pridaná hodnota (r. 03 + r. 04 + r. 05 + r. 06 + r. 07) - (r. 11 + r. 12 + r. 13 + r. 14)</t>
  </si>
  <si>
    <t>IX.1.</t>
  </si>
  <si>
    <t>Výnosy z cenných papierov a podielov od prepojených účtovných jednotiek (665A)</t>
  </si>
  <si>
    <t>Ostatné výnosy z cenných papierov a podielov (665A)</t>
  </si>
  <si>
    <t>X.1.</t>
  </si>
  <si>
    <t>Výnosy z krátkodobého finančného majetku od prepojených účtovných jednotiek (666A)</t>
  </si>
  <si>
    <t>Výnosy z krátkodobého finančného majetku v podielovej účasti okrem výnosov prepojených účtovných jednotiek (666A)</t>
  </si>
  <si>
    <t>Výnosové úroky (r. 40 + r. 41)</t>
  </si>
  <si>
    <t>XI.1.</t>
  </si>
  <si>
    <t>Výnosové úroky od prepojených účtovných jednotiek (662A)</t>
  </si>
  <si>
    <t>Ostatné výnosové úroky (662A)</t>
  </si>
  <si>
    <t>Opravné položky k finančnému majetku (+/-) (565)</t>
  </si>
  <si>
    <t>Nákladové úroky (r. 50 + r. 51)</t>
  </si>
  <si>
    <t>N.1.</t>
  </si>
  <si>
    <t>Nákladové úroky pre prepojené účtovné jednotky (562A)</t>
  </si>
  <si>
    <t>Ostatné nákladové úroky (562A)</t>
  </si>
  <si>
    <t>Q.</t>
  </si>
  <si>
    <t>Strana 11</t>
  </si>
  <si>
    <t>UZPODv14_12</t>
  </si>
  <si>
    <t>****</t>
  </si>
  <si>
    <t>Výsledok hospodárenia za účtovné obdobie pred zdanením (+/-) (r. 27 + r. 55)</t>
  </si>
  <si>
    <t>Daň z príjmov (r. 58 + r. 59)</t>
  </si>
  <si>
    <t>R.1.</t>
  </si>
  <si>
    <t>Daň z príjmov splatná (591, 595)</t>
  </si>
  <si>
    <t>Daň z príjmov odložená (+/-) (592)</t>
  </si>
  <si>
    <t>Strana 12</t>
  </si>
  <si>
    <t>Ostatné realizovateľné cenné papiere a podiely (063A) - 096A</t>
  </si>
  <si>
    <t>Pôžičky prepojeným účtovným jednotkám (066A) - 096A</t>
  </si>
  <si>
    <t>Pôžičky v rámci podielovej účasti okrem prepojeným účtovným jednotkám (066A) - 096A</t>
  </si>
  <si>
    <t>Dlhové cenné papiere a ostatný dlhodobý finančný majetok (065A, 069A, 06XA) - 096A</t>
  </si>
  <si>
    <t>Pôžičky a ostatný dlhodobý finančný majetok so zostatkovou dobou splatnosti najviac jeden rok (066A, 067A, 069A, 06XA) - 096A</t>
  </si>
  <si>
    <t>A.III.9.</t>
  </si>
  <si>
    <t>A.III.10.</t>
  </si>
  <si>
    <t>A.III.11.</t>
  </si>
  <si>
    <t>B.II.1.a.</t>
  </si>
  <si>
    <t>B.II.1.b.</t>
  </si>
  <si>
    <t>B.II.1.c.</t>
  </si>
  <si>
    <t>B.III.1.a.</t>
  </si>
  <si>
    <t>B.III.1.b.</t>
  </si>
  <si>
    <t>B.III.1.c.</t>
  </si>
  <si>
    <t>Krátkodobý finančný majetok súčet (r. 67 až r. 70)</t>
  </si>
  <si>
    <t>Krátkodobý finančný
majetok bez krátkodobého finančného majetku v prepojených účtovných jednotkách (251A, 253A, 256A, 257A, 25XA) - /291A, 29XA/</t>
  </si>
  <si>
    <t>Obstarávaný krátkodobý finančný majetok (259, 314A) - 291A</t>
  </si>
  <si>
    <t>Vlastné imanie (r. 81 + r. 85 + r. 86 + r. 87 + r. 90 + r. 93 + r. 97 + r. 100)</t>
  </si>
  <si>
    <t>Štatutárne fondy (423, 42X)</t>
  </si>
  <si>
    <t>A.V.2.</t>
  </si>
  <si>
    <t>A.VI.1.</t>
  </si>
  <si>
    <t>A.VI.2.</t>
  </si>
  <si>
    <t>A.VI.3.</t>
  </si>
  <si>
    <t>A.VII.2.</t>
  </si>
  <si>
    <t>Výsledok hospodárenia za účtovné obdobie po zdanení /+-/ r. 01 - (r. 81 + r. 85 + r. 86 + r. 87 + r. 90 + r. 93 + r. 97 + r. 101 + r. 141)</t>
  </si>
  <si>
    <t>Záväzky (r. 102 + r. 118 + r. 121 + r. 122 + r. 136 + r. 139 + r. 140)</t>
  </si>
  <si>
    <t>Dlhodobé záväzky súčet (r. 103 + r. 107 až r. 117)</t>
  </si>
  <si>
    <t>Dlhodobé záväzky z obchodného styku súčet (r. 104 až r. 106)</t>
  </si>
  <si>
    <t>B.I.1.a.</t>
  </si>
  <si>
    <t>B.I.1.b.</t>
  </si>
  <si>
    <t>B.I.1.c.</t>
  </si>
  <si>
    <t>B.I.7.</t>
  </si>
  <si>
    <t>B.I.8.</t>
  </si>
  <si>
    <t>B.I.9.</t>
  </si>
  <si>
    <t>B.I.10.</t>
  </si>
  <si>
    <t>Iné dlhodobé záväzky (336A, 372A, 474A, 47XA)</t>
  </si>
  <si>
    <t>B.I.11.</t>
  </si>
  <si>
    <t>Dlhodobé záväzky z derivátových operácií (373A, 377A)</t>
  </si>
  <si>
    <t>B.I.12\.</t>
  </si>
  <si>
    <t>Krátkodobé záväzky súčet (r. 123 + r. 127 až r. 135)</t>
  </si>
  <si>
    <t>B.IV.1.a.</t>
  </si>
  <si>
    <t>B.IV.1.b.</t>
  </si>
  <si>
    <t>Záväzky z obchodného styku v rámci podielovej účasti okrem záväzkov voči prepojeným účtovným jednotkám (321A, 322A, 324A, 325A, 326A, 32XA, 475A, 476A, 478A, 47XA)</t>
  </si>
  <si>
    <t>B.IV.1.c.</t>
  </si>
  <si>
    <t>B.IV.6.</t>
  </si>
  <si>
    <t>B.IV.7.</t>
  </si>
  <si>
    <t>B.IV.8.</t>
  </si>
  <si>
    <t>B.IV.9.</t>
  </si>
  <si>
    <t>B.IV.10.</t>
  </si>
  <si>
    <t>Iné záväzky (372A, 379A, 474A, 475A, 479A, 47XA)</t>
  </si>
  <si>
    <t>Časové rozlíšenie súčet (r. 142 až r. 145)</t>
  </si>
  <si>
    <t>Výnosy z hospodárskej činnosti spolu súčet (r. 03 až r. 09)</t>
  </si>
  <si>
    <t>Náklady na hospodársku činnosť spolu (r. 11 + r. 12 + r. 13 + r.14 + r. 15 + r. 20 + r. 21 + r. 24 + r. 25 + r. 26)</t>
  </si>
  <si>
    <t>E.2.</t>
  </si>
  <si>
    <t>E.3.</t>
  </si>
  <si>
    <t>E.4.</t>
  </si>
  <si>
    <t>Odpisy a opravné položky k dlhodobému nehmotnému majetku a dlhodobému hmotnému majetku (r. 22 + r. 23)</t>
  </si>
  <si>
    <t>G.2.</t>
  </si>
  <si>
    <t>Opravné položky k dlhodobému nehmotnému majetku a dlhodobému hmotnému majetku (+/-) (553)</t>
  </si>
  <si>
    <t>Výnosy z finančnej činnosti spolu (r. 30 + r. 31 + r. 35 + r. 39 + r. 42 + r. 43 + r. 44)</t>
  </si>
  <si>
    <t>Výnosy z dlhodobého finančného majetku súčet (r. 32 až r. 34)</t>
  </si>
  <si>
    <t>IX.2.</t>
  </si>
  <si>
    <t>Výnosy z cenných papierov a podielov v podielovej účasti okrem výnosov prepojených účtovných jednotiek (665A)</t>
  </si>
  <si>
    <t>IX.3.</t>
  </si>
  <si>
    <t>Výnosy z krátkodobého finančného majetku súčet (r. 36 až r. 38)</t>
  </si>
  <si>
    <t>X.2.</t>
  </si>
  <si>
    <t>X.3.</t>
  </si>
  <si>
    <t>Ostatné výnosy z krátkodobého finančného majetku (666A)</t>
  </si>
  <si>
    <t>XI.2.</t>
  </si>
  <si>
    <t>Náklady na finančnú činnosť spolu (r. 46 + r. 47 + r. 48 + r. 49 + r. 52 + r. 53 + r. 54)</t>
  </si>
  <si>
    <t>N.2.</t>
  </si>
  <si>
    <t>Výsledok hospodárenia z finančnej činnosti (+/-) (r. 29 - r. 45)</t>
  </si>
  <si>
    <t>R.2.</t>
  </si>
  <si>
    <t>IS03</t>
  </si>
  <si>
    <t>IS04</t>
  </si>
  <si>
    <t>IS08</t>
  </si>
  <si>
    <t>IS11</t>
  </si>
  <si>
    <t>IS12</t>
  </si>
  <si>
    <t>IS26</t>
  </si>
  <si>
    <t>IS46</t>
  </si>
  <si>
    <t>IS48</t>
  </si>
  <si>
    <t>IS47</t>
  </si>
  <si>
    <t>IS54</t>
  </si>
  <si>
    <t>IS58</t>
  </si>
  <si>
    <t>IS13</t>
  </si>
  <si>
    <t>IS59</t>
  </si>
  <si>
    <t>IS51</t>
  </si>
  <si>
    <t>LIABILITIES</t>
  </si>
  <si>
    <t>BS030</t>
  </si>
  <si>
    <t>BS031</t>
  </si>
  <si>
    <t>BS038</t>
  </si>
  <si>
    <t>BS046</t>
  </si>
  <si>
    <t>BS084</t>
  </si>
  <si>
    <t>BS088</t>
  </si>
  <si>
    <t>BS094</t>
  </si>
  <si>
    <t>BS127</t>
  </si>
  <si>
    <t>BS129</t>
  </si>
  <si>
    <t>BS130</t>
  </si>
  <si>
    <t>BS131</t>
  </si>
  <si>
    <t>BS133</t>
  </si>
  <si>
    <t>BS134</t>
  </si>
  <si>
    <t>BS135</t>
  </si>
  <si>
    <t>BS137</t>
  </si>
  <si>
    <t>BS138</t>
  </si>
  <si>
    <t>BS139</t>
  </si>
  <si>
    <t>BS140</t>
  </si>
  <si>
    <t>BS142</t>
  </si>
  <si>
    <t>BS143</t>
  </si>
  <si>
    <t>BS144</t>
  </si>
  <si>
    <t>BS145</t>
  </si>
  <si>
    <t>BS089</t>
  </si>
  <si>
    <t>321c</t>
  </si>
  <si>
    <t>475c</t>
  </si>
  <si>
    <t>476a</t>
  </si>
  <si>
    <t>476b</t>
  </si>
  <si>
    <t>476c</t>
  </si>
  <si>
    <t>476d</t>
  </si>
  <si>
    <t>BS106</t>
  </si>
  <si>
    <t>475d</t>
  </si>
  <si>
    <t>475e</t>
  </si>
  <si>
    <t>321d</t>
  </si>
  <si>
    <t>321e</t>
  </si>
  <si>
    <t>475f</t>
  </si>
  <si>
    <t>BS121</t>
  </si>
  <si>
    <t>321f</t>
  </si>
  <si>
    <t>BS126</t>
  </si>
  <si>
    <t>322a</t>
  </si>
  <si>
    <t>322b</t>
  </si>
  <si>
    <t>322c</t>
  </si>
  <si>
    <t>324a</t>
  </si>
  <si>
    <t>324b</t>
  </si>
  <si>
    <t>325c</t>
  </si>
  <si>
    <t>324c</t>
  </si>
  <si>
    <t>325a</t>
  </si>
  <si>
    <t>325b</t>
  </si>
  <si>
    <t>Other payables - other</t>
  </si>
  <si>
    <t>326a</t>
  </si>
  <si>
    <t>326b</t>
  </si>
  <si>
    <t>326c</t>
  </si>
  <si>
    <t>475g</t>
  </si>
  <si>
    <t>475h</t>
  </si>
  <si>
    <t>476e</t>
  </si>
  <si>
    <t>476f</t>
  </si>
  <si>
    <t>478d</t>
  </si>
  <si>
    <t>347a</t>
  </si>
  <si>
    <t>347b</t>
  </si>
  <si>
    <t>Other long-term payables</t>
  </si>
  <si>
    <t>BS055</t>
  </si>
  <si>
    <t>BS061</t>
  </si>
  <si>
    <t>BS073</t>
  </si>
  <si>
    <t>096h</t>
  </si>
  <si>
    <t>096i</t>
  </si>
  <si>
    <t>Spolu majetok (r. 02 + r. 33 + r. 74)</t>
  </si>
  <si>
    <t>Neobežný majetok (r. 03 + r. 11 + r. 21)</t>
  </si>
  <si>
    <t>Dlhodobý nehmotný majetok súčet (r. 04 až r. 10)</t>
  </si>
  <si>
    <t>Dlhodobý hmotný majetok súčet (r. 12 až r. 20)</t>
  </si>
  <si>
    <t>Dlhodobý finančný majetok súčet (r. 22 až r. 32)</t>
  </si>
  <si>
    <t>Zásoby súčet (r. 35 až r. 40)</t>
  </si>
  <si>
    <t>Dlhodobé pohľadávky súčet (r. 42 + r. 46 až r. 52)</t>
  </si>
  <si>
    <t>Krátkodobé pohľadávky súčet (r. 54 + r. 58 až r. 65)</t>
  </si>
  <si>
    <t>Časové rozlíšenie súčet (r. 75 až r. 78)</t>
  </si>
  <si>
    <t>Základné imanie súčet (r. 82 až r. 84)</t>
  </si>
  <si>
    <t>311c</t>
  </si>
  <si>
    <t>312c</t>
  </si>
  <si>
    <t>313c</t>
  </si>
  <si>
    <t>BS048</t>
  </si>
  <si>
    <t>BS056</t>
  </si>
  <si>
    <t>BS057</t>
  </si>
  <si>
    <t>BS068</t>
  </si>
  <si>
    <t>Bank accounts - asset/debit - short term</t>
  </si>
  <si>
    <t>Bank accounts - asset/debit - long term</t>
  </si>
  <si>
    <t>Legal reserve fund and non-distributable fund</t>
  </si>
  <si>
    <t>Reserve fund for treasury stock and treasury shares</t>
  </si>
  <si>
    <t>BS132</t>
  </si>
  <si>
    <t>Net turnover (a portion of Accounting Class 6 under the Act)</t>
  </si>
  <si>
    <t>Total operating revenues (l. 03 to l. 09)</t>
  </si>
  <si>
    <t>Revenues from the sale of merchandise (604, 607)</t>
  </si>
  <si>
    <t>Revenues from the sale of own products (601)</t>
  </si>
  <si>
    <t>Revenues from the sale of services (602, 606)</t>
  </si>
  <si>
    <t>Changes in inventories (+/- Accounting Group 61)</t>
  </si>
  <si>
    <t>Own work capitalised (Accounting Group 62)</t>
  </si>
  <si>
    <t>Revenues from the sale of non-current intangible assets, non-current tangible assets and raw materials (641, 642)</t>
  </si>
  <si>
    <t>Other operating revenues (644, 645, 646, 648, 655, 657)</t>
  </si>
  <si>
    <t>Total operating expenses (l. 11 + l. 12 + l. 13 + l. 14 + l. 15 + l. 20 + l. 21 + l. 24 + l. 25 + l. 26)</t>
  </si>
  <si>
    <t>Costs of the acquisition of merchandise sold (504, 507)</t>
  </si>
  <si>
    <t>Consumed raw materials, energy and other non-inventory supplies (501, 502, 503)</t>
  </si>
  <si>
    <t>Provisions for inventories (+/-) (505)</t>
  </si>
  <si>
    <t>Services (Accounting Group 51)</t>
  </si>
  <si>
    <t>Total personnel expenses (l. 16 to l. 19)</t>
  </si>
  <si>
    <t>Wages and salaries (521, 522)</t>
  </si>
  <si>
    <t>Social insurance expenses (524, 525, 526)</t>
  </si>
  <si>
    <t>Social expenses (527, 528)</t>
  </si>
  <si>
    <t>Taxes and fees (Accounting Group 53)</t>
  </si>
  <si>
    <t>Amortisation and depreciation, and provisions for non-current intangible and non-current tangible assets (l. 22 + l. 23)</t>
  </si>
  <si>
    <t>Amortisation and depreciation of non-current intangible and non-current tangible assets (551)</t>
  </si>
  <si>
    <t>Provisions for non-current intangible and non-current tangible assets (+/-) (553)</t>
  </si>
  <si>
    <t>Net book value of non-current assets and raw materials sold (541, 542)</t>
  </si>
  <si>
    <t>Provisions for receivables (+/-) (547)</t>
  </si>
  <si>
    <t>Other operating expenses (543, 544, 545, 546,548, 549, 555, 557)</t>
  </si>
  <si>
    <t>Operating profit or loss (+/-) (l. 02 - l. 10)</t>
  </si>
  <si>
    <t>Added value (l. 03 + l. 04 + l. 05 + l. 06 + l. 07) - (l. 11 + l. 12 + l. 13 + l. 14)</t>
  </si>
  <si>
    <t>Total revenues from financing activities (l. 30 + l. 31 + l. 35 + l. 39 + l. 42 + l. 43 + l. 44)</t>
  </si>
  <si>
    <t>Revenues from the sale of securities and ownership interests (661)</t>
  </si>
  <si>
    <t>Total revenues from non-current financial assets (l. 32 to l. 34)</t>
  </si>
  <si>
    <t>Other revenues from securities and ownership interests (665A)</t>
  </si>
  <si>
    <t xml:space="preserve">Total revenues from current financial assets (l. 36 to l. 38) </t>
  </si>
  <si>
    <t>Other revenues from current financial assets (666A)</t>
  </si>
  <si>
    <t>Interest income (l. 40 + l. 41)</t>
  </si>
  <si>
    <t>Other interest income (662A)</t>
  </si>
  <si>
    <t>Foreign exchange gains (663)</t>
  </si>
  <si>
    <t>Gains on revaluation of securities and revenues from derivative transactions (664, 667)</t>
  </si>
  <si>
    <t>Other revenues from financing activities (668)</t>
  </si>
  <si>
    <t>Total costs of financing activities (l. 46 + l. 47 + l. 48 + l. 49 + l. 52 + l. 52 + l. 53 + l. 54)</t>
  </si>
  <si>
    <t>Securities and ownership interests sold (561)</t>
  </si>
  <si>
    <t>Expenses related to current financial assets (566)</t>
  </si>
  <si>
    <t>Provisions for financial assets (+/-) (565)</t>
  </si>
  <si>
    <t>Interest expense (l. 50 + l. 51)</t>
  </si>
  <si>
    <t>Other interest expense (562A)</t>
  </si>
  <si>
    <t>Foreign exchange losses (563)</t>
  </si>
  <si>
    <t>Expenses for revaluation of securities and expenses related to derivative transactions (564, 567)</t>
  </si>
  <si>
    <t>Other costs of financing activities (568, 569)</t>
  </si>
  <si>
    <t>Profit/loss from financing activities (+/-) (l. 29 - l. 45)</t>
  </si>
  <si>
    <t>Profit/loss for the reporting period before taxation (+/-) (l. 27 + l. 55)</t>
  </si>
  <si>
    <t>Income tax (l. 58 + l. 59)</t>
  </si>
  <si>
    <t>Current income tax (591, 595)</t>
  </si>
  <si>
    <t>Deferred income tax (+/-) (592)</t>
  </si>
  <si>
    <t>Total assets (l. 02 + l. 33 + l. 74)</t>
  </si>
  <si>
    <t>Non-current assets  (l. 03 + l. 11 + l. 21)</t>
  </si>
  <si>
    <t>Total non-current intangible assets (l. 04 to l. 10)</t>
  </si>
  <si>
    <t>Capitalised development costs (012) - /072, 091A/</t>
  </si>
  <si>
    <t>Software (013) - /073, 091A/</t>
  </si>
  <si>
    <t>Valuable rights (014) - /074, 091A/</t>
  </si>
  <si>
    <t>Other non-current intangible assets (019, 01X) - /079, 07X, 091A/</t>
  </si>
  <si>
    <t>Non-current intangible assets in acquisition (041) - 093</t>
  </si>
  <si>
    <t>Total non-current tangible assets (l. 012 tol. 020)</t>
  </si>
  <si>
    <t>Land (031) - 092A</t>
  </si>
  <si>
    <t>Structures  (021) - /081, 092A/</t>
  </si>
  <si>
    <t>Separate movable assets and sets of movables (022) - /082, 092A/</t>
  </si>
  <si>
    <t>Perennial crops (025) - /085, 092A/</t>
  </si>
  <si>
    <t>Livestock and draught animals (026) - /086, 092A/</t>
  </si>
  <si>
    <t>Other non-current tangible assets (029, 02X, 032) - /089, 08X, 092A/</t>
  </si>
  <si>
    <t>Non-current tangible assets in acquisition (042) - 094</t>
  </si>
  <si>
    <t>Correction item to acquired assets (+/- 097) +/- 098</t>
  </si>
  <si>
    <t>Total non-current financial assets (l. 22 to l. 32)</t>
  </si>
  <si>
    <t>Other held-for-sale securities and ownership interests (063A) - /096A/</t>
  </si>
  <si>
    <t>Debt securities and other non-current financial assets (065A, 069A, 06XA) - /096A/</t>
  </si>
  <si>
    <t>Loans and other non-current financial assets with remaining maturity of up to one year (066A, 067A, 069A, 06XA) - /096A/</t>
  </si>
  <si>
    <t>Bank accounts bound for period exceeding one year (22XA)</t>
  </si>
  <si>
    <t>Total inventory (l. 35 to  l. 40)</t>
  </si>
  <si>
    <t>Raw materials (112, 119, 11X) - /191, 19X/</t>
  </si>
  <si>
    <t>Work-in-progress and semi-finished goods  (121, 122, 12X) - /192, 193, 19X/</t>
  </si>
  <si>
    <t>Finished goods (123) - 194</t>
  </si>
  <si>
    <t>Livestock (124) - 195</t>
  </si>
  <si>
    <t>Merchandise (132, 133, 13X, 139) - /196, 19X/</t>
  </si>
  <si>
    <t>Total non-current receivables (l. 42 + l. 46 to l. 52)</t>
  </si>
  <si>
    <t>Total trade receivables (l. 43 to l. 45)</t>
  </si>
  <si>
    <t>Other trade receivables (311A, 312A, 313A, 314A, 315A, 31XA) - /391A/</t>
  </si>
  <si>
    <t>Receivables from derivative transactions  (373A, 376A)</t>
  </si>
  <si>
    <t>Other receivables (335A, 336A, 33XA, 371A, 374A, 375A, 378A) - /391A/</t>
  </si>
  <si>
    <t>Deferred tax asset (481A)</t>
  </si>
  <si>
    <t>Total trade receivables (l. 55 to l. 57)</t>
  </si>
  <si>
    <t>Receivables from partners, members and participants in an association  (354A, 355A, 358A, 35XA, 398A) - /391A/</t>
  </si>
  <si>
    <t>Social security insurance (336A) - /391A/</t>
  </si>
  <si>
    <t>Tax assets and subsidies /341, 342, 343, 345, 346, 347) - /391A/</t>
  </si>
  <si>
    <t xml:space="preserve">Receivables from derivative transactions  (373A, 376A) </t>
  </si>
  <si>
    <t>Other receivables (335A, 33XA, 371A, 374A, 375A, 378A) - /391A/</t>
  </si>
  <si>
    <t>Total current financial assets (l. 67 to l. 70)</t>
  </si>
  <si>
    <t>Treasury stock and treasury shares (252)</t>
  </si>
  <si>
    <t>Current financial assets in acquisition (259, 314A) - /291A/</t>
  </si>
  <si>
    <t>Financial accounts l. 72 + l. 73</t>
  </si>
  <si>
    <t>Cash on hand (211, 213, 21X)</t>
  </si>
  <si>
    <t>Bank accounts (221A, 22X, +/- 261)</t>
  </si>
  <si>
    <t>Total accruals and deferrals (l. 75 to l. 78)</t>
  </si>
  <si>
    <t>Non-current deferred expenses (381A, 382A)</t>
  </si>
  <si>
    <t>Current deferred expenses (381A, 382A)</t>
  </si>
  <si>
    <t>Non-current accrued income (385A)</t>
  </si>
  <si>
    <t>Current accrued income (385A)</t>
  </si>
  <si>
    <t xml:space="preserve">Equity l. 80 + l. 85 + l. 86 + l. 87 + l. 90 + l. 93 + l. 97 + l. 100 </t>
  </si>
  <si>
    <t>Total registered capital  (l. 82 to l. 84)</t>
  </si>
  <si>
    <t>Registered capital (411 or +/- 491)</t>
  </si>
  <si>
    <t>Changes in the registered capital  +/- 419</t>
  </si>
  <si>
    <t>Receivables for subscribed capital (/-/353)</t>
  </si>
  <si>
    <t>Share premium (412)</t>
  </si>
  <si>
    <t>Other capital funds (413)</t>
  </si>
  <si>
    <t>Legal reserve funds l. 88 + l. 89</t>
  </si>
  <si>
    <t>Legal reserve fund and non-distributable fund (417A, 418, 421A, 422)</t>
  </si>
  <si>
    <t>Reserve fund for treasury stock and treasury shares (417A, 421A)</t>
  </si>
  <si>
    <t>Other funds from profit l. 91 + l. 92</t>
  </si>
  <si>
    <t>Statutory funds (427, 42X)</t>
  </si>
  <si>
    <t>Other funds (427, 42X)</t>
  </si>
  <si>
    <t>Total revaluation reserves (l. 94 to l. 96)</t>
  </si>
  <si>
    <t>Asset and liability revaluation reserve (+/- 414)</t>
  </si>
  <si>
    <t>Financial investments revaluation reserve  (+/- 415)</t>
  </si>
  <si>
    <t>Revaluation reserve from fusions, mergers and separations  (+/- 416)</t>
  </si>
  <si>
    <t>Profit/loss from previous years l. 98 + l. 99</t>
  </si>
  <si>
    <t>Retained earnings from previous years (428)</t>
  </si>
  <si>
    <t>Accumulated losses from previous years (/-/429)</t>
  </si>
  <si>
    <t>Total non-current liabilities (l. 103 + l. 107 to l. 117)</t>
  </si>
  <si>
    <t>Other trade payables (321A, 475A, 476A)</t>
  </si>
  <si>
    <t>Other long-term payables (479A, 47XA)</t>
  </si>
  <si>
    <t>Long-term advance payments received (475A)</t>
  </si>
  <si>
    <t>Long-term bills of exchange to be paid (478A)</t>
  </si>
  <si>
    <t>Bonds issued (473A/-/255A)</t>
  </si>
  <si>
    <t>Social fund payables (472)</t>
  </si>
  <si>
    <t>Long-term payables from  derivative transactions  (373A, 377A)</t>
  </si>
  <si>
    <t>Deferred tax liability (481A)</t>
  </si>
  <si>
    <t>Long-term provisions for liabilities l. 119 + l. 120</t>
  </si>
  <si>
    <t>Legal provisions for liabilities (451A)</t>
  </si>
  <si>
    <t>Other provisions for liabilities (459A, 45XA)</t>
  </si>
  <si>
    <t>Long-term bank loans (461A, 46XA)</t>
  </si>
  <si>
    <t>Total current liabilities (l. 123 + l. 127 to l. 135)</t>
  </si>
  <si>
    <t>Total trade payables (l. 124 to l. 126)</t>
  </si>
  <si>
    <t>Other trade payables (321A, 322A, 324A, 325A, 326A, 32XA, 475A, 476A, 478A, 47XA)</t>
  </si>
  <si>
    <t>Payables to partners and participants in an association (364, 365, 366, 367, 368, 398A, 478A, 479A)</t>
  </si>
  <si>
    <t>Payables to employees (331, 333, 33X, 479A)</t>
  </si>
  <si>
    <t>Social security insurance payables (336A)</t>
  </si>
  <si>
    <t>Tax liabilities and subsidies  (341, 342, 343, 345, 346, 347, 34X)</t>
  </si>
  <si>
    <t>Payables from derivative transactions (373A, 377A)</t>
  </si>
  <si>
    <t>Other payables (372A, 379A, 474A, 475A, 479A, 47XA)</t>
  </si>
  <si>
    <t>Short-term provisions for liabilities l. 137 + l. 138</t>
  </si>
  <si>
    <t>Legal provisions for liabilities (323A, 451A)</t>
  </si>
  <si>
    <t>Other provisions for liabilities (323A, 32X, 459A, 45XA)</t>
  </si>
  <si>
    <t>Current bank loans  (221A, 231, 232, 23X, 461A, 46XA)</t>
  </si>
  <si>
    <t>Total accruals and deferrals (l. 142 to l. 145)</t>
  </si>
  <si>
    <t>Non-current accrued expenses (383A)</t>
  </si>
  <si>
    <t>Current accrued expenses (383A)</t>
  </si>
  <si>
    <t>Non-current deferred income (384A)</t>
  </si>
  <si>
    <t>Current deferred income (384A)</t>
  </si>
  <si>
    <t>TOTAL EQUITY AND LIABILITIES  l. 80 + l. 101 + l. 141</t>
  </si>
  <si>
    <t xml:space="preserve"> Ordinary</t>
  </si>
  <si>
    <t xml:space="preserve">  Extraordinary</t>
  </si>
  <si>
    <t>FINANCIAL STATEMENTS</t>
  </si>
  <si>
    <t>Annex No.1 do Decree No. 4455/2003-92</t>
  </si>
  <si>
    <t>of Enterprises in the Double-Entry Bookkeeping System)</t>
  </si>
  <si>
    <t>Prepared as at</t>
  </si>
  <si>
    <t>Figures are rounded on the right, other data are written from the left. Unfilled lines remain blank.</t>
  </si>
  <si>
    <t>Data are filled in using block letters (as shown below) by a typewriter or a printer machine in black or dark blue.</t>
  </si>
  <si>
    <t xml:space="preserve">Identification No. </t>
  </si>
  <si>
    <t xml:space="preserve"> Financial Statements</t>
  </si>
  <si>
    <t>Reporting Entity</t>
  </si>
  <si>
    <t>Immediately-Preceding Period</t>
  </si>
  <si>
    <t xml:space="preserve">Accompanying Parts of Finacial Statements </t>
  </si>
  <si>
    <t>Balance Sheet (Úč POD 1-01)</t>
  </si>
  <si>
    <t>(in whole Euros)</t>
  </si>
  <si>
    <t>Income Statement (Úč POD 2-01)</t>
  </si>
  <si>
    <t>Notes (Úč POD 3-01)</t>
  </si>
  <si>
    <t xml:space="preserve">Business Name (Name) of the Reporting Entity </t>
  </si>
  <si>
    <t xml:space="preserve"> Seat of the Reporting Entity</t>
  </si>
  <si>
    <t xml:space="preserve">Commercial Register and Number of Entry of the Company </t>
  </si>
  <si>
    <t xml:space="preserve"> Records of the Tax Authority</t>
  </si>
  <si>
    <t>Place for Registration Number</t>
  </si>
  <si>
    <t xml:space="preserve">Presentation Stamp of the Tax Authority </t>
  </si>
  <si>
    <t>Page 1</t>
  </si>
  <si>
    <t xml:space="preserve">Cover FS </t>
  </si>
  <si>
    <t>Annex No. 1 to Decree No. MF/18009/2014-74</t>
  </si>
  <si>
    <t>Údaje sa vypĺňajú paličkovým písmom (podľa tohto vzoru), písacím strojom alebo tlačiarňou, a to čiernou alebo tmavomodrou farbou.</t>
  </si>
  <si>
    <t>(marked with x)</t>
  </si>
  <si>
    <t>=Index!C1137</t>
  </si>
  <si>
    <t>=Index!C1138</t>
  </si>
  <si>
    <t>Immediately-Preceding Reporting Period</t>
  </si>
  <si>
    <t>Gross - Part 1</t>
  </si>
  <si>
    <t>Brutto - časť 1</t>
  </si>
  <si>
    <t>Net 2</t>
  </si>
  <si>
    <t>Correction - Part 2</t>
  </si>
  <si>
    <t>Korekcia - časť 2</t>
  </si>
  <si>
    <t>Net   3</t>
  </si>
  <si>
    <t>Page 2</t>
  </si>
  <si>
    <t>Page 3</t>
  </si>
  <si>
    <t>Page 4</t>
  </si>
  <si>
    <t>Page 5</t>
  </si>
  <si>
    <t>Page 6</t>
  </si>
  <si>
    <t>Page 7</t>
  </si>
  <si>
    <t>Page 8</t>
  </si>
  <si>
    <t>Page 9</t>
  </si>
  <si>
    <t>Page 10</t>
  </si>
  <si>
    <t>Page 11</t>
  </si>
  <si>
    <t>Page 12</t>
  </si>
  <si>
    <t>Income Statement Úč POD 2 - 01</t>
  </si>
  <si>
    <t>EQUITY AND LIABILITIES</t>
  </si>
  <si>
    <t>Day</t>
  </si>
  <si>
    <t>Deň</t>
  </si>
  <si>
    <t>Link Gross CY</t>
  </si>
  <si>
    <t>Link Correction CY</t>
  </si>
  <si>
    <t>Link Gross PY</t>
  </si>
  <si>
    <t>251a</t>
  </si>
  <si>
    <t>251b</t>
  </si>
  <si>
    <t>253a</t>
  </si>
  <si>
    <t>253b</t>
  </si>
  <si>
    <t>256a</t>
  </si>
  <si>
    <t>256b</t>
  </si>
  <si>
    <t>257a</t>
  </si>
  <si>
    <t>257b</t>
  </si>
  <si>
    <t>311d</t>
  </si>
  <si>
    <t>311e</t>
  </si>
  <si>
    <t>311f</t>
  </si>
  <si>
    <t>312d</t>
  </si>
  <si>
    <t>312e</t>
  </si>
  <si>
    <t>312f</t>
  </si>
  <si>
    <t>313d</t>
  </si>
  <si>
    <t>313e</t>
  </si>
  <si>
    <t>313f</t>
  </si>
  <si>
    <t>314d</t>
  </si>
  <si>
    <t>314e</t>
  </si>
  <si>
    <t>314f</t>
  </si>
  <si>
    <t>314g</t>
  </si>
  <si>
    <t>314h</t>
  </si>
  <si>
    <t>315c</t>
  </si>
  <si>
    <t>315d</t>
  </si>
  <si>
    <t>315e</t>
  </si>
  <si>
    <t>315f</t>
  </si>
  <si>
    <t>336c</t>
  </si>
  <si>
    <t>391f</t>
  </si>
  <si>
    <t>391l</t>
  </si>
  <si>
    <t>391n</t>
  </si>
  <si>
    <t>417a</t>
  </si>
  <si>
    <t>417b</t>
  </si>
  <si>
    <t>421a</t>
  </si>
  <si>
    <t>421b</t>
  </si>
  <si>
    <t>Receivables from leases - long-term</t>
  </si>
  <si>
    <t>Changes in registered capital</t>
  </si>
  <si>
    <t>Long-term advance payments received</t>
  </si>
  <si>
    <t>Representation expenses</t>
  </si>
  <si>
    <t>Revenues from sale of securities and ownership interests</t>
  </si>
  <si>
    <t>Link Correction PY</t>
  </si>
  <si>
    <t>TB TARGET GROUPING</t>
  </si>
  <si>
    <t>Other non-current intangible fixed assets</t>
  </si>
  <si>
    <t>Other non-current tangible fixed assets</t>
  </si>
  <si>
    <t>Non-current financial assets in acquisition</t>
  </si>
  <si>
    <t>Advance payments for non-current intangible fixed assets</t>
  </si>
  <si>
    <t>Advance payments for non-current tangible fixed assets</t>
  </si>
  <si>
    <t>Advance payments for non-current financial assets</t>
  </si>
  <si>
    <t>062a</t>
  </si>
  <si>
    <t>Shares and ownership interests in associates - group companies</t>
  </si>
  <si>
    <t>062b</t>
  </si>
  <si>
    <t>Shares and ownership interests in associates - participating interest except for group companies</t>
  </si>
  <si>
    <t>063a</t>
  </si>
  <si>
    <t>Available-for-sale securities and ownership interests - group companies</t>
  </si>
  <si>
    <t>063b</t>
  </si>
  <si>
    <t>Available-for-sale securities and ownership interests</t>
  </si>
  <si>
    <t>066a</t>
  </si>
  <si>
    <t>Loans to an entity within a participating interest - group companies - long-term</t>
  </si>
  <si>
    <t>066b</t>
  </si>
  <si>
    <t>Loans to an entity within a part. int. - participating int. except for group companies - long-term</t>
  </si>
  <si>
    <t>066c</t>
  </si>
  <si>
    <t>Loans to an entity within a participating interest - short-term</t>
  </si>
  <si>
    <t>Other non-current financial assets - long-term</t>
  </si>
  <si>
    <t>Other non-current financial assets - short-term</t>
  </si>
  <si>
    <t>Accum. depreciation - other non-current tangible fixed assets</t>
  </si>
  <si>
    <t>Provision to non-current intangible assets - development costs</t>
  </si>
  <si>
    <t>Provision to non-current intangible assets - software</t>
  </si>
  <si>
    <t>Provision to non-current intangible assets - valuable rights</t>
  </si>
  <si>
    <t>Provision to non-current intangible assets - goodwill</t>
  </si>
  <si>
    <t>Provision to non-current intangible assets - other intangible fixed assets</t>
  </si>
  <si>
    <t>Provision to non-current tangible assets - land</t>
  </si>
  <si>
    <t>Provision to non-current tangible assets  - structures</t>
  </si>
  <si>
    <t>Provision to non-current tangible assets - separate moveable assets and sets of moveables</t>
  </si>
  <si>
    <t>Provision to non-current tangible assets - natural agricultural assets</t>
  </si>
  <si>
    <t>Provision to non-current tangible assets - livestock and draught animals</t>
  </si>
  <si>
    <t>Provision to non-current tangible assets - other tangible fixed assets</t>
  </si>
  <si>
    <t>Provision to non-current financial assets - for shares and ownership in group companies</t>
  </si>
  <si>
    <t>Provision to non-current financial assets - participating interest except for group companies</t>
  </si>
  <si>
    <t>Provision to non-current financial assets - other held-for-sale securities and ownership interests</t>
  </si>
  <si>
    <t>Provision to non-current financial assets - loans to entities within part. int. - group comp.</t>
  </si>
  <si>
    <t>Provision to non-current financial assets - loans to entities within part. int. except for group com</t>
  </si>
  <si>
    <t>Provision to non-current financial assets - other loans</t>
  </si>
  <si>
    <t>Provision to non-current financial assets  - debt securities and other non - current fin. assets</t>
  </si>
  <si>
    <t>Provision to non-current financial assets - loans and other non - current financial assets ST</t>
  </si>
  <si>
    <t>Provision to non-current financial assets  in acquisition</t>
  </si>
  <si>
    <t>Shares and securities held for trading - group companies - short term</t>
  </si>
  <si>
    <t>Shares and securities held for trading - except for group companies - short term</t>
  </si>
  <si>
    <t>Debt securities held for trading - group companies - short term</t>
  </si>
  <si>
    <t>Debt securities held for trading - except for group companies - short term</t>
  </si>
  <si>
    <t>Debentures with maturity less than one year held to maturity - group companies - short term</t>
  </si>
  <si>
    <t>Debentures with maturity less than one year held to maturity - except for group comp.- short term</t>
  </si>
  <si>
    <t>Other available-for-sale securities - group companies - short term</t>
  </si>
  <si>
    <t>Other available-for-sale securities - except for group companies - short term</t>
  </si>
  <si>
    <t>Provision to short-term financial assets - in group companies</t>
  </si>
  <si>
    <t>Provision to short-term financial assets - except for group companies</t>
  </si>
  <si>
    <t>291c</t>
  </si>
  <si>
    <t>Provision to short-term financial assets - financial assets in acquisition</t>
  </si>
  <si>
    <t>Trade receivables - in group companies - long term</t>
  </si>
  <si>
    <t>Trade receivables - within participating interest except for group companies - long term</t>
  </si>
  <si>
    <t>Trade receivables - other - long term</t>
  </si>
  <si>
    <t>Trade receivables - in group companies - short term</t>
  </si>
  <si>
    <t>Trade receivables - within participating interest except for group companies - short term</t>
  </si>
  <si>
    <t>Trade receivables - other - short term</t>
  </si>
  <si>
    <t>Bills of exchange to be collected - in group companies - long term</t>
  </si>
  <si>
    <t>Bills of exchange to be collected - within part. interest except for group companies - long term</t>
  </si>
  <si>
    <t>Bills of exchange to be collected - other - long term</t>
  </si>
  <si>
    <t>Bills of exchange to be collected - in group companies - short term</t>
  </si>
  <si>
    <t>Bills of exchange to be collected - within part. interest except for group companies - short term</t>
  </si>
  <si>
    <t>Bills of exchange to be collected - other - short term</t>
  </si>
  <si>
    <t>Receivables from discounted securities - in group companies - long term</t>
  </si>
  <si>
    <t>Receivables from discounted securities - within part. interest except for group comp. - long term</t>
  </si>
  <si>
    <t>Receivables from discounted securities - other - long term</t>
  </si>
  <si>
    <t>Receivables from discounted securities - in group companies - short term</t>
  </si>
  <si>
    <t>Receivables from discounted securities - within part. interest except for group comp. - short term</t>
  </si>
  <si>
    <t>Receivables from discounted securities - other - short term</t>
  </si>
  <si>
    <t>Advance payments made - in group companies - long term</t>
  </si>
  <si>
    <t>Advance payments made - within part. interest except for group companies - long term</t>
  </si>
  <si>
    <t>Advance payments made - other - long term</t>
  </si>
  <si>
    <t>Advance payments made - in group companies - shor term</t>
  </si>
  <si>
    <t>Advance payments made - within part. interest except for group companies - short term</t>
  </si>
  <si>
    <t>Advance payments made - other - short term</t>
  </si>
  <si>
    <t>Advance payments made - current financial assets in acquisition</t>
  </si>
  <si>
    <t>Other receivables - group companies - long term</t>
  </si>
  <si>
    <t>Other receivables - within part. interest except for group companies - long term</t>
  </si>
  <si>
    <t>Other receivables - other - long term</t>
  </si>
  <si>
    <t>Other receivables - group companies - short term</t>
  </si>
  <si>
    <t>Other receivables - within part. interest except for group companies - short term</t>
  </si>
  <si>
    <t>Other receivables - other - short term</t>
  </si>
  <si>
    <t>Net value of construction contracts - liability - long term</t>
  </si>
  <si>
    <t>Trade payables - group companies - long term</t>
  </si>
  <si>
    <t>Trade payables - within part. interest except for group companies - long term</t>
  </si>
  <si>
    <t>Trade payables - other - long term</t>
  </si>
  <si>
    <t>Trade payables - group companies - short term</t>
  </si>
  <si>
    <t>Trade payables - within part. interest except for group companies - short term</t>
  </si>
  <si>
    <t>Trade payables - other - short term</t>
  </si>
  <si>
    <t>Bills of exchange to be paid - group companies - short term</t>
  </si>
  <si>
    <t>Bills of exchange to be paid - within part. interest except for group companies - short term</t>
  </si>
  <si>
    <t>Bills of exchange to be paid - other - short term</t>
  </si>
  <si>
    <t>Legal provisions - short term</t>
  </si>
  <si>
    <t>Other provisions - short term</t>
  </si>
  <si>
    <t>Advance payments received - group companies - short term</t>
  </si>
  <si>
    <t>Advance payments received - within part. interest except for group companies - short term</t>
  </si>
  <si>
    <t>Advance payments received - other - short term</t>
  </si>
  <si>
    <t>Other payables - group companies</t>
  </si>
  <si>
    <t>Other payables - within part. interest except for group companies</t>
  </si>
  <si>
    <t>Unbilled deliveries - group companies</t>
  </si>
  <si>
    <t>Unbilled deliveries - within part. interest except for group companies</t>
  </si>
  <si>
    <t>Unbilled deliveries - other</t>
  </si>
  <si>
    <t>Due from social security institutions - receivable/debit - short term</t>
  </si>
  <si>
    <t>Due to social security institutions - payable/credit - long term</t>
  </si>
  <si>
    <t>Due to social security institutions - payable/credit - short term</t>
  </si>
  <si>
    <t>336d</t>
  </si>
  <si>
    <t>Due from social security institutions - receivable/debit - long term</t>
  </si>
  <si>
    <t>Other subsidies - receivable/debit</t>
  </si>
  <si>
    <t>Other subsidies - payable/credit</t>
  </si>
  <si>
    <t>Receivables within a part. interest - group companies - long term</t>
  </si>
  <si>
    <t>Receivables within a part. interest - within part. interest except for group companies - long term</t>
  </si>
  <si>
    <t>Receivables within a part. interest - group companies - short term</t>
  </si>
  <si>
    <t>351d</t>
  </si>
  <si>
    <t>Receivables within a part. interest - within part. interest except for group companies - short term</t>
  </si>
  <si>
    <t>Receivables for subscribed capital</t>
  </si>
  <si>
    <t>Receivables from partners and members to cover losses - long-term</t>
  </si>
  <si>
    <t>361a</t>
  </si>
  <si>
    <t>Payables within a participating interest - short term</t>
  </si>
  <si>
    <t>361b</t>
  </si>
  <si>
    <t>Payables within a participating interest - except for payables to group companies - short term</t>
  </si>
  <si>
    <t>Profit share payable to partners and members</t>
  </si>
  <si>
    <t>Payable to participants in an association</t>
  </si>
  <si>
    <t>Payables from purchase of company - long-term</t>
  </si>
  <si>
    <t>Receivables from issued bonds - long-term</t>
  </si>
  <si>
    <t>Receivables from issued bonds - short-term</t>
  </si>
  <si>
    <t>Other receivables - short-term</t>
  </si>
  <si>
    <t>Other payables - short term</t>
  </si>
  <si>
    <t>Complex deferred expenses - short term</t>
  </si>
  <si>
    <t>Deferred income - short term</t>
  </si>
  <si>
    <t>Provision to receivables - trade receivables from group companies - long term</t>
  </si>
  <si>
    <t>Provision to receivables - other receivables from group companies - long term</t>
  </si>
  <si>
    <t>Provision to receivables - trade within part. int. except for group companies - long term</t>
  </si>
  <si>
    <t>Provision to receivables - other within part. int. except for group companies - long term</t>
  </si>
  <si>
    <t>Provision to receivables - trade receivables from group companies - short term</t>
  </si>
  <si>
    <t>Provision to receivables - within part. int. except for group companies - short term</t>
  </si>
  <si>
    <t>Provision to receivables - partners, members and participants in an association - long term</t>
  </si>
  <si>
    <t>Provision to receivables - advance payments for inventory - short term</t>
  </si>
  <si>
    <t>Provision to receivables - other trade receivables - short term</t>
  </si>
  <si>
    <t>Provision to receivables - other receivables from group companies - short term</t>
  </si>
  <si>
    <t>Provision to receivables - other within part. interest except for group companies - short term</t>
  </si>
  <si>
    <t>Provision to receivables - partners, members and participants in an association - short term</t>
  </si>
  <si>
    <t>Provision to receivables - social security insurance - short term</t>
  </si>
  <si>
    <t>391o</t>
  </si>
  <si>
    <t>Provision to receivables - tax assets and subsidies - short term</t>
  </si>
  <si>
    <t>391p</t>
  </si>
  <si>
    <t>Provision to receivables - other receivables - short term</t>
  </si>
  <si>
    <t>Other long-term provisions - long term portion</t>
  </si>
  <si>
    <t>Long-term payables within a part. int. - except for group companies - short term portion</t>
  </si>
  <si>
    <t>Long-term payables within a part. int. - except for group companies - long term portion</t>
  </si>
  <si>
    <t>471c</t>
  </si>
  <si>
    <t>Long-term payables within a part. int. - group companies - long term portion</t>
  </si>
  <si>
    <t>471d</t>
  </si>
  <si>
    <t>Long-term payables within a part. int. - group companies - short term portion</t>
  </si>
  <si>
    <t>Payables from leases - long-term</t>
  </si>
  <si>
    <t>Long-term advance payments received - other - short term</t>
  </si>
  <si>
    <t>Long-term advance payments received - group companies - long term</t>
  </si>
  <si>
    <t>Long-term advance payments received - within part. interest except for group companies - long term</t>
  </si>
  <si>
    <t>Long-term advance payments received - other - long term</t>
  </si>
  <si>
    <t>Long-term advance payments received - group companies - short term portion</t>
  </si>
  <si>
    <t>Long-term advance payments received - within part. int. except for group comp. - short term portion</t>
  </si>
  <si>
    <t>Long-term unbilled deliveries - group companies - long term</t>
  </si>
  <si>
    <t>Long-term unbilled deliveries - within part. interest except for group companies - long term</t>
  </si>
  <si>
    <t>Long-term unbilled deliveries - other - long term</t>
  </si>
  <si>
    <t>Long-term unbilled deliveries - group companies - short term</t>
  </si>
  <si>
    <t>Long-term unbilled deliveries - within part. interest except for group companies - short term</t>
  </si>
  <si>
    <t>Long-term unbilled deliveries - other - short term</t>
  </si>
  <si>
    <t>Bills of exchange to be paid - long-term</t>
  </si>
  <si>
    <t>BS112</t>
  </si>
  <si>
    <t>Bills of exchange to be paid - partners, association - short term</t>
  </si>
  <si>
    <t>478e</t>
  </si>
  <si>
    <t>Other long-term payables - partners, association - short term</t>
  </si>
  <si>
    <t>Other long-term payables - employees - short term</t>
  </si>
  <si>
    <t>Other long-term payables - other - short term</t>
  </si>
  <si>
    <t>505x</t>
  </si>
  <si>
    <t xml:space="preserve">Additions and reversals of provision for inventory </t>
  </si>
  <si>
    <t xml:space="preserve">Sold real estate property </t>
  </si>
  <si>
    <t>562a</t>
  </si>
  <si>
    <t>Interest expense - group companies</t>
  </si>
  <si>
    <t>562b</t>
  </si>
  <si>
    <t>Interest expense - other</t>
  </si>
  <si>
    <t>Additions to and reversals of provisions for financial assets</t>
  </si>
  <si>
    <t>662a</t>
  </si>
  <si>
    <t>Interest income - group companies</t>
  </si>
  <si>
    <t>662b</t>
  </si>
  <si>
    <t>Interest income - other</t>
  </si>
  <si>
    <t>665a</t>
  </si>
  <si>
    <t>Revenues from long-term financial assets - group companies - long term fin. assets</t>
  </si>
  <si>
    <t>665b</t>
  </si>
  <si>
    <t>Revenues from long-term financial assets - within part. interest except for group companies</t>
  </si>
  <si>
    <t>Revenues from long-term financial assets - other</t>
  </si>
  <si>
    <t>666a</t>
  </si>
  <si>
    <t>Other revenues from current financial assets - group companies</t>
  </si>
  <si>
    <t>666b</t>
  </si>
  <si>
    <t>Other revenues from current financial assets - within part. interest except for group interest</t>
  </si>
  <si>
    <t>666c</t>
  </si>
  <si>
    <t xml:space="preserve">Other revenues from current financial assets - other </t>
  </si>
  <si>
    <t>Aktiva gesamt (Zl. 02 + Zl. 33 + Zl. 74)</t>
  </si>
  <si>
    <t>Anlagevermögen (Zl. 03 + Zl. 11 + Zl. 21)</t>
  </si>
  <si>
    <t>Immaterielles Anlagevermögen gesamt (Zl. 04 bis Zl. 10)</t>
  </si>
  <si>
    <t>Aktivierte Entwicklungskosten (012) - /072, 091A/</t>
  </si>
  <si>
    <t>Bewertbare Rechte (014) - /074, 091A/</t>
  </si>
  <si>
    <t>Sonstiges immaterielles Anlagevermögen (019, 01X) - /079, 07X, 091A/</t>
  </si>
  <si>
    <t>Anschaffung von immateriellem Anlagevermögen (041) - 093</t>
  </si>
  <si>
    <t>Poskytnuté preddavky na dlhodobý nehmotný majetok (051) - /095A/</t>
  </si>
  <si>
    <t>Advance payments for non-current intangible assets (051) - /095A/</t>
  </si>
  <si>
    <t>Geleistete Anzahlungen für immaterielles Anlagevermögen (051) - /095A/</t>
  </si>
  <si>
    <t>Materielles Anlagevermögen gesamt (Zl. 12 bis Zl. 20)</t>
  </si>
  <si>
    <t>Grundstücke (031) - 092A</t>
  </si>
  <si>
    <t>Bauten (021) - /081, 092A)</t>
  </si>
  <si>
    <t>Selbständige bewegliche Vermögensgegenstände und Gruppen von beweglichen Vermögensgegenständen (022) - /082, 092A/</t>
  </si>
  <si>
    <t>Außenanlagen (025) - /085, 092A/</t>
  </si>
  <si>
    <t>Viehbestand und Zuchttiere (026) - /086, 092A/</t>
  </si>
  <si>
    <t>Sonstiges materielles Anlagevermögen (029, 02X, 032) - /089, 08X, 092A/</t>
  </si>
  <si>
    <t>Anschaffung von materiellem Anlagevermögen (042) - 094</t>
  </si>
  <si>
    <t>Poskytnuté preddavky na dlhodobý hmotný majetok (052) - /095A/</t>
  </si>
  <si>
    <t>Advance payments for non-current tangible assets (052) - /095A/</t>
  </si>
  <si>
    <t>Geleistete Anzahlungen für materielles Anlagevermögen (052) - 095A</t>
  </si>
  <si>
    <t>Wertberichtigung zum angeschafften Anlagevermögen (+/- 097) +/- 098</t>
  </si>
  <si>
    <t>Finanzanlagen gesamt (Zl. 22 bis Zl. 32)</t>
  </si>
  <si>
    <t>Podielové cenné papiere a podiely v prepojených účtovných jednotkách (061A, 062A, 063A) - /096A/</t>
  </si>
  <si>
    <t>Shares and ownership interests in group companies (061A, 062A, 063A) - /096A/</t>
  </si>
  <si>
    <t>Beteiligungswertpapiere und Anteile an verbundenen Unternehmen (061A, 062A, 063A) - /096A/</t>
  </si>
  <si>
    <t>Podielové cenné papiere a podiely s podielovou účasťou okrem v prepojených účtovných jednotkách (062) - /096A/</t>
  </si>
  <si>
    <t>Shares and ownership interests with a participating interest except for group companies (062A) - /096A/</t>
  </si>
  <si>
    <t>Beteiligungswertpapiere und Anteile mit einer Beteiligung mit der Ausnahme von Beteiligungen an verbundenen Unternehmen (062A) - /096A/</t>
  </si>
  <si>
    <t>Sonstige realisierbare Wertpapiere und Anteile (063A) - 096A</t>
  </si>
  <si>
    <t>Loans to group companies (066A) - /096A/</t>
  </si>
  <si>
    <t>Darlehen an verbundene Unternehmen (066A) - /096A/</t>
  </si>
  <si>
    <t>Loans within a participating interest except to group companies  (066A) - /096A/</t>
  </si>
  <si>
    <t>Darlehen im Bezug auf Beteiligungen mit der Ausnahme von Darlehen an verbundene Unternehmen (066A) - /096A/</t>
  </si>
  <si>
    <t>Ostatné pôžičky (067A) - /096A/</t>
  </si>
  <si>
    <t>Other loans (067A) - /096A/</t>
  </si>
  <si>
    <t>Sonstige Darlehen (067A) - /096A/</t>
  </si>
  <si>
    <t>Schuldverschreibungen und sonstige Finanzanlagen (065A, 069A, 06XA) - /096A/</t>
  </si>
  <si>
    <t>Darlehen und sonstige Finanzanlagen mit Restfälligkeit bis zu einem Jahr (066A, 067A, 069A, 06XA) - 096A</t>
  </si>
  <si>
    <t>Bankkonten mit Bindungsfrist von über einem Jahr (22XA)</t>
  </si>
  <si>
    <t>Obstarávaný dlhodobý finančný majetok (043) - /096A/</t>
  </si>
  <si>
    <t>Non-current financial assets in acquisition (043) - /096A/</t>
  </si>
  <si>
    <t>Anschaffung von Finanzanlagen (043) - /096A/</t>
  </si>
  <si>
    <t>Poskytnuté preddavky na dlhodobý finančný majetok (053) - /095A/</t>
  </si>
  <si>
    <t>Advance payments for non-current financial assets (053) - /095A/</t>
  </si>
  <si>
    <t>Geleistete Anzahlungen an Finanzanlagen (053) - 095A</t>
  </si>
  <si>
    <t>Obežný majetok (r. 34 + r. 41 + r. 53 + r. 66 + r. 71)</t>
  </si>
  <si>
    <t>Current assets (l. 34 + l. 41 + l. 53 + l. 66 + l. 71)</t>
  </si>
  <si>
    <t>Umlaufvermögen (Zl. 34 + Zl. 41 + Zl. 53 + Zl. 66 + Zl. 71)</t>
  </si>
  <si>
    <t>Vorräte gesamt (Zl. 35 bis Zl. 40)</t>
  </si>
  <si>
    <t>Material (112, 119, 11X) - /191, 19X/</t>
  </si>
  <si>
    <t>Unfertige Produkte und Halbfabrikate (121, 122, 12X) - /192, 193, 19X/</t>
  </si>
  <si>
    <t>Produkte (123) - 194</t>
  </si>
  <si>
    <t>Tiere (124) - 195</t>
  </si>
  <si>
    <t>Waren (132, 133, 13X, 139) - /196, 19X/</t>
  </si>
  <si>
    <t>Poskytnuté preddavky na zásoby (314A) - /391A/</t>
  </si>
  <si>
    <t>Advance payments for inventory (314A) - /391A/</t>
  </si>
  <si>
    <t>Geleistete Anzahlungen auf Vorräte (314A) - /391A/</t>
  </si>
  <si>
    <t>Langfristige Forderungen gesamt (Zl. 42 + Zl. 46 bis Zl. 52)</t>
  </si>
  <si>
    <t>Forderungen aus Lieferungen und Leistungen gesamt (Zl. 43 bis Zl. 45)</t>
  </si>
  <si>
    <t>Pohľadávky z obchodného styku voči prepojeným účtovným jednotkám (311A, 312A, 313A, 314A, 315A, 31XA) - /391A/</t>
  </si>
  <si>
    <t>Trade receivables from group companies  (311A, 312A, 313A, 314A, 315A, 31XA) - /391A/</t>
  </si>
  <si>
    <t>Forderungen aus Lieferungen und Leistungen gegenüber verbundenen Unternehmen (311A, 312A, 313A, 314A, 315A, 31XA) - /391A/</t>
  </si>
  <si>
    <t>Pohľadávky z obchodného styku v rámci podielovej účasti okrem pohľadávok voči prepojeným účtovným jednotkám (311A, 312A, 313A, 314A, 315A, 31XA) - /391A/</t>
  </si>
  <si>
    <t>Trade receivables within a participating interest except for receivables from group companies (311A,312A,313A, 314A, 315A, 31XA) - /391A/</t>
  </si>
  <si>
    <t>Forderungen aus Lieferungen und Leistungen im Bezug auf Beteiligungen mit der Ausnahme von Forderungen gegenüber verbundenen Unternehmen (311A,312A,313A, 314A, 315A, 31XA) - /391A/</t>
  </si>
  <si>
    <t>Ostatné pohľadávky z obchodného styku (311A, 312A, 313A, 314A, 315A, 31XA) - /391A/</t>
  </si>
  <si>
    <t>Sonstige Forderungen aus Lieferungen und Leistungen (311A, 312A, 313A, 314A, 315A, 31XA) - /391A/</t>
  </si>
  <si>
    <t>Netto-Auftragswert (316A)</t>
  </si>
  <si>
    <t>Ostatné pohľadávky voči prepojeným účtovným jednotkám (351A) - /391A/</t>
  </si>
  <si>
    <t>Other receivables from group companies (351A) - /391A/</t>
  </si>
  <si>
    <t>Sonstige Forderungen gegenüber verbundenen Unternehmen (351A) - /391A/</t>
  </si>
  <si>
    <t>Ostatné pohľadávky v rámci podielovej účasti okrem pohľadávok voči prepojeným účtovným jednotkám (351A) - /391A/</t>
  </si>
  <si>
    <t>Other receivables within a participating interest except for receivables from group companies (351A) - /391A/</t>
  </si>
  <si>
    <t>Sonstige Forderungen im Bezug auf Beteiligungen mit der Ausnahme von Forderungen gegenüber verbundenen Unternehmen (351A) - /391A/</t>
  </si>
  <si>
    <t>Pohľadávky voči spoločníkom, členom a združeniu (354A, 355A, 358A, 35XA) - /391A/</t>
  </si>
  <si>
    <t>Receivables from partners, members and participants in an association (354A, 355A, 358A, 35XA) - /391A/</t>
  </si>
  <si>
    <t>Forderungen gegenüber Gesellschaftern, Mitgliedern von Gemeinschaften und Vereinen (354A, 355A, 358A, 35XA) - /391A/</t>
  </si>
  <si>
    <t>Forderungen aus Derivaten (373A, 376A)</t>
  </si>
  <si>
    <t>Iné pohľadávky (335A, 336A, 33XA, 371A, 374A, 375A, 378A) - /391A/</t>
  </si>
  <si>
    <t>Sonstige Forderungen (335A, 336A, 33XA, 371A, 374A, 375A, 378A) - /391A/</t>
  </si>
  <si>
    <t>Latente Steuerforderung (481A)</t>
  </si>
  <si>
    <t>Total current receivables (l. 54 + l. 58 to l. 65)</t>
  </si>
  <si>
    <t>Kurzfristige Forderungen gesamt (Zl. 54 + Zl. 58 bis Zl. 65)</t>
  </si>
  <si>
    <t>Forderungen aus Lieferungen und Leistungen gesamt (Zl. 55 bis Zl. 57)</t>
  </si>
  <si>
    <t>Trade receivables within a participating interest except for receivables from group companies (311A, 312A, 313A, 314A, 315A, 31XA) - /391A/</t>
  </si>
  <si>
    <t>Other receivables from group companies  (351A) - /391A/</t>
  </si>
  <si>
    <t>Pohľadávky voči spoločníkom, členom a združeniu (354A, 355A, 358A, 35XA, 398A) - /391A/</t>
  </si>
  <si>
    <t>Forderungen gegenüber Gesellschaftern, Mitgliedern von Gemeinschaften und Vereinen (354A, 355A, 358A, 35XA, 398A) - /391A/</t>
  </si>
  <si>
    <t>Sociálne poistenie (336) - /391A/</t>
  </si>
  <si>
    <t>Sozialversicherung (336A) - /391A/</t>
  </si>
  <si>
    <t>Daňové pohľadávky a dotácie (341, 342, 343, 345 346, 347) - /391A/</t>
  </si>
  <si>
    <t>Steuerforderungen und Zuschüsse (341, 342, 343, 345, 346, 347) - /391A/</t>
  </si>
  <si>
    <t>Iné pohľadávky (335A, 33XA, 371A, 374A, 375A, 378A) - /391A/</t>
  </si>
  <si>
    <t>Sonstige Forderungen (335A, 33XA, 371A, 374A, 375A, 378A) - /391A/</t>
  </si>
  <si>
    <t>Kurzfristiges Finanzvermögen gesamt (Zl. 67 bis Zl. 70)</t>
  </si>
  <si>
    <t>Current financial assets in group companies (251A, 253A, 256A, 257A, 25XA) - /291A, 29XA/</t>
  </si>
  <si>
    <t>Kurzfristiges Finanzvermögen in verbundenen Unternehmen (251A, 253A, 256A, 257A, 25XA) - /291A, 29XA/</t>
  </si>
  <si>
    <t>Current financial assets excluding current financial assets in group companies (251A, 253A, 256A, 257A, 25XA) - /291A, 29XA/</t>
  </si>
  <si>
    <t xml:space="preserve">Kurzfristiges Finanzvermögen mit der Ausnahme von kurzfristigem Finanzvermögen in verbundenen Unternehmen (251A, 253A, 256A, 257A, 25XA) - /291A, 29XA/
</t>
  </si>
  <si>
    <t>Eigene Aktien und eigene Geschäftsanteile (252)</t>
  </si>
  <si>
    <t>Anschaffung von kurzfristigem Finanzvermögen (259, 314A) - 291A</t>
  </si>
  <si>
    <t>Finančné účty súčet r. 72 až r. 73</t>
  </si>
  <si>
    <t>Finanzkonten gesamt (Zl. 72 bis Zl. 73)</t>
  </si>
  <si>
    <t>Kasse (211, 213, 21X)</t>
  </si>
  <si>
    <t>Bankkonten (221A, 22X +/-261)</t>
  </si>
  <si>
    <t>Rechnungsabgrenzungsposten gesamt (Zl. 75 bis Zl. 78)</t>
  </si>
  <si>
    <t>Langfristige Aufwendungen künftiger Perioden (381A, 382A)</t>
  </si>
  <si>
    <t>Kurzfristige Aufwendungen künftiger Perioden (381A, 382A)</t>
  </si>
  <si>
    <t>Langfristige Einnahmen künftiger Perioden (385A)</t>
  </si>
  <si>
    <t>Kurzfristige Einnahmen künftiger Perioden (385A)</t>
  </si>
  <si>
    <t>Spolu vlastné imanie a záväzky r. 80 + r. 101 + r. 141</t>
  </si>
  <si>
    <t>Eigenkapital und Verbindlichkeiten gesamt Zl. 80 + Zl. 101 + Zl. 141</t>
  </si>
  <si>
    <t>Eigenkapital (Zl. 81 + Zl. 85 + Zl. 86 + Zl. 87 + Zl. 90 + Zl. 93 + Zl. 97 + Zl. 100)</t>
  </si>
  <si>
    <t>Stammkapital gesamt (Zl. 82 bis Zl. 84)</t>
  </si>
  <si>
    <t>Stammkapital (411 oder +/- 491)</t>
  </si>
  <si>
    <t>Änderungen im Stammkapital +/- 419</t>
  </si>
  <si>
    <t>Forderungen aus ausstehenden Einlagen auf das Eigenkapital (/-/353)</t>
  </si>
  <si>
    <t>Emissionsagio (412)</t>
  </si>
  <si>
    <t>Sonstige Kapitalrücklagen (413)</t>
  </si>
  <si>
    <t>Gesetzliche Rücklage Zl. 88 + Zl. 89</t>
  </si>
  <si>
    <t>Gesetzliche Rücklage und unteilbare Rücklage (417A, 418, 421A, 422)</t>
  </si>
  <si>
    <t>Rücklage für eigene Aktien und eigene Geschäftsanteile (417A, 421A)</t>
  </si>
  <si>
    <t>Ostatné fondy zo zisku r. 91 + r. 92</t>
  </si>
  <si>
    <t>Sonstige Gewinnrücklagen Zl. 91 + Zl. 92</t>
  </si>
  <si>
    <t>Satzungsmäßige Rücklagen (423, 42X)</t>
  </si>
  <si>
    <t>Sonstige Rücklagen (427, 42X)</t>
  </si>
  <si>
    <t>Bewertungsdifferenzen gesamt (Zl. 94 bis Zl. 96)</t>
  </si>
  <si>
    <t>Bewertungsdifferenzen aus der Neubewertung von Anlagevermögen und Verbindlichkeiten (+/- 414)</t>
  </si>
  <si>
    <t>Bewertungsdifferenzen aus Kapitalbeteiligungen (+/- 415)</t>
  </si>
  <si>
    <t>Bewertungsdifferenzen aus Neubewertung bei Fusion, Verschmelzung und Spaltung (+/- 416)</t>
  </si>
  <si>
    <t>Výsledok hospodárenia minulých rokov r. 98 + r. 99</t>
  </si>
  <si>
    <t>Gewinn-/Verlustvortrag Zl. 98 + Zl. 99</t>
  </si>
  <si>
    <t>Gewinnvortrag der Vorjahre (428)</t>
  </si>
  <si>
    <t>Verlustvortrag der Vorjahre (/-/429)</t>
  </si>
  <si>
    <t>Profit/loss for the current reporting period after taxation /+-/ l. 01 - (l. 81 + l. 85 + l.  86 + l. 87 + l. 90 + l. 93 + l. 97 + l. 101 + l. 141)</t>
  </si>
  <si>
    <t>Ergebnis für die Buchungsperiode nach Steuern /+-/ Zl. 01 - (l. 81 + l. 85 + l. 86 + l. 87 + l. 90 + l. 93 + l. 97 + l. 101 + l. 141)</t>
  </si>
  <si>
    <t>Liabilities l. 102 + l. 118 + l. 121 + l. 122 + l. 136 + l. 139 + l. 140</t>
  </si>
  <si>
    <t>Verbindlichkeiten (Zl. 102 + Zl. 118 + Zl. 121 + Zl. 122 + Zl. 136 + Zl. 139 + Zl. 140)</t>
  </si>
  <si>
    <t>Langfristige Verbindlichkeiten gesamt (Zl. 103 + Zl. 107 bis Zl. 117)</t>
  </si>
  <si>
    <t>Total long-term trade payables (l. 104 to l. 106)</t>
  </si>
  <si>
    <t>Langfristige Verbindlichkeiten aus Lieferungen und Leistungen gesamt (Zl. 104 bis Zl. 106)</t>
  </si>
  <si>
    <t>Trade payables to group companies (321A, 475A, 476A)</t>
  </si>
  <si>
    <t>Verbindlichkeiten aus Lieferungen und Leistungen gegenüber verbundenen Unternehmen (321A, 475A, 476A)</t>
  </si>
  <si>
    <t>Trade payables within a participating interest except for payables to group companies (321A, 475A, 476A)</t>
  </si>
  <si>
    <t>Verbindlichkeiten aus Lieferungen und Leistungen im Bezug auf Beteiligungen mit der Ausnahme von Verbindlichkeiten gegenüber verbundenen Unternehmen (321A, 475A, 476A)</t>
  </si>
  <si>
    <t>Sonstige Verbindlichkeiten aus Lieferungen und Leistungen (321A, 475A, 476A)</t>
  </si>
  <si>
    <t>Other payables to group companies (471A, 47XA)</t>
  </si>
  <si>
    <t>Sonstige Verbindlichkeiten gegenüber verbundenen Unternehmen (471A, 47XA)</t>
  </si>
  <si>
    <t>Other payables within a participating interest except for payables to group companies (471A, 47XA)</t>
  </si>
  <si>
    <t>Sonstige Verbindlichkeiten im Bezug auf Beteiligungen mit der Ausnahme von Verbindlichkeiten gegenüber verbundenen Unternehmen (471A, 47XA)</t>
  </si>
  <si>
    <t>Sonstige langfristige Verbindlichkeiten (479A, 47XA)</t>
  </si>
  <si>
    <t>Langfristige erhaltene Anzahlungen (475A)</t>
  </si>
  <si>
    <t>Langfristige Wechselverbindlichkeiten (478A)</t>
  </si>
  <si>
    <t>Ausgegebene Schuldverschreibungen (473A/-/255A)</t>
  </si>
  <si>
    <t>Verbindlichkeiten aus der Sozialrücklage (472)</t>
  </si>
  <si>
    <t>Other non-current payables (336A, 372A, 474A, 47XA)</t>
  </si>
  <si>
    <t>Sonstige langfristige Verbindlichkeiten (336A, 372A, 474A, 47XA)</t>
  </si>
  <si>
    <t>Langfristige Verbindlichkeiten aus Derivatgeschäften (373A, 377A)</t>
  </si>
  <si>
    <t>Latente Steuerverbindlichkeit (481A)</t>
  </si>
  <si>
    <t>Dlhodobé rezervy r. 119 + r. 120</t>
  </si>
  <si>
    <t>Langfristige Rückstellungen Zl. 119 + Zl. 120</t>
  </si>
  <si>
    <t>Gesetzliche Rückstellungen (451A)</t>
  </si>
  <si>
    <t>Sonstige Rückstellungen (459A, 45XA)</t>
  </si>
  <si>
    <t>Langfristige Bankkredite (461A, 46XA)</t>
  </si>
  <si>
    <t>Kurzfristige Verbindlichkeiten gesamt (Zl. 123 + Zl. 127 bis Zl. 135)</t>
  </si>
  <si>
    <t>Verbindlichkeiten aus Lieferungen und Leistungen gesamt (Zl. 124 bis Zl. 126)</t>
  </si>
  <si>
    <t>Trade payables to group companies (321A, 322A, 324A, 325A, 326A, 32XA, 475A, 476A, 478A, 47XA)</t>
  </si>
  <si>
    <t>Verbindlichkeiten aus Lieferungen und Leistungen gegenüber verbundenen Unternehmen (321A, 322A, 324A, 325A, 326A, 32XA, 475A, 476A, 478A, 47XA)</t>
  </si>
  <si>
    <t>Trade payables within a participating interest except for payables to group companies (321A, 322A, 324A, 325A, 32XA, 475A, 476A, 478A, 47XA)</t>
  </si>
  <si>
    <t>Verbindlichkeiten aus Lieferungen und Leistungen im Bezug auf Beteiligungen mit der Ausnahme von Verbindlichkeiten gegenüber verbundenen Unternehmen (321A, 322A, 324A, 325A, 326A, 32XA, 475A, 476A, 478A, 47XA)</t>
  </si>
  <si>
    <t>Sonstige Verbindlichkeiten aus Lieferungen und Leistungen (321A, 322A, 324A, 325A, 326A, 32XA, 475A, 476A, 478A, 47XA)</t>
  </si>
  <si>
    <t>Other payables  to group companies  (361A, 36XA, 471A, 47XA)</t>
  </si>
  <si>
    <t>Sonstige Verbindlichkeiten gegenüber verbundenen Unternehmen (361A, 36XA, 471A, 47XA)</t>
  </si>
  <si>
    <t>Other payables within a participating interest except for payables to group companies (361A, 36XA, 471A, 47XA)</t>
  </si>
  <si>
    <t>Sonstige Verbindlichkeiten im Bezug auf Beteiligungen mit der Ausnahme von Verbindlichkeiten gegenüber verbundenen Unternehmen (361A, 36XA, 471A, 47XA)</t>
  </si>
  <si>
    <t>Verbindlichkeiten gegenüber Gesellschaftern und Vereinen (364, 365, 366, 367, 368, 398A, 478A, 479A)</t>
  </si>
  <si>
    <t>Verbindlichkeiten gegenüber Mitarbeitern (331, 333, 33X, 479A)</t>
  </si>
  <si>
    <t>Verbindlichkeiten aus der Sozialversicherung (336A)</t>
  </si>
  <si>
    <t>Steuerverbindlichkeiten und Zuschüsse (341, 342, 343, 345, 346, 347, 34X)</t>
  </si>
  <si>
    <t>Verbindlichkeiten aus Derivatgeschäften (373A, 377A)</t>
  </si>
  <si>
    <t>Sonstige Verbindlichkeiten (372A, 379A, 474A, 475A, 479A, 47XA)</t>
  </si>
  <si>
    <t>Krátkodobé rezervy r. 137 + r. 138</t>
  </si>
  <si>
    <t>Kurzfristige Rückstellungen Zl. 137 + Zl. 138</t>
  </si>
  <si>
    <t>Gesetzliche Rückstellungen (323A, 451A)</t>
  </si>
  <si>
    <t>Sonstige Rückstellungen (323A, 32X, 459A, 45XA)</t>
  </si>
  <si>
    <t>Laufende Bankkredite (221A, 231, 232, 23X, 461A, 46XA)</t>
  </si>
  <si>
    <t>Short-term financial assistance (241, 249, 24X, 473A, /-/255A)</t>
  </si>
  <si>
    <t>Kurzfristige Darlehen (241, 249, 24X, 473A, /-/255A)</t>
  </si>
  <si>
    <t>Rechnungsabgrenzungsposten gesamt (Zl. 142 bis Zl. 145)</t>
  </si>
  <si>
    <t>Langfristige Ausgaben künftiger Perioden (383A)</t>
  </si>
  <si>
    <t>Kurzfristige Ausgaben künftiger Perioden (383A)</t>
  </si>
  <si>
    <t>Langfristige Erträge künftiger Perioden (384A)</t>
  </si>
  <si>
    <t>Kurzfristige Erträge künftiger Perioden (384A)</t>
  </si>
  <si>
    <t>Ist-Stand</t>
  </si>
  <si>
    <t>Unmittelbare Vorperiode</t>
  </si>
  <si>
    <t>Nettoumsatzerlöse (Teil der Kontengruppe 6 gemäß Gesetz)</t>
  </si>
  <si>
    <t>Erlöse aus der Geschäftstätigkeit gesamt (Zl. 03 bis Zl. 09)</t>
  </si>
  <si>
    <t>Umsatzerlöse aus dem Verkauf von Waren (604, 607)</t>
  </si>
  <si>
    <t>Erlöse aus dem Verkauf von Eigenprodukten (601)</t>
  </si>
  <si>
    <t>Erlöse aus dem Verkauf von Dienstleistungen (602, 606)</t>
  </si>
  <si>
    <t>Bestandsänderungen der innerbetrieblichen Vorräte (+/- Kontengruppe 61)</t>
  </si>
  <si>
    <t>Aktivierung (Kontengruppe 62)</t>
  </si>
  <si>
    <t>Erlöse aus dem Verkauf des materiellen und immateriellen Anlagevermögens und des Materials (641, 642)</t>
  </si>
  <si>
    <t>Sonstige Erlöse aus der Geschäftstätigkeit (644, 645, 646, 648, 655, 657)</t>
  </si>
  <si>
    <t>Aufwendungen für die Geschäftstätigkeit gesamt (Zl. 11 + Zl. 12 + Zl. 13 + Zl. 14 + Zl. 15 + Zl. 20 + Zl. 21 + Zl. 24 + Zl. 25 + Zl. 26)</t>
  </si>
  <si>
    <t>Wareneinsatz (504, 507)</t>
  </si>
  <si>
    <t>Verbrauch von Material, Energie und sonstigen nicht lagerfähigen Lieferungen (501, 502, 503)</t>
  </si>
  <si>
    <t>Wertberichtigungen auf Vorräte (+/-) (505)</t>
  </si>
  <si>
    <t>Dienstleistungen (Kontengruppe 51)</t>
  </si>
  <si>
    <t>Personalaufwendungen gesamt (Zl. 16 bis Zl. 19)</t>
  </si>
  <si>
    <t>Lohnkosten (521, 522)</t>
  </si>
  <si>
    <t>Remuneration of members of company bodies and co-operative (523)</t>
  </si>
  <si>
    <t>Vergütungen an Mitglieder der Gesellschaftsorgane und Mitglieder von Gemeinschaften (523)</t>
  </si>
  <si>
    <t>Sozialversicherungsaufwendungen (524, 525, 526)</t>
  </si>
  <si>
    <t>Sozialaufwendungen (527, 528)</t>
  </si>
  <si>
    <t>Steuern und Gebühren (Kontengruppe 53)</t>
  </si>
  <si>
    <t>Abschreibungen von und Wertberichtigungen auf das materielle und immaterielle Anlagevermögen (Zl. 22 + Zl. 23)</t>
  </si>
  <si>
    <t>Abschreibungen des materiellen und immateriellen Anlagevermögens (551)</t>
  </si>
  <si>
    <t>Wertberichtigungen auf das materielle und immaterielle Anlagevermögen (+/-) (553)</t>
  </si>
  <si>
    <t>Restbuchwert von verkauftem Anlagevermögen und Material (541, 542)</t>
  </si>
  <si>
    <t>Wertberichtigungen auf Forderungen (+/-) (547)</t>
  </si>
  <si>
    <t>Sonstige Aufwendungen für die Geschäftstätigkeit (543, 544, 545, 546, 548, 549, 555, 557)</t>
  </si>
  <si>
    <t>Wirtschaftsergebnis aus der Geschäftstätigkeit (+/-) (Zl. 02 - Zl. 10)</t>
  </si>
  <si>
    <t>Deckungsbeitrag (Zl. 03 + Zl. 04 + Zl. 05 + Zl. 06 + Zl. 07) - (Zl. 11 + Zl. 12 + Zl. 13 + Zl. 14)</t>
  </si>
  <si>
    <t>Erlöse aus der Finanzierungstätigkeit gesamt (Zl. 30 + Zl. 31 + Zl. 35 + Zl. 39 + Zl. 42 + Zl. 43 + Zl. 44)</t>
  </si>
  <si>
    <t>Erlöse aus dem Verkauf von Wertpapieren und Anteilen (661)</t>
  </si>
  <si>
    <t>Erlöse aus den Finanzanlagen gesamt (Zl. 32 bis Zl. 34)</t>
  </si>
  <si>
    <t>Revenues from securities and ownership interests from group companies (665A)</t>
  </si>
  <si>
    <t>Erlöse aus Wertpapieren und Anteilen von verbundenen Unternehmen (665A)</t>
  </si>
  <si>
    <t>Revenues from securities and ownership interests within a participating interest except for revenues from group companies (665A)</t>
  </si>
  <si>
    <t>Erlöse aus Wertpapieren und Anteilen im Bezug auf Beteiligungen mit der Ausnahme von Erlösen der verbundenen Unternehmen (665A)</t>
  </si>
  <si>
    <t>Sonstige Erlöse aus Wertpapieren und Anteilen (665A)</t>
  </si>
  <si>
    <t>Erlöse aus kurzfristigem Finanzvermögen gesamt (Zl. 36 bis Zl. 38)</t>
  </si>
  <si>
    <t>Revenues from current financial assets from group companies (666A)</t>
  </si>
  <si>
    <t>Erlöse aus kurzfristigem Finanzvermögen von verbundenen Unternehmen (666A)</t>
  </si>
  <si>
    <t>Revenues from current financial assets within a participating interest except for revenues from group companies (666A)</t>
  </si>
  <si>
    <t>Erlöse aus kurzfristigem Finanzvermögen im Bezug auf Beteiligungen mit der Ausnahme von Erlösen der verbundenen Unternehmen (666A)</t>
  </si>
  <si>
    <t>Sonstige Erlöse aus kurzfristigem Finanzvermögen (666A)</t>
  </si>
  <si>
    <t>Zinserlöse (Zl. 40 + Zl. 41)</t>
  </si>
  <si>
    <t>Interest income from group companies (662A)</t>
  </si>
  <si>
    <t>Zinserlöse von verbundenen Unternehmen (662A)</t>
  </si>
  <si>
    <t>Sonstige Zinserlöse (662A)</t>
  </si>
  <si>
    <t>Kursgewinne (663)</t>
  </si>
  <si>
    <t>Erlöse aus der Neubewertung von Wertpapieren und Erlöse aus Derivatgeschäften (664, 667)</t>
  </si>
  <si>
    <t>Sonstige Erlöse aus der Finanzierungstätigkeit (668)</t>
  </si>
  <si>
    <t>Aufwendungen für die Finanzierungstätigkeit gesamt (Zl. 46 + Zl. 47 + Zl. 48 + Zl. 49 + Zl. 52 + Zl. 52 + Zl. 53 + Zl. 54)</t>
  </si>
  <si>
    <t>Veräußerte Wertpapiere und Anteile (561)</t>
  </si>
  <si>
    <t>Aufwendungen auf kurzfristiges Finanzvermögen (566)</t>
  </si>
  <si>
    <t>Wertberichtigungen auf Finanzvermögen (+/-) (565)</t>
  </si>
  <si>
    <t>Zinsaufwendungen (Zl. 50 + Zl. 51)</t>
  </si>
  <si>
    <t>Interest expense for group companies (562A)</t>
  </si>
  <si>
    <t>Zinsaufwendungen von verbundenen Unternehmen (562A)</t>
  </si>
  <si>
    <t>Sonstige Zinsaufwendungen (562A)</t>
  </si>
  <si>
    <t>Kursverluste (563)</t>
  </si>
  <si>
    <t>Aufwendungen für die Neubewertung von Wertpapieren und Aufwendungen für Derivatgeschäfte (564, 567)</t>
  </si>
  <si>
    <t>Sonstige Aufwendungen für die Finanzierungstätigkeit (568, 569)</t>
  </si>
  <si>
    <t>Ergebnis aus der Finanzierungstätigkeit (+/-) (Zl. 29 - Zl. 45)</t>
  </si>
  <si>
    <t>Jahresüberschuss/Jahresfehlbetrag vor Steuern (+/-) (Zl. 27 + Zl. 55)</t>
  </si>
  <si>
    <t>Körperschaftsteuer (Zl. 58 + Zl. 59)</t>
  </si>
  <si>
    <t>Fällige Körperschaftsteuer (591, 595)</t>
  </si>
  <si>
    <t>Latente Körperschaftsteuer (+/-) (592)</t>
  </si>
  <si>
    <t>Profit/loss of partnership transferred to partners 
(+/- 596)</t>
  </si>
  <si>
    <t>Gewinn-/Verlustverteilung an die Gesellschafter (+/- 596)</t>
  </si>
  <si>
    <t>Výsledok hospodárenia za účtovné obdobie po zdanení (+/-) 
(r. 56 - r. 57 - r. 60)</t>
  </si>
  <si>
    <t>Profit/loss for the reporting period after taxation (+/-) 
(l. 56 - l. 57 - l. 60)</t>
  </si>
  <si>
    <t xml:space="preserve">Jahresüberschuss/Jahresfehlbetrag nach Steuern (+/-) (Zl. 56 - Zl. 57 - Zl. 60)
</t>
  </si>
  <si>
    <t>JAHRESABSCHLUSS</t>
  </si>
  <si>
    <t>Anhang Nr. 1 zur Maßnahme Nr. 4455/2003-92</t>
  </si>
  <si>
    <t>von Unternehmen mit dem System der doppelten Buchführung</t>
  </si>
  <si>
    <t>erstellt zum</t>
  </si>
  <si>
    <t>Die Zahlenangaben sind rechts zu machen, sonstige Angaben sind von links an zu schreiben.  Nicht ausgefüllte Zeilen bleiben leer.</t>
  </si>
  <si>
    <t>Die Angaben sind in Blockschrift (siehe unten) mit einer Schreib- oder Druckmaschine in schwarzer oder dunkelblauer Farbe auszufüllen.</t>
  </si>
  <si>
    <t xml:space="preserve"> Jahresabschluss</t>
  </si>
  <si>
    <t>Wirtschaftseinheit</t>
  </si>
  <si>
    <t xml:space="preserve">  ordentlich</t>
  </si>
  <si>
    <t xml:space="preserve">  außerordentlich</t>
  </si>
  <si>
    <t>priebežná</t>
  </si>
  <si>
    <t xml:space="preserve"> Interim</t>
  </si>
  <si>
    <t>Zwischenabschluss</t>
  </si>
  <si>
    <t xml:space="preserve">von </t>
  </si>
  <si>
    <t>Beiliegende Bestandteile des Jahresabschlusses</t>
  </si>
  <si>
    <t>Bilanz (Úč POD 1-01)</t>
  </si>
  <si>
    <t>(in vollen Euro)</t>
  </si>
  <si>
    <t>Gewinn- und Verlustrechnung (Úč POD 2-01)</t>
  </si>
  <si>
    <t>Anhang (Úč POD 3-01)</t>
  </si>
  <si>
    <t xml:space="preserve"> Geschäftsname (Bezeichnung) der Wirtschaftseinheit</t>
  </si>
  <si>
    <t xml:space="preserve"> Sitz der Wirtschaftseinheit</t>
  </si>
  <si>
    <t>Straße</t>
  </si>
  <si>
    <t>Hausnummer</t>
  </si>
  <si>
    <t>Handelsregister und Nr. der Eintragung</t>
  </si>
  <si>
    <t>E-Mail-Adresse</t>
  </si>
  <si>
    <t xml:space="preserve">Unterschrift des satzungsmäßigen Organs der Wirtschaftseinheit oder eines Mitglieds des satzungsmäßigen Organs der Wirtschaftseinheit, bzw. Unterschrift natürlicher Person, die die Wirtschaftseinheit darstellt: </t>
  </si>
  <si>
    <t>Aufzeichnungen der Steuerbehörde</t>
  </si>
  <si>
    <t>Registernummer</t>
  </si>
  <si>
    <t>Datumstempel der Steuerbehörde</t>
  </si>
  <si>
    <t>Seite 1</t>
  </si>
  <si>
    <t>Anhang Nr. 1 zur Maßnahme Nr. MF/18009/2014-74</t>
  </si>
  <si>
    <t>(Ankreuzen: X)</t>
  </si>
  <si>
    <t>Zeile Nr.</t>
  </si>
  <si>
    <t>Brutto - Teil 1</t>
  </si>
  <si>
    <t>Korrektur - Teil 2</t>
  </si>
  <si>
    <t>Netto 3</t>
  </si>
  <si>
    <t>Seite 2</t>
  </si>
  <si>
    <t>Seite 3</t>
  </si>
  <si>
    <t>Seite 4</t>
  </si>
  <si>
    <t>Seite 5</t>
  </si>
  <si>
    <t>Seite 6</t>
  </si>
  <si>
    <t>Seite 7</t>
  </si>
  <si>
    <t>Seite 8</t>
  </si>
  <si>
    <t>Seite 9</t>
  </si>
  <si>
    <t>Seite 10</t>
  </si>
  <si>
    <t>Seite 11</t>
  </si>
  <si>
    <t>Seite 12</t>
  </si>
  <si>
    <t>Výkaz ziskov a strát Úč POD 
2 - 01</t>
  </si>
  <si>
    <t>Gewinn- und Verlustrechnung Úč POD 2 - 01</t>
  </si>
  <si>
    <t>Position</t>
  </si>
  <si>
    <t>malá</t>
  </si>
  <si>
    <t>Small</t>
  </si>
  <si>
    <t xml:space="preserve">Kleinunternehmen </t>
  </si>
  <si>
    <t>veľká</t>
  </si>
  <si>
    <t>Large</t>
  </si>
  <si>
    <t>Großunternehmen</t>
  </si>
  <si>
    <t>Výsledok hospodárenia z bežnej činnosti pred zdanením daňou z príjmov (+/</t>
  </si>
  <si>
    <t>Ergebnis aus der laufenden Geschäftstätigkeit vor Steuern (+/-)</t>
  </si>
  <si>
    <t>Write-off of the provision for acquired assets (+/-)</t>
  </si>
  <si>
    <t>Bestandsänderung der Rechnungsabgrenzung von Aufwendungen und Erträgen (+/-)</t>
  </si>
  <si>
    <t>Profit/loss on sales of non-current assets except for those assets considered as cash equivalents (+/-)</t>
  </si>
  <si>
    <r>
      <t>Ergebnis aus dem Verkauf von Anlagevermögen, mit Ausnahme des Anlagevermögens, das als Geldäquivalente betrachtet wird</t>
    </r>
    <r>
      <rPr>
        <vertAlign val="superscript"/>
        <sz val="9.5"/>
        <rFont val="Verdana"/>
        <family val="2"/>
      </rPr>
      <t xml:space="preserve"> </t>
    </r>
    <r>
      <rPr>
        <sz val="9.5"/>
        <rFont val="Verdana"/>
        <family val="2"/>
      </rPr>
      <t>(+/-)</t>
    </r>
  </si>
  <si>
    <t>Ausgaben für die Körperschaftsteuer der Wirtschaftseinheit (-/+)</t>
  </si>
  <si>
    <t>Príjmy výnimočného rozsahu alebo výskytu vzťahujúce sa na prevádzkovú činnosť (+)</t>
  </si>
  <si>
    <t>Income of extraordinary scope or occurrence related to operations (+)</t>
  </si>
  <si>
    <t>Výdavky výnimočného rozsahu alebo výskytu vzťahujúce sa na prevádzkovú činnosť (-)</t>
  </si>
  <si>
    <t>Expenditures of extraordinary scope or occurrence related to operations (-)</t>
  </si>
  <si>
    <t xml:space="preserve">Netto-Geldflüsse aus der Betriebstätigkeit </t>
  </si>
  <si>
    <t>Ausgaben für die Anschaffung von langfristigen Wertpapieren und Anteilen in anderen Wirtschaftseinheiten, mit Ausnahme von Wertpapieren, die für Geldäquivalente gehalten werden und Wertpapieren, die zum Verkauf oder zum Handel bestimmt sind (-)</t>
  </si>
  <si>
    <t>Einnahmen aus dem Verkauf von langfristigen Wertpapieren und Anteilen in anderen Wirtschaftseinheiten mit Ausnahme von Wertpapieren, die für Geldäquivalente gehalten werden und Wertpapieren, die zum Verkauf oder zum Handel bestimmt sind (+)</t>
  </si>
  <si>
    <t>Ausgaben für langfristige Darlehen, die von der Wirtschaftseinheit einer anderen Wirtschaftseinheit gewährt wurden, die Bestandteil des Konsolidierungskreises ist (-)</t>
  </si>
  <si>
    <t>Einnahmen aus der Rückzahlung langfristiger Darlehen, die von der Wirtschaftseinheit einer anderen Wirtschaftseinheit gewährt wurden, die Bestandteil des Konsolidierungskreises ist (+)</t>
  </si>
  <si>
    <t>Ausgaben für langfristige Darlehen, die von der Wirtschaftseinheit an Dritte gewährt wurden, mit Ausnahme von langfristigen Darlehen an Wirtschaftseinheiten, die Bestandteil des Konsolidierungskreises sind (-)</t>
  </si>
  <si>
    <t>Einnahmen aus der Rückzahlung von Darlehen, die von der Wirtschaftseinheit an Dritte gewährt wurden, mit Ausnahme von Darlehen an Wirtschaftseinheiten, die Bestandteil des Konsolidierungskreises sind  (+)</t>
  </si>
  <si>
    <t>Zinserträge (+)</t>
  </si>
  <si>
    <t>Ausgaben, die mit Derivaten zusammenhängen, mit Ausnahme von denen, die zum Verkauf oder zum Handel bestimmt sind (-)</t>
  </si>
  <si>
    <t>Einnahmen, die mit Derivaten zusammenhängen, mit Ausnahme von denen, die zum Verkauf oder zum Handel bestimmt sind (+)</t>
  </si>
  <si>
    <t>Ausgaben für die Körperschaftsteuer der Wirtschaftseinheit (-)</t>
  </si>
  <si>
    <t>Príjmy výnimočného rozsahu alebo výskytu vzťahujúce sa na investičnú činnosť (+)</t>
  </si>
  <si>
    <t>Income of extraordinary scope or occurrence related to investing activity (+)</t>
  </si>
  <si>
    <t>Výdavky výnimočného rozsahu alebo výskytu vzťahujúce sa na investičnú činnosť (-)</t>
  </si>
  <si>
    <t>Expenditures of extraordinary scope or occurrence related to investing activity (-)</t>
  </si>
  <si>
    <t xml:space="preserve">Netto-Geldflüsse aus der Investitionstätigkeit </t>
  </si>
  <si>
    <t>Einnahmen aus weiteren Einlagen ins Eigenkapital durch die Gesellschafter (+)</t>
  </si>
  <si>
    <t>Einnahmen aus der Begleichung eines Velustes durch die Gesellschafter (+)</t>
  </si>
  <si>
    <t>Ausgaben im Zusammenhang mit der Herabsetzung der durch die Wirtschaftseinheit gebildeten Rücklagen (-)</t>
  </si>
  <si>
    <t>Ausgaben für die Auszahlung des Anteils am Eigenkapital durch die Gesellschafter der Wirtschaftseinheit (-)</t>
  </si>
  <si>
    <t xml:space="preserve">Geldflüsse aus langfristigen und kurzfristigen Verbindlichkeiten aus der Finanzierungstätigkeit </t>
  </si>
  <si>
    <t>Ausgaben für die Rückzahlung der Kredite (-)</t>
  </si>
  <si>
    <t>Einnahmen aus sonstigen langfristigen und kurzfristigen Verbindlichkeiten, die aus der Finanzierungstätigkeit der Wirtschaftseinheit hervorgehen (+)</t>
  </si>
  <si>
    <t>Ausgaben für die Rückzahlung sonstiger langfristiger und kurzfristiger Verbindlichkeiten, die aus der Finanzierungstätigkeit der Wirtschaftseinheit hervorgehen (-)</t>
  </si>
  <si>
    <t>Výdavky súvisiace s derivátmi, s výnimkou, ak sú určené na predaj alebo na obchodovanie (-)</t>
  </si>
  <si>
    <r>
      <t xml:space="preserve">Mit Derivaten zusammenhängende Ausgaben, außer den zum Verkauf oder zum Handel bestimmten Derivaten </t>
    </r>
    <r>
      <rPr>
        <sz val="9.5"/>
        <rFont val="Verdana"/>
        <family val="2"/>
      </rPr>
      <t>(-)</t>
    </r>
  </si>
  <si>
    <t>Einnahmen, die mit Derivaten zusammenhängen, mit Ausnahme von Derivaten, die zum Verkauf oder Handel bestimmt sind (+)</t>
  </si>
  <si>
    <t>Príjmy výnimočného rozsahu alebo výskytu vzťahujúce sa na finančnú činnosť (+)</t>
  </si>
  <si>
    <t>Income of extraordinary scope or occurrence related to financing activities (+)</t>
  </si>
  <si>
    <t>Výdavky výnimočného rozsahu alebo výskytu vzťahujúce sa na finančnú činnosť (-)</t>
  </si>
  <si>
    <t>Expenditures of extraordinary scope or occurrence related to financing activities (-)</t>
  </si>
  <si>
    <t>Netto-Geldflüsse aus der Finanzierungstätigkeit</t>
  </si>
  <si>
    <t>Netto-Zuwachs bzw. Netto-Rückgang der Geldmittel und Geldäquivalente (+/-) (Summe A+B+C)</t>
  </si>
  <si>
    <t>Saldo der Geldmittel und Geldäquivalente zum Jahresende vor Einbeziehung der Kursgewinne/Kursverluste zum Stichtag des Jahresabschlusses  (+/-)</t>
  </si>
  <si>
    <t>Saldo der Geldmittel und Geldäquivalente zum Jahresende, korrigiert um Kursverluste/Kursgewinne zum Stichtag des Jahresabschlusses (+/-) (Summe D + E + G)</t>
  </si>
  <si>
    <t>Ist-Stand in EUR</t>
  </si>
  <si>
    <t>Preklad doplnených dát v tabuľkách do EN alebo DE, nezabudnite doplniť vzorce v pridaných riadkoch</t>
  </si>
  <si>
    <t>Translation of inserted table data to EN or DE, don't forget to add formulas to added rows</t>
  </si>
  <si>
    <t>Subtotal peňažný tok</t>
  </si>
  <si>
    <t xml:space="preserve">Zmena stavu záväzkov </t>
  </si>
  <si>
    <t>Príjmy a  výdavky spojené s prijatými pôžičkami  (dlhodobé pôžičky prijaté od spoločností v rámci konsolidovaného celku)</t>
  </si>
  <si>
    <t>Príjmy a  výdavky spojené s úvermi</t>
  </si>
  <si>
    <t>Zmena časového rozlíšenia</t>
  </si>
  <si>
    <t>Zmena stavu DFM - dlhodobé pôžičky v konsolidovanom celku a ostatné pôžičky s dobou splatnosti najviac jeden rok</t>
  </si>
  <si>
    <t>Zmena stavu krátkodobých pohľadávok v konsolidovanom celku</t>
  </si>
  <si>
    <t>účet 661 z predaja dlhodobého finančného majetku okrem pôžičiek na účtoch</t>
  </si>
  <si>
    <t>účet 561 z predaja dlhodobého finančného majetku okrem pôžičiek na účtoch</t>
  </si>
  <si>
    <t>Kratkodoby financny majetok)</t>
  </si>
  <si>
    <t xml:space="preserve">Krátkodobé rezervy </t>
  </si>
  <si>
    <t>Finančné účty</t>
  </si>
  <si>
    <t xml:space="preserve">Dlhodobý nehmotný majetok </t>
  </si>
  <si>
    <t>Dlhodobé záväzky prijaté pôžičky</t>
  </si>
  <si>
    <t>Dlhodobé záväzky - vydané dlhopisy</t>
  </si>
  <si>
    <t xml:space="preserve">Krátkodobé záväzky </t>
  </si>
  <si>
    <t>Bankové úvery a výpomoci súčet</t>
  </si>
  <si>
    <t>Časové rozlíšenie pasiva</t>
  </si>
  <si>
    <t>Časové rozlíšenie - aktiva</t>
  </si>
  <si>
    <t>Celkom účet 549, 569</t>
  </si>
  <si>
    <t>Príjmy a výdavky z úverov - ak nebude doplnene nalinkuje sa netto zmena zo suvahy</t>
  </si>
  <si>
    <t>(účtované do nákladov)</t>
  </si>
  <si>
    <t>(účtované na účet 042)</t>
  </si>
  <si>
    <t>Dane z príjmov (591+595)</t>
  </si>
  <si>
    <t>Net construction contract value (316A)</t>
  </si>
  <si>
    <t>BS025</t>
  </si>
  <si>
    <t>BS067</t>
  </si>
  <si>
    <t>BS043</t>
  </si>
  <si>
    <t>BS044</t>
  </si>
  <si>
    <t>BS047</t>
  </si>
  <si>
    <t>BS059</t>
  </si>
  <si>
    <t>BS128</t>
  </si>
  <si>
    <t>BS108</t>
  </si>
  <si>
    <t>IS50</t>
  </si>
  <si>
    <t>IS40</t>
  </si>
  <si>
    <t>IS32</t>
  </si>
  <si>
    <t>IS33</t>
  </si>
  <si>
    <t>IS36</t>
  </si>
  <si>
    <t>IS37</t>
  </si>
  <si>
    <t>BS04a Capitalized development costs - line 4a</t>
  </si>
  <si>
    <t>BS05a Software - line 5a</t>
  </si>
  <si>
    <t>BS06a Valuable rights - line 6a</t>
  </si>
  <si>
    <t>BS07a Goodwill - line 7a</t>
  </si>
  <si>
    <t>BS08a Other non-current intangible assets - line 8a</t>
  </si>
  <si>
    <t>BS13a Structures - line 13a</t>
  </si>
  <si>
    <t>BS14a Separate moveable assets and sets of moveables - line 14a</t>
  </si>
  <si>
    <t>BS15a Perennial crops - line 15a</t>
  </si>
  <si>
    <t>BS16a Livestock and drought animals - line 16a</t>
  </si>
  <si>
    <t>BS17a Other non-current tangible assets - line 17a</t>
  </si>
  <si>
    <t>BS12a Land - line 12a</t>
  </si>
  <si>
    <t>BS09a Non-current intangible assets in acquisition - line 9a</t>
  </si>
  <si>
    <t>BS10a Advance payments for non-current  intangible assets - line 10a</t>
  </si>
  <si>
    <t>BS31a Non-current financial assets in acquisition - line 31a</t>
  </si>
  <si>
    <t>BS19a Advance payments for non-current tangible assets - line 19a</t>
  </si>
  <si>
    <t>BS32a Advance payments for non-current financial assets - line 32a</t>
  </si>
  <si>
    <t>BS22a Shares and ownership interests in group companies - line 22a</t>
  </si>
  <si>
    <t>BS23a Shares and ownership interests with a participating interest except for group companies - line 23a</t>
  </si>
  <si>
    <t>BS24a Other held-for-sale securities and ownership interests - line 24a</t>
  </si>
  <si>
    <t>BS28a Debt securities and other non-current financial assets - line 28a</t>
  </si>
  <si>
    <t>BS25a Loans to group companies - line 25a</t>
  </si>
  <si>
    <t>BS26a Loans within a participating interest except for group companies - line 26a</t>
  </si>
  <si>
    <t>BS29b Loans and other non-current fin. assets with remaining maturity of up to one year - prov. - line 29b</t>
  </si>
  <si>
    <t>BS27a Other loans - line 27a</t>
  </si>
  <si>
    <t>BS29a Loans and other non-current financial assets with remaining maturity of up to one year - line 29a</t>
  </si>
  <si>
    <t>BS04b Capitalized development costs - provision  - line 4b</t>
  </si>
  <si>
    <t>BS05b Software - provision - line 5b</t>
  </si>
  <si>
    <t>BS06b Valuable rights - provision - line 6b</t>
  </si>
  <si>
    <t>BS07b Goodwill - provision - line 7b</t>
  </si>
  <si>
    <t>BS08b Other non-current  intangible assets - provision - line 8b</t>
  </si>
  <si>
    <t>BS13b Structures - provision - line 13b</t>
  </si>
  <si>
    <t>BS14b Separate moveable assets and sets of moveables - provision - line 14b</t>
  </si>
  <si>
    <t>BS15b Perennial crops - provision - line 15b</t>
  </si>
  <si>
    <t>BS16b Livestock and drought animals - provision - line 16b</t>
  </si>
  <si>
    <t>BS17b Other non-current tangible assets - provision - line 17b</t>
  </si>
  <si>
    <t>BS12b Land - provision - line 12b</t>
  </si>
  <si>
    <t>BS09b Non-current intangible assets in acquisition - line 9b</t>
  </si>
  <si>
    <t>BS18b Non-current tangible assets in acquisition - provision - line 18b</t>
  </si>
  <si>
    <t>BS19b Advance payments for non-current tangible assets - provision - line 19b</t>
  </si>
  <si>
    <t>BS10b Advance payments for non-current intangible assets - provision  - line 10b</t>
  </si>
  <si>
    <t>BS32b Advance payments for non-current financial assets - provision - line 32b</t>
  </si>
  <si>
    <t>BS22b Shares and ownership interests in group companies- provision - line 22b</t>
  </si>
  <si>
    <t>BS23b Shares and ownership interests with a partic. interest except for group companies - provision - 23b</t>
  </si>
  <si>
    <t>BS24b Other held-for-sale securities and ownership interests - provision - line 24b</t>
  </si>
  <si>
    <t>BS25b Loans to group companies - provision - line 25b</t>
  </si>
  <si>
    <t>BS26b Loans within a participating interest except for group companies - provision - line 26b</t>
  </si>
  <si>
    <t>BS27b Other loans - provision - line 27b</t>
  </si>
  <si>
    <t>BS28b Debt securities and other non-current financial assets provision - line 28b</t>
  </si>
  <si>
    <t>BS31b Non-current financial assets in acquisition -  provision - line 31b</t>
  </si>
  <si>
    <t>BS20a Correction for acquired assets - line 20a</t>
  </si>
  <si>
    <t>BS20b Correction for acquired assets - provision - line 20b</t>
  </si>
  <si>
    <t>BS35a Raw materials- line 35a</t>
  </si>
  <si>
    <t>BS36a Work-in-progress and semi-finished goods - line 36a</t>
  </si>
  <si>
    <t>BS37a Finished goods - line 37a</t>
  </si>
  <si>
    <t>BS38a Livestock - line 38a</t>
  </si>
  <si>
    <t>BS39a Merchandise - line 39a</t>
  </si>
  <si>
    <t>BS35b Raw materials - provision - line 35b</t>
  </si>
  <si>
    <t>BS36b Work-in-progress and semi-finished goods - provision - line 36b</t>
  </si>
  <si>
    <t>BS37b Finished goods -  provision - line 37b</t>
  </si>
  <si>
    <t>BS38b Livestock - provision - line 38b</t>
  </si>
  <si>
    <t>BS39b Merchandise - provision - line 39b</t>
  </si>
  <si>
    <t>BS72a Cash on hand - line 72a</t>
  </si>
  <si>
    <t>BS73a Bank accounts - line 73a</t>
  </si>
  <si>
    <t>BS30a Bank accounts bound for period exceeding one year - line 30a</t>
  </si>
  <si>
    <t>BS139 Short-term bank loans - line 139</t>
  </si>
  <si>
    <t>BS140 Short-term financial assistance - line 140</t>
  </si>
  <si>
    <t>BS67a Current financial assets in group companies - line 67a</t>
  </si>
  <si>
    <t>BS68a Current financial assets excl. current financial assets in group companies - line 68a</t>
  </si>
  <si>
    <t>BS69 Treasury stock and treasury shares - line 69</t>
  </si>
  <si>
    <t>BS113 Bonds issued - line 113</t>
  </si>
  <si>
    <t>BS70a Current financial assets in acquisition  - line 70a</t>
  </si>
  <si>
    <t>BS67b Current financial assets in group companies - provision - line 67b</t>
  </si>
  <si>
    <t>BS68b Current financial assets excl. current financial assets in group companies - provision - line 68b</t>
  </si>
  <si>
    <t>BS70b Current financial assets in acquisition - provision  - line 70b</t>
  </si>
  <si>
    <t>BS43a Trade receivables from group companies - line 43a</t>
  </si>
  <si>
    <t>BS44a Trade receivables within a part. interest except for receivables from group companies - line 44a</t>
  </si>
  <si>
    <t>BS45a Other trade receivables  - line 45a</t>
  </si>
  <si>
    <t>BS55a Trade receivables from group companies - line 55a</t>
  </si>
  <si>
    <t>BS56a Trade receivables within a partic. interest except for receivables from group companies - line 56a</t>
  </si>
  <si>
    <t>BS57a Other trade receivables - line 57a</t>
  </si>
  <si>
    <t>BS40a Advance payments for inventory - line 40a</t>
  </si>
  <si>
    <t>BS58a Net contract value - line 58a</t>
  </si>
  <si>
    <t>BS46a Net contract value - line 46a</t>
  </si>
  <si>
    <t>BS127 Net contract value - line 127</t>
  </si>
  <si>
    <t>BS107 Net contract value - line 107</t>
  </si>
  <si>
    <t>BS104 Trade payables to group companies- line 104</t>
  </si>
  <si>
    <t>BS105 Trade payables wihin a partic. interest except for payables to group companies - line 105</t>
  </si>
  <si>
    <t>BS106 Other trade payables - line 106</t>
  </si>
  <si>
    <t>BS124 Trade payables to group companies - line 124</t>
  </si>
  <si>
    <t>BS125 Trade payables within a partic. interest except for payables to group companies - line 125</t>
  </si>
  <si>
    <t>BS126 Other trade payables - line 126</t>
  </si>
  <si>
    <t>BS137 Legal provisions for liabilities - line 137</t>
  </si>
  <si>
    <t>BS138 Other provisions for liabilities - line 138</t>
  </si>
  <si>
    <t>BS131 Payables to employees - line 131</t>
  </si>
  <si>
    <t>BS51a Other receivables - line 51a</t>
  </si>
  <si>
    <t>BS65a Other receivables - line 65a</t>
  </si>
  <si>
    <t>BS62a Social security insurance - line 62a</t>
  </si>
  <si>
    <t>BS115 Other long-term payables - line 115</t>
  </si>
  <si>
    <t>BS132 Social security insurance payables - line 132</t>
  </si>
  <si>
    <t>BS133.1 Current income tax payable - line 133</t>
  </si>
  <si>
    <t>BS63a.1 Current income tax receivable - line 63a</t>
  </si>
  <si>
    <t>BS133.3 Tax liabilities other - line 133</t>
  </si>
  <si>
    <t>BS63a.3 Tax receivables other - line 63a</t>
  </si>
  <si>
    <t>BS133.2 Value added tax payable - line 133</t>
  </si>
  <si>
    <t>BS63a.2 Value added tax receivable - line 63a</t>
  </si>
  <si>
    <t>BS47a Other receivables from group companies - line 47a</t>
  </si>
  <si>
    <t>BS48a Other receivables within a partic. interest except for receivables from group companies  - line 48a</t>
  </si>
  <si>
    <t>BS59a Other receivables  from group companies- line 59a</t>
  </si>
  <si>
    <t>BS60a Other receivables within partic. interest except for receivables from group companies - line 60a</t>
  </si>
  <si>
    <t>BS84 Receivable for subscribed capital - line 84</t>
  </si>
  <si>
    <t>BS49a Receivables from partners, members and participants in an association - line 49a</t>
  </si>
  <si>
    <t>BS61a Receivables from partners, members and participants in an association - line 61a</t>
  </si>
  <si>
    <t>BS128 Other payables to group companies - line 128</t>
  </si>
  <si>
    <t>BS129 Other payables within a partic. interest except for payables to group companies - line 129</t>
  </si>
  <si>
    <t>BS130 Payables to partners and participants in an association - line 130</t>
  </si>
  <si>
    <t>BS135 Other payables - line 135</t>
  </si>
  <si>
    <t>BS116 Long-term payables from derivative transactions - line 116</t>
  </si>
  <si>
    <t>BS134 Payables from derivative transactions - line 134</t>
  </si>
  <si>
    <t>BS50a Receivables from derivative transactions - line 50a</t>
  </si>
  <si>
    <t>BS64a Receivables from derivative transactions - line 64a</t>
  </si>
  <si>
    <t>BS75a Non current deferred expenses - line 75a</t>
  </si>
  <si>
    <t>BS76a Current deferred expenses - line 76a</t>
  </si>
  <si>
    <t>BS142 Non-current accrued expenses - line 142</t>
  </si>
  <si>
    <t>BS143 Current accrued expenses - line 143</t>
  </si>
  <si>
    <t>BS144 Non-current deferred income - line 144</t>
  </si>
  <si>
    <t>BS145 Current deferred income - line 145</t>
  </si>
  <si>
    <t>BS77a Non-current accrued income - line 77a</t>
  </si>
  <si>
    <t>BS78a Current accrued income - line 78a</t>
  </si>
  <si>
    <t>BS43b Trade receivables from group companies - provision - line 43b</t>
  </si>
  <si>
    <t>BS47b Other receivables from group companies - provison - line 47b</t>
  </si>
  <si>
    <t>BS44b Trade receivables within a part. interest except for receivables from group companies - prov. - 44b</t>
  </si>
  <si>
    <t>BS48b Other receivables within a part. interest except for receivables from group companies - line 48b</t>
  </si>
  <si>
    <t>Provision to receivables - other trade - long term</t>
  </si>
  <si>
    <t>BS45b Other trade receivables -  provision - line 45b</t>
  </si>
  <si>
    <t>BS55b Trade receivables from group companies - provision - line 55b</t>
  </si>
  <si>
    <t>BS56b Trade receivables within a partic. interest except for receivables from group companies - prov. 56b</t>
  </si>
  <si>
    <t>BS49b Receivables from partners, members and participants in an association - provision - line 49b</t>
  </si>
  <si>
    <t>BS48b Other receivables within a partic. interest except for receivables from group companies - prov. 48b</t>
  </si>
  <si>
    <t>BS57b Other receivables - provision - line 57b</t>
  </si>
  <si>
    <t>BS59b Other receivables from group companies - provision - line 59b</t>
  </si>
  <si>
    <t>BS60b Other receivables within partic. interest except for receivables from group companies - prov. 60b</t>
  </si>
  <si>
    <t>BS61b Receivables from partners, members and participants in an association - provision - line 61b</t>
  </si>
  <si>
    <t>BS62b Social security insurance provision - line 62b</t>
  </si>
  <si>
    <t>BS63b Tax assets and subsidies provision - line 63b</t>
  </si>
  <si>
    <t>BS65b Other receivables - provision - line 65b</t>
  </si>
  <si>
    <t>391r</t>
  </si>
  <si>
    <t>Provision to receivables - other receivables - long term term</t>
  </si>
  <si>
    <t>BS51b Other receivables -provision - line 51b</t>
  </si>
  <si>
    <t>BS82 Registered capital - line 82</t>
  </si>
  <si>
    <t>BS85 Share premium - line 85</t>
  </si>
  <si>
    <t>BS86 Other capital funds - line 86</t>
  </si>
  <si>
    <t>BS94 Assets and liabilities revaluation reserve - line 94</t>
  </si>
  <si>
    <t>BS95 Financial investment revaluation reserve - line 95</t>
  </si>
  <si>
    <t>BS96 Revaluation reserve from fusions, mergers and separations - line 96</t>
  </si>
  <si>
    <t>BS88 Legal reserve fund/ non-distributable fund from capital contributions - line 88</t>
  </si>
  <si>
    <t>BS89 Reserve fund for treasury stock and treasury shares - line 89</t>
  </si>
  <si>
    <t>BS83 Changes in registered capital - line 83</t>
  </si>
  <si>
    <t>BS91 Statutory funds - line 91</t>
  </si>
  <si>
    <t>BS92 Other funds - line 92</t>
  </si>
  <si>
    <t>BS98 Retained earnings from previous years - line 98</t>
  </si>
  <si>
    <t>BS99 Accumulated losses from previous years - line 99</t>
  </si>
  <si>
    <t>BS119 Legal provisions for liabilities - line 119</t>
  </si>
  <si>
    <t>BS120 Other provisions for liabilities - line 120</t>
  </si>
  <si>
    <t>BS121 Long-term bank loans - line 121</t>
  </si>
  <si>
    <t>BS109 Other payables within a partic. interest except for payables to group companies - line 109</t>
  </si>
  <si>
    <t>BS108 Other payables to group companies - line 108</t>
  </si>
  <si>
    <t>BS114 Social fund payables - line 114</t>
  </si>
  <si>
    <t>BS111 Long-term advance payments received - line 111</t>
  </si>
  <si>
    <t>BS112 Long-term bills of exchange to be paid - line 112</t>
  </si>
  <si>
    <t>BS110 Other long term payables - line 110</t>
  </si>
  <si>
    <t>BS117 Deferred tax liability - line 117</t>
  </si>
  <si>
    <t>BS52a Deferred tax asset - line 52a</t>
  </si>
  <si>
    <t>IS12 Consumed raw materials, energy and other non inventory supplies - line 12</t>
  </si>
  <si>
    <t>IS11 Costs of the acquisition of merchandise sold - line 11</t>
  </si>
  <si>
    <t>IS13 Provision for inventories - line 13</t>
  </si>
  <si>
    <t>IS14a Services - line 14 - Repair and Maintanance</t>
  </si>
  <si>
    <t>IS14b Services - line 14 - Representation and travel expenses</t>
  </si>
  <si>
    <t>518a</t>
  </si>
  <si>
    <t>Other services - group 1</t>
  </si>
  <si>
    <t>IS14c Services - line 14 - group 1</t>
  </si>
  <si>
    <t>518b</t>
  </si>
  <si>
    <t>Other services - group  2</t>
  </si>
  <si>
    <t>IS14d Services - line 14 - group 2</t>
  </si>
  <si>
    <t>518c</t>
  </si>
  <si>
    <t>Other services - group 3</t>
  </si>
  <si>
    <t>IS14e Services - line 14 - group 3</t>
  </si>
  <si>
    <t>IS16 Wages and salaries - line 16</t>
  </si>
  <si>
    <t>IS17 Remuneration of board and cooperative members - line 17</t>
  </si>
  <si>
    <t>IS18 Social insurance expenses - line 18</t>
  </si>
  <si>
    <t>IS19 Social expenses - line 19</t>
  </si>
  <si>
    <t>IS20 Taxes and fees - line 20</t>
  </si>
  <si>
    <t>IS24 Net book value of non-current assets and raw materials sold - line 24</t>
  </si>
  <si>
    <t>IS26 Other operating expenses - line 26</t>
  </si>
  <si>
    <t>IS25 Provisions for receivables - line 25</t>
  </si>
  <si>
    <t>IS22 Amortisation and depreciation of non-current intangible and non-current tangible assets - line 22</t>
  </si>
  <si>
    <t>IS23 Provisions for non-current intangible and non-current tangible assets - line 23</t>
  </si>
  <si>
    <t>IS46 Securities and ownership interests sold - line 46</t>
  </si>
  <si>
    <t>IS50 Interest expense for group companies - line 50</t>
  </si>
  <si>
    <t>IS51 Other interest expense - line 51</t>
  </si>
  <si>
    <t>IS52 Foreign exchange losses - line 52</t>
  </si>
  <si>
    <t>IS53 Expenses for revaluation of securities and expenses related to derivative transactions - line 53</t>
  </si>
  <si>
    <t>IS48 Provision for financial assets - line 48</t>
  </si>
  <si>
    <t>IS47 Expenses related to current financial assets - line 47</t>
  </si>
  <si>
    <t>IS54 Other costs of financing activities - line 54</t>
  </si>
  <si>
    <t>IS58 Current income tax - line 58</t>
  </si>
  <si>
    <t>IS59 Deferred income tax - line 59</t>
  </si>
  <si>
    <t>IS60 Profit/loss of partnership transferred to partners - line 60</t>
  </si>
  <si>
    <t>601a</t>
  </si>
  <si>
    <t>Revenues from own products - stream 1</t>
  </si>
  <si>
    <t>IS04a Revenues from the sale of own products - line 4 - stream 1</t>
  </si>
  <si>
    <t>601b</t>
  </si>
  <si>
    <t>Revenues from own products - stream 2</t>
  </si>
  <si>
    <t>IS04b Revenues from the sale of own products - line 4 - stream 2</t>
  </si>
  <si>
    <t>601c</t>
  </si>
  <si>
    <t>Revenues from own products - stream 3</t>
  </si>
  <si>
    <t>IS04c Revenues from the sale of own products - line 4 - stream 3</t>
  </si>
  <si>
    <t>601d</t>
  </si>
  <si>
    <t>Revenues from own products - stream 4</t>
  </si>
  <si>
    <t>IS04d Revenues from the sale of own products - line 4 - stream 4</t>
  </si>
  <si>
    <t>601e</t>
  </si>
  <si>
    <t>Revenues from own products - stream 5</t>
  </si>
  <si>
    <t>IS04e Revenues from the sale of own products - line 4 - stream 5</t>
  </si>
  <si>
    <t>602a</t>
  </si>
  <si>
    <t>Revenues from services - stream 1</t>
  </si>
  <si>
    <t>IS05a Revenues from the sale of services - line 5 - stream 1</t>
  </si>
  <si>
    <t>602b</t>
  </si>
  <si>
    <t>Revenues from services - stream 2</t>
  </si>
  <si>
    <t>IS05b Revenues from the sale of services - line 5 - stream 2</t>
  </si>
  <si>
    <t>602c</t>
  </si>
  <si>
    <t>Revenues from services - stream 3</t>
  </si>
  <si>
    <t>IS05c Revenues from the sale of services - line 5 - stream 3</t>
  </si>
  <si>
    <t>602d</t>
  </si>
  <si>
    <t>Revenues from services - stream 4</t>
  </si>
  <si>
    <t>IS05d Revenues from the sale of services - line 5 - stream 4</t>
  </si>
  <si>
    <t>602e</t>
  </si>
  <si>
    <t>Revenues from services - stream 5</t>
  </si>
  <si>
    <t>IS05e Revenues from the sale of services - line 5 - stream 5</t>
  </si>
  <si>
    <t>604a</t>
  </si>
  <si>
    <t>Revenues from merchandise - stream 1</t>
  </si>
  <si>
    <t>IS03a Revenues from the sale of merchandise - line 3 - stream 1</t>
  </si>
  <si>
    <t>604b</t>
  </si>
  <si>
    <t>Revenues from merchandise - stream 2</t>
  </si>
  <si>
    <t>IS03b Revenues from the sale of merchandise - line 3 - stream 2</t>
  </si>
  <si>
    <t>604c</t>
  </si>
  <si>
    <t>Revenues from merchandise - stream 3</t>
  </si>
  <si>
    <t>IS03c Revenues from the sale of merchandise - line 3 - stream 3</t>
  </si>
  <si>
    <t>604d</t>
  </si>
  <si>
    <t>Revenues from merchandise - stream 4</t>
  </si>
  <si>
    <t>IS03d Revenues from the sale of merchandise - line 3 - stream 4</t>
  </si>
  <si>
    <t>604e</t>
  </si>
  <si>
    <t>Revenues from merchandise - stream 5</t>
  </si>
  <si>
    <t>IS03e Revenues from the sale of merchandise - line 3 - stream 5</t>
  </si>
  <si>
    <t>IS06 Changes in inventories - line 6</t>
  </si>
  <si>
    <t>IS07 Own work capitalised - line 7</t>
  </si>
  <si>
    <t>IS08 Revenues from the sale of NC intangible assets, NC tangible assets and raw materials - line 8</t>
  </si>
  <si>
    <t>IS09 Other operating revenues - line 9</t>
  </si>
  <si>
    <t>IS30 Revenues from the sale of securities and ownership interests - line 30</t>
  </si>
  <si>
    <t>IS40 Interest income from group companies - line 40</t>
  </si>
  <si>
    <t>IS41 Other interest income - line 41</t>
  </si>
  <si>
    <t>IS42 Foreign exchange gains - line 42</t>
  </si>
  <si>
    <t>IS43 Gains on revaluation of securities and revenues from derivative transactions - line 43</t>
  </si>
  <si>
    <t>IS32 Revenues from securities and ownership interests from group companies - line 32</t>
  </si>
  <si>
    <t>IS33 Revenues from securities and ownersh. interests within a part. int. except from group comp. -line 33</t>
  </si>
  <si>
    <t>IS34 Other revenues from securities and ownership interests - line 34</t>
  </si>
  <si>
    <t>IS36 Revenues from current financial assets from group companies- line 36</t>
  </si>
  <si>
    <t>IS37 Intercompany revenues from current fin. assets except for revenues from group companies - line 37</t>
  </si>
  <si>
    <t>IS38 Other revenues from current financial assets - line 38</t>
  </si>
  <si>
    <t>IS44 Other revenues from financing activities - line 44</t>
  </si>
  <si>
    <t>DO NOT USE DECIMALS IN TB!!!</t>
  </si>
  <si>
    <t>1.1.2016</t>
  </si>
  <si>
    <t>1.1.2015</t>
  </si>
  <si>
    <t>Výkaz ziskov a strát za rok končiaci sa 31. decembra 2016</t>
  </si>
  <si>
    <t>Income Statement for the year ended 31 December 2016</t>
  </si>
  <si>
    <t>Gewinn- und Verlustrechnung für das Geschäftsjahr zum 31. Dezember 2016</t>
  </si>
  <si>
    <t>Súvaha k 31. decembru 2016</t>
  </si>
  <si>
    <t>Balance Sheet as at 31 December 2016</t>
  </si>
  <si>
    <t>Bilanz zum 31. Dezember 2016</t>
  </si>
  <si>
    <t xml:space="preserve">Odlozena dan cez equity </t>
  </si>
  <si>
    <t xml:space="preserve">(len v pripade precenenia derivatov, v ostatnych pripadoch pouzite upravu cez slpec  nestandarnych uprav) </t>
  </si>
  <si>
    <t>Štúrová</t>
  </si>
  <si>
    <t>925/27</t>
  </si>
  <si>
    <t>01841</t>
  </si>
  <si>
    <t>Dubnica nad Váhom</t>
  </si>
  <si>
    <t>0424405400</t>
  </si>
  <si>
    <t>0424421603</t>
  </si>
  <si>
    <t>2021</t>
  </si>
  <si>
    <t>úver č. 1 - commerz banka</t>
  </si>
  <si>
    <t>úver č. 2 - eximbanka</t>
  </si>
  <si>
    <t>úver č. 3 - tatrabanka</t>
  </si>
  <si>
    <t>395x</t>
  </si>
  <si>
    <t>OB SYA 341</t>
  </si>
  <si>
    <t>SYA 562</t>
  </si>
  <si>
    <t>SYA 662</t>
  </si>
  <si>
    <t>DR 391</t>
  </si>
  <si>
    <t>DR-CR 19x</t>
  </si>
  <si>
    <t>SYA 543</t>
  </si>
  <si>
    <t>SYA 549</t>
  </si>
  <si>
    <t>kontokorentný úver č. 2 - commerzbanka</t>
  </si>
  <si>
    <t>2022</t>
  </si>
  <si>
    <t>reclass - predaj hmotneho majetku</t>
  </si>
  <si>
    <t>CB AYA 341010</t>
  </si>
  <si>
    <t>AYA 563010 &amp; 663010</t>
  </si>
  <si>
    <t>MSM Martin, s. r. o.</t>
  </si>
  <si>
    <t>31.12.2021</t>
  </si>
  <si>
    <t>OR Okresný súd Trenčín, oddiel: Sa,  vložka č.30764/R</t>
  </si>
  <si>
    <t>Účet</t>
  </si>
  <si>
    <t>Popis účtu</t>
  </si>
  <si>
    <t>Počiatočný stav</t>
  </si>
  <si>
    <t>Spolu obdobie  Ma Dať</t>
  </si>
  <si>
    <t>Spolu obdobie Dal</t>
  </si>
  <si>
    <t>Zostatok</t>
  </si>
  <si>
    <t>Softvér</t>
  </si>
  <si>
    <t>Oceniteľné práva</t>
  </si>
  <si>
    <t>Stavby</t>
  </si>
  <si>
    <t>Sam.hnut.veci-stroje, prístroje,zar</t>
  </si>
  <si>
    <t>Sam.hnut. veci a súbory-dopr.prost.</t>
  </si>
  <si>
    <t>Sam.hnut. veci a súbory  nad 1700€</t>
  </si>
  <si>
    <t>Pozemky</t>
  </si>
  <si>
    <t>Obstaranie dlhodob. nehmot. majetku</t>
  </si>
  <si>
    <t>Obstaranie dlhodob. nehmot. majetku - vývoj</t>
  </si>
  <si>
    <t>Obstaranie dlhodob.hmot maj-strojne</t>
  </si>
  <si>
    <t>Obstaranie dl.hmot. maj.-stavebne</t>
  </si>
  <si>
    <t>Obstaranie dlhodob.hmot maj-PZH</t>
  </si>
  <si>
    <t>Poskyt. predd.na dlhod. hmot.majet</t>
  </si>
  <si>
    <t xml:space="preserve">Podiel.cenn.pap.a podiel v ovlad.os </t>
  </si>
  <si>
    <t>Podiel.cenn.pap.a podiel v ovlad.os NO</t>
  </si>
  <si>
    <t>Podiel.cenn.pap.a podiel v ovlad.os BB</t>
  </si>
  <si>
    <t>Podiel.cenn.pap.a podiel v ovlad.os MSM LS</t>
  </si>
  <si>
    <t>Oprávky k softvéru</t>
  </si>
  <si>
    <t>Oprávky k oceniteľným právam</t>
  </si>
  <si>
    <t>Oprávky k stavbám</t>
  </si>
  <si>
    <t>Oprávky k sam.hnut.veciam  a k sub.</t>
  </si>
  <si>
    <t xml:space="preserve">Oprávky k sam.hnut.vec.-dopr.prost </t>
  </si>
  <si>
    <t>Oprávky k sam.hnut.veciam nad 1700€</t>
  </si>
  <si>
    <t xml:space="preserve">Obstaranie materiálu </t>
  </si>
  <si>
    <t>Obstaranie materiálu MT - vedľajšie náklady</t>
  </si>
  <si>
    <t>Obstaranie materiálu doprava ext.firmou NO</t>
  </si>
  <si>
    <t>Obstaranie materiálu iné náklady súv.obstar. NO</t>
  </si>
  <si>
    <t xml:space="preserve">Obst. materiálu tuz. </t>
  </si>
  <si>
    <t>Obst. materiálu vedľ.náklady</t>
  </si>
  <si>
    <t>Obst. materiálu zahr. TN</t>
  </si>
  <si>
    <t>Obst. materiálu BB</t>
  </si>
  <si>
    <t>Obst. materiálu BB -vedĺ.náklady</t>
  </si>
  <si>
    <t>Obstaranie materiálu MT</t>
  </si>
  <si>
    <t>Obstaranie materiálu PZH2000 - MT</t>
  </si>
  <si>
    <t>Obstaranie materiálu Zar.mer.vzduchotes.zapaľ. ZVS</t>
  </si>
  <si>
    <t>Obstaranie materiálu - vedľajšie náklady</t>
  </si>
  <si>
    <t>Obstaranie materiálu Integrácia PN Eurenco pre MOSR</t>
  </si>
  <si>
    <t>Obstaranie materiálu 155 mm SMOKE</t>
  </si>
  <si>
    <t>Obstaranie materiálu 155 mm ILLU</t>
  </si>
  <si>
    <t>Obstaranie materiálu - marketing</t>
  </si>
  <si>
    <t>Materiál</t>
  </si>
  <si>
    <t>Materiál TN</t>
  </si>
  <si>
    <t>Materiál na sklade PZH2000 -  MT</t>
  </si>
  <si>
    <t>Materiál - Zar.mer.vzduchotes.zapaľ. ZVS</t>
  </si>
  <si>
    <t>Materiál - Integrácia PN Eurenco pre MOSR</t>
  </si>
  <si>
    <t>OOPP</t>
  </si>
  <si>
    <t>Materiál na sklade 155 mm SMOKE</t>
  </si>
  <si>
    <t xml:space="preserve">Palivo v nádržiach Dubnica </t>
  </si>
  <si>
    <t>Materiál na sklade 155 mm ILLU</t>
  </si>
  <si>
    <t>Priamy materiál-šrot</t>
  </si>
  <si>
    <t>Materiál - kooperácia</t>
  </si>
  <si>
    <t>Materiál na sklade Integrácia PN Eurenco pre MOSR</t>
  </si>
  <si>
    <t>Palivo v nádržiach Trenčín</t>
  </si>
  <si>
    <t>Materiál BB</t>
  </si>
  <si>
    <t>Palivo na sklade  BB</t>
  </si>
  <si>
    <t>Palivo v nádržiach B.Bystrica</t>
  </si>
  <si>
    <t>Materiál na ceste</t>
  </si>
  <si>
    <t>Nedokončená výroba- materiál</t>
  </si>
  <si>
    <t>Nedokončená výroba-nafta</t>
  </si>
  <si>
    <t>Nedokončená výroba-kooperácie</t>
  </si>
  <si>
    <t>Nedokončená výroba-mzdy</t>
  </si>
  <si>
    <t>Nedokončená výroba-soc.poist.</t>
  </si>
  <si>
    <t>Nedokončená výroba-cestovné</t>
  </si>
  <si>
    <t>Nedokončená výroba-jazdné</t>
  </si>
  <si>
    <t>Nedokončená výroba-iné priam.náklad</t>
  </si>
  <si>
    <t>Nedokončená výroba Nováky</t>
  </si>
  <si>
    <t>Nedokončená výroba-režijné mzdy</t>
  </si>
  <si>
    <t>Nedokon.výr.-soc.poist.rež.mzdy</t>
  </si>
  <si>
    <t>Nedokončená výroba-externé výnosy</t>
  </si>
  <si>
    <t>Nedokončená výroba-výrobná réžia</t>
  </si>
  <si>
    <t>Nedokončená výroba BB</t>
  </si>
  <si>
    <t>Nedokončená výroba TN</t>
  </si>
  <si>
    <t>Polotovary vlastnej výroby</t>
  </si>
  <si>
    <t>Výrobky MT</t>
  </si>
  <si>
    <t>Výrobky TN</t>
  </si>
  <si>
    <t>Výrobky BB</t>
  </si>
  <si>
    <t>Obstaranie tovaru - MSL</t>
  </si>
  <si>
    <t xml:space="preserve">Obstaranie tovaru </t>
  </si>
  <si>
    <t>Obstaranie tovaru MSL - ostatné náklady</t>
  </si>
  <si>
    <t>Obstaranie tovaru MT</t>
  </si>
  <si>
    <t>Tovar na sklade - MSL</t>
  </si>
  <si>
    <t>Tovar na sklade TN</t>
  </si>
  <si>
    <t>Tovar na sklade NO</t>
  </si>
  <si>
    <t>Tovar na sklade MT</t>
  </si>
  <si>
    <t>Tovar na ceste-Nováky</t>
  </si>
  <si>
    <t>Opravná položka k materiálu</t>
  </si>
  <si>
    <t>Oprav. pol. k polotov. vl. výroby</t>
  </si>
  <si>
    <t>Opravný položka k výrobkom</t>
  </si>
  <si>
    <t>Pokladnica tuzemská-EUR Nováky</t>
  </si>
  <si>
    <t>Pokladnica CZK</t>
  </si>
  <si>
    <t>Pokladnica - Martin EUR</t>
  </si>
  <si>
    <t>Pokladnica tuzemská EUR TN</t>
  </si>
  <si>
    <t>Valutová pokladnica CZK TN</t>
  </si>
  <si>
    <t>Pokladnica tuzemská EUR BB</t>
  </si>
  <si>
    <t>Valutová pokladnica USD BB</t>
  </si>
  <si>
    <t>Pokladnica DCA</t>
  </si>
  <si>
    <t>Pokladnica DCA CZK</t>
  </si>
  <si>
    <t>Ceniny NO</t>
  </si>
  <si>
    <t>Ceniny NO darčekové poukážky</t>
  </si>
  <si>
    <t xml:space="preserve">Ceniny TN </t>
  </si>
  <si>
    <t>Ceniny MT</t>
  </si>
  <si>
    <t>Ceniny DÚ</t>
  </si>
  <si>
    <t>Bankové účty TB - UV TN</t>
  </si>
  <si>
    <t>Bankové účty TB - USD</t>
  </si>
  <si>
    <t>Bankové účty CB - EUR</t>
  </si>
  <si>
    <t>Bankové účty TB - Nováky</t>
  </si>
  <si>
    <t>Bankové účty ČSOB - EUR</t>
  </si>
  <si>
    <t>Bankové účty TB - TN projekt ZUZANA</t>
  </si>
  <si>
    <t xml:space="preserve">Bankové účty TB </t>
  </si>
  <si>
    <t>Bankové účty Creditas USD</t>
  </si>
  <si>
    <t>Bankové účty-CB USD</t>
  </si>
  <si>
    <t>Bankové účty-CB USD - 0517</t>
  </si>
  <si>
    <t>Bankové účty-CB USD - 0699</t>
  </si>
  <si>
    <t>Bankové účty-CB USD - 0779</t>
  </si>
  <si>
    <t>Bankové účty Creditas CZK</t>
  </si>
  <si>
    <t>Bankové účty TB USD - vkladový účet</t>
  </si>
  <si>
    <t>Bankové účty - Bankové účty TB EUR - vkladový účet</t>
  </si>
  <si>
    <t>Bankové účty INDONEZIA USD</t>
  </si>
  <si>
    <t>Bankové účty-Eximbanka  SR USD</t>
  </si>
  <si>
    <t>Bankové účty - Sberbank CZ</t>
  </si>
  <si>
    <t>Bankové účty - Sberbank EUR</t>
  </si>
  <si>
    <t xml:space="preserve">Bankové účty - Sberbank USD </t>
  </si>
  <si>
    <t>Bankové účty - Poštová banka EUR</t>
  </si>
  <si>
    <t>Bankové účty - Poštová banka USD</t>
  </si>
  <si>
    <t>Bankové účty - CBCZ- EUR</t>
  </si>
  <si>
    <t>Bankové účty - CBCZ - USD</t>
  </si>
  <si>
    <t>Bankové účty - TB EUR NSPA</t>
  </si>
  <si>
    <t>Bankové účty - Česká exportní banka EUR</t>
  </si>
  <si>
    <t>Bankové účty Bielorusko - BYR</t>
  </si>
  <si>
    <t>kreditná karta Ing. Takáč</t>
  </si>
  <si>
    <t>Kreditná karta - p. Goga</t>
  </si>
  <si>
    <t>Kreditná karta - p. Uhrík</t>
  </si>
  <si>
    <t>Kreditná karta - p. Lauš</t>
  </si>
  <si>
    <t>Peniaze na ceste</t>
  </si>
  <si>
    <t>Pen. na ceste-kreditka Ing. GOGA</t>
  </si>
  <si>
    <t>Pen. na ceste-kreditka Ing. JANÍK</t>
  </si>
  <si>
    <t>Pen. na ceste-Ing.Krištof</t>
  </si>
  <si>
    <t xml:space="preserve">Peniaze na ceste - </t>
  </si>
  <si>
    <t>Pen. na ceste-Ing.Ungerová</t>
  </si>
  <si>
    <t>Odberatelia tuzemsko Nováky</t>
  </si>
  <si>
    <t>Odberatelia tuzemsko Nováky SS</t>
  </si>
  <si>
    <t>Odberatelia zahraničie Nováky</t>
  </si>
  <si>
    <t>Odberatelia MT tuzemsko</t>
  </si>
  <si>
    <t>Odberatelia MT tuz.-SS</t>
  </si>
  <si>
    <t xml:space="preserve">Odberatelia MT zahraničie </t>
  </si>
  <si>
    <t>Odberatelia MT zahr.-SS</t>
  </si>
  <si>
    <t xml:space="preserve">Odberatelia TN tuzemsko </t>
  </si>
  <si>
    <t xml:space="preserve">Odberatelia TN zahraničie </t>
  </si>
  <si>
    <t>Odberatelia TN tuz.-SS</t>
  </si>
  <si>
    <t>Odberatelia TN zahr.-SS</t>
  </si>
  <si>
    <t>Poskytnuté prevádzkové preddavky NO</t>
  </si>
  <si>
    <t>Poskytnuté prevádzkové preddavky NO SS</t>
  </si>
  <si>
    <t>Poskytnuté preddavky na zásoby NO</t>
  </si>
  <si>
    <t>Poskytnuté bankové záruky</t>
  </si>
  <si>
    <t>Poskytnuté prevádzkové preddavky MT</t>
  </si>
  <si>
    <t>Poskytnuté prevádzk.preddavky MT tuz.</t>
  </si>
  <si>
    <t>Poskytnuté prevádzk.preddavky MT zahr.</t>
  </si>
  <si>
    <t xml:space="preserve">Poskytnuté prevádzk.preddavky MT tuz.-SS </t>
  </si>
  <si>
    <t>Poskytnuté predd. na zásoby MT tuz.</t>
  </si>
  <si>
    <t>Poskytnuté predd. na tovar MT zahr.</t>
  </si>
  <si>
    <t xml:space="preserve">Poskytnuté predd. na tovar MT tuz.-SS </t>
  </si>
  <si>
    <t>Poskytnuté predd. na zásoby MT zahr.</t>
  </si>
  <si>
    <t>Poskytnuté prevádzkové preddavky TN</t>
  </si>
  <si>
    <t>Poskytnuté prevádzk.preddavky TN tuz.</t>
  </si>
  <si>
    <t>Poskytnuté prevádzk.preddavky TN zahr.</t>
  </si>
  <si>
    <t>Poskytnuté preddavky na zásoby TN</t>
  </si>
  <si>
    <t>DPH z poskytnutého predd.</t>
  </si>
  <si>
    <t>Poskytnuté predd. na zásoby TN zahr.</t>
  </si>
  <si>
    <t>Poskytnuté predd. na zásoby TN tuz.-SS</t>
  </si>
  <si>
    <t xml:space="preserve">Poskyt.predd.-fin.zábezp.byt </t>
  </si>
  <si>
    <t xml:space="preserve">Poskyt.predd.-fin.zábezp.verej.súťaž </t>
  </si>
  <si>
    <t>Ostatné pohľadávky MT tuz.</t>
  </si>
  <si>
    <t>Ostatné pohľadávky MSM Nováky</t>
  </si>
  <si>
    <t>Ostatné pohľadávky MT</t>
  </si>
  <si>
    <t>Ostatné pohľadávky TN tuz.</t>
  </si>
  <si>
    <t>Ostatné pohľadávky MT tuz.-SS</t>
  </si>
  <si>
    <t>Ostatné pohľadávky MT zahr.-SS</t>
  </si>
  <si>
    <t>Ost.pohľ.z postúp. Economic Explosives (Z MSM NO)</t>
  </si>
  <si>
    <t>Dodávatelia-kr.záväzky-tuzemsko NO</t>
  </si>
  <si>
    <t>Dodávatelia-kr.záväzky-tuzemsko NO SS</t>
  </si>
  <si>
    <t>Dodávatelia-kr.záväzky-zahranič.NO</t>
  </si>
  <si>
    <t>Dodávatelia-kr.záväzky-zahranič.NO SS</t>
  </si>
  <si>
    <t xml:space="preserve">Dodávatelia-kr.záväzky-MT tuzemsko </t>
  </si>
  <si>
    <t>Dodávatelia-kr.záväzky-MT tuz.-SS</t>
  </si>
  <si>
    <t>Dodávatelia-kr.záväzky-MT zahraničie</t>
  </si>
  <si>
    <t>Dodávatelia-kr.záväzky-MT zahr.-SS</t>
  </si>
  <si>
    <t xml:space="preserve">Dodávatelia-kr.záväzky-TN tuzemsko </t>
  </si>
  <si>
    <t>Dodávatelia-kr.záväzky-TN zahraničie</t>
  </si>
  <si>
    <t>Dodávatelia-kr.záväzky-TN zahr.-SS</t>
  </si>
  <si>
    <t xml:space="preserve">Dodávatelia-kr.záväzky-BB tuzemsko </t>
  </si>
  <si>
    <t>Dodávatelia-kr.záväzky-BB zahraničie</t>
  </si>
  <si>
    <t>Krátkodobé rezervy-nevyčerp.RD</t>
  </si>
  <si>
    <t>Krátkodobé rezervy-audit</t>
  </si>
  <si>
    <t>Krátkodobé rezervy na reklamácie</t>
  </si>
  <si>
    <t>Krátkodobé rezervy na nevyfakt.dodávky</t>
  </si>
  <si>
    <t xml:space="preserve">Krátkodobé rezervy - ostatné </t>
  </si>
  <si>
    <t xml:space="preserve">Krátkodobé rezervy - ostatné-serv.sl.CSGM </t>
  </si>
  <si>
    <t>Krátkodobé rezervy - ostatné-sl.comm.fee MSM Hol</t>
  </si>
  <si>
    <t>Krátkodobé rezervy - odstupné,odchodné</t>
  </si>
  <si>
    <t>Prijaté preddavky tuzem.NO</t>
  </si>
  <si>
    <t>Prijaté preddavky zahr.NO</t>
  </si>
  <si>
    <t>Prijaté preddavky MT tuz.-SS</t>
  </si>
  <si>
    <t>Prijaté preddavky MT zahraničie</t>
  </si>
  <si>
    <t>Prijaté preddavky MT zahr.-SS</t>
  </si>
  <si>
    <t>Prijaté preddavky TN</t>
  </si>
  <si>
    <t>Prijaté preddavky TN zahr.</t>
  </si>
  <si>
    <t>DPH z prijatého preddavku</t>
  </si>
  <si>
    <t>Ostatné záväzky voči dodávateľom</t>
  </si>
  <si>
    <t>Ostatné záväzky-prenájom DU</t>
  </si>
  <si>
    <t>Ostatné záväzky voči dodávateľom SS z postúpenia</t>
  </si>
  <si>
    <t>Ostatné záväzky MT zahr.-SS</t>
  </si>
  <si>
    <t>Ost.záväzky z postúp.- z STV GR(I.V.A) na MSM MT</t>
  </si>
  <si>
    <t>Ost.záväzky-prenájom bytu TN+BB</t>
  </si>
  <si>
    <t>Nevyfaktúrované dodávky</t>
  </si>
  <si>
    <t>Nevyfaktúrované dodávky SS</t>
  </si>
  <si>
    <t>Nevyfaktúrované dodávky MT tuz.</t>
  </si>
  <si>
    <t>Nevyfaktúrované dodávky MT zahr.</t>
  </si>
  <si>
    <t>Nevyfaktúrované dodávky MT tuz.-SS</t>
  </si>
  <si>
    <t>Nevyfaktúrované dodávky MT zahr.-SS</t>
  </si>
  <si>
    <t xml:space="preserve">Zamestnanci </t>
  </si>
  <si>
    <t>Zamestnanci - učebná zmluva=duálne vzdelávanie</t>
  </si>
  <si>
    <t>Zamestnanci prémie 202212</t>
  </si>
  <si>
    <t>Zamestnanci Bielorusko</t>
  </si>
  <si>
    <t>Záväzky voči zamestnancom</t>
  </si>
  <si>
    <t>Záväzky voči zamestnancom - Timár</t>
  </si>
  <si>
    <t>Záväzky voči zamestnancom - Krištof</t>
  </si>
  <si>
    <t>Záväzky voči zamestnancom - Hrebíček</t>
  </si>
  <si>
    <t>Záväzky voči zamestnancom - Hanzlová</t>
  </si>
  <si>
    <t>Záväzky voči zamestnancom - Stuparič</t>
  </si>
  <si>
    <t>Záväzky voči zamestnancom - Mihál</t>
  </si>
  <si>
    <t>Záväzky voči zamestnancom - Olšovský</t>
  </si>
  <si>
    <t>Záväzky voči zamestnancom - Bačovčin</t>
  </si>
  <si>
    <t>Záväzky voči zamestnancom TN</t>
  </si>
  <si>
    <t>Poskytnutý preddavok zamestnancovi - Ing. Štefan Timár, Pud.</t>
  </si>
  <si>
    <t>Pohľadáv. voči zam.-škoda fin.</t>
  </si>
  <si>
    <t>Poskytnutý preddavok zamestnancovi - Hanzlová</t>
  </si>
  <si>
    <t>Pohľ. voči zames.-vyúčt.SC</t>
  </si>
  <si>
    <t>Stravné lístky (Vaša stravovacia)MT</t>
  </si>
  <si>
    <t>Pohľad. voči zamest.</t>
  </si>
  <si>
    <t>Obedy cudzí</t>
  </si>
  <si>
    <t>Stravné lístky (Vaša strav.)Nováky</t>
  </si>
  <si>
    <t>Pohľadávky voči zamest. - obedy</t>
  </si>
  <si>
    <t>Pohľadávky voči zamestnancom TN</t>
  </si>
  <si>
    <t>Pohľ. voči zam. - strav.pouk. TN</t>
  </si>
  <si>
    <t>Pohľ. voči zam. - obedy TN</t>
  </si>
  <si>
    <t>Pohľadávky voči zamestnancom BB</t>
  </si>
  <si>
    <t>Zúčt.s org.soc.zabezp. a ZP-VŠZP</t>
  </si>
  <si>
    <t>Zúčt.s org.soc.zabezp. a ZP-Dôvera</t>
  </si>
  <si>
    <t>Zúčt.s org.soc.zabez.a ZP-UNION</t>
  </si>
  <si>
    <t>Zúčt.s org.soc. zab.-Soc.poisťov.</t>
  </si>
  <si>
    <t>Zúčt.s org. soc. zab. -rezerva</t>
  </si>
  <si>
    <t>DDP</t>
  </si>
  <si>
    <t>Soc. poisťovňa ČR</t>
  </si>
  <si>
    <t>Všeobec.poisťovňa ČR</t>
  </si>
  <si>
    <t>Ročné zúčt.s org. soc. zabesp. a zdrav.po</t>
  </si>
  <si>
    <t>Zúčt.s org. soc. zabesp. a zdrav.po Bielorusko</t>
  </si>
  <si>
    <t>Daň z príjmov-záloha</t>
  </si>
  <si>
    <t>Daň z príjmov</t>
  </si>
  <si>
    <t>Ostat. priame dane-daň z príj.zames</t>
  </si>
  <si>
    <t>Ostatné priame dane- zrážková daň</t>
  </si>
  <si>
    <t>DPH - vlastná povinnosť</t>
  </si>
  <si>
    <t>DPH - nadmerný odpočet</t>
  </si>
  <si>
    <t>DPH výstup služby z EU 20%</t>
  </si>
  <si>
    <t>DPH výstup EU s odpočtom 20%</t>
  </si>
  <si>
    <t>DPH výstup - služby EU, 3.kr. 20%</t>
  </si>
  <si>
    <t>DPH výstup tuzemsko 20%</t>
  </si>
  <si>
    <t>DPH vstup služby z EU 20%</t>
  </si>
  <si>
    <t>DPH vstup tuzemsko 20%</t>
  </si>
  <si>
    <t>DPH vstup tuzemsko 10%</t>
  </si>
  <si>
    <t>DPH vstup EU s odpočtom 20%</t>
  </si>
  <si>
    <t>DPH vstup z EU s odpoč. oprava 20%</t>
  </si>
  <si>
    <t>DPH výstup z EU s odpoč. oprava 20%</t>
  </si>
  <si>
    <t>DPH vstup tuzemsko oprava 20%</t>
  </si>
  <si>
    <t>DPH vstup - služby EU, 3.kr. 20%</t>
  </si>
  <si>
    <t>Daň z motorových vozidiel</t>
  </si>
  <si>
    <t>Ostatné poplatky a pokuty</t>
  </si>
  <si>
    <t>Správne poplatky a licencie</t>
  </si>
  <si>
    <t xml:space="preserve">Daň z ubytovania </t>
  </si>
  <si>
    <t xml:space="preserve">Fin.prísp.v rámci proj."Prvá pomoc"-Opatrenie č. 3B </t>
  </si>
  <si>
    <t>Pohľadávky v rámci kosol.celku MSM GROUP</t>
  </si>
  <si>
    <t>Pohľadávky v rámci kosol.celku MSM GROUP z postúpenia</t>
  </si>
  <si>
    <t>Pohľadávky v rámci kosol.celku GTB</t>
  </si>
  <si>
    <t>Pohľadáv. v rámci konsol.celku - MSM GROUP - postúpenia</t>
  </si>
  <si>
    <t>Pohľad. voči prepojeným ÚJ a ÚJ v rámci pod.účasti - Ex.Army</t>
  </si>
  <si>
    <t>Pohľad. voči prepojeným ÚJ a ÚJ v rámci pod.účasti - SUMBRO</t>
  </si>
  <si>
    <t>Pohľad. voči prepojeným ÚJ a ÚJ v rámci pod.účasti - CSG a.s</t>
  </si>
  <si>
    <t>Pohľad. voči prepojeným ÚJ a ÚJ v rámci pod.úč.Czech.Trade</t>
  </si>
  <si>
    <t>Pohľad. voči prepojeným ÚJ a ÚJ v rámci pod.účasti MSM Def.I</t>
  </si>
  <si>
    <t>Pohľad. voči prepojeným ÚJ a ÚJ v rámci pod.úč. MSM Hol. NO</t>
  </si>
  <si>
    <t>Pohľad. voči prepojeným ÚJ a ÚJ v rámci pod.úč. MSM Ser. NO</t>
  </si>
  <si>
    <t>Záväzky v rámci konsol.celku Excalibur Army</t>
  </si>
  <si>
    <t>Záväzky v rám konsol.celku Czechoslovak Group</t>
  </si>
  <si>
    <t>Záväzky v rám konsol.celku Czechoslovak Group USD</t>
  </si>
  <si>
    <t>Záväzky v rámci konsol.celku MSM Group</t>
  </si>
  <si>
    <t>Záväzky v rámci konsol.celku MSM GROUP</t>
  </si>
  <si>
    <t>Záväzky v rámci konsol.celku MSM GROUP - pôžičky</t>
  </si>
  <si>
    <t>Záväzky v rámci konsol.celku MSM LAND SYSTEMS</t>
  </si>
  <si>
    <t>Záväzky v rámci konsol.celku MSM Hol. DP</t>
  </si>
  <si>
    <t xml:space="preserve">Záväzky v rámci konsol.celku MSM Ser.  - DP </t>
  </si>
  <si>
    <t>Záväzky v rámci konsol.celku CSG Defence</t>
  </si>
  <si>
    <t>Záväz. z upísan. nesplat CP a vklad</t>
  </si>
  <si>
    <t>Záväz. z upísan. nesplat CP a vklad NO</t>
  </si>
  <si>
    <t>Záväz. z upísan. nesplat CP a vklad BB</t>
  </si>
  <si>
    <t>Záväz. z upísan. nesplat CP a vklad MSM LAND SYSTEMS</t>
  </si>
  <si>
    <t>Iné pohľadávky</t>
  </si>
  <si>
    <t>Iné pohľadávky tuz.</t>
  </si>
  <si>
    <t>Iné pohľadávky zahr.</t>
  </si>
  <si>
    <t>Iné pohľadávky tuz.-SS</t>
  </si>
  <si>
    <t>Iné pohľadávky-vratka DPH z čl.štátov</t>
  </si>
  <si>
    <t>Iné pohľadávky-vratka DPH z čl.štátov ČR</t>
  </si>
  <si>
    <t>Iné pohľadávky - FR (Airports Authority of India )</t>
  </si>
  <si>
    <t>Iné pohľadávky tuz. - refakturácie</t>
  </si>
  <si>
    <t>Pohľadávky z dôvodu vkladu - TN</t>
  </si>
  <si>
    <t>Pohľadávky z dôvodu vkladu - MSM</t>
  </si>
  <si>
    <t>Pohľadávky z dôvodu vkladu - MSM LS</t>
  </si>
  <si>
    <t>Iné záväzky</t>
  </si>
  <si>
    <t>Iné záväzky tuz.</t>
  </si>
  <si>
    <t>Iné záväzky tuz.-SS</t>
  </si>
  <si>
    <t>Iné záväzky zahr.-SS</t>
  </si>
  <si>
    <t>Iné záväzky-zrážky z miezd</t>
  </si>
  <si>
    <t>Iné záväzky-zrážky z miezd odbory</t>
  </si>
  <si>
    <t>CLO a DPR-colný dlh a ostatné</t>
  </si>
  <si>
    <t>Iné záväzky-zrážky z miezd-exekúcie</t>
  </si>
  <si>
    <t>Záväzky - fin.vyspor. - NO</t>
  </si>
  <si>
    <t xml:space="preserve">Záväzky - fin.vyspor.  - MSM LAND SYSTEMS </t>
  </si>
  <si>
    <t>Záväzky z dôvodu vkladu - TN</t>
  </si>
  <si>
    <t>Záväzky z dôvodu vkladu -NO</t>
  </si>
  <si>
    <t>Záväzky z dôvodu vkladu -NO - De Fango</t>
  </si>
  <si>
    <t>Záväzky z dôvodu vkladu - MSM</t>
  </si>
  <si>
    <t>Záväzky z dôvodu vkladu - MSM LS -BZ Kinetics</t>
  </si>
  <si>
    <t>Náklady budúcich období</t>
  </si>
  <si>
    <t>Náklady budúcich období TN+BB</t>
  </si>
  <si>
    <t>Výdavky budúcich období</t>
  </si>
  <si>
    <t xml:space="preserve">Výdavky budúcich období </t>
  </si>
  <si>
    <t>Výnosy budúcich období - spätný leasing</t>
  </si>
  <si>
    <t>Príjmy budúcich období</t>
  </si>
  <si>
    <t>Príjmy budúcich období TN+BB</t>
  </si>
  <si>
    <t>Opravná položka k pohľadávkam - tvorba daňová</t>
  </si>
  <si>
    <t>Opravná položka k pohľadávkam - tvorba nedaňová</t>
  </si>
  <si>
    <t>Zrušenie a zúčtovanie OP daňové</t>
  </si>
  <si>
    <t>Vnútorné zúčtovanie</t>
  </si>
  <si>
    <t>Vnú.zúčt.TN-medziskladové presuny</t>
  </si>
  <si>
    <t>Vnútorné zúčtovanie - sklady</t>
  </si>
  <si>
    <t>Vnút.zúčt.-aktiv.vl.výr.pre prevádz</t>
  </si>
  <si>
    <t>ZI- MSM GROUP s.r.o.</t>
  </si>
  <si>
    <t>Ostatné kapitálové fondy</t>
  </si>
  <si>
    <t>Oceň.rozd.z precen.majetku a závazk</t>
  </si>
  <si>
    <t>Zákonný rezerv. fond</t>
  </si>
  <si>
    <t>Nerozdelený zisk z min.rokov</t>
  </si>
  <si>
    <t>Nerozdelený zisk z min.rokov 2019</t>
  </si>
  <si>
    <t>Neuhrad.strata z min.rokov 2020</t>
  </si>
  <si>
    <t>Výsledok hospod. v schvaľovaní</t>
  </si>
  <si>
    <t>Ostatné rezervy</t>
  </si>
  <si>
    <t>Bankové úvery- CB 7005820408</t>
  </si>
  <si>
    <t>Bankové úvery- CB 7005820408  - splatnosť do 1 roka</t>
  </si>
  <si>
    <t>Záväzky zo soc.fondu-prídel NO,MT,DU</t>
  </si>
  <si>
    <t>Záväzky zo soc.fondu-použitie NO,MT,DU</t>
  </si>
  <si>
    <t>Záväzky zo soc.fondu-prídel TN</t>
  </si>
  <si>
    <t>Záväzky zo soc.fondu-použitie TN</t>
  </si>
  <si>
    <t>Záväzky zo soc.fondu-použitie TN- kultúra</t>
  </si>
  <si>
    <t>Záväzky zo soc.fondu-prídel BB</t>
  </si>
  <si>
    <t>Leasing zar.Trowwal KD</t>
  </si>
  <si>
    <t>Leasing zar.Sprimag KD</t>
  </si>
  <si>
    <t>Leasing Hyundai 16B-9</t>
  </si>
  <si>
    <t>Leasing Hyundai 16B-9  KD</t>
  </si>
  <si>
    <t>Leasing laserový navar.systém</t>
  </si>
  <si>
    <t>Leasing laserový navar.systém KD</t>
  </si>
  <si>
    <t>Leasing dvojnosníkový mostový žeriav</t>
  </si>
  <si>
    <t xml:space="preserve">Leasing dvojnosníkový mostový žeriav KD </t>
  </si>
  <si>
    <t>Leasing CNC drôtová rezačka FANUC ROBOCUT</t>
  </si>
  <si>
    <t>Leasing CNC drôtová rezačka FANUC ROBOCUT KD</t>
  </si>
  <si>
    <t>Leasing CNC elektroerozívna hlbička EXERON EDM</t>
  </si>
  <si>
    <t>Leasing CNC elektroerózna hlbička EXERON EDM KD</t>
  </si>
  <si>
    <t>Leasing farbiaca linka s príslušenstvom</t>
  </si>
  <si>
    <t>Leasing farbiaca linka s príslušenstvom KD</t>
  </si>
  <si>
    <t>Leasing laserové popis.zariadenie FYBRA s príslušenstvom</t>
  </si>
  <si>
    <t>Leasing laserové popis.zariadenie FYBRA  s príslušenstvom KD</t>
  </si>
  <si>
    <t xml:space="preserve">Leasing TN-VzV Toyota TONERO 02-8FDJF35 </t>
  </si>
  <si>
    <t>Leasing TN-VzV Toyota- spl.do 1 roka</t>
  </si>
  <si>
    <t>Leasing  VZV ručný BT STAXIO SWE 120</t>
  </si>
  <si>
    <t>Leasing VZV ručný BT STAXIO SWE 120 KD</t>
  </si>
  <si>
    <t>Leasing VZV Toyota Tonero 02-8FDJF35 prev.Nováky</t>
  </si>
  <si>
    <t>Leasing VZV Toyota Tonero prev. Nováky KD</t>
  </si>
  <si>
    <t>Leasing CNC vertikálne obrábacie centrum</t>
  </si>
  <si>
    <t>Leasing CNC vertikálne obrábacie centrum KD</t>
  </si>
  <si>
    <t xml:space="preserve">Leasing TN-MIKROBUS V250d,TN110FG </t>
  </si>
  <si>
    <t>Leasing TN-MIKROBUS- spl.do 1 roka</t>
  </si>
  <si>
    <t>Leasing CNC elektroerozívna dierovačka</t>
  </si>
  <si>
    <t>Leasing CNC elektroerozívna dierovka KD</t>
  </si>
  <si>
    <t xml:space="preserve">Leasing TN- Plošinový vozík </t>
  </si>
  <si>
    <t xml:space="preserve">Leasing TN- Plošinový vozík- spl.do 1 roka </t>
  </si>
  <si>
    <t>Leasing TN- Skrutkový kompresor</t>
  </si>
  <si>
    <t>Leasing TN- Skrutkový kompresor- spl.do 1 roka</t>
  </si>
  <si>
    <t>Leasing otryskovací stroj</t>
  </si>
  <si>
    <t>Leasing otryskávací stroj KD</t>
  </si>
  <si>
    <t>Leasing plynový kotol</t>
  </si>
  <si>
    <t xml:space="preserve">Leasing plynový  kotol  KD  </t>
  </si>
  <si>
    <t>Leasing TN- LED osvetlenie Lakovňa</t>
  </si>
  <si>
    <t>Leasing TN- LED osvetlenie Lakovňa- spl.do 1 roka</t>
  </si>
  <si>
    <t>Leasing TN- LED osvetlenie PUMS</t>
  </si>
  <si>
    <t>Leasing TN- LED osvetlenie PUMS- spl.do 1 roka</t>
  </si>
  <si>
    <t>Leasing TN- Stĺpový žeriav</t>
  </si>
  <si>
    <t>Leasing TN- Stĺpový žeriav- spl.do 1 roka</t>
  </si>
  <si>
    <t>Leasing TN- Mostový žeriav</t>
  </si>
  <si>
    <t>Leasing TN- Mostový žeriav- spl.do 1 roka</t>
  </si>
  <si>
    <t>Leasing BB-DISK2 Mobilné riad.stan.</t>
  </si>
  <si>
    <t>Leasing BB-DISK2 Mobilné riad.stan.-spl.do 1 roka</t>
  </si>
  <si>
    <t>Octavia PD 053 EP záväzky KD</t>
  </si>
  <si>
    <t>Octavia PD 189 EP záväzky KD</t>
  </si>
  <si>
    <t>Octavia MT 658 DJ záväzky KD</t>
  </si>
  <si>
    <t>Ostatné dlhodobé záväzky  Tatra Leasing - kúpna cena</t>
  </si>
  <si>
    <t>Plošinový vozík - kúpna cena</t>
  </si>
  <si>
    <t>Skrutkový kompresor - kúpna cena</t>
  </si>
  <si>
    <t>LED osvetlenie Lakovňa - kúpna cena</t>
  </si>
  <si>
    <t>LED osvetlenie PUMS - kúpna cena</t>
  </si>
  <si>
    <t>Stĺpový žeriav - kúpna cena</t>
  </si>
  <si>
    <t>Mostový žeriav - kúpna cena</t>
  </si>
  <si>
    <t>DISK2 Mobilné riad.stan.- kúpna cena</t>
  </si>
  <si>
    <t>Odložený daňový záväzok</t>
  </si>
  <si>
    <t>Odložená daňová pohľadávka</t>
  </si>
  <si>
    <t xml:space="preserve">Spotr. priameho paliva nafta </t>
  </si>
  <si>
    <t>Spotreba priameho materiálu MT Zar.mer.vzduchotes.zapaľ. ZVS</t>
  </si>
  <si>
    <t>Spotreba priameho materiálu MT - PHZ 2000</t>
  </si>
  <si>
    <t>Spotreba priameho materiálu Integrácia PN Eurenco pre MOSR</t>
  </si>
  <si>
    <t>Spotreba materiálu- zákazky</t>
  </si>
  <si>
    <t>Spotr.mat.-drob.maj.do 1700€ MT</t>
  </si>
  <si>
    <t xml:space="preserve">Spotr.mater.-kancel.potreby </t>
  </si>
  <si>
    <t>Spotreba náradia</t>
  </si>
  <si>
    <t>Spotreba DHM do 1 700 €</t>
  </si>
  <si>
    <t>Spotreba OOPP-hygien,čistiace,ochr.</t>
  </si>
  <si>
    <t>Spotreba ostatného materiálu</t>
  </si>
  <si>
    <t>Spotreba mater.-daňovo neuznané</t>
  </si>
  <si>
    <t>Spotreba motor.olejov a mazadiel</t>
  </si>
  <si>
    <t>Spotreba PHM-daňovo neuznané</t>
  </si>
  <si>
    <t>Spotreba PHM nafta</t>
  </si>
  <si>
    <t>Predaný tovar</t>
  </si>
  <si>
    <t>Predaný tovar - Nástroj na dočisť.závitu-MPZVS</t>
  </si>
  <si>
    <t>Opravy a udržiavanie</t>
  </si>
  <si>
    <t>Cestovné zákonné -tuzemsko</t>
  </si>
  <si>
    <t>Cestovné zákonné-zahraničie</t>
  </si>
  <si>
    <t>Cestovné -VaV-NSPA PZH2000</t>
  </si>
  <si>
    <t>Náklady na reprezentáciu</t>
  </si>
  <si>
    <t>Ostatné služby - kooperácie</t>
  </si>
  <si>
    <t>Ostatné služby -VaV NSPA PZH 2000</t>
  </si>
  <si>
    <t>Náklady na školenia a kurzy</t>
  </si>
  <si>
    <t>Náklady na licenčné štúdium</t>
  </si>
  <si>
    <t>Náklady na nájomné</t>
  </si>
  <si>
    <t>Náklady na prepravné</t>
  </si>
  <si>
    <t>Náklady na prepravné - zákazka</t>
  </si>
  <si>
    <t>Náklady na spoje- telefóny</t>
  </si>
  <si>
    <t>Ostatné služby</t>
  </si>
  <si>
    <t>Služby CSGM - softvér.licencie</t>
  </si>
  <si>
    <t>Ostatné služby - obchod</t>
  </si>
  <si>
    <t>Ostatné služby - zákazky</t>
  </si>
  <si>
    <t>náklady-  obedy zam.MT</t>
  </si>
  <si>
    <t>Náklady - MS zam.NO</t>
  </si>
  <si>
    <t>Ostatné služby-daňovo neuznané</t>
  </si>
  <si>
    <t>Ostatné služby NDM do 2400€</t>
  </si>
  <si>
    <t>Náklady na poštovné a známky</t>
  </si>
  <si>
    <t>Náklady na audit,  poradenst. a sklad. hospod.</t>
  </si>
  <si>
    <t>Služby SSC MSM Holding</t>
  </si>
  <si>
    <t>Služby commision fee MSM Holding</t>
  </si>
  <si>
    <t>Služby CSGM</t>
  </si>
  <si>
    <t>Náklady na právne a notárske služby</t>
  </si>
  <si>
    <t>Náklady na poradenské služby - zákazky</t>
  </si>
  <si>
    <t>Náklady na park,diaľ.známky,mýto</t>
  </si>
  <si>
    <t>Ostatné služby-DPH neuznaná</t>
  </si>
  <si>
    <t>Mzdové náklady - réžijné mzdy</t>
  </si>
  <si>
    <t>Mzdové náklady  VaV-projekt NSPA PZH 2000</t>
  </si>
  <si>
    <t>Mzdové náklady  VaV-projekt Zar.mer.vzduchotes.zapaľ. ZVS</t>
  </si>
  <si>
    <t>Mzdové náklady  VaV-projekt Nástroj na dočisť.závitu-MPZVS</t>
  </si>
  <si>
    <t>Mzdové náklady  VaV-projekt SMOKE 155</t>
  </si>
  <si>
    <t>Mzdové náklady-RD</t>
  </si>
  <si>
    <t>Mzdové náklady  VaV-projekt ILLU</t>
  </si>
  <si>
    <t>Mzdové náklady-práca na dohodu</t>
  </si>
  <si>
    <t>Mzdové náklady-prémie 202212</t>
  </si>
  <si>
    <t>Zák.sociál.zabezpeč.-priame mzdy NE</t>
  </si>
  <si>
    <t>Odvod ZP,SP - režijné mzdy</t>
  </si>
  <si>
    <t>Odvod ZP,SP-VaV-projekt- NSPA PZH 2000</t>
  </si>
  <si>
    <t>Odvod ZP,SP-VaV Zar.mer.vzduchotes.zapaľ. ZVS</t>
  </si>
  <si>
    <t>Odvod ZP,SP-VaV SMOKE 155</t>
  </si>
  <si>
    <t>Odvod ZP,SP-VaV ILLU</t>
  </si>
  <si>
    <t>Zákonné sociálne náklady</t>
  </si>
  <si>
    <t>Zákonné sociál.nákl.-náhrada príjmu</t>
  </si>
  <si>
    <t>Zákonné sociál.nákl.-stravné 55%</t>
  </si>
  <si>
    <t>Zákon.soc.náklady- lekár.prehl.</t>
  </si>
  <si>
    <t>Ostatné sociálne náklady-benefity</t>
  </si>
  <si>
    <t>Ostatné sociálne náklady-nedaňové</t>
  </si>
  <si>
    <t>Správne,súdne a pod.poplatky</t>
  </si>
  <si>
    <t>Ostatné poplatky</t>
  </si>
  <si>
    <t>Predaný materiál</t>
  </si>
  <si>
    <t>Zmluv.pokuty,pen.a úroky z omeš-DF,</t>
  </si>
  <si>
    <t>Ost.pokuty,penál.a úroky-danePP</t>
  </si>
  <si>
    <t>Ostat.pokuty,penále,a úroky-PP</t>
  </si>
  <si>
    <t>Tvorba a zúčtov.OP k pohľadávkam-nedaň.</t>
  </si>
  <si>
    <t>Centové vyrovnanie</t>
  </si>
  <si>
    <t>Poistenie osôb - ostatné</t>
  </si>
  <si>
    <t>Poistenie majetku</t>
  </si>
  <si>
    <t>Príspevky záujmovým združeniam</t>
  </si>
  <si>
    <t>Ostatné náklady na hosp.činnosť-PP</t>
  </si>
  <si>
    <t xml:space="preserve">Odpisy DNM </t>
  </si>
  <si>
    <t>Odpisy  DHM</t>
  </si>
  <si>
    <t>Úroky bankové</t>
  </si>
  <si>
    <t>Úroky ostatné</t>
  </si>
  <si>
    <t>Úroky pre prepojené jednotky</t>
  </si>
  <si>
    <t>Kurzové straty-uzatv.účt.kníh</t>
  </si>
  <si>
    <t>Kurzové straty-pohľ.,záväzky,BU</t>
  </si>
  <si>
    <t>Ostatné finančné náklady</t>
  </si>
  <si>
    <t>Ostatné finančné náklady- NSPA</t>
  </si>
  <si>
    <t>Daň z príjmov z bež.činn.-splatná</t>
  </si>
  <si>
    <t>DzP - daň z bank.úrokov</t>
  </si>
  <si>
    <t>Daň z príjmov z bež.činn.-odložená</t>
  </si>
  <si>
    <t>Tržby za vlastné výrobky- zahranicie NSPA - 280</t>
  </si>
  <si>
    <t>Tržby za výrobky TN+MT tuz.-SS</t>
  </si>
  <si>
    <t>Tržby z predaja služieb-doprava</t>
  </si>
  <si>
    <t>Tržby z predaja služieb-V&amp;V</t>
  </si>
  <si>
    <t>Tržby z predaja služieb MT zahr.</t>
  </si>
  <si>
    <t>Tržby za tovar zahr.</t>
  </si>
  <si>
    <t>Tržby za tovar tuz.-SS</t>
  </si>
  <si>
    <t>Tržby za tovar zahr.-SS</t>
  </si>
  <si>
    <t>Tržby za tovar ostatné</t>
  </si>
  <si>
    <t>Zmena stavu nedok.výroby-materiál</t>
  </si>
  <si>
    <t>Zmena stavu nedok.výroby-kooperácie</t>
  </si>
  <si>
    <t>Zmena stavu nedok.výroby-soc.poist.</t>
  </si>
  <si>
    <t>Zmena stavu nedok.výr-režijné mzdy</t>
  </si>
  <si>
    <t>Zmena stavu výrobkov-materiál</t>
  </si>
  <si>
    <t>Zmena stavu výrobkov-kooperácie</t>
  </si>
  <si>
    <t>Zmena stavu výrobkov-mzdy</t>
  </si>
  <si>
    <t>Zmena stavu výrobkov-soc.poist.</t>
  </si>
  <si>
    <t>Aktiv. dlhodob.nehmot.majetku - vývoj</t>
  </si>
  <si>
    <t>Tržby z predaja materiálu zahr.</t>
  </si>
  <si>
    <t>Tržby z predaja materiálu tuz.-SS</t>
  </si>
  <si>
    <t>Ostatné výnosy-centové vyrovnanie</t>
  </si>
  <si>
    <t>Ostatné výnosy</t>
  </si>
  <si>
    <t>Úroky od prepojených účtov.jednotiek</t>
  </si>
  <si>
    <t>Kurzové zisky-uzatv.účt.kníh</t>
  </si>
  <si>
    <t>Kurzové zisky-pohľ. a záväzky</t>
  </si>
  <si>
    <t>Ostatné finančné výnosy</t>
  </si>
  <si>
    <t>Syn. Acc.</t>
  </si>
  <si>
    <t>191</t>
  </si>
  <si>
    <t>193</t>
  </si>
  <si>
    <t>194</t>
  </si>
  <si>
    <t>211</t>
  </si>
  <si>
    <t>213</t>
  </si>
  <si>
    <t>221</t>
  </si>
  <si>
    <t>231</t>
  </si>
  <si>
    <t>261</t>
  </si>
  <si>
    <t>311</t>
  </si>
  <si>
    <t>314</t>
  </si>
  <si>
    <t>315</t>
  </si>
  <si>
    <t>321</t>
  </si>
  <si>
    <t>323</t>
  </si>
  <si>
    <t>324</t>
  </si>
  <si>
    <t>325</t>
  </si>
  <si>
    <t>326</t>
  </si>
  <si>
    <t>331</t>
  </si>
  <si>
    <t>333</t>
  </si>
  <si>
    <t>335</t>
  </si>
  <si>
    <t>336</t>
  </si>
  <si>
    <t>341</t>
  </si>
  <si>
    <t>342</t>
  </si>
  <si>
    <t>343</t>
  </si>
  <si>
    <t>345</t>
  </si>
  <si>
    <t>346</t>
  </si>
  <si>
    <t>351</t>
  </si>
  <si>
    <t>361</t>
  </si>
  <si>
    <t>367</t>
  </si>
  <si>
    <t>378</t>
  </si>
  <si>
    <t>379</t>
  </si>
  <si>
    <t>381</t>
  </si>
  <si>
    <t>383</t>
  </si>
  <si>
    <t>384</t>
  </si>
  <si>
    <t>385</t>
  </si>
  <si>
    <t>391</t>
  </si>
  <si>
    <t>395</t>
  </si>
  <si>
    <t>411</t>
  </si>
  <si>
    <t>413</t>
  </si>
  <si>
    <t>414</t>
  </si>
  <si>
    <t>421</t>
  </si>
  <si>
    <t>428</t>
  </si>
  <si>
    <t>429</t>
  </si>
  <si>
    <t>431</t>
  </si>
  <si>
    <t>459</t>
  </si>
  <si>
    <t>461</t>
  </si>
  <si>
    <t>472</t>
  </si>
  <si>
    <t>474</t>
  </si>
  <si>
    <t>479</t>
  </si>
  <si>
    <t>481</t>
  </si>
  <si>
    <t>501</t>
  </si>
  <si>
    <t>504</t>
  </si>
  <si>
    <t>511</t>
  </si>
  <si>
    <t>512</t>
  </si>
  <si>
    <t>513</t>
  </si>
  <si>
    <t>518</t>
  </si>
  <si>
    <t>521</t>
  </si>
  <si>
    <t>524</t>
  </si>
  <si>
    <t>525</t>
  </si>
  <si>
    <t>527</t>
  </si>
  <si>
    <t>528</t>
  </si>
  <si>
    <t>538</t>
  </si>
  <si>
    <t>542</t>
  </si>
  <si>
    <t>544</t>
  </si>
  <si>
    <t>545</t>
  </si>
  <si>
    <t>547</t>
  </si>
  <si>
    <t>548</t>
  </si>
  <si>
    <t>551</t>
  </si>
  <si>
    <t>562</t>
  </si>
  <si>
    <t>563</t>
  </si>
  <si>
    <t>568</t>
  </si>
  <si>
    <t>591</t>
  </si>
  <si>
    <t>592</t>
  </si>
  <si>
    <t>601</t>
  </si>
  <si>
    <t>602</t>
  </si>
  <si>
    <t>604</t>
  </si>
  <si>
    <t>611</t>
  </si>
  <si>
    <t>613</t>
  </si>
  <si>
    <t>623</t>
  </si>
  <si>
    <t>642</t>
  </si>
  <si>
    <t>648</t>
  </si>
  <si>
    <t>662</t>
  </si>
  <si>
    <t>663</t>
  </si>
  <si>
    <t>668</t>
  </si>
  <si>
    <t>192</t>
  </si>
  <si>
    <t>195</t>
  </si>
  <si>
    <t>196</t>
  </si>
  <si>
    <t>232</t>
  </si>
  <si>
    <t>241</t>
  </si>
  <si>
    <t>249</t>
  </si>
  <si>
    <t>251</t>
  </si>
  <si>
    <t>252</t>
  </si>
  <si>
    <t>253</t>
  </si>
  <si>
    <t>255</t>
  </si>
  <si>
    <t>256</t>
  </si>
  <si>
    <t>257</t>
  </si>
  <si>
    <t>259</t>
  </si>
  <si>
    <t>291</t>
  </si>
  <si>
    <t>312</t>
  </si>
  <si>
    <t>313</t>
  </si>
  <si>
    <t>316</t>
  </si>
  <si>
    <t>322</t>
  </si>
  <si>
    <t>347</t>
  </si>
  <si>
    <t>353</t>
  </si>
  <si>
    <t>354</t>
  </si>
  <si>
    <t>355</t>
  </si>
  <si>
    <t>358</t>
  </si>
  <si>
    <t>364</t>
  </si>
  <si>
    <t>365</t>
  </si>
  <si>
    <t>366</t>
  </si>
  <si>
    <t>368</t>
  </si>
  <si>
    <t>371</t>
  </si>
  <si>
    <t>372</t>
  </si>
  <si>
    <t>373</t>
  </si>
  <si>
    <t>374</t>
  </si>
  <si>
    <t>375</t>
  </si>
  <si>
    <t>376</t>
  </si>
  <si>
    <t>377</t>
  </si>
  <si>
    <t>382</t>
  </si>
  <si>
    <t>398</t>
  </si>
  <si>
    <t>412</t>
  </si>
  <si>
    <t>415</t>
  </si>
  <si>
    <t>416</t>
  </si>
  <si>
    <t>417</t>
  </si>
  <si>
    <t>418</t>
  </si>
  <si>
    <t>419</t>
  </si>
  <si>
    <t>422</t>
  </si>
  <si>
    <t>423</t>
  </si>
  <si>
    <t>427</t>
  </si>
  <si>
    <t>451</t>
  </si>
  <si>
    <t>471</t>
  </si>
  <si>
    <t>473</t>
  </si>
  <si>
    <t>475</t>
  </si>
  <si>
    <t>476</t>
  </si>
  <si>
    <t>478</t>
  </si>
  <si>
    <t>491</t>
  </si>
  <si>
    <t>502</t>
  </si>
  <si>
    <t>503</t>
  </si>
  <si>
    <t>505</t>
  </si>
  <si>
    <t>507</t>
  </si>
  <si>
    <t>522</t>
  </si>
  <si>
    <t>523</t>
  </si>
  <si>
    <t>526</t>
  </si>
  <si>
    <t>531</t>
  </si>
  <si>
    <t>532</t>
  </si>
  <si>
    <t>541</t>
  </si>
  <si>
    <t>543</t>
  </si>
  <si>
    <t>546</t>
  </si>
  <si>
    <t>549</t>
  </si>
  <si>
    <t>553</t>
  </si>
  <si>
    <t>555</t>
  </si>
  <si>
    <t>557</t>
  </si>
  <si>
    <t>561</t>
  </si>
  <si>
    <t>564</t>
  </si>
  <si>
    <t>565</t>
  </si>
  <si>
    <t>566</t>
  </si>
  <si>
    <t>567</t>
  </si>
  <si>
    <t>569</t>
  </si>
  <si>
    <t>595</t>
  </si>
  <si>
    <t>596</t>
  </si>
  <si>
    <t>606</t>
  </si>
  <si>
    <t>607</t>
  </si>
  <si>
    <t>612</t>
  </si>
  <si>
    <t>614</t>
  </si>
  <si>
    <t>621</t>
  </si>
  <si>
    <t>622</t>
  </si>
  <si>
    <t>624</t>
  </si>
  <si>
    <t>641</t>
  </si>
  <si>
    <t>644</t>
  </si>
  <si>
    <t>645</t>
  </si>
  <si>
    <t>646</t>
  </si>
  <si>
    <t>655</t>
  </si>
  <si>
    <t>657</t>
  </si>
  <si>
    <t>661</t>
  </si>
  <si>
    <t>664</t>
  </si>
  <si>
    <t>665</t>
  </si>
  <si>
    <t>666</t>
  </si>
  <si>
    <t>667</t>
  </si>
  <si>
    <t>GL @ 31.12.2022</t>
  </si>
  <si>
    <t>vlookuped CB @ 31.12.2022</t>
  </si>
  <si>
    <t>13 Celková hodnota</t>
  </si>
  <si>
    <t>14 Celková hodnota</t>
  </si>
  <si>
    <t>21 Celková hodnota</t>
  </si>
  <si>
    <t>22 Celková hodnota</t>
  </si>
  <si>
    <t>31 Celková hodnota</t>
  </si>
  <si>
    <t>41 Celková hodnota</t>
  </si>
  <si>
    <t>42 Celková hodnota</t>
  </si>
  <si>
    <t>52 Celková hodnota</t>
  </si>
  <si>
    <t>61 Celková hodnota</t>
  </si>
  <si>
    <t>73 Celková hodnota</t>
  </si>
  <si>
    <t>74 Celková hodnota</t>
  </si>
  <si>
    <t>81 Celková hodnota</t>
  </si>
  <si>
    <t>82 Celková hodnota</t>
  </si>
  <si>
    <t>111 Celková hodnota</t>
  </si>
  <si>
    <t>112 Celková hodnota</t>
  </si>
  <si>
    <t>119 Celková hodnota</t>
  </si>
  <si>
    <t>121 Celková hodnota</t>
  </si>
  <si>
    <t>122 Celková hodnota</t>
  </si>
  <si>
    <t>123 Celková hodnota</t>
  </si>
  <si>
    <t>131 Celková hodnota</t>
  </si>
  <si>
    <t>132 Celková hodnota</t>
  </si>
  <si>
    <t>139 Celková hodnota</t>
  </si>
  <si>
    <t>191 Celková hodnota</t>
  </si>
  <si>
    <t>193 Celková hodnota</t>
  </si>
  <si>
    <t>194 Celková hodnota</t>
  </si>
  <si>
    <t>211 Celková hodnota</t>
  </si>
  <si>
    <t>213 Celková hodnota</t>
  </si>
  <si>
    <t>221 Celková hodnota</t>
  </si>
  <si>
    <t>231 Celková hodnota</t>
  </si>
  <si>
    <t>261 Celková hodnota</t>
  </si>
  <si>
    <t>311 Celková hodnota</t>
  </si>
  <si>
    <t>314 Celková hodnota</t>
  </si>
  <si>
    <t>315 Celková hodnota</t>
  </si>
  <si>
    <t>321 Celková hodnota</t>
  </si>
  <si>
    <t>323 Celková hodnota</t>
  </si>
  <si>
    <t>324 Celková hodnota</t>
  </si>
  <si>
    <t>325 Celková hodnota</t>
  </si>
  <si>
    <t>326 Celková hodnota</t>
  </si>
  <si>
    <t>331 Celková hodnota</t>
  </si>
  <si>
    <t>333 Celková hodnota</t>
  </si>
  <si>
    <t>335 Celková hodnota</t>
  </si>
  <si>
    <t>336 Celková hodnota</t>
  </si>
  <si>
    <t>341 Celková hodnota</t>
  </si>
  <si>
    <t>342 Celková hodnota</t>
  </si>
  <si>
    <t>343 Celková hodnota</t>
  </si>
  <si>
    <t>345 Celková hodnota</t>
  </si>
  <si>
    <t>346 Celková hodnota</t>
  </si>
  <si>
    <t>351 Celková hodnota</t>
  </si>
  <si>
    <t>361 Celková hodnota</t>
  </si>
  <si>
    <t>367 Celková hodnota</t>
  </si>
  <si>
    <t>378 Celková hodnota</t>
  </si>
  <si>
    <t>379 Celková hodnota</t>
  </si>
  <si>
    <t>381 Celková hodnota</t>
  </si>
  <si>
    <t>383 Celková hodnota</t>
  </si>
  <si>
    <t>384 Celková hodnota</t>
  </si>
  <si>
    <t>385 Celková hodnota</t>
  </si>
  <si>
    <t>391 Celková hodnota</t>
  </si>
  <si>
    <t>395 Celková hodnota</t>
  </si>
  <si>
    <t>411 Celková hodnota</t>
  </si>
  <si>
    <t>413 Celková hodnota</t>
  </si>
  <si>
    <t>414 Celková hodnota</t>
  </si>
  <si>
    <t>421 Celková hodnota</t>
  </si>
  <si>
    <t>428 Celková hodnota</t>
  </si>
  <si>
    <t>429 Celková hodnota</t>
  </si>
  <si>
    <t>431 Celková hodnota</t>
  </si>
  <si>
    <t>459 Celková hodnota</t>
  </si>
  <si>
    <t>461 Celková hodnota</t>
  </si>
  <si>
    <t>472 Celková hodnota</t>
  </si>
  <si>
    <t>474 Celková hodnota</t>
  </si>
  <si>
    <t>479 Celková hodnota</t>
  </si>
  <si>
    <t>481 Celková hodnota</t>
  </si>
  <si>
    <t>501 Celková hodnota</t>
  </si>
  <si>
    <t>504 Celková hodnota</t>
  </si>
  <si>
    <t>511 Celková hodnota</t>
  </si>
  <si>
    <t>512 Celková hodnota</t>
  </si>
  <si>
    <t>513 Celková hodnota</t>
  </si>
  <si>
    <t>518 Celková hodnota</t>
  </si>
  <si>
    <t>521 Celková hodnota</t>
  </si>
  <si>
    <t>524 Celková hodnota</t>
  </si>
  <si>
    <t>525 Celková hodnota</t>
  </si>
  <si>
    <t>527 Celková hodnota</t>
  </si>
  <si>
    <t>528 Celková hodnota</t>
  </si>
  <si>
    <t>538 Celková hodnota</t>
  </si>
  <si>
    <t>542 Celková hodnota</t>
  </si>
  <si>
    <t>544 Celková hodnota</t>
  </si>
  <si>
    <t>545 Celková hodnota</t>
  </si>
  <si>
    <t>547 Celková hodnota</t>
  </si>
  <si>
    <t>548 Celková hodnota</t>
  </si>
  <si>
    <t>551 Celková hodnota</t>
  </si>
  <si>
    <t>562 Celková hodnota</t>
  </si>
  <si>
    <t>563 Celková hodnota</t>
  </si>
  <si>
    <t>568 Celková hodnota</t>
  </si>
  <si>
    <t>591 Celková hodnota</t>
  </si>
  <si>
    <t>592 Celková hodnota</t>
  </si>
  <si>
    <t>601 Celková hodnota</t>
  </si>
  <si>
    <t>602 Celková hodnota</t>
  </si>
  <si>
    <t>604 Celková hodnota</t>
  </si>
  <si>
    <t>611 Celková hodnota</t>
  </si>
  <si>
    <t>613 Celková hodnota</t>
  </si>
  <si>
    <t>623 Celková hodnota</t>
  </si>
  <si>
    <t>642 Celková hodnota</t>
  </si>
  <si>
    <t>648 Celková hodnota</t>
  </si>
  <si>
    <t>662 Celková hodnota</t>
  </si>
  <si>
    <t>663 Celková hodnota</t>
  </si>
  <si>
    <t>668 Celková hodnota</t>
  </si>
  <si>
    <t>Celkový súčet</t>
  </si>
  <si>
    <t>GL VLOOKUP</t>
  </si>
  <si>
    <t>final for CF GL</t>
  </si>
  <si>
    <t>31.12.2022</t>
  </si>
  <si>
    <t>2023</t>
  </si>
  <si>
    <t>AYA 563010</t>
  </si>
  <si>
    <t>AYA 663010</t>
  </si>
  <si>
    <t>CR 429</t>
  </si>
  <si>
    <t>kontokorentný úver č. 1 - Sberbank</t>
  </si>
  <si>
    <t>necashová operácia - precenenie podielu v MSM NO k 31.12.2022</t>
  </si>
  <si>
    <t>Súvaha k 31. decembru 2022</t>
  </si>
  <si>
    <t>Výkaz ziskov a strát za rok končiaci sa 31. decembra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</si>
</sst>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_ * #,##0.00_ ;_ * \-#,##0.00_ ;_ * &quot;-&quot;??_ ;_ @_ "/>
    <numFmt numFmtId="166" formatCode="#,##0&quot; &quot;;\(#,##0\);\-&quot;  &quot;"/>
    <numFmt numFmtId="167" formatCode="dd/\ mm/\ yyyy"/>
    <numFmt numFmtId="168" formatCode="_ * #,##0_ ;_ * \-#,##0_ ;_ * &quot;-&quot;??_ ;_ @_ "/>
    <numFmt numFmtId="169" formatCode="_ &quot;$&quot;\ * #,##0.00_ ;_ &quot;$&quot;\ * \-#,##0.00_ ;_ &quot;$&quot;\ * &quot;-&quot;??_ ;_ @_ "/>
    <numFmt numFmtId="170" formatCode="#,##0_);\(#,##0\);&quot;-&quot;_)"/>
    <numFmt numFmtId="171" formatCode="#,##0.00\ &quot;€&quot;"/>
    <numFmt numFmtId="172" formatCode="_-* #,##0.00\ _€_-;\-* #,##0.00\ _€_-;_-* &quot;-&quot;??\ _€_-;_-@_-"/>
    <numFmt numFmtId="173" formatCode="#,##0_ ;\-#,##0\ "/>
  </numFmts>
  <fonts count="181">
    <font>
      <sz val="10"/>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Times New Roman"/>
      <family val="1"/>
    </font>
    <font>
      <sz val="10"/>
      <name val="Arial"/>
      <family val="2"/>
    </font>
    <font>
      <b/>
      <sz val="10"/>
      <name val="Arial"/>
      <family val="2"/>
    </font>
    <font>
      <i/>
      <sz val="10"/>
      <name val="Arial"/>
      <family val="2"/>
    </font>
    <font>
      <sz val="10"/>
      <name val="MS Sans Serif"/>
      <family val="2"/>
    </font>
    <font>
      <sz val="10"/>
      <name val="MS Sans Serif"/>
      <family val="2"/>
      <charset val="238"/>
    </font>
    <font>
      <b/>
      <sz val="12"/>
      <name val="Verdana"/>
      <family val="2"/>
    </font>
    <font>
      <sz val="9.5"/>
      <name val="Verdana"/>
      <family val="2"/>
    </font>
    <font>
      <b/>
      <sz val="9.5"/>
      <name val="Verdana"/>
      <family val="2"/>
    </font>
    <font>
      <sz val="8.5"/>
      <name val="Verdana"/>
      <family val="2"/>
    </font>
    <font>
      <b/>
      <sz val="11"/>
      <name val="Verdana"/>
      <family val="2"/>
    </font>
    <font>
      <sz val="11"/>
      <name val="Verdana"/>
      <family val="2"/>
    </font>
    <font>
      <b/>
      <sz val="9"/>
      <name val="Verdana"/>
      <family val="2"/>
    </font>
    <font>
      <sz val="12"/>
      <name val="Verdana"/>
      <family val="2"/>
    </font>
    <font>
      <sz val="9"/>
      <name val="Verdana"/>
      <family val="2"/>
    </font>
    <font>
      <sz val="7.5"/>
      <name val="Verdana"/>
      <family val="2"/>
    </font>
    <font>
      <b/>
      <sz val="7.5"/>
      <name val="Verdana"/>
      <family val="2"/>
    </font>
    <font>
      <b/>
      <sz val="8.5"/>
      <name val="Verdana"/>
      <family val="2"/>
    </font>
    <font>
      <sz val="7"/>
      <name val="Verdana"/>
      <family val="2"/>
    </font>
    <font>
      <b/>
      <i/>
      <sz val="10"/>
      <name val="Arial"/>
      <family val="2"/>
    </font>
    <font>
      <u/>
      <sz val="10"/>
      <color theme="10"/>
      <name val="Arial"/>
      <family val="2"/>
    </font>
    <font>
      <b/>
      <sz val="10"/>
      <color theme="3"/>
      <name val="Arial"/>
      <family val="2"/>
    </font>
    <font>
      <b/>
      <sz val="7.5"/>
      <color theme="3"/>
      <name val="Verdana"/>
      <family val="2"/>
    </font>
    <font>
      <b/>
      <sz val="7.5"/>
      <color theme="0"/>
      <name val="Verdana"/>
      <family val="2"/>
    </font>
    <font>
      <b/>
      <sz val="20"/>
      <color theme="0"/>
      <name val="Arial"/>
      <family val="2"/>
    </font>
    <font>
      <b/>
      <sz val="10"/>
      <color rgb="FFFF0000"/>
      <name val="Arial"/>
      <family val="2"/>
    </font>
    <font>
      <sz val="10"/>
      <color theme="0" tint="-0.34998626667073579"/>
      <name val="Arial"/>
      <family val="2"/>
    </font>
    <font>
      <sz val="10"/>
      <name val="MS Sans Serif"/>
      <family val="2"/>
    </font>
    <font>
      <vertAlign val="superscript"/>
      <sz val="9.5"/>
      <name val="Verdana"/>
      <family val="2"/>
    </font>
    <font>
      <sz val="10"/>
      <color rgb="FFFF0000"/>
      <name val="Arial"/>
      <family val="2"/>
    </font>
    <font>
      <sz val="9.5"/>
      <name val="Verdana"/>
      <family val="2"/>
      <charset val="238"/>
    </font>
    <font>
      <sz val="9.5"/>
      <color rgb="FFFF0000"/>
      <name val="Verdana"/>
      <family val="2"/>
    </font>
    <font>
      <b/>
      <sz val="9"/>
      <name val="Arial"/>
      <family val="2"/>
    </font>
    <font>
      <b/>
      <u/>
      <sz val="14"/>
      <name val="Arial"/>
      <family val="2"/>
    </font>
    <font>
      <sz val="9"/>
      <name val="Arial"/>
      <family val="2"/>
    </font>
    <font>
      <b/>
      <u/>
      <sz val="10"/>
      <name val="Arial"/>
      <family val="2"/>
    </font>
    <font>
      <b/>
      <sz val="10"/>
      <color indexed="10"/>
      <name val="Arial"/>
      <family val="2"/>
    </font>
    <font>
      <sz val="10"/>
      <color indexed="12"/>
      <name val="Arial"/>
      <family val="2"/>
    </font>
    <font>
      <u/>
      <sz val="10"/>
      <name val="Arial"/>
      <family val="2"/>
    </font>
    <font>
      <b/>
      <sz val="10"/>
      <name val="Arial"/>
      <family val="2"/>
      <charset val="238"/>
    </font>
    <font>
      <b/>
      <sz val="10"/>
      <color theme="1"/>
      <name val="Arial"/>
      <family val="2"/>
      <charset val="238"/>
    </font>
    <font>
      <sz val="12"/>
      <name val="RomanEES"/>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Arial"/>
      <family val="2"/>
      <charset val="238"/>
    </font>
    <font>
      <sz val="11"/>
      <color theme="1"/>
      <name val="Czcionka tekstu podstawowego"/>
      <family val="2"/>
      <charset val="238"/>
    </font>
    <font>
      <sz val="10"/>
      <color theme="1"/>
      <name val="Calibri"/>
      <family val="2"/>
      <scheme val="minor"/>
    </font>
    <font>
      <sz val="10"/>
      <color theme="0"/>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sz val="10"/>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0"/>
      <color theme="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sz val="10"/>
      <name val="Arial"/>
      <family val="2"/>
    </font>
    <font>
      <i/>
      <sz val="10"/>
      <color rgb="FFFF0000"/>
      <name val="Arial"/>
      <family val="2"/>
      <charset val="238"/>
    </font>
    <font>
      <b/>
      <sz val="7.5"/>
      <name val="Verdana"/>
      <family val="2"/>
      <charset val="238"/>
    </font>
    <font>
      <sz val="7.5"/>
      <name val="Verdana"/>
      <family val="2"/>
      <charset val="238"/>
    </font>
    <font>
      <sz val="10"/>
      <name val="Arial CE"/>
      <family val="2"/>
      <charset val="238"/>
    </font>
    <font>
      <i/>
      <sz val="10"/>
      <name val="Arial CE"/>
      <family val="2"/>
      <charset val="238"/>
    </font>
    <font>
      <sz val="6"/>
      <name val="Arial CE"/>
      <family val="2"/>
      <charset val="238"/>
    </font>
    <font>
      <sz val="10"/>
      <name val="Arial CE"/>
      <charset val="238"/>
    </font>
    <font>
      <b/>
      <sz val="16"/>
      <name val="Arial"/>
      <family val="2"/>
    </font>
    <font>
      <b/>
      <sz val="14"/>
      <name val="Arial CE"/>
      <family val="2"/>
      <charset val="238"/>
    </font>
    <font>
      <b/>
      <sz val="16"/>
      <name val="Arial CE"/>
      <family val="2"/>
      <charset val="238"/>
    </font>
    <font>
      <b/>
      <sz val="11"/>
      <name val="Arial CE"/>
      <family val="2"/>
      <charset val="238"/>
    </font>
    <font>
      <sz val="11"/>
      <name val="Arial CE"/>
      <family val="2"/>
      <charset val="238"/>
    </font>
    <font>
      <sz val="9"/>
      <name val="Arial CE"/>
      <family val="2"/>
      <charset val="238"/>
    </font>
    <font>
      <b/>
      <sz val="9"/>
      <name val="Arial CE"/>
      <family val="2"/>
      <charset val="238"/>
    </font>
    <font>
      <b/>
      <i/>
      <sz val="10"/>
      <name val="Arial CE"/>
      <family val="2"/>
      <charset val="238"/>
    </font>
    <font>
      <sz val="8.75"/>
      <name val="Arial CE"/>
      <family val="2"/>
      <charset val="238"/>
    </font>
    <font>
      <sz val="8.5"/>
      <name val="Arial CE"/>
      <family val="2"/>
      <charset val="238"/>
    </font>
    <font>
      <b/>
      <sz val="10"/>
      <name val="Arial CE"/>
      <family val="2"/>
      <charset val="238"/>
    </font>
    <font>
      <i/>
      <sz val="8.5"/>
      <name val="Arial CE"/>
      <family val="2"/>
      <charset val="238"/>
    </font>
    <font>
      <b/>
      <sz val="8.5"/>
      <name val="Arial CE"/>
      <family val="2"/>
      <charset val="238"/>
    </font>
    <font>
      <i/>
      <sz val="8.5"/>
      <name val="Arial CE"/>
      <charset val="238"/>
    </font>
    <font>
      <i/>
      <sz val="10"/>
      <name val="Arial CE"/>
      <charset val="238"/>
    </font>
    <font>
      <b/>
      <i/>
      <sz val="18"/>
      <name val="Arial CE"/>
      <family val="2"/>
      <charset val="238"/>
    </font>
    <font>
      <sz val="8"/>
      <name val="Arial CE"/>
      <family val="2"/>
      <charset val="238"/>
    </font>
    <font>
      <b/>
      <sz val="10.5"/>
      <name val="Arial CE"/>
      <family val="2"/>
      <charset val="238"/>
    </font>
    <font>
      <b/>
      <i/>
      <sz val="12"/>
      <name val="Arial CE"/>
      <family val="2"/>
      <charset val="238"/>
    </font>
    <font>
      <b/>
      <sz val="6"/>
      <name val="Arial CE"/>
      <charset val="238"/>
    </font>
    <font>
      <sz val="7"/>
      <name val="Arial"/>
      <family val="2"/>
      <charset val="238"/>
    </font>
    <font>
      <sz val="9"/>
      <name val="Arial"/>
      <family val="2"/>
      <charset val="238"/>
    </font>
    <font>
      <sz val="9"/>
      <name val="Arial CE"/>
      <charset val="238"/>
    </font>
    <font>
      <b/>
      <sz val="8"/>
      <name val="Arial"/>
      <family val="2"/>
      <charset val="238"/>
    </font>
    <font>
      <b/>
      <sz val="10"/>
      <name val="Arial CE"/>
      <charset val="238"/>
    </font>
    <font>
      <b/>
      <sz val="7"/>
      <name val="Arial"/>
      <family val="2"/>
      <charset val="238"/>
    </font>
    <font>
      <b/>
      <sz val="5"/>
      <name val="Arial"/>
      <family val="2"/>
      <charset val="238"/>
    </font>
    <font>
      <sz val="6"/>
      <name val="Arial"/>
      <family val="2"/>
      <charset val="238"/>
    </font>
    <font>
      <b/>
      <sz val="5"/>
      <name val="Arial CE"/>
      <family val="2"/>
      <charset val="238"/>
    </font>
    <font>
      <b/>
      <sz val="7"/>
      <name val="Arial CE"/>
      <family val="2"/>
      <charset val="238"/>
    </font>
    <font>
      <sz val="7"/>
      <name val="Arial CE"/>
      <family val="2"/>
      <charset val="238"/>
    </font>
    <font>
      <sz val="8"/>
      <name val="Arial"/>
      <family val="2"/>
      <charset val="238"/>
    </font>
    <font>
      <sz val="10"/>
      <color indexed="9"/>
      <name val="Arial"/>
      <family val="2"/>
      <charset val="238"/>
    </font>
    <font>
      <b/>
      <sz val="6"/>
      <name val="Arial"/>
      <family val="2"/>
      <charset val="238"/>
    </font>
    <font>
      <sz val="7"/>
      <color indexed="9"/>
      <name val="Arial"/>
      <family val="2"/>
      <charset val="238"/>
    </font>
    <font>
      <sz val="10"/>
      <color indexed="9"/>
      <name val="Arial CE"/>
      <family val="2"/>
      <charset val="238"/>
    </font>
    <font>
      <sz val="5"/>
      <name val="Arial CE"/>
      <family val="2"/>
      <charset val="238"/>
    </font>
    <font>
      <sz val="6.5"/>
      <name val="Arial"/>
      <family val="2"/>
      <charset val="238"/>
    </font>
    <font>
      <sz val="10"/>
      <color indexed="60"/>
      <name val="Arial"/>
      <family val="2"/>
      <charset val="238"/>
    </font>
    <font>
      <sz val="7"/>
      <color indexed="60"/>
      <name val="Arial"/>
      <family val="2"/>
      <charset val="238"/>
    </font>
    <font>
      <sz val="10"/>
      <color indexed="60"/>
      <name val="Arial CE"/>
      <family val="2"/>
      <charset val="238"/>
    </font>
    <font>
      <b/>
      <sz val="6"/>
      <name val="Arial"/>
      <family val="2"/>
    </font>
    <font>
      <b/>
      <sz val="7"/>
      <name val="Arial"/>
      <family val="2"/>
    </font>
    <font>
      <b/>
      <sz val="9"/>
      <name val="Arial"/>
      <family val="2"/>
      <charset val="238"/>
    </font>
    <font>
      <sz val="6"/>
      <name val="Arial"/>
      <family val="2"/>
    </font>
    <font>
      <sz val="7"/>
      <name val="Arial"/>
      <family val="2"/>
    </font>
    <font>
      <b/>
      <sz val="6.5"/>
      <name val="Arial"/>
      <family val="2"/>
    </font>
    <font>
      <sz val="6.5"/>
      <name val="Arial"/>
      <family val="2"/>
    </font>
    <font>
      <sz val="7.5"/>
      <name val="Arial"/>
      <family val="2"/>
      <charset val="238"/>
    </font>
    <font>
      <sz val="10"/>
      <name val="Arial"/>
      <family val="2"/>
    </font>
    <font>
      <sz val="11"/>
      <color indexed="8"/>
      <name val="Calibri"/>
      <family val="2"/>
      <charset val="238"/>
    </font>
    <font>
      <sz val="11"/>
      <color indexed="9"/>
      <name val="Calibri"/>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5"/>
      <name val="Arial"/>
      <family val="2"/>
      <charset val="238"/>
    </font>
    <font>
      <sz val="5.5"/>
      <name val="Arial"/>
      <family val="2"/>
      <charset val="238"/>
    </font>
    <font>
      <b/>
      <sz val="8"/>
      <name val="Arial"/>
      <family val="2"/>
    </font>
    <font>
      <sz val="8.5"/>
      <name val="Arial CE"/>
      <charset val="238"/>
    </font>
    <font>
      <sz val="11"/>
      <color theme="1"/>
      <name val="Calibri"/>
      <family val="2"/>
      <scheme val="minor"/>
    </font>
    <font>
      <b/>
      <sz val="10"/>
      <color theme="0"/>
      <name val="Arial"/>
      <family val="2"/>
      <charset val="238"/>
    </font>
    <font>
      <b/>
      <sz val="11"/>
      <color theme="0"/>
      <name val="Verdana"/>
      <family val="2"/>
    </font>
    <font>
      <b/>
      <sz val="11"/>
      <color theme="0"/>
      <name val="Verdana"/>
      <family val="2"/>
      <charset val="238"/>
    </font>
    <font>
      <b/>
      <sz val="9"/>
      <color theme="0"/>
      <name val="Verdana"/>
      <family val="2"/>
      <charset val="238"/>
    </font>
    <font>
      <b/>
      <i/>
      <sz val="9.5"/>
      <color rgb="FFFF0000"/>
      <name val="Verdana"/>
      <family val="2"/>
    </font>
    <font>
      <b/>
      <sz val="9.5"/>
      <color rgb="FFFF0000"/>
      <name val="Verdana"/>
      <family val="2"/>
    </font>
    <font>
      <sz val="11"/>
      <color rgb="FFFF0000"/>
      <name val="Calibri"/>
      <family val="2"/>
      <scheme val="minor"/>
    </font>
    <font>
      <i/>
      <sz val="9"/>
      <color rgb="FFFF0000"/>
      <name val="Verdana"/>
      <family val="2"/>
    </font>
    <font>
      <i/>
      <sz val="10"/>
      <color rgb="FFFF0000"/>
      <name val="Arial"/>
      <family val="2"/>
    </font>
    <font>
      <i/>
      <sz val="11"/>
      <color rgb="FFFF0000"/>
      <name val="Calibri"/>
      <family val="2"/>
      <scheme val="minor"/>
    </font>
    <font>
      <i/>
      <sz val="10"/>
      <color theme="1"/>
      <name val="Calibri"/>
      <family val="2"/>
      <scheme val="minor"/>
    </font>
    <font>
      <i/>
      <sz val="8.5"/>
      <color rgb="FFFF0000"/>
      <name val="Verdana"/>
      <family val="2"/>
    </font>
    <font>
      <sz val="10"/>
      <name val="Calibri Light"/>
      <family val="2"/>
    </font>
    <font>
      <b/>
      <sz val="9"/>
      <color theme="1"/>
      <name val="Calibri"/>
      <family val="2"/>
      <charset val="238"/>
      <scheme val="minor"/>
    </font>
    <font>
      <sz val="9"/>
      <color theme="1"/>
      <name val="Calibri"/>
      <family val="2"/>
      <charset val="238"/>
      <scheme val="minor"/>
    </font>
    <font>
      <b/>
      <sz val="9"/>
      <color rgb="FFFF0000"/>
      <name val="Arial"/>
      <family val="2"/>
      <charset val="238"/>
    </font>
    <font>
      <b/>
      <sz val="9"/>
      <color rgb="FFFF0000"/>
      <name val="Arial"/>
      <family val="2"/>
    </font>
    <font>
      <sz val="9"/>
      <color rgb="FFFF0000"/>
      <name val="Calibri"/>
      <family val="2"/>
      <charset val="238"/>
      <scheme val="minor"/>
    </font>
    <font>
      <sz val="9"/>
      <color rgb="FFFF0000"/>
      <name val="Arial"/>
      <family val="2"/>
      <charset val="238"/>
    </font>
    <font>
      <b/>
      <sz val="10"/>
      <name val="Calibri Light"/>
      <family val="2"/>
    </font>
    <font>
      <sz val="11"/>
      <color rgb="FF000000"/>
      <name val="Calibri"/>
      <family val="2"/>
      <charset val="238"/>
    </font>
  </fonts>
  <fills count="79">
    <fill>
      <patternFill patternType="none"/>
    </fill>
    <fill>
      <patternFill patternType="gray125"/>
    </fill>
    <fill>
      <patternFill patternType="solid">
        <fgColor indexed="1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3"/>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theme="0" tint="-4.9989318521683403E-2"/>
        <bgColor indexed="64"/>
      </patternFill>
    </fill>
    <fill>
      <patternFill patternType="solid">
        <fgColor rgb="FFFFFFCC"/>
        <bgColor indexed="64"/>
      </patternFill>
    </fill>
    <fill>
      <patternFill patternType="solid">
        <fgColor indexed="41"/>
        <bgColor indexed="64"/>
      </patternFill>
    </fill>
    <fill>
      <patternFill patternType="solid">
        <fgColor indexed="1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indexed="9"/>
        <bgColor indexed="26"/>
      </patternFill>
    </fill>
    <fill>
      <patternFill patternType="solid">
        <fgColor indexed="42"/>
        <bgColor indexed="27"/>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1"/>
        <bgColor indexed="64"/>
      </patternFill>
    </fill>
    <fill>
      <patternFill patternType="solid">
        <fgColor rgb="FFFAFACC"/>
        <bgColor indexed="64"/>
      </patternFill>
    </fill>
    <fill>
      <patternFill patternType="solid">
        <fgColor theme="4" tint="0.39997558519241921"/>
        <bgColor indexed="64"/>
      </patternFill>
    </fill>
    <fill>
      <patternFill patternType="solid">
        <fgColor rgb="FFFFFF00"/>
        <bgColor rgb="FF000000"/>
      </patternFill>
    </fill>
  </fills>
  <borders count="151">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4"/>
      </left>
      <right/>
      <top/>
      <bottom style="thin">
        <color indexed="8"/>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right style="thin">
        <color indexed="8"/>
      </right>
      <top style="medium">
        <color indexed="64"/>
      </top>
      <bottom/>
      <diagonal/>
    </border>
    <border>
      <left style="thin">
        <color indexed="8"/>
      </left>
      <right/>
      <top style="medium">
        <color indexed="64"/>
      </top>
      <bottom/>
      <diagonal/>
    </border>
    <border>
      <left style="thin">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64"/>
      </right>
      <top style="medium">
        <color indexed="64"/>
      </top>
      <bottom style="thin">
        <color indexed="8"/>
      </bottom>
      <diagonal/>
    </border>
    <border>
      <left/>
      <right style="medium">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8"/>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8"/>
      </left>
      <right style="thin">
        <color indexed="64"/>
      </right>
      <top style="medium">
        <color indexed="8"/>
      </top>
      <bottom style="thin">
        <color indexed="64"/>
      </bottom>
      <diagonal/>
    </border>
    <border>
      <left/>
      <right style="medium">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style="thin">
        <color indexed="8"/>
      </top>
      <bottom/>
      <diagonal/>
    </border>
    <border>
      <left/>
      <right style="medium">
        <color indexed="64"/>
      </right>
      <top/>
      <bottom style="thin">
        <color indexed="8"/>
      </bottom>
      <diagonal/>
    </border>
    <border>
      <left style="medium">
        <color indexed="64"/>
      </left>
      <right/>
      <top style="thin">
        <color indexed="8"/>
      </top>
      <bottom/>
      <diagonal/>
    </border>
    <border>
      <left style="medium">
        <color indexed="64"/>
      </left>
      <right/>
      <top/>
      <bottom style="thin">
        <color indexed="8"/>
      </bottom>
      <diagonal/>
    </border>
    <border>
      <left style="medium">
        <color indexed="64"/>
      </left>
      <right style="thin">
        <color indexed="8"/>
      </right>
      <top style="thin">
        <color indexed="8"/>
      </top>
      <bottom/>
      <diagonal/>
    </border>
    <border>
      <left style="medium">
        <color indexed="8"/>
      </left>
      <right style="thin">
        <color indexed="8"/>
      </right>
      <top style="thin">
        <color indexed="8"/>
      </top>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style="medium">
        <color indexed="64"/>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style="thin">
        <color indexed="8"/>
      </right>
      <top/>
      <bottom style="medium">
        <color indexed="64"/>
      </bottom>
      <diagonal/>
    </border>
    <border>
      <left/>
      <right style="medium">
        <color indexed="64"/>
      </right>
      <top/>
      <bottom style="medium">
        <color indexed="64"/>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thin">
        <color indexed="8"/>
      </left>
      <right style="thin">
        <color indexed="8"/>
      </right>
      <top style="medium">
        <color indexed="8"/>
      </top>
      <bottom style="thin">
        <color indexed="8"/>
      </bottom>
      <diagonal/>
    </border>
    <border>
      <left style="medium">
        <color indexed="8"/>
      </left>
      <right/>
      <top/>
      <bottom/>
      <diagonal/>
    </border>
    <border>
      <left/>
      <right style="medium">
        <color indexed="8"/>
      </right>
      <top style="thin">
        <color indexed="8"/>
      </top>
      <bottom/>
      <diagonal/>
    </border>
    <border>
      <left/>
      <right style="medium">
        <color indexed="8"/>
      </right>
      <top/>
      <bottom/>
      <diagonal/>
    </border>
    <border>
      <left/>
      <right style="medium">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medium">
        <color indexed="8"/>
      </left>
      <right/>
      <top style="thin">
        <color indexed="8"/>
      </top>
      <bottom/>
      <diagonal/>
    </border>
    <border>
      <left style="medium">
        <color indexed="8"/>
      </left>
      <right/>
      <top/>
      <bottom style="thin">
        <color indexed="8"/>
      </bottom>
      <diagonal/>
    </border>
    <border>
      <left style="medium">
        <color indexed="8"/>
      </left>
      <right/>
      <top style="thin">
        <color indexed="8"/>
      </top>
      <bottom style="thin">
        <color indexed="8"/>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top style="thin">
        <color indexed="64"/>
      </top>
      <bottom/>
      <diagonal/>
    </border>
    <border>
      <left style="thin">
        <color indexed="8"/>
      </left>
      <right style="medium">
        <color indexed="8"/>
      </right>
      <top style="thin">
        <color indexed="64"/>
      </top>
      <bottom/>
      <diagonal/>
    </border>
    <border>
      <left/>
      <right/>
      <top style="thin">
        <color indexed="8"/>
      </top>
      <bottom style="thin">
        <color indexed="8"/>
      </bottom>
      <diagonal/>
    </border>
    <border>
      <left/>
      <right style="thin">
        <color indexed="64"/>
      </right>
      <top style="medium">
        <color indexed="8"/>
      </top>
      <bottom/>
      <diagonal/>
    </border>
    <border>
      <left/>
      <right/>
      <top/>
      <bottom style="medium">
        <color indexed="8"/>
      </bottom>
      <diagonal/>
    </border>
    <border>
      <left/>
      <right style="medium">
        <color indexed="8"/>
      </right>
      <top/>
      <bottom style="medium">
        <color indexed="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style="thin">
        <color indexed="8"/>
      </right>
      <top/>
      <bottom style="medium">
        <color indexed="8"/>
      </bottom>
      <diagonal/>
    </border>
    <border>
      <left/>
      <right style="thin">
        <color indexed="8"/>
      </right>
      <top style="thin">
        <color indexed="8"/>
      </top>
      <bottom style="medium">
        <color indexed="8"/>
      </bottom>
      <diagonal/>
    </border>
    <border>
      <left/>
      <right style="thin">
        <color indexed="8"/>
      </right>
      <top style="thin">
        <color indexed="8"/>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350">
    <xf numFmtId="0" fontId="0" fillId="0" borderId="0"/>
    <xf numFmtId="165" fontId="5" fillId="0" borderId="0" applyFont="0" applyFill="0" applyBorder="0" applyAlignment="0" applyProtection="0"/>
    <xf numFmtId="0" fontId="25" fillId="0" borderId="0" applyNumberFormat="0" applyFill="0" applyBorder="0" applyAlignment="0" applyProtection="0"/>
    <xf numFmtId="0" fontId="9" fillId="0" borderId="0"/>
    <xf numFmtId="0" fontId="10" fillId="0" borderId="0"/>
    <xf numFmtId="0" fontId="6" fillId="0" borderId="0"/>
    <xf numFmtId="0" fontId="32" fillId="0" borderId="0"/>
    <xf numFmtId="0" fontId="9" fillId="0" borderId="0"/>
    <xf numFmtId="0" fontId="6" fillId="0" borderId="0"/>
    <xf numFmtId="0" fontId="6" fillId="0" borderId="0"/>
    <xf numFmtId="169" fontId="5" fillId="0" borderId="0" applyFont="0" applyFill="0" applyBorder="0" applyAlignment="0" applyProtection="0"/>
    <xf numFmtId="0" fontId="46" fillId="0" borderId="0"/>
    <xf numFmtId="0" fontId="63" fillId="0" borderId="0" applyFill="0" applyBorder="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6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64" fillId="43" borderId="0" applyNumberFormat="0" applyBorder="0" applyAlignment="0" applyProtection="0"/>
    <xf numFmtId="0" fontId="4"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4" fillId="44" borderId="0" applyNumberFormat="0" applyBorder="0" applyAlignment="0" applyProtection="0"/>
    <xf numFmtId="0" fontId="4" fillId="44" borderId="0" applyNumberFormat="0" applyBorder="0" applyAlignment="0" applyProtection="0"/>
    <xf numFmtId="0" fontId="61" fillId="25" borderId="0" applyNumberFormat="0" applyBorder="0" applyAlignment="0" applyProtection="0"/>
    <xf numFmtId="0" fontId="65" fillId="25" borderId="0" applyNumberFormat="0" applyBorder="0" applyAlignment="0" applyProtection="0"/>
    <xf numFmtId="0" fontId="61" fillId="29" borderId="0" applyNumberFormat="0" applyBorder="0" applyAlignment="0" applyProtection="0"/>
    <xf numFmtId="0" fontId="65" fillId="29" borderId="0" applyNumberFormat="0" applyBorder="0" applyAlignment="0" applyProtection="0"/>
    <xf numFmtId="0" fontId="61" fillId="33" borderId="0" applyNumberFormat="0" applyBorder="0" applyAlignment="0" applyProtection="0"/>
    <xf numFmtId="0" fontId="65" fillId="33" borderId="0" applyNumberFormat="0" applyBorder="0" applyAlignment="0" applyProtection="0"/>
    <xf numFmtId="0" fontId="61" fillId="37" borderId="0" applyNumberFormat="0" applyBorder="0" applyAlignment="0" applyProtection="0"/>
    <xf numFmtId="0" fontId="65" fillId="37" borderId="0" applyNumberFormat="0" applyBorder="0" applyAlignment="0" applyProtection="0"/>
    <xf numFmtId="0" fontId="61" fillId="41" borderId="0" applyNumberFormat="0" applyBorder="0" applyAlignment="0" applyProtection="0"/>
    <xf numFmtId="0" fontId="65" fillId="41" borderId="0" applyNumberFormat="0" applyBorder="0" applyAlignment="0" applyProtection="0"/>
    <xf numFmtId="0" fontId="61" fillId="45" borderId="0" applyNumberFormat="0" applyBorder="0" applyAlignment="0" applyProtection="0"/>
    <xf numFmtId="0" fontId="65" fillId="45" borderId="0" applyNumberFormat="0" applyBorder="0" applyAlignment="0" applyProtection="0"/>
    <xf numFmtId="0" fontId="61" fillId="22" borderId="0" applyNumberFormat="0" applyBorder="0" applyAlignment="0" applyProtection="0"/>
    <xf numFmtId="0" fontId="65" fillId="22" borderId="0" applyNumberFormat="0" applyBorder="0" applyAlignment="0" applyProtection="0"/>
    <xf numFmtId="0" fontId="61" fillId="26" borderId="0" applyNumberFormat="0" applyBorder="0" applyAlignment="0" applyProtection="0"/>
    <xf numFmtId="0" fontId="65" fillId="26" borderId="0" applyNumberFormat="0" applyBorder="0" applyAlignment="0" applyProtection="0"/>
    <xf numFmtId="0" fontId="61" fillId="30" borderId="0" applyNumberFormat="0" applyBorder="0" applyAlignment="0" applyProtection="0"/>
    <xf numFmtId="0" fontId="65" fillId="30" borderId="0" applyNumberFormat="0" applyBorder="0" applyAlignment="0" applyProtection="0"/>
    <xf numFmtId="0" fontId="61" fillId="34" borderId="0" applyNumberFormat="0" applyBorder="0" applyAlignment="0" applyProtection="0"/>
    <xf numFmtId="0" fontId="65" fillId="34" borderId="0" applyNumberFormat="0" applyBorder="0" applyAlignment="0" applyProtection="0"/>
    <xf numFmtId="0" fontId="61" fillId="38" borderId="0" applyNumberFormat="0" applyBorder="0" applyAlignment="0" applyProtection="0"/>
    <xf numFmtId="0" fontId="65" fillId="38" borderId="0" applyNumberFormat="0" applyBorder="0" applyAlignment="0" applyProtection="0"/>
    <xf numFmtId="0" fontId="61" fillId="42" borderId="0" applyNumberFormat="0" applyBorder="0" applyAlignment="0" applyProtection="0"/>
    <xf numFmtId="0" fontId="65" fillId="42" borderId="0" applyNumberFormat="0" applyBorder="0" applyAlignment="0" applyProtection="0"/>
    <xf numFmtId="0" fontId="51" fillId="16" borderId="0" applyNumberFormat="0" applyBorder="0" applyAlignment="0" applyProtection="0"/>
    <xf numFmtId="0" fontId="66" fillId="16" borderId="0" applyNumberFormat="0" applyBorder="0" applyAlignment="0" applyProtection="0"/>
    <xf numFmtId="0" fontId="55" fillId="19" borderId="35" applyNumberFormat="0" applyAlignment="0" applyProtection="0"/>
    <xf numFmtId="0" fontId="67" fillId="19" borderId="35" applyNumberFormat="0" applyAlignment="0" applyProtection="0"/>
    <xf numFmtId="0" fontId="59" fillId="0" borderId="0" applyNumberFormat="0" applyFill="0" applyBorder="0" applyAlignment="0" applyProtection="0"/>
    <xf numFmtId="0" fontId="68" fillId="0" borderId="0" applyNumberFormat="0" applyFill="0" applyBorder="0" applyAlignment="0" applyProtection="0"/>
    <xf numFmtId="0" fontId="50" fillId="15" borderId="0" applyNumberFormat="0" applyBorder="0" applyAlignment="0" applyProtection="0"/>
    <xf numFmtId="0" fontId="69" fillId="15" borderId="0" applyNumberFormat="0" applyBorder="0" applyAlignment="0" applyProtection="0"/>
    <xf numFmtId="0" fontId="47" fillId="0" borderId="32" applyNumberFormat="0" applyFill="0" applyAlignment="0" applyProtection="0"/>
    <xf numFmtId="0" fontId="70" fillId="0" borderId="32" applyNumberFormat="0" applyFill="0" applyAlignment="0" applyProtection="0"/>
    <xf numFmtId="0" fontId="48" fillId="0" borderId="33" applyNumberFormat="0" applyFill="0" applyAlignment="0" applyProtection="0"/>
    <xf numFmtId="0" fontId="71" fillId="0" borderId="33" applyNumberFormat="0" applyFill="0" applyAlignment="0" applyProtection="0"/>
    <xf numFmtId="0" fontId="49" fillId="0" borderId="34" applyNumberFormat="0" applyFill="0" applyAlignment="0" applyProtection="0"/>
    <xf numFmtId="0" fontId="72" fillId="0" borderId="34" applyNumberFormat="0" applyFill="0" applyAlignment="0" applyProtection="0"/>
    <xf numFmtId="0" fontId="49" fillId="0" borderId="0" applyNumberFormat="0" applyFill="0" applyBorder="0" applyAlignment="0" applyProtection="0"/>
    <xf numFmtId="0" fontId="72" fillId="0" borderId="0" applyNumberFormat="0" applyFill="0" applyBorder="0" applyAlignment="0" applyProtection="0"/>
    <xf numFmtId="0" fontId="57" fillId="20" borderId="38" applyNumberFormat="0" applyAlignment="0" applyProtection="0"/>
    <xf numFmtId="0" fontId="73" fillId="20" borderId="38" applyNumberFormat="0" applyAlignment="0" applyProtection="0"/>
    <xf numFmtId="0" fontId="53" fillId="18" borderId="35" applyNumberFormat="0" applyAlignment="0" applyProtection="0"/>
    <xf numFmtId="0" fontId="74" fillId="18" borderId="35" applyNumberFormat="0" applyAlignment="0" applyProtection="0"/>
    <xf numFmtId="0" fontId="56" fillId="0" borderId="37" applyNumberFormat="0" applyFill="0" applyAlignment="0" applyProtection="0"/>
    <xf numFmtId="0" fontId="75" fillId="0" borderId="37" applyNumberFormat="0" applyFill="0" applyAlignment="0" applyProtection="0"/>
    <xf numFmtId="0" fontId="52" fillId="17" borderId="0" applyNumberFormat="0" applyBorder="0" applyAlignment="0" applyProtection="0"/>
    <xf numFmtId="0" fontId="76" fillId="17" borderId="0" applyNumberFormat="0" applyBorder="0" applyAlignment="0" applyProtection="0"/>
    <xf numFmtId="0" fontId="4" fillId="0" borderId="0"/>
    <xf numFmtId="0" fontId="63" fillId="0" borderId="0"/>
    <xf numFmtId="0" fontId="4" fillId="0" borderId="0"/>
    <xf numFmtId="0" fontId="4" fillId="0" borderId="0"/>
    <xf numFmtId="0" fontId="4" fillId="0" borderId="0"/>
    <xf numFmtId="0" fontId="63" fillId="0" borderId="0"/>
    <xf numFmtId="0" fontId="4" fillId="0" borderId="0"/>
    <xf numFmtId="0" fontId="62" fillId="0" borderId="0"/>
    <xf numFmtId="0" fontId="4" fillId="0" borderId="0"/>
    <xf numFmtId="0" fontId="4" fillId="21" borderId="39" applyNumberFormat="0" applyFont="0" applyAlignment="0" applyProtection="0"/>
    <xf numFmtId="0" fontId="4" fillId="21" borderId="39" applyNumberFormat="0" applyFont="0" applyAlignment="0" applyProtection="0"/>
    <xf numFmtId="0" fontId="4" fillId="21" borderId="39" applyNumberFormat="0" applyFont="0" applyAlignment="0" applyProtection="0"/>
    <xf numFmtId="0" fontId="4" fillId="21" borderId="39" applyNumberFormat="0" applyFont="0" applyAlignment="0" applyProtection="0"/>
    <xf numFmtId="0" fontId="4" fillId="21" borderId="39" applyNumberFormat="0" applyFont="0" applyAlignment="0" applyProtection="0"/>
    <xf numFmtId="0" fontId="54" fillId="19" borderId="36" applyNumberFormat="0" applyAlignment="0" applyProtection="0"/>
    <xf numFmtId="0" fontId="77" fillId="19" borderId="36" applyNumberFormat="0" applyAlignment="0" applyProtection="0"/>
    <xf numFmtId="9" fontId="64" fillId="0" borderId="0" applyFont="0" applyFill="0" applyBorder="0" applyAlignment="0" applyProtection="0"/>
    <xf numFmtId="0" fontId="60" fillId="0" borderId="40" applyNumberFormat="0" applyFill="0" applyAlignment="0" applyProtection="0"/>
    <xf numFmtId="0" fontId="78" fillId="0" borderId="40" applyNumberFormat="0" applyFill="0" applyAlignment="0" applyProtection="0"/>
    <xf numFmtId="0" fontId="58" fillId="0" borderId="0" applyNumberFormat="0" applyFill="0" applyBorder="0" applyAlignment="0" applyProtection="0"/>
    <xf numFmtId="0" fontId="79" fillId="0" borderId="0" applyNumberFormat="0" applyFill="0" applyBorder="0" applyAlignment="0" applyProtection="0"/>
    <xf numFmtId="0" fontId="80" fillId="0" borderId="0"/>
    <xf numFmtId="0" fontId="84" fillId="0" borderId="0"/>
    <xf numFmtId="0" fontId="84" fillId="0" borderId="0"/>
    <xf numFmtId="0" fontId="62" fillId="0" borderId="0"/>
    <xf numFmtId="0" fontId="9" fillId="0" borderId="0"/>
    <xf numFmtId="164" fontId="137" fillId="0" borderId="0" applyFill="0" applyBorder="0" applyAlignment="0" applyProtection="0"/>
    <xf numFmtId="0" fontId="138" fillId="49" borderId="0" applyNumberFormat="0" applyBorder="0" applyAlignment="0" applyProtection="0"/>
    <xf numFmtId="0" fontId="138" fillId="50" borderId="0" applyNumberFormat="0" applyBorder="0" applyAlignment="0" applyProtection="0"/>
    <xf numFmtId="0" fontId="138" fillId="48" borderId="0" applyNumberFormat="0" applyBorder="0" applyAlignment="0" applyProtection="0"/>
    <xf numFmtId="0" fontId="138" fillId="51" borderId="0" applyNumberFormat="0" applyBorder="0" applyAlignment="0" applyProtection="0"/>
    <xf numFmtId="0" fontId="138" fillId="52" borderId="0" applyNumberFormat="0" applyBorder="0" applyAlignment="0" applyProtection="0"/>
    <xf numFmtId="0" fontId="138"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138" fillId="56" borderId="0" applyNumberFormat="0" applyBorder="0" applyAlignment="0" applyProtection="0"/>
    <xf numFmtId="0" fontId="138" fillId="51" borderId="0" applyNumberFormat="0" applyBorder="0" applyAlignment="0" applyProtection="0"/>
    <xf numFmtId="0" fontId="138" fillId="54" borderId="0" applyNumberFormat="0" applyBorder="0" applyAlignment="0" applyProtection="0"/>
    <xf numFmtId="0" fontId="138" fillId="57" borderId="0" applyNumberFormat="0" applyBorder="0" applyAlignment="0" applyProtection="0"/>
    <xf numFmtId="0" fontId="139" fillId="58" borderId="0" applyNumberFormat="0" applyBorder="0" applyAlignment="0" applyProtection="0"/>
    <xf numFmtId="0" fontId="139" fillId="55" borderId="0" applyNumberFormat="0" applyBorder="0" applyAlignment="0" applyProtection="0"/>
    <xf numFmtId="0" fontId="139" fillId="56" borderId="0" applyNumberFormat="0" applyBorder="0" applyAlignment="0" applyProtection="0"/>
    <xf numFmtId="0" fontId="139" fillId="59" borderId="0" applyNumberFormat="0" applyBorder="0" applyAlignment="0" applyProtection="0"/>
    <xf numFmtId="0" fontId="139" fillId="60" borderId="0" applyNumberFormat="0" applyBorder="0" applyAlignment="0" applyProtection="0"/>
    <xf numFmtId="0" fontId="139" fillId="61" borderId="0" applyNumberFormat="0" applyBorder="0" applyAlignment="0" applyProtection="0"/>
    <xf numFmtId="0" fontId="140" fillId="48" borderId="0" applyNumberFormat="0" applyBorder="0" applyAlignment="0" applyProtection="0"/>
    <xf numFmtId="0" fontId="141" fillId="62" borderId="137" applyNumberFormat="0" applyAlignment="0" applyProtection="0"/>
    <xf numFmtId="0" fontId="142" fillId="0" borderId="138" applyNumberFormat="0" applyFill="0" applyAlignment="0" applyProtection="0"/>
    <xf numFmtId="0" fontId="143" fillId="0" borderId="139" applyNumberFormat="0" applyFill="0" applyAlignment="0" applyProtection="0"/>
    <xf numFmtId="0" fontId="144" fillId="0" borderId="140" applyNumberFormat="0" applyFill="0" applyAlignment="0" applyProtection="0"/>
    <xf numFmtId="0" fontId="144" fillId="0" borderId="0" applyNumberFormat="0" applyFill="0" applyBorder="0" applyAlignment="0" applyProtection="0"/>
    <xf numFmtId="0" fontId="145" fillId="63" borderId="0" applyNumberFormat="0" applyBorder="0" applyAlignment="0" applyProtection="0"/>
    <xf numFmtId="0" fontId="62" fillId="64" borderId="141" applyNumberFormat="0" applyAlignment="0" applyProtection="0"/>
    <xf numFmtId="0" fontId="146" fillId="0" borderId="142" applyNumberFormat="0" applyFill="0" applyAlignment="0" applyProtection="0"/>
    <xf numFmtId="0" fontId="147" fillId="0" borderId="143" applyNumberFormat="0" applyFill="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50" fillId="53" borderId="144" applyNumberFormat="0" applyAlignment="0" applyProtection="0"/>
    <xf numFmtId="0" fontId="151" fillId="65" borderId="144" applyNumberFormat="0" applyAlignment="0" applyProtection="0"/>
    <xf numFmtId="0" fontId="152" fillId="65" borderId="145" applyNumberFormat="0" applyAlignment="0" applyProtection="0"/>
    <xf numFmtId="0" fontId="153" fillId="0" borderId="0" applyNumberFormat="0" applyFill="0" applyBorder="0" applyAlignment="0" applyProtection="0"/>
    <xf numFmtId="0" fontId="154" fillId="50" borderId="0" applyNumberFormat="0" applyBorder="0" applyAlignment="0" applyProtection="0"/>
    <xf numFmtId="0" fontId="139" fillId="66" borderId="0" applyNumberFormat="0" applyBorder="0" applyAlignment="0" applyProtection="0"/>
    <xf numFmtId="0" fontId="139" fillId="67" borderId="0" applyNumberFormat="0" applyBorder="0" applyAlignment="0" applyProtection="0"/>
    <xf numFmtId="0" fontId="139" fillId="68" borderId="0" applyNumberFormat="0" applyBorder="0" applyAlignment="0" applyProtection="0"/>
    <xf numFmtId="0" fontId="139" fillId="59" borderId="0" applyNumberFormat="0" applyBorder="0" applyAlignment="0" applyProtection="0"/>
    <xf numFmtId="0" fontId="139" fillId="60" borderId="0" applyNumberFormat="0" applyBorder="0" applyAlignment="0" applyProtection="0"/>
    <xf numFmtId="0" fontId="139" fillId="69" borderId="0" applyNumberFormat="0" applyBorder="0" applyAlignment="0" applyProtection="0"/>
    <xf numFmtId="0" fontId="9" fillId="0" borderId="0"/>
    <xf numFmtId="0" fontId="159" fillId="0" borderId="0"/>
    <xf numFmtId="165" fontId="5" fillId="0" borderId="0" applyFont="0" applyFill="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21" borderId="39" applyNumberFormat="0" applyFont="0" applyAlignment="0" applyProtection="0"/>
    <xf numFmtId="0" fontId="3" fillId="21" borderId="39" applyNumberFormat="0" applyFont="0" applyAlignment="0" applyProtection="0"/>
    <xf numFmtId="0" fontId="3" fillId="21" borderId="39" applyNumberFormat="0" applyFont="0" applyAlignment="0" applyProtection="0"/>
    <xf numFmtId="0" fontId="3" fillId="21" borderId="39" applyNumberFormat="0" applyFont="0" applyAlignment="0" applyProtection="0"/>
    <xf numFmtId="0" fontId="3" fillId="21" borderId="39" applyNumberFormat="0" applyFont="0" applyAlignment="0" applyProtection="0"/>
    <xf numFmtId="0" fontId="6" fillId="0" borderId="0"/>
    <xf numFmtId="43" fontId="6" fillId="0" borderId="0" applyFill="0" applyBorder="0" applyAlignment="0" applyProtection="0"/>
    <xf numFmtId="172" fontId="2" fillId="0" borderId="0" applyFont="0" applyFill="0" applyBorder="0" applyAlignment="0" applyProtection="0"/>
    <xf numFmtId="0" fontId="2"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21" borderId="39" applyNumberFormat="0" applyFont="0" applyAlignment="0" applyProtection="0"/>
    <xf numFmtId="0" fontId="1" fillId="21" borderId="39" applyNumberFormat="0" applyFont="0" applyAlignment="0" applyProtection="0"/>
    <xf numFmtId="0" fontId="1" fillId="21" borderId="39" applyNumberFormat="0" applyFont="0" applyAlignment="0" applyProtection="0"/>
    <xf numFmtId="0" fontId="1" fillId="21" borderId="39" applyNumberFormat="0" applyFont="0" applyAlignment="0" applyProtection="0"/>
    <xf numFmtId="0" fontId="1" fillId="21" borderId="39" applyNumberFormat="0" applyFont="0" applyAlignment="0" applyProtection="0"/>
  </cellStyleXfs>
  <cellXfs count="1142">
    <xf numFmtId="0" fontId="0" fillId="0" borderId="0" xfId="0"/>
    <xf numFmtId="0" fontId="17" fillId="0" borderId="4" xfId="0" applyFont="1" applyBorder="1" applyAlignment="1">
      <alignment horizontal="center"/>
    </xf>
    <xf numFmtId="0" fontId="17" fillId="0" borderId="2" xfId="0" applyFont="1" applyBorder="1" applyAlignment="1">
      <alignment horizontal="center"/>
    </xf>
    <xf numFmtId="0" fontId="17" fillId="0" borderId="5" xfId="0" applyFont="1" applyBorder="1" applyAlignment="1">
      <alignment horizontal="center"/>
    </xf>
    <xf numFmtId="0" fontId="17" fillId="0" borderId="3" xfId="0" applyFont="1" applyBorder="1" applyAlignment="1">
      <alignment horizontal="center"/>
    </xf>
    <xf numFmtId="0" fontId="17" fillId="0" borderId="6" xfId="0" applyFont="1" applyBorder="1"/>
    <xf numFmtId="0" fontId="17" fillId="0" borderId="7" xfId="0" applyFont="1" applyBorder="1" applyAlignment="1">
      <alignment horizontal="center"/>
    </xf>
    <xf numFmtId="0" fontId="17" fillId="0" borderId="6" xfId="0" applyFont="1" applyBorder="1" applyAlignment="1">
      <alignment horizontal="center"/>
    </xf>
    <xf numFmtId="0" fontId="12" fillId="0" borderId="8" xfId="0" quotePrefix="1" applyFont="1" applyBorder="1" applyAlignment="1">
      <alignment horizontal="center"/>
    </xf>
    <xf numFmtId="166" fontId="12" fillId="0" borderId="8" xfId="0" applyNumberFormat="1" applyFont="1" applyBorder="1" applyAlignment="1">
      <alignment horizontal="right"/>
    </xf>
    <xf numFmtId="0" fontId="20" fillId="0" borderId="0" xfId="0" applyFont="1" applyAlignment="1">
      <alignment horizontal="left" vertical="center"/>
    </xf>
    <xf numFmtId="0" fontId="20" fillId="0" borderId="0" xfId="0" applyFont="1"/>
    <xf numFmtId="0" fontId="20" fillId="3" borderId="0" xfId="0" applyFont="1" applyFill="1"/>
    <xf numFmtId="0" fontId="21" fillId="3" borderId="0" xfId="0" applyFont="1" applyFill="1"/>
    <xf numFmtId="0" fontId="21" fillId="0" borderId="0" xfId="0" applyFont="1" applyAlignment="1">
      <alignment horizontal="center"/>
    </xf>
    <xf numFmtId="0" fontId="20" fillId="0" borderId="0" xfId="0" applyFont="1" applyAlignment="1">
      <alignment horizontal="justify" vertical="center"/>
    </xf>
    <xf numFmtId="0" fontId="28" fillId="7" borderId="0" xfId="0" applyFont="1" applyFill="1" applyAlignment="1">
      <alignment horizontal="center"/>
    </xf>
    <xf numFmtId="3" fontId="20" fillId="0" borderId="0" xfId="0" applyNumberFormat="1" applyFont="1" applyAlignment="1">
      <alignment horizontal="justify" vertical="center"/>
    </xf>
    <xf numFmtId="0" fontId="7" fillId="9" borderId="15" xfId="5" applyFont="1" applyFill="1" applyBorder="1"/>
    <xf numFmtId="167" fontId="7" fillId="9" borderId="16" xfId="5" applyNumberFormat="1" applyFont="1" applyFill="1" applyBorder="1" applyAlignment="1">
      <alignment horizontal="left"/>
    </xf>
    <xf numFmtId="0" fontId="0" fillId="11" borderId="0" xfId="0" applyFill="1"/>
    <xf numFmtId="0" fontId="20" fillId="11" borderId="0" xfId="0" applyFont="1" applyFill="1"/>
    <xf numFmtId="0" fontId="27" fillId="11" borderId="0" xfId="0" applyFont="1" applyFill="1"/>
    <xf numFmtId="3" fontId="14" fillId="0" borderId="8" xfId="5" applyNumberFormat="1" applyFont="1" applyBorder="1"/>
    <xf numFmtId="0" fontId="26" fillId="11" borderId="0" xfId="0" applyFont="1" applyFill="1"/>
    <xf numFmtId="168" fontId="0" fillId="11" borderId="0" xfId="1" applyNumberFormat="1" applyFont="1" applyFill="1" applyProtection="1"/>
    <xf numFmtId="168" fontId="31" fillId="11" borderId="0" xfId="1" applyNumberFormat="1" applyFont="1" applyFill="1" applyProtection="1"/>
    <xf numFmtId="0" fontId="8" fillId="11" borderId="0" xfId="0" applyFont="1" applyFill="1"/>
    <xf numFmtId="3" fontId="0" fillId="11" borderId="0" xfId="0" applyNumberFormat="1" applyFill="1"/>
    <xf numFmtId="0" fontId="0" fillId="8" borderId="0" xfId="0" applyFill="1"/>
    <xf numFmtId="0" fontId="7" fillId="9" borderId="14" xfId="5" applyFont="1" applyFill="1" applyBorder="1"/>
    <xf numFmtId="3" fontId="7" fillId="9" borderId="15" xfId="5" applyNumberFormat="1" applyFont="1" applyFill="1" applyBorder="1" applyAlignment="1">
      <alignment vertical="center"/>
    </xf>
    <xf numFmtId="3" fontId="24" fillId="9" borderId="17" xfId="5" applyNumberFormat="1" applyFont="1" applyFill="1" applyBorder="1" applyAlignment="1">
      <alignment horizontal="center"/>
    </xf>
    <xf numFmtId="3" fontId="8" fillId="9" borderId="15" xfId="5" applyNumberFormat="1" applyFont="1" applyFill="1" applyBorder="1" applyAlignment="1">
      <alignment vertical="center"/>
    </xf>
    <xf numFmtId="0" fontId="7" fillId="9" borderId="15" xfId="5" applyFont="1" applyFill="1" applyBorder="1" applyAlignment="1">
      <alignment horizontal="left"/>
    </xf>
    <xf numFmtId="0" fontId="24" fillId="9" borderId="8" xfId="5" applyFont="1" applyFill="1" applyBorder="1" applyAlignment="1">
      <alignment horizontal="center"/>
    </xf>
    <xf numFmtId="0" fontId="6" fillId="8" borderId="0" xfId="5" applyFill="1" applyAlignment="1">
      <alignment vertical="top" wrapText="1"/>
    </xf>
    <xf numFmtId="49" fontId="6" fillId="9" borderId="8" xfId="5" applyNumberFormat="1" applyFill="1" applyBorder="1" applyAlignment="1" applyProtection="1">
      <alignment horizontal="center"/>
      <protection locked="0"/>
    </xf>
    <xf numFmtId="3" fontId="6" fillId="9" borderId="17" xfId="5" applyNumberFormat="1" applyFill="1" applyBorder="1" applyAlignment="1" applyProtection="1">
      <alignment horizontal="center"/>
      <protection locked="0"/>
    </xf>
    <xf numFmtId="3" fontId="6" fillId="0" borderId="0" xfId="0" applyNumberFormat="1" applyFont="1"/>
    <xf numFmtId="3" fontId="6" fillId="0" borderId="0" xfId="0" applyNumberFormat="1" applyFont="1" applyAlignment="1">
      <alignment wrapText="1"/>
    </xf>
    <xf numFmtId="3" fontId="6" fillId="13" borderId="24" xfId="0" applyNumberFormat="1" applyFont="1" applyFill="1" applyBorder="1"/>
    <xf numFmtId="3" fontId="6" fillId="13" borderId="13" xfId="0" applyNumberFormat="1" applyFont="1" applyFill="1" applyBorder="1"/>
    <xf numFmtId="3" fontId="6" fillId="13" borderId="25" xfId="0" applyNumberFormat="1" applyFont="1" applyFill="1" applyBorder="1"/>
    <xf numFmtId="3" fontId="6" fillId="0" borderId="0" xfId="8" applyNumberFormat="1" applyAlignment="1">
      <alignment wrapText="1"/>
    </xf>
    <xf numFmtId="3" fontId="41" fillId="0" borderId="0" xfId="0" applyNumberFormat="1" applyFont="1"/>
    <xf numFmtId="3" fontId="6" fillId="13" borderId="24" xfId="0" applyNumberFormat="1" applyFont="1" applyFill="1" applyBorder="1" applyAlignment="1">
      <alignment wrapText="1"/>
    </xf>
    <xf numFmtId="3" fontId="7" fillId="14" borderId="0" xfId="0" applyNumberFormat="1" applyFont="1" applyFill="1" applyAlignment="1">
      <alignment horizontal="center"/>
    </xf>
    <xf numFmtId="3" fontId="40" fillId="0" borderId="0" xfId="0" applyNumberFormat="1" applyFont="1"/>
    <xf numFmtId="3" fontId="6" fillId="0" borderId="31" xfId="0" applyNumberFormat="1" applyFont="1" applyBorder="1"/>
    <xf numFmtId="3" fontId="8" fillId="0" borderId="0" xfId="0" applyNumberFormat="1" applyFont="1"/>
    <xf numFmtId="3" fontId="40" fillId="0" borderId="0" xfId="0" quotePrefix="1" applyNumberFormat="1" applyFont="1"/>
    <xf numFmtId="3" fontId="6" fillId="0" borderId="0" xfId="0" applyNumberFormat="1" applyFont="1" applyAlignment="1">
      <alignment horizontal="right"/>
    </xf>
    <xf numFmtId="3" fontId="34" fillId="0" borderId="0" xfId="0" applyNumberFormat="1" applyFont="1"/>
    <xf numFmtId="3" fontId="6" fillId="0" borderId="0" xfId="9" applyNumberFormat="1" applyAlignment="1">
      <alignment horizontal="justify" vertical="top" wrapText="1"/>
    </xf>
    <xf numFmtId="3" fontId="6" fillId="0" borderId="0" xfId="9" applyNumberFormat="1"/>
    <xf numFmtId="3" fontId="6" fillId="0" borderId="0" xfId="9" applyNumberFormat="1" applyAlignment="1">
      <alignment wrapText="1"/>
    </xf>
    <xf numFmtId="3" fontId="0" fillId="0" borderId="0" xfId="0" applyNumberFormat="1" applyAlignment="1">
      <alignment wrapText="1"/>
    </xf>
    <xf numFmtId="3" fontId="0" fillId="0" borderId="0" xfId="0" applyNumberFormat="1"/>
    <xf numFmtId="3" fontId="42" fillId="0" borderId="0" xfId="0" applyNumberFormat="1" applyFont="1"/>
    <xf numFmtId="3" fontId="40" fillId="0" borderId="0" xfId="9" applyNumberFormat="1" applyFont="1"/>
    <xf numFmtId="3" fontId="6" fillId="0" borderId="31" xfId="9" applyNumberFormat="1" applyBorder="1"/>
    <xf numFmtId="3" fontId="43" fillId="0" borderId="0" xfId="0" applyNumberFormat="1" applyFont="1"/>
    <xf numFmtId="3" fontId="44" fillId="0" borderId="0" xfId="0" applyNumberFormat="1" applyFont="1"/>
    <xf numFmtId="3" fontId="44" fillId="0" borderId="0" xfId="0" applyNumberFormat="1" applyFont="1" applyAlignment="1">
      <alignment horizontal="center" vertical="center" wrapText="1"/>
    </xf>
    <xf numFmtId="3" fontId="45" fillId="0" borderId="0" xfId="0" applyNumberFormat="1" applyFont="1"/>
    <xf numFmtId="3" fontId="6" fillId="0" borderId="0" xfId="0" quotePrefix="1" applyNumberFormat="1" applyFont="1"/>
    <xf numFmtId="3" fontId="6" fillId="11" borderId="0" xfId="0" applyNumberFormat="1" applyFont="1" applyFill="1"/>
    <xf numFmtId="3" fontId="6" fillId="11" borderId="0" xfId="0" applyNumberFormat="1" applyFont="1" applyFill="1" applyAlignment="1">
      <alignment horizontal="justify" vertical="top" wrapText="1"/>
    </xf>
    <xf numFmtId="3" fontId="37" fillId="11" borderId="0" xfId="0" applyNumberFormat="1" applyFont="1" applyFill="1" applyAlignment="1">
      <alignment horizontal="center"/>
    </xf>
    <xf numFmtId="3" fontId="6" fillId="11" borderId="0" xfId="0" applyNumberFormat="1" applyFont="1" applyFill="1" applyAlignment="1">
      <alignment wrapText="1"/>
    </xf>
    <xf numFmtId="3" fontId="38" fillId="11" borderId="0" xfId="0" applyNumberFormat="1" applyFont="1" applyFill="1" applyAlignment="1">
      <alignment horizontal="left" vertical="top"/>
    </xf>
    <xf numFmtId="3" fontId="7" fillId="11" borderId="0" xfId="0" applyNumberFormat="1" applyFont="1" applyFill="1" applyAlignment="1">
      <alignment horizontal="center" vertical="top" wrapText="1"/>
    </xf>
    <xf numFmtId="3" fontId="39" fillId="11" borderId="0" xfId="0" applyNumberFormat="1" applyFont="1" applyFill="1" applyAlignment="1">
      <alignment horizontal="left" vertical="top"/>
    </xf>
    <xf numFmtId="3" fontId="6" fillId="11" borderId="0" xfId="9" applyNumberFormat="1" applyFill="1"/>
    <xf numFmtId="3" fontId="34" fillId="11" borderId="0" xfId="0" applyNumberFormat="1" applyFont="1" applyFill="1"/>
    <xf numFmtId="3" fontId="6" fillId="11" borderId="0" xfId="9" applyNumberFormat="1" applyFill="1" applyAlignment="1">
      <alignment wrapText="1"/>
    </xf>
    <xf numFmtId="3" fontId="34" fillId="11" borderId="31" xfId="0" applyNumberFormat="1" applyFont="1" applyFill="1" applyBorder="1"/>
    <xf numFmtId="3" fontId="34" fillId="11" borderId="31" xfId="0" applyNumberFormat="1" applyFont="1" applyFill="1" applyBorder="1" applyAlignment="1">
      <alignment wrapText="1"/>
    </xf>
    <xf numFmtId="3" fontId="34" fillId="11" borderId="0" xfId="0" quotePrefix="1" applyNumberFormat="1" applyFont="1" applyFill="1"/>
    <xf numFmtId="3" fontId="6" fillId="12" borderId="0" xfId="0" applyNumberFormat="1" applyFont="1" applyFill="1"/>
    <xf numFmtId="3" fontId="40" fillId="11" borderId="0" xfId="9" applyNumberFormat="1" applyFont="1" applyFill="1"/>
    <xf numFmtId="3" fontId="6" fillId="11" borderId="0" xfId="0" quotePrefix="1" applyNumberFormat="1" applyFont="1" applyFill="1"/>
    <xf numFmtId="3" fontId="6" fillId="12" borderId="0" xfId="9" applyNumberFormat="1" applyFill="1" applyProtection="1">
      <protection locked="0"/>
    </xf>
    <xf numFmtId="3" fontId="6" fillId="12" borderId="0" xfId="0" applyNumberFormat="1" applyFont="1" applyFill="1" applyProtection="1">
      <protection locked="0"/>
    </xf>
    <xf numFmtId="0" fontId="20" fillId="0" borderId="0" xfId="0" quotePrefix="1" applyFont="1" applyAlignment="1">
      <alignment horizontal="left" vertical="center"/>
    </xf>
    <xf numFmtId="0" fontId="62" fillId="0" borderId="0" xfId="0" applyFont="1"/>
    <xf numFmtId="0" fontId="0" fillId="0" borderId="0" xfId="0" applyAlignment="1">
      <alignment vertical="center"/>
    </xf>
    <xf numFmtId="170" fontId="0" fillId="0" borderId="0" xfId="0" applyNumberFormat="1"/>
    <xf numFmtId="0" fontId="44" fillId="5" borderId="1" xfId="0" applyFont="1" applyFill="1" applyBorder="1" applyAlignment="1">
      <alignment horizontal="left" vertical="center"/>
    </xf>
    <xf numFmtId="0" fontId="44" fillId="5" borderId="1" xfId="0" applyFont="1" applyFill="1" applyBorder="1" applyAlignment="1">
      <alignment horizontal="center" vertical="center"/>
    </xf>
    <xf numFmtId="0" fontId="81" fillId="8" borderId="0" xfId="0" applyFont="1" applyFill="1"/>
    <xf numFmtId="0" fontId="81" fillId="11" borderId="0" xfId="0" applyFont="1" applyFill="1"/>
    <xf numFmtId="0" fontId="82" fillId="11" borderId="0" xfId="0" applyFont="1" applyFill="1"/>
    <xf numFmtId="14" fontId="83" fillId="0" borderId="0" xfId="0" quotePrefix="1" applyNumberFormat="1" applyFont="1" applyAlignment="1">
      <alignment horizontal="center"/>
    </xf>
    <xf numFmtId="0" fontId="17" fillId="0" borderId="3" xfId="0" applyFont="1" applyBorder="1" applyAlignment="1">
      <alignment horizontal="center" wrapText="1"/>
    </xf>
    <xf numFmtId="0" fontId="17" fillId="0" borderId="6" xfId="0" applyFont="1" applyBorder="1" applyAlignment="1">
      <alignment horizontal="center" wrapText="1"/>
    </xf>
    <xf numFmtId="49" fontId="85" fillId="47" borderId="0" xfId="155" applyNumberFormat="1" applyFont="1" applyFill="1" applyAlignment="1" applyProtection="1">
      <alignment horizontal="center" vertical="center"/>
      <protection hidden="1"/>
    </xf>
    <xf numFmtId="49" fontId="86" fillId="47" borderId="0" xfId="155" applyNumberFormat="1" applyFont="1" applyFill="1" applyAlignment="1" applyProtection="1">
      <alignment horizontal="left"/>
      <protection hidden="1"/>
    </xf>
    <xf numFmtId="49" fontId="86" fillId="47" borderId="0" xfId="155" applyNumberFormat="1" applyFont="1" applyFill="1" applyAlignment="1" applyProtection="1">
      <alignment horizontal="center" vertical="center"/>
      <protection hidden="1"/>
    </xf>
    <xf numFmtId="49" fontId="87" fillId="47" borderId="0" xfId="155" applyNumberFormat="1" applyFont="1" applyFill="1" applyAlignment="1" applyProtection="1">
      <alignment horizontal="left" vertical="center"/>
      <protection hidden="1"/>
    </xf>
    <xf numFmtId="49" fontId="85" fillId="47" borderId="41" xfId="155" applyNumberFormat="1" applyFont="1" applyFill="1" applyBorder="1" applyAlignment="1" applyProtection="1">
      <alignment vertical="center"/>
      <protection hidden="1"/>
    </xf>
    <xf numFmtId="49" fontId="85" fillId="47" borderId="42" xfId="155" applyNumberFormat="1" applyFont="1" applyFill="1" applyBorder="1" applyAlignment="1" applyProtection="1">
      <alignment vertical="center"/>
      <protection hidden="1"/>
    </xf>
    <xf numFmtId="49" fontId="85" fillId="0" borderId="0" xfId="155" applyNumberFormat="1" applyFont="1" applyAlignment="1" applyProtection="1">
      <alignment horizontal="center" vertical="center"/>
      <protection hidden="1"/>
    </xf>
    <xf numFmtId="0" fontId="0" fillId="47" borderId="0" xfId="156" applyFont="1" applyFill="1" applyAlignment="1" applyProtection="1">
      <alignment vertical="center"/>
      <protection hidden="1"/>
    </xf>
    <xf numFmtId="0" fontId="0" fillId="47" borderId="24" xfId="156" applyFont="1" applyFill="1" applyBorder="1" applyAlignment="1" applyProtection="1">
      <alignment horizontal="left" vertical="center"/>
      <protection hidden="1"/>
    </xf>
    <xf numFmtId="0" fontId="0" fillId="47" borderId="13" xfId="156" applyFont="1" applyFill="1" applyBorder="1" applyAlignment="1" applyProtection="1">
      <alignment horizontal="left" vertical="center"/>
      <protection hidden="1"/>
    </xf>
    <xf numFmtId="0" fontId="0" fillId="47" borderId="25" xfId="156" applyFont="1" applyFill="1" applyBorder="1" applyAlignment="1" applyProtection="1">
      <alignment horizontal="left" vertical="center"/>
      <protection hidden="1"/>
    </xf>
    <xf numFmtId="0" fontId="0" fillId="47" borderId="0" xfId="156" applyFont="1" applyFill="1" applyAlignment="1" applyProtection="1">
      <alignment horizontal="left" vertical="center"/>
      <protection hidden="1"/>
    </xf>
    <xf numFmtId="49" fontId="89" fillId="47" borderId="0" xfId="155" applyNumberFormat="1" applyFont="1" applyFill="1" applyAlignment="1" applyProtection="1">
      <alignment horizontal="left" vertical="center"/>
      <protection hidden="1"/>
    </xf>
    <xf numFmtId="49" fontId="85" fillId="47" borderId="43" xfId="155" applyNumberFormat="1" applyFont="1" applyFill="1" applyBorder="1" applyAlignment="1" applyProtection="1">
      <alignment vertical="center"/>
      <protection hidden="1"/>
    </xf>
    <xf numFmtId="49" fontId="85" fillId="47" borderId="0" xfId="155" applyNumberFormat="1" applyFont="1" applyFill="1" applyAlignment="1" applyProtection="1">
      <alignment vertical="center"/>
      <protection hidden="1"/>
    </xf>
    <xf numFmtId="49" fontId="89" fillId="47" borderId="0" xfId="155" applyNumberFormat="1" applyFont="1" applyFill="1" applyAlignment="1" applyProtection="1">
      <alignment vertical="center"/>
      <protection hidden="1"/>
    </xf>
    <xf numFmtId="49" fontId="90" fillId="47" borderId="0" xfId="155" applyNumberFormat="1" applyFont="1" applyFill="1" applyAlignment="1" applyProtection="1">
      <alignment vertical="center"/>
      <protection hidden="1"/>
    </xf>
    <xf numFmtId="49" fontId="84" fillId="47" borderId="0" xfId="155" applyNumberFormat="1" applyFill="1" applyAlignment="1" applyProtection="1">
      <alignment vertical="center"/>
      <protection hidden="1"/>
    </xf>
    <xf numFmtId="49" fontId="85" fillId="0" borderId="0" xfId="155" applyNumberFormat="1" applyFont="1" applyAlignment="1" applyProtection="1">
      <alignment horizontal="center"/>
      <protection hidden="1"/>
    </xf>
    <xf numFmtId="49" fontId="85" fillId="48" borderId="20" xfId="155" applyNumberFormat="1" applyFont="1" applyFill="1" applyBorder="1" applyAlignment="1" applyProtection="1">
      <alignment vertical="center"/>
      <protection hidden="1"/>
    </xf>
    <xf numFmtId="49" fontId="85" fillId="48" borderId="21" xfId="155" applyNumberFormat="1" applyFont="1" applyFill="1" applyBorder="1" applyAlignment="1" applyProtection="1">
      <alignment vertical="center"/>
      <protection hidden="1"/>
    </xf>
    <xf numFmtId="49" fontId="85" fillId="48" borderId="22" xfId="155" applyNumberFormat="1" applyFont="1" applyFill="1" applyBorder="1" applyAlignment="1" applyProtection="1">
      <alignment vertical="center"/>
      <protection hidden="1"/>
    </xf>
    <xf numFmtId="49" fontId="85" fillId="48" borderId="4" xfId="155" applyNumberFormat="1" applyFont="1" applyFill="1" applyBorder="1" applyAlignment="1" applyProtection="1">
      <alignment vertical="center"/>
      <protection hidden="1"/>
    </xf>
    <xf numFmtId="49" fontId="85" fillId="48" borderId="0" xfId="155" applyNumberFormat="1" applyFont="1" applyFill="1" applyAlignment="1" applyProtection="1">
      <alignment vertical="center"/>
      <protection hidden="1"/>
    </xf>
    <xf numFmtId="49" fontId="85" fillId="48" borderId="0" xfId="155" applyNumberFormat="1" applyFont="1" applyFill="1" applyAlignment="1" applyProtection="1">
      <alignment horizontal="center" vertical="center"/>
      <protection hidden="1"/>
    </xf>
    <xf numFmtId="49" fontId="85" fillId="48" borderId="5" xfId="155" applyNumberFormat="1" applyFont="1" applyFill="1" applyBorder="1" applyAlignment="1" applyProtection="1">
      <alignment horizontal="center" vertical="center"/>
      <protection hidden="1"/>
    </xf>
    <xf numFmtId="49" fontId="84" fillId="48" borderId="4" xfId="155" applyNumberFormat="1" applyFill="1" applyBorder="1" applyAlignment="1" applyProtection="1">
      <alignment vertical="center"/>
      <protection hidden="1"/>
    </xf>
    <xf numFmtId="49" fontId="84" fillId="48" borderId="0" xfId="155" applyNumberFormat="1" applyFill="1" applyAlignment="1" applyProtection="1">
      <alignment vertical="center"/>
      <protection hidden="1"/>
    </xf>
    <xf numFmtId="49" fontId="85" fillId="48" borderId="7" xfId="155" applyNumberFormat="1" applyFont="1" applyFill="1" applyBorder="1" applyAlignment="1" applyProtection="1">
      <alignment vertical="center"/>
      <protection hidden="1"/>
    </xf>
    <xf numFmtId="49" fontId="85" fillId="48" borderId="1" xfId="155" applyNumberFormat="1" applyFont="1" applyFill="1" applyBorder="1" applyAlignment="1" applyProtection="1">
      <alignment vertical="center"/>
      <protection hidden="1"/>
    </xf>
    <xf numFmtId="49" fontId="85" fillId="48" borderId="9" xfId="155" applyNumberFormat="1" applyFont="1" applyFill="1" applyBorder="1" applyAlignment="1" applyProtection="1">
      <alignment vertical="center"/>
      <protection hidden="1"/>
    </xf>
    <xf numFmtId="49" fontId="94" fillId="48" borderId="0" xfId="155" applyNumberFormat="1" applyFont="1" applyFill="1" applyAlignment="1" applyProtection="1">
      <alignment horizontal="left"/>
      <protection hidden="1"/>
    </xf>
    <xf numFmtId="49" fontId="95" fillId="0" borderId="0" xfId="155" applyNumberFormat="1" applyFont="1" applyAlignment="1" applyProtection="1">
      <alignment horizontal="center" vertical="center"/>
      <protection hidden="1"/>
    </xf>
    <xf numFmtId="49" fontId="95" fillId="47" borderId="0" xfId="155" applyNumberFormat="1" applyFont="1" applyFill="1" applyAlignment="1" applyProtection="1">
      <alignment horizontal="center" vertical="center"/>
      <protection hidden="1"/>
    </xf>
    <xf numFmtId="49" fontId="95" fillId="48" borderId="0" xfId="155" applyNumberFormat="1" applyFont="1" applyFill="1" applyAlignment="1" applyProtection="1">
      <alignment horizontal="center" vertical="center"/>
      <protection hidden="1"/>
    </xf>
    <xf numFmtId="49" fontId="97" fillId="48" borderId="48" xfId="155" applyNumberFormat="1" applyFont="1" applyFill="1" applyBorder="1" applyAlignment="1" applyProtection="1">
      <alignment vertical="center"/>
      <protection hidden="1"/>
    </xf>
    <xf numFmtId="49" fontId="97" fillId="48" borderId="45" xfId="155" applyNumberFormat="1" applyFont="1" applyFill="1" applyBorder="1" applyAlignment="1" applyProtection="1">
      <alignment vertical="center"/>
      <protection hidden="1"/>
    </xf>
    <xf numFmtId="49" fontId="97" fillId="48" borderId="46" xfId="155" applyNumberFormat="1" applyFont="1" applyFill="1" applyBorder="1" applyAlignment="1" applyProtection="1">
      <alignment vertical="center"/>
      <protection hidden="1"/>
    </xf>
    <xf numFmtId="49" fontId="93" fillId="48" borderId="49" xfId="155" applyNumberFormat="1" applyFont="1" applyFill="1" applyBorder="1" applyAlignment="1" applyProtection="1">
      <alignment horizontal="left" vertical="center"/>
      <protection hidden="1"/>
    </xf>
    <xf numFmtId="49" fontId="97" fillId="48" borderId="0" xfId="155" applyNumberFormat="1" applyFont="1" applyFill="1" applyAlignment="1" applyProtection="1">
      <alignment vertical="center"/>
      <protection hidden="1"/>
    </xf>
    <xf numFmtId="49" fontId="97" fillId="48" borderId="49" xfId="155" applyNumberFormat="1" applyFont="1" applyFill="1" applyBorder="1" applyAlignment="1" applyProtection="1">
      <alignment vertical="center"/>
      <protection hidden="1"/>
    </xf>
    <xf numFmtId="49" fontId="97" fillId="48" borderId="50" xfId="155" applyNumberFormat="1" applyFont="1" applyFill="1" applyBorder="1" applyAlignment="1" applyProtection="1">
      <alignment vertical="center"/>
      <protection hidden="1"/>
    </xf>
    <xf numFmtId="0" fontId="95" fillId="47" borderId="0" xfId="155" applyFont="1" applyFill="1" applyAlignment="1" applyProtection="1">
      <alignment vertical="center"/>
      <protection locked="0"/>
    </xf>
    <xf numFmtId="49" fontId="95" fillId="48" borderId="49" xfId="155" applyNumberFormat="1" applyFont="1" applyFill="1" applyBorder="1" applyAlignment="1" applyProtection="1">
      <alignment horizontal="center" vertical="center"/>
      <protection hidden="1"/>
    </xf>
    <xf numFmtId="49" fontId="97" fillId="48" borderId="0" xfId="155" applyNumberFormat="1" applyFont="1" applyFill="1" applyAlignment="1" applyProtection="1">
      <alignment horizontal="left" vertical="center"/>
      <protection hidden="1"/>
    </xf>
    <xf numFmtId="0" fontId="95" fillId="48" borderId="0" xfId="155" applyFont="1" applyFill="1" applyAlignment="1" applyProtection="1">
      <alignment horizontal="center" vertical="center"/>
      <protection hidden="1"/>
    </xf>
    <xf numFmtId="49" fontId="97" fillId="48" borderId="49" xfId="155" applyNumberFormat="1" applyFont="1" applyFill="1" applyBorder="1" applyAlignment="1" applyProtection="1">
      <alignment horizontal="left" vertical="center"/>
      <protection hidden="1"/>
    </xf>
    <xf numFmtId="49" fontId="84" fillId="48" borderId="0" xfId="155" applyNumberFormat="1" applyFill="1" applyAlignment="1" applyProtection="1">
      <alignment horizontal="right" vertical="center"/>
      <protection hidden="1"/>
    </xf>
    <xf numFmtId="49" fontId="85" fillId="48" borderId="49" xfId="155" applyNumberFormat="1" applyFont="1" applyFill="1" applyBorder="1" applyAlignment="1" applyProtection="1">
      <alignment horizontal="center" vertical="center"/>
      <protection hidden="1"/>
    </xf>
    <xf numFmtId="49" fontId="97" fillId="48" borderId="51" xfId="155" applyNumberFormat="1" applyFont="1" applyFill="1" applyBorder="1" applyAlignment="1" applyProtection="1">
      <alignment vertical="center"/>
      <protection hidden="1"/>
    </xf>
    <xf numFmtId="49" fontId="97" fillId="48" borderId="44" xfId="155" applyNumberFormat="1" applyFont="1" applyFill="1" applyBorder="1" applyAlignment="1" applyProtection="1">
      <alignment vertical="center"/>
      <protection hidden="1"/>
    </xf>
    <xf numFmtId="49" fontId="85" fillId="48" borderId="44" xfId="155" applyNumberFormat="1" applyFont="1" applyFill="1" applyBorder="1" applyAlignment="1" applyProtection="1">
      <alignment vertical="center"/>
      <protection hidden="1"/>
    </xf>
    <xf numFmtId="49" fontId="95" fillId="48" borderId="44" xfId="155" applyNumberFormat="1" applyFont="1" applyFill="1" applyBorder="1" applyAlignment="1" applyProtection="1">
      <alignment horizontal="center" vertical="center"/>
      <protection hidden="1"/>
    </xf>
    <xf numFmtId="49" fontId="91" fillId="48" borderId="52" xfId="155" applyNumberFormat="1" applyFont="1" applyFill="1" applyBorder="1" applyAlignment="1" applyProtection="1">
      <alignment horizontal="center" vertical="center"/>
      <protection hidden="1"/>
    </xf>
    <xf numFmtId="0" fontId="95" fillId="47" borderId="0" xfId="155" applyFont="1" applyFill="1" applyAlignment="1" applyProtection="1">
      <alignment horizontal="center" vertical="center"/>
      <protection locked="0"/>
    </xf>
    <xf numFmtId="49" fontId="85" fillId="48" borderId="49" xfId="155" applyNumberFormat="1" applyFont="1" applyFill="1" applyBorder="1" applyAlignment="1" applyProtection="1">
      <alignment vertical="center"/>
      <protection hidden="1"/>
    </xf>
    <xf numFmtId="49" fontId="85" fillId="48" borderId="48" xfId="155" applyNumberFormat="1" applyFont="1" applyFill="1" applyBorder="1" applyAlignment="1" applyProtection="1">
      <alignment vertical="center"/>
      <protection hidden="1"/>
    </xf>
    <xf numFmtId="49" fontId="85" fillId="48" borderId="50" xfId="155" applyNumberFormat="1" applyFont="1" applyFill="1" applyBorder="1" applyAlignment="1" applyProtection="1">
      <alignment vertical="center"/>
      <protection hidden="1"/>
    </xf>
    <xf numFmtId="49" fontId="97" fillId="48" borderId="50" xfId="155" applyNumberFormat="1" applyFont="1" applyFill="1" applyBorder="1" applyAlignment="1" applyProtection="1">
      <alignment horizontal="left" vertical="center"/>
      <protection hidden="1"/>
    </xf>
    <xf numFmtId="49" fontId="99" fillId="48" borderId="0" xfId="155" applyNumberFormat="1" applyFont="1" applyFill="1" applyAlignment="1" applyProtection="1">
      <alignment vertical="center" wrapText="1"/>
      <protection hidden="1"/>
    </xf>
    <xf numFmtId="49" fontId="99" fillId="48" borderId="50" xfId="155" applyNumberFormat="1" applyFont="1" applyFill="1" applyBorder="1" applyAlignment="1" applyProtection="1">
      <alignment vertical="center" wrapText="1"/>
      <protection hidden="1"/>
    </xf>
    <xf numFmtId="49" fontId="99" fillId="48" borderId="49" xfId="155" applyNumberFormat="1" applyFont="1" applyFill="1" applyBorder="1" applyAlignment="1" applyProtection="1">
      <alignment vertical="center" wrapText="1"/>
      <protection hidden="1"/>
    </xf>
    <xf numFmtId="49" fontId="99" fillId="48" borderId="0" xfId="155" applyNumberFormat="1" applyFont="1" applyFill="1" applyAlignment="1" applyProtection="1">
      <alignment horizontal="left" vertical="center"/>
      <protection hidden="1"/>
    </xf>
    <xf numFmtId="49" fontId="97" fillId="47" borderId="0" xfId="155" applyNumberFormat="1" applyFont="1" applyFill="1" applyAlignment="1" applyProtection="1">
      <alignment vertical="center"/>
      <protection hidden="1"/>
    </xf>
    <xf numFmtId="49" fontId="100" fillId="48" borderId="0" xfId="155" applyNumberFormat="1" applyFont="1" applyFill="1" applyAlignment="1" applyProtection="1">
      <alignment vertical="center"/>
      <protection hidden="1"/>
    </xf>
    <xf numFmtId="49" fontId="85" fillId="48" borderId="52" xfId="155" applyNumberFormat="1" applyFont="1" applyFill="1" applyBorder="1" applyAlignment="1" applyProtection="1">
      <alignment vertical="center"/>
      <protection hidden="1"/>
    </xf>
    <xf numFmtId="49" fontId="85" fillId="48" borderId="51" xfId="155" applyNumberFormat="1" applyFont="1" applyFill="1" applyBorder="1" applyAlignment="1" applyProtection="1">
      <alignment vertical="center"/>
      <protection hidden="1"/>
    </xf>
    <xf numFmtId="49" fontId="97" fillId="48" borderId="4" xfId="155" applyNumberFormat="1" applyFont="1" applyFill="1" applyBorder="1" applyAlignment="1" applyProtection="1">
      <alignment vertical="center"/>
      <protection hidden="1"/>
    </xf>
    <xf numFmtId="49" fontId="98" fillId="47" borderId="0" xfId="155" applyNumberFormat="1" applyFont="1" applyFill="1" applyAlignment="1" applyProtection="1">
      <alignment horizontal="center" vertical="center"/>
      <protection locked="0"/>
    </xf>
    <xf numFmtId="49" fontId="97" fillId="48" borderId="5" xfId="155" applyNumberFormat="1" applyFont="1" applyFill="1" applyBorder="1" applyAlignment="1" applyProtection="1">
      <alignment vertical="center"/>
      <protection hidden="1"/>
    </xf>
    <xf numFmtId="49" fontId="101" fillId="48" borderId="7" xfId="155" applyNumberFormat="1" applyFont="1" applyFill="1" applyBorder="1" applyAlignment="1" applyProtection="1">
      <alignment vertical="center"/>
      <protection hidden="1"/>
    </xf>
    <xf numFmtId="49" fontId="101" fillId="48" borderId="1" xfId="155" applyNumberFormat="1" applyFont="1" applyFill="1" applyBorder="1" applyAlignment="1" applyProtection="1">
      <alignment vertical="center"/>
      <protection hidden="1"/>
    </xf>
    <xf numFmtId="49" fontId="101" fillId="48" borderId="9" xfId="155" applyNumberFormat="1" applyFont="1" applyFill="1" applyBorder="1" applyAlignment="1" applyProtection="1">
      <alignment vertical="center"/>
      <protection hidden="1"/>
    </xf>
    <xf numFmtId="49" fontId="102" fillId="0" borderId="0" xfId="155" applyNumberFormat="1" applyFont="1" applyAlignment="1" applyProtection="1">
      <alignment horizontal="center" vertical="center"/>
      <protection hidden="1"/>
    </xf>
    <xf numFmtId="49" fontId="95" fillId="48" borderId="50" xfId="155" applyNumberFormat="1" applyFont="1" applyFill="1" applyBorder="1" applyAlignment="1" applyProtection="1">
      <alignment horizontal="center" vertical="center"/>
      <protection hidden="1"/>
    </xf>
    <xf numFmtId="49" fontId="95" fillId="48" borderId="51" xfId="155" applyNumberFormat="1" applyFont="1" applyFill="1" applyBorder="1" applyAlignment="1" applyProtection="1">
      <alignment horizontal="center" vertical="center"/>
      <protection hidden="1"/>
    </xf>
    <xf numFmtId="49" fontId="97" fillId="48" borderId="44" xfId="155" applyNumberFormat="1" applyFont="1" applyFill="1" applyBorder="1" applyAlignment="1" applyProtection="1">
      <alignment horizontal="left" vertical="center"/>
      <protection hidden="1"/>
    </xf>
    <xf numFmtId="49" fontId="95" fillId="48" borderId="52" xfId="155" applyNumberFormat="1" applyFont="1" applyFill="1" applyBorder="1" applyAlignment="1" applyProtection="1">
      <alignment horizontal="center" vertical="center"/>
      <protection hidden="1"/>
    </xf>
    <xf numFmtId="49" fontId="94" fillId="48" borderId="44" xfId="155" applyNumberFormat="1" applyFont="1" applyFill="1" applyBorder="1" applyAlignment="1" applyProtection="1">
      <alignment horizontal="left" vertical="center"/>
      <protection hidden="1"/>
    </xf>
    <xf numFmtId="49" fontId="97" fillId="48" borderId="52" xfId="155" applyNumberFormat="1" applyFont="1" applyFill="1" applyBorder="1" applyAlignment="1" applyProtection="1">
      <alignment horizontal="left" vertical="center"/>
      <protection hidden="1"/>
    </xf>
    <xf numFmtId="49" fontId="94" fillId="48" borderId="45" xfId="155" applyNumberFormat="1" applyFont="1" applyFill="1" applyBorder="1" applyAlignment="1" applyProtection="1">
      <alignment horizontal="left" vertical="center"/>
      <protection hidden="1"/>
    </xf>
    <xf numFmtId="49" fontId="97" fillId="48" borderId="48" xfId="155" applyNumberFormat="1" applyFont="1" applyFill="1" applyBorder="1" applyAlignment="1" applyProtection="1">
      <alignment horizontal="left" vertical="center"/>
      <protection hidden="1"/>
    </xf>
    <xf numFmtId="49" fontId="94" fillId="48" borderId="46" xfId="155" applyNumberFormat="1" applyFont="1" applyFill="1" applyBorder="1" applyAlignment="1" applyProtection="1">
      <alignment horizontal="left" vertical="center"/>
      <protection hidden="1"/>
    </xf>
    <xf numFmtId="49" fontId="95" fillId="0" borderId="0" xfId="155" applyNumberFormat="1" applyFont="1" applyAlignment="1" applyProtection="1">
      <alignment horizontal="center"/>
      <protection hidden="1"/>
    </xf>
    <xf numFmtId="49" fontId="94" fillId="48" borderId="49" xfId="155" applyNumberFormat="1" applyFont="1" applyFill="1" applyBorder="1" applyAlignment="1" applyProtection="1">
      <alignment horizontal="left" vertical="center"/>
      <protection hidden="1"/>
    </xf>
    <xf numFmtId="49" fontId="94" fillId="48" borderId="50" xfId="155" applyNumberFormat="1" applyFont="1" applyFill="1" applyBorder="1" applyAlignment="1" applyProtection="1">
      <alignment horizontal="left" vertical="center"/>
      <protection hidden="1"/>
    </xf>
    <xf numFmtId="49" fontId="97" fillId="48" borderId="0" xfId="155" applyNumberFormat="1" applyFont="1" applyFill="1" applyAlignment="1" applyProtection="1">
      <alignment horizontal="center" vertical="center"/>
      <protection hidden="1"/>
    </xf>
    <xf numFmtId="49" fontId="104" fillId="47" borderId="0" xfId="155" applyNumberFormat="1" applyFont="1" applyFill="1" applyAlignment="1" applyProtection="1">
      <alignment horizontal="center" vertical="center"/>
      <protection hidden="1"/>
    </xf>
    <xf numFmtId="49" fontId="93" fillId="47" borderId="0" xfId="155" applyNumberFormat="1" applyFont="1" applyFill="1" applyAlignment="1" applyProtection="1">
      <alignment horizontal="left" vertical="center"/>
      <protection hidden="1"/>
    </xf>
    <xf numFmtId="49" fontId="105" fillId="47" borderId="0" xfId="155" applyNumberFormat="1" applyFont="1" applyFill="1" applyAlignment="1" applyProtection="1">
      <alignment horizontal="center" vertical="center"/>
      <protection hidden="1"/>
    </xf>
    <xf numFmtId="49" fontId="93" fillId="48" borderId="20" xfId="155" applyNumberFormat="1" applyFont="1" applyFill="1" applyBorder="1" applyAlignment="1" applyProtection="1">
      <alignment horizontal="left" vertical="center"/>
      <protection hidden="1"/>
    </xf>
    <xf numFmtId="49" fontId="93" fillId="48" borderId="21" xfId="155" applyNumberFormat="1" applyFont="1" applyFill="1" applyBorder="1" applyAlignment="1" applyProtection="1">
      <alignment horizontal="left" vertical="center"/>
      <protection hidden="1"/>
    </xf>
    <xf numFmtId="49" fontId="97" fillId="48" borderId="22" xfId="155" applyNumberFormat="1" applyFont="1" applyFill="1" applyBorder="1" applyAlignment="1" applyProtection="1">
      <alignment vertical="center" wrapText="1"/>
      <protection hidden="1"/>
    </xf>
    <xf numFmtId="49" fontId="97" fillId="48" borderId="20" xfId="155" applyNumberFormat="1" applyFont="1" applyFill="1" applyBorder="1" applyAlignment="1" applyProtection="1">
      <alignment vertical="center" wrapText="1"/>
      <protection hidden="1"/>
    </xf>
    <xf numFmtId="49" fontId="97" fillId="48" borderId="21" xfId="155" applyNumberFormat="1" applyFont="1" applyFill="1" applyBorder="1" applyAlignment="1" applyProtection="1">
      <alignment vertical="center" wrapText="1"/>
      <protection hidden="1"/>
    </xf>
    <xf numFmtId="49" fontId="93" fillId="48" borderId="4" xfId="155" applyNumberFormat="1" applyFont="1" applyFill="1" applyBorder="1" applyAlignment="1" applyProtection="1">
      <alignment horizontal="left" vertical="center"/>
      <protection hidden="1"/>
    </xf>
    <xf numFmtId="49" fontId="93" fillId="48" borderId="0" xfId="155" applyNumberFormat="1" applyFont="1" applyFill="1" applyAlignment="1" applyProtection="1">
      <alignment horizontal="left" vertical="center"/>
      <protection hidden="1"/>
    </xf>
    <xf numFmtId="49" fontId="97" fillId="48" borderId="5" xfId="155" applyNumberFormat="1" applyFont="1" applyFill="1" applyBorder="1" applyAlignment="1" applyProtection="1">
      <alignment vertical="center" wrapText="1"/>
      <protection hidden="1"/>
    </xf>
    <xf numFmtId="49" fontId="97" fillId="48" borderId="0" xfId="155" applyNumberFormat="1" applyFont="1" applyFill="1" applyAlignment="1" applyProtection="1">
      <alignment vertical="center" wrapText="1"/>
      <protection hidden="1"/>
    </xf>
    <xf numFmtId="49" fontId="97" fillId="48" borderId="4" xfId="155" applyNumberFormat="1" applyFont="1" applyFill="1" applyBorder="1" applyAlignment="1" applyProtection="1">
      <alignment vertical="center" wrapText="1"/>
      <protection hidden="1"/>
    </xf>
    <xf numFmtId="49" fontId="93" fillId="47" borderId="0" xfId="155" applyNumberFormat="1" applyFont="1" applyFill="1" applyAlignment="1" applyProtection="1">
      <alignment vertical="center"/>
      <protection hidden="1"/>
    </xf>
    <xf numFmtId="49" fontId="98" fillId="48" borderId="0" xfId="155" applyNumberFormat="1" applyFont="1" applyFill="1" applyProtection="1">
      <protection hidden="1"/>
    </xf>
    <xf numFmtId="49" fontId="104" fillId="48" borderId="0" xfId="155" applyNumberFormat="1" applyFont="1" applyFill="1" applyAlignment="1" applyProtection="1">
      <alignment vertical="center"/>
      <protection hidden="1"/>
    </xf>
    <xf numFmtId="49" fontId="104" fillId="48" borderId="1" xfId="155" applyNumberFormat="1" applyFont="1" applyFill="1" applyBorder="1" applyAlignment="1" applyProtection="1">
      <alignment horizontal="center" vertical="center"/>
      <protection hidden="1"/>
    </xf>
    <xf numFmtId="49" fontId="97" fillId="48" borderId="9" xfId="155" applyNumberFormat="1" applyFont="1" applyFill="1" applyBorder="1" applyAlignment="1" applyProtection="1">
      <alignment vertical="center" wrapText="1"/>
      <protection hidden="1"/>
    </xf>
    <xf numFmtId="49" fontId="97" fillId="48" borderId="7" xfId="155" applyNumberFormat="1" applyFont="1" applyFill="1" applyBorder="1" applyAlignment="1" applyProtection="1">
      <alignment vertical="center" wrapText="1"/>
      <protection hidden="1"/>
    </xf>
    <xf numFmtId="49" fontId="97" fillId="48" borderId="1" xfId="155" applyNumberFormat="1" applyFont="1" applyFill="1" applyBorder="1" applyAlignment="1" applyProtection="1">
      <alignment vertical="center" wrapText="1"/>
      <protection hidden="1"/>
    </xf>
    <xf numFmtId="49" fontId="106" fillId="0" borderId="0" xfId="155" applyNumberFormat="1" applyFont="1" applyAlignment="1" applyProtection="1">
      <alignment horizontal="center" vertical="center"/>
      <protection hidden="1"/>
    </xf>
    <xf numFmtId="49" fontId="93" fillId="48" borderId="48" xfId="155" applyNumberFormat="1" applyFont="1" applyFill="1" applyBorder="1" applyAlignment="1" applyProtection="1">
      <alignment horizontal="left" vertical="center"/>
      <protection hidden="1"/>
    </xf>
    <xf numFmtId="49" fontId="105" fillId="48" borderId="48" xfId="155" applyNumberFormat="1" applyFont="1" applyFill="1" applyBorder="1" applyAlignment="1" applyProtection="1">
      <alignment horizontal="center" vertical="center"/>
      <protection hidden="1"/>
    </xf>
    <xf numFmtId="49" fontId="105" fillId="48" borderId="46" xfId="155" applyNumberFormat="1" applyFont="1" applyFill="1" applyBorder="1" applyAlignment="1" applyProtection="1">
      <alignment horizontal="center" vertical="center"/>
      <protection hidden="1"/>
    </xf>
    <xf numFmtId="49" fontId="105" fillId="48" borderId="0" xfId="155" applyNumberFormat="1" applyFont="1" applyFill="1" applyAlignment="1" applyProtection="1">
      <alignment horizontal="center" vertical="center"/>
      <protection hidden="1"/>
    </xf>
    <xf numFmtId="49" fontId="105" fillId="48" borderId="50" xfId="155" applyNumberFormat="1" applyFont="1" applyFill="1" applyBorder="1" applyAlignment="1" applyProtection="1">
      <alignment horizontal="center" vertical="center"/>
      <protection hidden="1"/>
    </xf>
    <xf numFmtId="49" fontId="97" fillId="47" borderId="0" xfId="155" applyNumberFormat="1" applyFont="1" applyFill="1" applyAlignment="1" applyProtection="1">
      <alignment horizontal="center" vertical="center"/>
      <protection hidden="1"/>
    </xf>
    <xf numFmtId="49" fontId="97" fillId="48" borderId="51" xfId="155" applyNumberFormat="1" applyFont="1" applyFill="1" applyBorder="1" applyAlignment="1" applyProtection="1">
      <alignment horizontal="center" vertical="center"/>
      <protection hidden="1"/>
    </xf>
    <xf numFmtId="49" fontId="97" fillId="48" borderId="44" xfId="155" applyNumberFormat="1" applyFont="1" applyFill="1" applyBorder="1" applyAlignment="1" applyProtection="1">
      <alignment horizontal="center" vertical="center"/>
      <protection hidden="1"/>
    </xf>
    <xf numFmtId="49" fontId="97" fillId="48" borderId="52" xfId="155" applyNumberFormat="1" applyFont="1" applyFill="1" applyBorder="1" applyAlignment="1" applyProtection="1">
      <alignment horizontal="center" vertical="center"/>
      <protection hidden="1"/>
    </xf>
    <xf numFmtId="49" fontId="85" fillId="47" borderId="56" xfId="155" applyNumberFormat="1" applyFont="1" applyFill="1" applyBorder="1" applyAlignment="1" applyProtection="1">
      <alignment horizontal="center" vertical="center"/>
      <protection hidden="1"/>
    </xf>
    <xf numFmtId="49" fontId="97" fillId="0" borderId="0" xfId="155" applyNumberFormat="1" applyFont="1" applyAlignment="1" applyProtection="1">
      <alignment horizontal="center" vertical="center"/>
      <protection hidden="1"/>
    </xf>
    <xf numFmtId="49" fontId="85" fillId="47" borderId="57" xfId="155" applyNumberFormat="1" applyFont="1" applyFill="1" applyBorder="1" applyAlignment="1" applyProtection="1">
      <alignment horizontal="center" vertical="center"/>
      <protection hidden="1"/>
    </xf>
    <xf numFmtId="49" fontId="85" fillId="47" borderId="58" xfId="155" applyNumberFormat="1" applyFont="1" applyFill="1" applyBorder="1" applyAlignment="1" applyProtection="1">
      <alignment horizontal="center" vertical="center"/>
      <protection hidden="1"/>
    </xf>
    <xf numFmtId="49" fontId="85" fillId="47" borderId="59" xfId="155" applyNumberFormat="1" applyFont="1" applyFill="1" applyBorder="1" applyAlignment="1" applyProtection="1">
      <alignment horizontal="center" vertical="center"/>
      <protection hidden="1"/>
    </xf>
    <xf numFmtId="49" fontId="85" fillId="47" borderId="60" xfId="155" applyNumberFormat="1" applyFont="1" applyFill="1" applyBorder="1" applyAlignment="1" applyProtection="1">
      <alignment horizontal="center" vertical="center"/>
      <protection hidden="1"/>
    </xf>
    <xf numFmtId="0" fontId="0" fillId="47" borderId="0" xfId="157" applyFont="1" applyFill="1" applyProtection="1">
      <protection hidden="1"/>
    </xf>
    <xf numFmtId="0" fontId="0" fillId="0" borderId="0" xfId="157" applyFont="1" applyProtection="1">
      <protection hidden="1"/>
    </xf>
    <xf numFmtId="0" fontId="108" fillId="47" borderId="41" xfId="157" applyFont="1" applyFill="1" applyBorder="1" applyAlignment="1" applyProtection="1">
      <alignment vertical="center"/>
      <protection hidden="1"/>
    </xf>
    <xf numFmtId="0" fontId="109" fillId="47" borderId="0" xfId="157" applyFont="1" applyFill="1" applyAlignment="1" applyProtection="1">
      <alignment wrapText="1"/>
      <protection hidden="1"/>
    </xf>
    <xf numFmtId="0" fontId="108" fillId="47" borderId="0" xfId="157" applyFont="1" applyFill="1" applyAlignment="1" applyProtection="1">
      <alignment vertical="center"/>
      <protection hidden="1"/>
    </xf>
    <xf numFmtId="0" fontId="108" fillId="0" borderId="56" xfId="157" applyFont="1" applyBorder="1" applyAlignment="1" applyProtection="1">
      <alignment horizontal="center" vertical="center"/>
      <protection hidden="1"/>
    </xf>
    <xf numFmtId="49" fontId="93" fillId="48" borderId="5" xfId="155" applyNumberFormat="1" applyFont="1" applyFill="1" applyBorder="1" applyAlignment="1" applyProtection="1">
      <alignment horizontal="left" vertical="center"/>
      <protection hidden="1"/>
    </xf>
    <xf numFmtId="49" fontId="93" fillId="48" borderId="5" xfId="155" applyNumberFormat="1" applyFont="1" applyFill="1" applyBorder="1" applyAlignment="1" applyProtection="1">
      <alignment vertical="center"/>
      <protection hidden="1"/>
    </xf>
    <xf numFmtId="0" fontId="108" fillId="47" borderId="56" xfId="157" applyFont="1" applyFill="1" applyBorder="1" applyAlignment="1" applyProtection="1">
      <alignment vertical="center"/>
      <protection hidden="1"/>
    </xf>
    <xf numFmtId="0" fontId="111" fillId="48" borderId="0" xfId="157" applyFont="1" applyFill="1" applyAlignment="1" applyProtection="1">
      <alignment vertical="center" wrapText="1"/>
      <protection hidden="1"/>
    </xf>
    <xf numFmtId="0" fontId="111" fillId="48" borderId="5" xfId="157" applyFont="1" applyFill="1" applyBorder="1" applyAlignment="1" applyProtection="1">
      <alignment vertical="center" wrapText="1"/>
      <protection hidden="1"/>
    </xf>
    <xf numFmtId="49" fontId="95" fillId="48" borderId="0" xfId="155" applyNumberFormat="1" applyFont="1" applyFill="1" applyAlignment="1" applyProtection="1">
      <alignment vertical="center"/>
      <protection hidden="1"/>
    </xf>
    <xf numFmtId="0" fontId="0" fillId="47" borderId="42" xfId="157" applyFont="1" applyFill="1" applyBorder="1" applyProtection="1">
      <protection hidden="1"/>
    </xf>
    <xf numFmtId="0" fontId="0" fillId="47" borderId="43" xfId="157" applyFont="1" applyFill="1" applyBorder="1" applyProtection="1">
      <protection hidden="1"/>
    </xf>
    <xf numFmtId="49" fontId="97" fillId="48" borderId="1" xfId="155" applyNumberFormat="1" applyFont="1" applyFill="1" applyBorder="1" applyAlignment="1" applyProtection="1">
      <alignment vertical="center"/>
      <protection hidden="1"/>
    </xf>
    <xf numFmtId="49" fontId="97" fillId="48" borderId="9" xfId="155" applyNumberFormat="1" applyFont="1" applyFill="1" applyBorder="1" applyAlignment="1" applyProtection="1">
      <alignment vertical="center"/>
      <protection hidden="1"/>
    </xf>
    <xf numFmtId="49" fontId="112" fillId="48" borderId="7" xfId="155" applyNumberFormat="1" applyFont="1" applyFill="1" applyBorder="1" applyAlignment="1" applyProtection="1">
      <alignment vertical="center"/>
      <protection hidden="1"/>
    </xf>
    <xf numFmtId="49" fontId="95" fillId="48" borderId="1" xfId="155" applyNumberFormat="1" applyFont="1" applyFill="1" applyBorder="1" applyAlignment="1" applyProtection="1">
      <alignment vertical="center"/>
      <protection hidden="1"/>
    </xf>
    <xf numFmtId="0" fontId="0" fillId="47" borderId="57" xfId="157" applyFont="1" applyFill="1" applyBorder="1" applyProtection="1">
      <protection hidden="1"/>
    </xf>
    <xf numFmtId="0" fontId="111" fillId="47" borderId="0" xfId="157" applyFont="1" applyFill="1" applyAlignment="1" applyProtection="1">
      <alignment horizontal="center" vertical="center" wrapText="1"/>
      <protection hidden="1"/>
    </xf>
    <xf numFmtId="49" fontId="84" fillId="47" borderId="0" xfId="155" applyNumberFormat="1" applyFill="1" applyAlignment="1" applyProtection="1">
      <alignment horizontal="center" vertical="center"/>
      <protection hidden="1"/>
    </xf>
    <xf numFmtId="49" fontId="111" fillId="47" borderId="0" xfId="155" applyNumberFormat="1" applyFont="1" applyFill="1" applyAlignment="1" applyProtection="1">
      <alignment horizontal="center" vertical="center"/>
      <protection hidden="1"/>
    </xf>
    <xf numFmtId="49" fontId="113" fillId="47" borderId="0" xfId="155" applyNumberFormat="1" applyFont="1" applyFill="1" applyAlignment="1" applyProtection="1">
      <alignment horizontal="center" vertical="center" wrapText="1"/>
      <protection hidden="1"/>
    </xf>
    <xf numFmtId="0" fontId="111" fillId="48" borderId="62" xfId="157" applyFont="1" applyFill="1" applyBorder="1" applyAlignment="1" applyProtection="1">
      <alignment horizontal="center" vertical="center" wrapText="1"/>
      <protection hidden="1"/>
    </xf>
    <xf numFmtId="0" fontId="111" fillId="48" borderId="12" xfId="157" applyFont="1" applyFill="1" applyBorder="1" applyAlignment="1" applyProtection="1">
      <alignment horizontal="center" vertical="center" wrapText="1"/>
      <protection hidden="1"/>
    </xf>
    <xf numFmtId="49" fontId="84" fillId="48" borderId="12" xfId="155" applyNumberFormat="1" applyFill="1" applyBorder="1" applyAlignment="1" applyProtection="1">
      <alignment horizontal="center" vertical="center"/>
      <protection hidden="1"/>
    </xf>
    <xf numFmtId="49" fontId="84" fillId="48" borderId="61" xfId="155" applyNumberFormat="1" applyFill="1" applyBorder="1" applyAlignment="1" applyProtection="1">
      <alignment horizontal="center" vertical="center"/>
      <protection hidden="1"/>
    </xf>
    <xf numFmtId="0" fontId="109" fillId="47" borderId="0" xfId="156" applyFont="1" applyFill="1" applyAlignment="1" applyProtection="1">
      <alignment vertical="center" textRotation="180"/>
      <protection hidden="1"/>
    </xf>
    <xf numFmtId="0" fontId="111" fillId="48" borderId="49" xfId="157" applyFont="1" applyFill="1" applyBorder="1" applyAlignment="1" applyProtection="1">
      <alignment vertical="center" wrapText="1"/>
      <protection hidden="1"/>
    </xf>
    <xf numFmtId="0" fontId="111" fillId="48" borderId="50" xfId="157" applyFont="1" applyFill="1" applyBorder="1" applyAlignment="1" applyProtection="1">
      <alignment vertical="center" wrapText="1"/>
      <protection hidden="1"/>
    </xf>
    <xf numFmtId="0" fontId="109" fillId="0" borderId="0" xfId="157" applyFont="1" applyProtection="1">
      <protection hidden="1"/>
    </xf>
    <xf numFmtId="49" fontId="118" fillId="48" borderId="48" xfId="155" applyNumberFormat="1" applyFont="1" applyFill="1" applyBorder="1" applyAlignment="1" applyProtection="1">
      <alignment vertical="center"/>
      <protection hidden="1"/>
    </xf>
    <xf numFmtId="49" fontId="118" fillId="48" borderId="46" xfId="155" applyNumberFormat="1" applyFont="1" applyFill="1" applyBorder="1" applyAlignment="1" applyProtection="1">
      <alignment vertical="center"/>
      <protection hidden="1"/>
    </xf>
    <xf numFmtId="49" fontId="118" fillId="48" borderId="84" xfId="155" applyNumberFormat="1" applyFont="1" applyFill="1" applyBorder="1" applyAlignment="1" applyProtection="1">
      <alignment vertical="center"/>
      <protection hidden="1"/>
    </xf>
    <xf numFmtId="49" fontId="118" fillId="48" borderId="18" xfId="155" applyNumberFormat="1" applyFont="1" applyFill="1" applyBorder="1" applyAlignment="1" applyProtection="1">
      <alignment vertical="center"/>
      <protection hidden="1"/>
    </xf>
    <xf numFmtId="0" fontId="44" fillId="48" borderId="0" xfId="155" applyFont="1" applyFill="1" applyAlignment="1" applyProtection="1">
      <alignment horizontal="center" vertical="top"/>
      <protection hidden="1"/>
    </xf>
    <xf numFmtId="49" fontId="118" fillId="48" borderId="44" xfId="155" applyNumberFormat="1" applyFont="1" applyFill="1" applyBorder="1" applyAlignment="1" applyProtection="1">
      <alignment vertical="center"/>
      <protection hidden="1"/>
    </xf>
    <xf numFmtId="49" fontId="118" fillId="48" borderId="52" xfId="155" applyNumberFormat="1" applyFont="1" applyFill="1" applyBorder="1" applyAlignment="1" applyProtection="1">
      <alignment vertical="center"/>
      <protection hidden="1"/>
    </xf>
    <xf numFmtId="49" fontId="118" fillId="48" borderId="85" xfId="155" applyNumberFormat="1" applyFont="1" applyFill="1" applyBorder="1" applyAlignment="1" applyProtection="1">
      <alignment vertical="center"/>
      <protection hidden="1"/>
    </xf>
    <xf numFmtId="0" fontId="0" fillId="48" borderId="18" xfId="157" applyFont="1" applyFill="1" applyBorder="1" applyProtection="1">
      <protection hidden="1"/>
    </xf>
    <xf numFmtId="0" fontId="44" fillId="0" borderId="0" xfId="155" applyFont="1" applyAlignment="1" applyProtection="1">
      <alignment horizontal="center" vertical="top"/>
      <protection hidden="1"/>
    </xf>
    <xf numFmtId="49" fontId="118" fillId="48" borderId="51" xfId="155" applyNumberFormat="1" applyFont="1" applyFill="1" applyBorder="1" applyAlignment="1" applyProtection="1">
      <alignment vertical="center"/>
      <protection hidden="1"/>
    </xf>
    <xf numFmtId="0" fontId="109" fillId="47" borderId="0" xfId="156" applyFont="1" applyFill="1" applyAlignment="1" applyProtection="1">
      <alignment horizontal="center" vertical="center" textRotation="180"/>
      <protection hidden="1"/>
    </xf>
    <xf numFmtId="49" fontId="118" fillId="48" borderId="104" xfId="155" applyNumberFormat="1" applyFont="1" applyFill="1" applyBorder="1" applyAlignment="1" applyProtection="1">
      <alignment vertical="center"/>
      <protection hidden="1"/>
    </xf>
    <xf numFmtId="49" fontId="118" fillId="48" borderId="11" xfId="155" applyNumberFormat="1" applyFont="1" applyFill="1" applyBorder="1" applyAlignment="1" applyProtection="1">
      <alignment vertical="center"/>
      <protection hidden="1"/>
    </xf>
    <xf numFmtId="49" fontId="118" fillId="48" borderId="105" xfId="155" applyNumberFormat="1" applyFont="1" applyFill="1" applyBorder="1" applyAlignment="1" applyProtection="1">
      <alignment vertical="center"/>
      <protection hidden="1"/>
    </xf>
    <xf numFmtId="49" fontId="118" fillId="48" borderId="106" xfId="155" applyNumberFormat="1" applyFont="1" applyFill="1" applyBorder="1" applyAlignment="1" applyProtection="1">
      <alignment vertical="center"/>
      <protection hidden="1"/>
    </xf>
    <xf numFmtId="0" fontId="0" fillId="47" borderId="56" xfId="157" applyFont="1" applyFill="1" applyBorder="1" applyProtection="1">
      <protection hidden="1"/>
    </xf>
    <xf numFmtId="0" fontId="108" fillId="47" borderId="0" xfId="157" applyFont="1" applyFill="1" applyAlignment="1" applyProtection="1">
      <alignment horizontal="center" vertical="center"/>
      <protection hidden="1"/>
    </xf>
    <xf numFmtId="0" fontId="0" fillId="47" borderId="58" xfId="157" applyFont="1" applyFill="1" applyBorder="1" applyProtection="1">
      <protection hidden="1"/>
    </xf>
    <xf numFmtId="0" fontId="0" fillId="47" borderId="59" xfId="157" applyFont="1" applyFill="1" applyBorder="1" applyProtection="1">
      <protection hidden="1"/>
    </xf>
    <xf numFmtId="0" fontId="0" fillId="47" borderId="60" xfId="157" applyFont="1" applyFill="1" applyBorder="1" applyProtection="1">
      <protection hidden="1"/>
    </xf>
    <xf numFmtId="0" fontId="120" fillId="47" borderId="0" xfId="157" applyFont="1" applyFill="1" applyProtection="1">
      <protection hidden="1"/>
    </xf>
    <xf numFmtId="0" fontId="122" fillId="47" borderId="0" xfId="157" applyFont="1" applyFill="1" applyAlignment="1" applyProtection="1">
      <alignment horizontal="center" vertical="center"/>
      <protection hidden="1"/>
    </xf>
    <xf numFmtId="49" fontId="123" fillId="47" borderId="0" xfId="155" applyNumberFormat="1" applyFont="1" applyFill="1" applyAlignment="1" applyProtection="1">
      <alignment horizontal="center" vertical="center"/>
      <protection hidden="1"/>
    </xf>
    <xf numFmtId="49" fontId="120" fillId="47" borderId="0" xfId="155" applyNumberFormat="1" applyFont="1" applyFill="1" applyAlignment="1" applyProtection="1">
      <alignment horizontal="center" vertical="center"/>
      <protection hidden="1"/>
    </xf>
    <xf numFmtId="0" fontId="120" fillId="47" borderId="0" xfId="155" applyFont="1" applyFill="1" applyAlignment="1" applyProtection="1">
      <alignment horizontal="center" vertical="center"/>
      <protection hidden="1"/>
    </xf>
    <xf numFmtId="0" fontId="120" fillId="0" borderId="0" xfId="157" applyFont="1" applyProtection="1">
      <protection hidden="1"/>
    </xf>
    <xf numFmtId="0" fontId="108" fillId="0" borderId="0" xfId="157" applyFont="1" applyAlignment="1" applyProtection="1">
      <alignment horizontal="center" vertical="center"/>
      <protection hidden="1"/>
    </xf>
    <xf numFmtId="49" fontId="84" fillId="0" borderId="0" xfId="155" applyNumberFormat="1" applyAlignment="1" applyProtection="1">
      <alignment horizontal="center" vertical="center"/>
      <protection hidden="1"/>
    </xf>
    <xf numFmtId="49" fontId="0" fillId="0" borderId="0" xfId="155" applyNumberFormat="1" applyFont="1" applyAlignment="1" applyProtection="1">
      <alignment horizontal="center" vertical="center"/>
      <protection hidden="1"/>
    </xf>
    <xf numFmtId="49" fontId="84" fillId="48" borderId="110" xfId="155" applyNumberFormat="1" applyFill="1" applyBorder="1" applyAlignment="1" applyProtection="1">
      <alignment horizontal="center" vertical="center"/>
      <protection hidden="1"/>
    </xf>
    <xf numFmtId="49" fontId="84" fillId="48" borderId="108" xfId="155" applyNumberFormat="1" applyFill="1" applyBorder="1" applyAlignment="1" applyProtection="1">
      <alignment horizontal="center" vertical="center"/>
      <protection hidden="1"/>
    </xf>
    <xf numFmtId="49" fontId="84" fillId="48" borderId="50" xfId="155" applyNumberFormat="1" applyFill="1" applyBorder="1" applyAlignment="1" applyProtection="1">
      <alignment horizontal="center" vertical="center"/>
      <protection hidden="1"/>
    </xf>
    <xf numFmtId="49" fontId="118" fillId="48" borderId="113" xfId="155" applyNumberFormat="1" applyFont="1" applyFill="1" applyBorder="1" applyAlignment="1" applyProtection="1">
      <alignment vertical="center"/>
      <protection hidden="1"/>
    </xf>
    <xf numFmtId="49" fontId="118" fillId="48" borderId="114" xfId="155" applyNumberFormat="1" applyFont="1" applyFill="1" applyBorder="1" applyAlignment="1" applyProtection="1">
      <alignment vertical="center"/>
      <protection hidden="1"/>
    </xf>
    <xf numFmtId="49" fontId="118" fillId="48" borderId="115" xfId="155" applyNumberFormat="1" applyFont="1" applyFill="1" applyBorder="1" applyAlignment="1" applyProtection="1">
      <alignment vertical="center"/>
      <protection hidden="1"/>
    </xf>
    <xf numFmtId="0" fontId="0" fillId="48" borderId="114" xfId="157" applyFont="1" applyFill="1" applyBorder="1" applyProtection="1">
      <protection hidden="1"/>
    </xf>
    <xf numFmtId="0" fontId="109" fillId="47" borderId="0" xfId="157" applyFont="1" applyFill="1" applyProtection="1">
      <protection hidden="1"/>
    </xf>
    <xf numFmtId="0" fontId="108" fillId="47" borderId="58" xfId="157" applyFont="1" applyFill="1" applyBorder="1" applyAlignment="1" applyProtection="1">
      <alignment horizontal="center" vertical="center"/>
      <protection hidden="1"/>
    </xf>
    <xf numFmtId="49" fontId="119" fillId="47" borderId="0" xfId="155" applyNumberFormat="1" applyFont="1" applyFill="1" applyAlignment="1" applyProtection="1">
      <alignment horizontal="center" vertical="top"/>
      <protection hidden="1"/>
    </xf>
    <xf numFmtId="49" fontId="121" fillId="47" borderId="0" xfId="155" applyNumberFormat="1" applyFont="1" applyFill="1" applyAlignment="1" applyProtection="1">
      <alignment horizontal="left" vertical="top"/>
      <protection hidden="1"/>
    </xf>
    <xf numFmtId="0" fontId="126" fillId="47" borderId="0" xfId="157" applyFont="1" applyFill="1" applyProtection="1">
      <protection hidden="1"/>
    </xf>
    <xf numFmtId="0" fontId="126" fillId="0" borderId="0" xfId="157" applyFont="1" applyProtection="1">
      <protection hidden="1"/>
    </xf>
    <xf numFmtId="0" fontId="127" fillId="47" borderId="0" xfId="157" applyFont="1" applyFill="1" applyAlignment="1" applyProtection="1">
      <alignment horizontal="center" vertical="center"/>
      <protection hidden="1"/>
    </xf>
    <xf numFmtId="49" fontId="128" fillId="47" borderId="0" xfId="155" applyNumberFormat="1" applyFont="1" applyFill="1" applyAlignment="1" applyProtection="1">
      <alignment horizontal="center" vertical="center"/>
      <protection hidden="1"/>
    </xf>
    <xf numFmtId="49" fontId="126" fillId="47" borderId="0" xfId="155" applyNumberFormat="1" applyFont="1" applyFill="1" applyAlignment="1" applyProtection="1">
      <alignment horizontal="center" vertical="center"/>
      <protection hidden="1"/>
    </xf>
    <xf numFmtId="0" fontId="111" fillId="48" borderId="50" xfId="157" applyFont="1" applyFill="1" applyBorder="1" applyAlignment="1" applyProtection="1">
      <alignment horizontal="center" vertical="center" wrapText="1"/>
      <protection hidden="1"/>
    </xf>
    <xf numFmtId="0" fontId="0" fillId="47" borderId="0" xfId="157" applyFont="1" applyFill="1" applyAlignment="1" applyProtection="1">
      <alignment horizontal="center"/>
      <protection hidden="1"/>
    </xf>
    <xf numFmtId="0" fontId="111" fillId="48" borderId="44" xfId="157" applyFont="1" applyFill="1" applyBorder="1" applyAlignment="1" applyProtection="1">
      <alignment horizontal="center" wrapText="1"/>
      <protection hidden="1"/>
    </xf>
    <xf numFmtId="0" fontId="109" fillId="47" borderId="0" xfId="157" applyFont="1" applyFill="1" applyAlignment="1" applyProtection="1">
      <alignment horizontal="center"/>
      <protection hidden="1"/>
    </xf>
    <xf numFmtId="0" fontId="109" fillId="0" borderId="0" xfId="157" applyFont="1" applyAlignment="1" applyProtection="1">
      <alignment horizontal="center"/>
      <protection hidden="1"/>
    </xf>
    <xf numFmtId="0" fontId="44" fillId="47" borderId="0" xfId="157" applyFont="1" applyFill="1" applyProtection="1">
      <protection hidden="1"/>
    </xf>
    <xf numFmtId="0" fontId="113" fillId="47" borderId="0" xfId="157" applyFont="1" applyFill="1" applyAlignment="1" applyProtection="1">
      <alignment vertical="center"/>
      <protection hidden="1"/>
    </xf>
    <xf numFmtId="49" fontId="117" fillId="48" borderId="48" xfId="155" applyNumberFormat="1" applyFont="1" applyFill="1" applyBorder="1" applyAlignment="1" applyProtection="1">
      <alignment vertical="center"/>
      <protection hidden="1"/>
    </xf>
    <xf numFmtId="49" fontId="117" fillId="48" borderId="113" xfId="155" applyNumberFormat="1" applyFont="1" applyFill="1" applyBorder="1" applyAlignment="1" applyProtection="1">
      <alignment vertical="center"/>
      <protection hidden="1"/>
    </xf>
    <xf numFmtId="0" fontId="131" fillId="47" borderId="0" xfId="157" applyFont="1" applyFill="1" applyProtection="1">
      <protection hidden="1"/>
    </xf>
    <xf numFmtId="0" fontId="131" fillId="0" borderId="0" xfId="157" applyFont="1" applyProtection="1">
      <protection hidden="1"/>
    </xf>
    <xf numFmtId="49" fontId="117" fillId="48" borderId="114" xfId="155" applyNumberFormat="1" applyFont="1" applyFill="1" applyBorder="1" applyAlignment="1" applyProtection="1">
      <alignment vertical="center"/>
      <protection hidden="1"/>
    </xf>
    <xf numFmtId="0" fontId="44" fillId="0" borderId="0" xfId="157" applyFont="1" applyProtection="1">
      <protection hidden="1"/>
    </xf>
    <xf numFmtId="49" fontId="117" fillId="48" borderId="44" xfId="155" applyNumberFormat="1" applyFont="1" applyFill="1" applyBorder="1" applyAlignment="1" applyProtection="1">
      <alignment vertical="center"/>
      <protection hidden="1"/>
    </xf>
    <xf numFmtId="49" fontId="117" fillId="48" borderId="115" xfId="155" applyNumberFormat="1" applyFont="1" applyFill="1" applyBorder="1" applyAlignment="1" applyProtection="1">
      <alignment vertical="center"/>
      <protection hidden="1"/>
    </xf>
    <xf numFmtId="0" fontId="62" fillId="47" borderId="0" xfId="157" applyFill="1" applyProtection="1">
      <protection hidden="1"/>
    </xf>
    <xf numFmtId="0" fontId="62" fillId="0" borderId="0" xfId="157" applyProtection="1">
      <protection hidden="1"/>
    </xf>
    <xf numFmtId="0" fontId="111" fillId="48" borderId="21" xfId="157" applyFont="1" applyFill="1" applyBorder="1" applyAlignment="1" applyProtection="1">
      <alignment horizontal="center" vertical="center" wrapText="1"/>
      <protection hidden="1"/>
    </xf>
    <xf numFmtId="0" fontId="62" fillId="0" borderId="0" xfId="140"/>
    <xf numFmtId="49" fontId="117" fillId="48" borderId="135" xfId="155" applyNumberFormat="1" applyFont="1" applyFill="1" applyBorder="1" applyAlignment="1" applyProtection="1">
      <alignment horizontal="center" vertical="center"/>
      <protection hidden="1"/>
    </xf>
    <xf numFmtId="49" fontId="117" fillId="48" borderId="135" xfId="155" applyNumberFormat="1" applyFont="1" applyFill="1" applyBorder="1" applyAlignment="1" applyProtection="1">
      <alignment vertical="center"/>
      <protection hidden="1"/>
    </xf>
    <xf numFmtId="49" fontId="117" fillId="48" borderId="136" xfId="155" applyNumberFormat="1" applyFont="1" applyFill="1" applyBorder="1" applyAlignment="1" applyProtection="1">
      <alignment vertical="center"/>
      <protection hidden="1"/>
    </xf>
    <xf numFmtId="0" fontId="14" fillId="0" borderId="0" xfId="158" applyFont="1"/>
    <xf numFmtId="0" fontId="16" fillId="0" borderId="0" xfId="158" applyFont="1"/>
    <xf numFmtId="0" fontId="14" fillId="0" borderId="0" xfId="158" applyFont="1" applyAlignment="1">
      <alignment horizontal="center"/>
    </xf>
    <xf numFmtId="0" fontId="13" fillId="2" borderId="8" xfId="158" applyFont="1" applyFill="1" applyBorder="1" applyAlignment="1">
      <alignment vertical="center"/>
    </xf>
    <xf numFmtId="0" fontId="13" fillId="2" borderId="8" xfId="158" quotePrefix="1" applyFont="1" applyFill="1" applyBorder="1" applyAlignment="1">
      <alignment horizontal="center"/>
    </xf>
    <xf numFmtId="166" fontId="13" fillId="2" borderId="8" xfId="158" applyNumberFormat="1" applyFont="1" applyFill="1" applyBorder="1" applyAlignment="1">
      <alignment horizontal="right"/>
    </xf>
    <xf numFmtId="0" fontId="13" fillId="2" borderId="2" xfId="158" applyFont="1" applyFill="1" applyBorder="1" applyAlignment="1">
      <alignment vertical="center"/>
    </xf>
    <xf numFmtId="0" fontId="12" fillId="0" borderId="8" xfId="158" applyFont="1" applyBorder="1" applyAlignment="1">
      <alignment vertical="center"/>
    </xf>
    <xf numFmtId="0" fontId="12" fillId="0" borderId="8" xfId="158" quotePrefix="1" applyFont="1" applyBorder="1" applyAlignment="1">
      <alignment horizontal="center"/>
    </xf>
    <xf numFmtId="166" fontId="12" fillId="0" borderId="8" xfId="158" applyNumberFormat="1" applyFont="1" applyBorder="1" applyAlignment="1" applyProtection="1">
      <alignment horizontal="right"/>
      <protection locked="0"/>
    </xf>
    <xf numFmtId="166" fontId="12" fillId="0" borderId="8" xfId="158" applyNumberFormat="1" applyFont="1" applyBorder="1" applyAlignment="1">
      <alignment horizontal="right"/>
    </xf>
    <xf numFmtId="164" fontId="137" fillId="0" borderId="0" xfId="159" applyProtection="1"/>
    <xf numFmtId="0" fontId="12" fillId="0" borderId="6" xfId="158" applyFont="1" applyBorder="1" applyAlignment="1">
      <alignment vertical="center"/>
    </xf>
    <xf numFmtId="166" fontId="12" fillId="0" borderId="6" xfId="158" applyNumberFormat="1" applyFont="1" applyBorder="1" applyAlignment="1">
      <alignment horizontal="right"/>
    </xf>
    <xf numFmtId="0" fontId="12" fillId="6" borderId="8" xfId="158" quotePrefix="1" applyFont="1" applyFill="1" applyBorder="1" applyAlignment="1">
      <alignment horizontal="center"/>
    </xf>
    <xf numFmtId="0" fontId="12" fillId="0" borderId="8" xfId="158" applyFont="1" applyBorder="1" applyAlignment="1">
      <alignment wrapText="1"/>
    </xf>
    <xf numFmtId="0" fontId="22" fillId="0" borderId="0" xfId="158" applyFont="1"/>
    <xf numFmtId="0" fontId="19" fillId="0" borderId="0" xfId="158" applyFont="1" applyAlignment="1">
      <alignment horizontal="left"/>
    </xf>
    <xf numFmtId="0" fontId="19" fillId="0" borderId="0" xfId="158" applyFont="1"/>
    <xf numFmtId="0" fontId="13" fillId="6" borderId="8" xfId="158" quotePrefix="1" applyFont="1" applyFill="1" applyBorder="1" applyAlignment="1">
      <alignment horizontal="center"/>
    </xf>
    <xf numFmtId="0" fontId="14" fillId="0" borderId="0" xfId="158" applyFont="1" applyAlignment="1">
      <alignment vertical="center"/>
    </xf>
    <xf numFmtId="0" fontId="13" fillId="6" borderId="2" xfId="158" applyFont="1" applyFill="1" applyBorder="1" applyAlignment="1">
      <alignment vertical="center"/>
    </xf>
    <xf numFmtId="0" fontId="18" fillId="0" borderId="0" xfId="158" applyFont="1" applyAlignment="1">
      <alignment horizontal="center"/>
    </xf>
    <xf numFmtId="0" fontId="16" fillId="0" borderId="0" xfId="158" applyFont="1" applyAlignment="1">
      <alignment horizontal="center"/>
    </xf>
    <xf numFmtId="0" fontId="12" fillId="0" borderId="0" xfId="158" applyFont="1" applyAlignment="1">
      <alignment horizontal="center"/>
    </xf>
    <xf numFmtId="0" fontId="12" fillId="0" borderId="8" xfId="158" applyFont="1" applyBorder="1" applyAlignment="1">
      <alignment horizontal="left" wrapText="1"/>
    </xf>
    <xf numFmtId="0" fontId="12" fillId="0" borderId="0" xfId="158" applyFont="1" applyAlignment="1">
      <alignment horizontal="center" vertical="center"/>
    </xf>
    <xf numFmtId="0" fontId="11" fillId="0" borderId="0" xfId="0" applyFont="1"/>
    <xf numFmtId="0" fontId="11" fillId="0" borderId="0" xfId="0" applyFont="1" applyAlignment="1">
      <alignment horizontal="center"/>
    </xf>
    <xf numFmtId="0" fontId="15" fillId="0" borderId="0" xfId="0" applyFont="1" applyAlignment="1">
      <alignment horizontal="left"/>
    </xf>
    <xf numFmtId="0" fontId="16" fillId="0" borderId="0" xfId="0" applyFont="1" applyAlignment="1">
      <alignment horizontal="center"/>
    </xf>
    <xf numFmtId="0" fontId="20" fillId="70" borderId="0" xfId="0" applyFont="1" applyFill="1" applyAlignment="1">
      <alignment horizontal="left" vertical="center"/>
    </xf>
    <xf numFmtId="0" fontId="12" fillId="0" borderId="8" xfId="158" applyFont="1" applyBorder="1" applyAlignment="1">
      <alignment horizontal="center"/>
    </xf>
    <xf numFmtId="0" fontId="20" fillId="70" borderId="0" xfId="0" applyFont="1" applyFill="1"/>
    <xf numFmtId="49" fontId="86" fillId="47" borderId="0" xfId="155" applyNumberFormat="1" applyFont="1" applyFill="1" applyAlignment="1" applyProtection="1">
      <alignment horizontal="left" vertical="center"/>
      <protection hidden="1"/>
    </xf>
    <xf numFmtId="49" fontId="84" fillId="48" borderId="0" xfId="155" applyNumberFormat="1" applyFill="1" applyAlignment="1" applyProtection="1">
      <alignment horizontal="center" vertical="center"/>
      <protection hidden="1"/>
    </xf>
    <xf numFmtId="49" fontId="118" fillId="48" borderId="49" xfId="155" applyNumberFormat="1" applyFont="1" applyFill="1" applyBorder="1" applyAlignment="1" applyProtection="1">
      <alignment horizontal="center" vertical="center"/>
      <protection hidden="1"/>
    </xf>
    <xf numFmtId="49" fontId="0" fillId="47" borderId="0" xfId="155" applyNumberFormat="1" applyFont="1" applyFill="1" applyAlignment="1" applyProtection="1">
      <alignment horizontal="center" vertical="center"/>
      <protection hidden="1"/>
    </xf>
    <xf numFmtId="49" fontId="118" fillId="48" borderId="45" xfId="155" applyNumberFormat="1" applyFont="1" applyFill="1" applyBorder="1" applyAlignment="1" applyProtection="1">
      <alignment horizontal="center" vertical="center"/>
      <protection hidden="1"/>
    </xf>
    <xf numFmtId="49" fontId="118" fillId="48" borderId="51" xfId="155" applyNumberFormat="1" applyFont="1" applyFill="1" applyBorder="1" applyAlignment="1" applyProtection="1">
      <alignment horizontal="center" vertical="center"/>
      <protection hidden="1"/>
    </xf>
    <xf numFmtId="0" fontId="115" fillId="47" borderId="0" xfId="157" applyFont="1" applyFill="1" applyAlignment="1" applyProtection="1">
      <alignment horizontal="center" vertical="top" textRotation="180"/>
      <protection hidden="1"/>
    </xf>
    <xf numFmtId="49" fontId="118" fillId="48" borderId="44" xfId="155" applyNumberFormat="1" applyFont="1" applyFill="1" applyBorder="1" applyAlignment="1" applyProtection="1">
      <alignment horizontal="center" vertical="center"/>
      <protection hidden="1"/>
    </xf>
    <xf numFmtId="49" fontId="118" fillId="48" borderId="48" xfId="155" applyNumberFormat="1" applyFont="1" applyFill="1" applyBorder="1" applyAlignment="1" applyProtection="1">
      <alignment horizontal="center" vertical="center"/>
      <protection hidden="1"/>
    </xf>
    <xf numFmtId="0" fontId="111" fillId="48" borderId="109" xfId="157" applyFont="1" applyFill="1" applyBorder="1" applyAlignment="1" applyProtection="1">
      <alignment horizontal="center" vertical="center" wrapText="1"/>
      <protection hidden="1"/>
    </xf>
    <xf numFmtId="49" fontId="117" fillId="48" borderId="51" xfId="155" applyNumberFormat="1" applyFont="1" applyFill="1" applyBorder="1" applyAlignment="1" applyProtection="1">
      <alignment horizontal="center" vertical="center"/>
      <protection hidden="1"/>
    </xf>
    <xf numFmtId="49" fontId="117" fillId="48" borderId="45" xfId="155" applyNumberFormat="1" applyFont="1" applyFill="1" applyBorder="1" applyAlignment="1" applyProtection="1">
      <alignment horizontal="center" vertical="center"/>
      <protection hidden="1"/>
    </xf>
    <xf numFmtId="49" fontId="117" fillId="48" borderId="44" xfId="155" applyNumberFormat="1" applyFont="1" applyFill="1" applyBorder="1" applyAlignment="1" applyProtection="1">
      <alignment horizontal="center" vertical="center"/>
      <protection hidden="1"/>
    </xf>
    <xf numFmtId="49" fontId="117" fillId="48" borderId="48" xfId="155" applyNumberFormat="1" applyFont="1" applyFill="1" applyBorder="1" applyAlignment="1" applyProtection="1">
      <alignment horizontal="center" vertical="center"/>
      <protection hidden="1"/>
    </xf>
    <xf numFmtId="49" fontId="117" fillId="48" borderId="49" xfId="155" applyNumberFormat="1" applyFont="1" applyFill="1" applyBorder="1" applyAlignment="1" applyProtection="1">
      <alignment horizontal="center" vertical="center"/>
      <protection hidden="1"/>
    </xf>
    <xf numFmtId="0" fontId="111" fillId="48" borderId="110" xfId="157" applyFont="1" applyFill="1" applyBorder="1" applyAlignment="1" applyProtection="1">
      <alignment horizontal="center" vertical="center" wrapText="1"/>
      <protection hidden="1"/>
    </xf>
    <xf numFmtId="49" fontId="117" fillId="48" borderId="93" xfId="155" applyNumberFormat="1" applyFont="1" applyFill="1" applyBorder="1" applyAlignment="1" applyProtection="1">
      <alignment horizontal="center" vertical="center"/>
      <protection hidden="1"/>
    </xf>
    <xf numFmtId="0" fontId="12" fillId="6" borderId="8" xfId="0" quotePrefix="1" applyFont="1" applyFill="1" applyBorder="1" applyAlignment="1">
      <alignment horizontal="center"/>
    </xf>
    <xf numFmtId="0" fontId="13" fillId="6" borderId="8" xfId="158" applyFont="1" applyFill="1" applyBorder="1" applyAlignment="1">
      <alignment horizontal="center" vertical="center"/>
    </xf>
    <xf numFmtId="0" fontId="13" fillId="6" borderId="8" xfId="158" applyFont="1" applyFill="1" applyBorder="1" applyAlignment="1">
      <alignment wrapText="1"/>
    </xf>
    <xf numFmtId="0" fontId="13" fillId="6" borderId="8" xfId="158" applyFont="1" applyFill="1" applyBorder="1" applyAlignment="1">
      <alignment horizontal="center"/>
    </xf>
    <xf numFmtId="166" fontId="13" fillId="6" borderId="8" xfId="158" applyNumberFormat="1" applyFont="1" applyFill="1" applyBorder="1" applyAlignment="1">
      <alignment horizontal="right"/>
    </xf>
    <xf numFmtId="0" fontId="13" fillId="6" borderId="8" xfId="158" applyFont="1" applyFill="1" applyBorder="1" applyAlignment="1">
      <alignment horizontal="left" vertical="center"/>
    </xf>
    <xf numFmtId="166" fontId="13" fillId="6" borderId="8" xfId="158" applyNumberFormat="1" applyFont="1" applyFill="1" applyBorder="1" applyAlignment="1" applyProtection="1">
      <alignment horizontal="right"/>
      <protection locked="0"/>
    </xf>
    <xf numFmtId="0" fontId="13" fillId="6" borderId="2" xfId="158" applyFont="1" applyFill="1" applyBorder="1" applyAlignment="1">
      <alignment horizontal="center" vertical="center"/>
    </xf>
    <xf numFmtId="0" fontId="13" fillId="6" borderId="2" xfId="158" applyFont="1" applyFill="1" applyBorder="1" applyAlignment="1">
      <alignment horizontal="left" vertical="center"/>
    </xf>
    <xf numFmtId="0" fontId="18" fillId="0" borderId="0" xfId="158" applyFont="1"/>
    <xf numFmtId="0" fontId="18" fillId="0" borderId="0" xfId="158" applyFont="1" applyAlignment="1">
      <alignment horizontal="left"/>
    </xf>
    <xf numFmtId="0" fontId="19" fillId="0" borderId="0" xfId="158" applyFont="1" applyAlignment="1">
      <alignment horizontal="center"/>
    </xf>
    <xf numFmtId="0" fontId="13" fillId="0" borderId="0" xfId="158" applyFont="1"/>
    <xf numFmtId="0" fontId="13" fillId="0" borderId="0" xfId="158" applyFont="1" applyAlignment="1">
      <alignment horizontal="center"/>
    </xf>
    <xf numFmtId="0" fontId="12" fillId="0" borderId="0" xfId="158" applyFont="1"/>
    <xf numFmtId="0" fontId="13" fillId="0" borderId="0" xfId="0" applyFont="1" applyAlignment="1">
      <alignment horizontal="center"/>
    </xf>
    <xf numFmtId="0" fontId="13" fillId="0" borderId="0" xfId="0" applyFont="1" applyAlignment="1">
      <alignment horizontal="left"/>
    </xf>
    <xf numFmtId="0" fontId="15" fillId="0" borderId="0" xfId="0" applyFont="1"/>
    <xf numFmtId="15" fontId="15" fillId="0" borderId="0" xfId="0" applyNumberFormat="1" applyFont="1" applyAlignment="1">
      <alignment horizontal="center"/>
    </xf>
    <xf numFmtId="15" fontId="15" fillId="0" borderId="0" xfId="0" applyNumberFormat="1" applyFont="1" applyAlignment="1">
      <alignment horizontal="left"/>
    </xf>
    <xf numFmtId="0" fontId="20" fillId="46" borderId="0" xfId="0" applyFont="1" applyFill="1"/>
    <xf numFmtId="0" fontId="20" fillId="46" borderId="0" xfId="0" applyFont="1" applyFill="1" applyAlignment="1">
      <alignment horizontal="left" vertical="center"/>
    </xf>
    <xf numFmtId="0" fontId="13" fillId="6" borderId="8" xfId="158" applyFont="1" applyFill="1" applyBorder="1" applyAlignment="1">
      <alignment vertical="center"/>
    </xf>
    <xf numFmtId="0" fontId="12" fillId="0" borderId="8" xfId="158" applyFont="1" applyBorder="1" applyAlignment="1">
      <alignment vertical="center" wrapText="1"/>
    </xf>
    <xf numFmtId="0" fontId="12" fillId="0" borderId="3" xfId="158" applyFont="1" applyBorder="1" applyAlignment="1">
      <alignment vertical="center"/>
    </xf>
    <xf numFmtId="0" fontId="13" fillId="6" borderId="3" xfId="158" applyFont="1" applyFill="1" applyBorder="1" applyAlignment="1">
      <alignment vertical="center"/>
    </xf>
    <xf numFmtId="0" fontId="12" fillId="0" borderId="2" xfId="158" applyFont="1" applyBorder="1" applyAlignment="1">
      <alignment vertical="center"/>
    </xf>
    <xf numFmtId="0" fontId="12" fillId="0" borderId="8" xfId="158" applyFont="1" applyBorder="1" applyAlignment="1">
      <alignment horizontal="center" vertical="center"/>
    </xf>
    <xf numFmtId="0" fontId="12" fillId="0" borderId="6" xfId="158" applyFont="1" applyBorder="1" applyAlignment="1">
      <alignment horizontal="center" vertical="center"/>
    </xf>
    <xf numFmtId="0" fontId="12" fillId="0" borderId="2" xfId="158" applyFont="1" applyBorder="1" applyAlignment="1">
      <alignment horizontal="center" vertical="center"/>
    </xf>
    <xf numFmtId="0" fontId="13" fillId="6" borderId="8" xfId="0" quotePrefix="1" applyFont="1" applyFill="1" applyBorder="1" applyAlignment="1">
      <alignment horizontal="center"/>
    </xf>
    <xf numFmtId="0" fontId="13" fillId="6" borderId="8" xfId="158" applyFont="1" applyFill="1" applyBorder="1" applyAlignment="1">
      <alignment vertical="center" wrapText="1"/>
    </xf>
    <xf numFmtId="2" fontId="87" fillId="47" borderId="0" xfId="155" applyNumberFormat="1" applyFont="1" applyFill="1" applyAlignment="1" applyProtection="1">
      <alignment horizontal="left" vertical="center"/>
      <protection hidden="1"/>
    </xf>
    <xf numFmtId="2" fontId="84" fillId="47" borderId="0" xfId="155" applyNumberFormat="1" applyFill="1" applyAlignment="1" applyProtection="1">
      <alignment vertical="center"/>
      <protection hidden="1"/>
    </xf>
    <xf numFmtId="2" fontId="84" fillId="48" borderId="0" xfId="155" applyNumberFormat="1" applyFill="1" applyAlignment="1" applyProtection="1">
      <alignment vertical="center"/>
      <protection hidden="1"/>
    </xf>
    <xf numFmtId="2" fontId="94" fillId="48" borderId="0" xfId="155" applyNumberFormat="1" applyFont="1" applyFill="1" applyAlignment="1" applyProtection="1">
      <alignment horizontal="left"/>
      <protection hidden="1"/>
    </xf>
    <xf numFmtId="2" fontId="94" fillId="48" borderId="54" xfId="155" applyNumberFormat="1" applyFont="1" applyFill="1" applyBorder="1" applyAlignment="1" applyProtection="1">
      <alignment horizontal="left" vertical="center"/>
      <protection hidden="1"/>
    </xf>
    <xf numFmtId="2" fontId="97" fillId="48" borderId="48" xfId="155" applyNumberFormat="1" applyFont="1" applyFill="1" applyBorder="1" applyAlignment="1" applyProtection="1">
      <alignment horizontal="left" vertical="center"/>
      <protection hidden="1"/>
    </xf>
    <xf numFmtId="2" fontId="97" fillId="48" borderId="0" xfId="155" applyNumberFormat="1" applyFont="1" applyFill="1" applyAlignment="1" applyProtection="1">
      <alignment vertical="center"/>
      <protection hidden="1"/>
    </xf>
    <xf numFmtId="4" fontId="97" fillId="48" borderId="0" xfId="155" applyNumberFormat="1" applyFont="1" applyFill="1" applyAlignment="1" applyProtection="1">
      <alignment horizontal="left" vertical="center"/>
      <protection hidden="1"/>
    </xf>
    <xf numFmtId="2" fontId="93" fillId="48" borderId="0" xfId="155" applyNumberFormat="1" applyFont="1" applyFill="1" applyAlignment="1" applyProtection="1">
      <alignment horizontal="left" vertical="center"/>
      <protection hidden="1"/>
    </xf>
    <xf numFmtId="2" fontId="93" fillId="48" borderId="4" xfId="155" applyNumberFormat="1" applyFont="1" applyFill="1" applyBorder="1" applyAlignment="1" applyProtection="1">
      <alignment horizontal="left" vertical="center"/>
      <protection hidden="1"/>
    </xf>
    <xf numFmtId="2" fontId="94" fillId="48" borderId="48" xfId="155" applyNumberFormat="1" applyFont="1" applyFill="1" applyBorder="1" applyAlignment="1" applyProtection="1">
      <alignment horizontal="left" vertical="center"/>
      <protection hidden="1"/>
    </xf>
    <xf numFmtId="2" fontId="97" fillId="48" borderId="44" xfId="155" applyNumberFormat="1" applyFont="1" applyFill="1" applyBorder="1" applyAlignment="1" applyProtection="1">
      <alignment horizontal="left" vertical="center"/>
      <protection hidden="1"/>
    </xf>
    <xf numFmtId="2" fontId="121" fillId="47" borderId="0" xfId="155" applyNumberFormat="1" applyFont="1" applyFill="1" applyAlignment="1" applyProtection="1">
      <alignment horizontal="right" vertical="center"/>
      <protection hidden="1"/>
    </xf>
    <xf numFmtId="2" fontId="121" fillId="47" borderId="0" xfId="155" applyNumberFormat="1" applyFont="1" applyFill="1" applyAlignment="1" applyProtection="1">
      <alignment horizontal="left" vertical="top"/>
      <protection hidden="1"/>
    </xf>
    <xf numFmtId="0" fontId="157" fillId="0" borderId="4" xfId="0" applyFont="1" applyBorder="1" applyAlignment="1">
      <alignment horizontal="centerContinuous"/>
    </xf>
    <xf numFmtId="0" fontId="157" fillId="0" borderId="5" xfId="0" applyFont="1" applyBorder="1" applyAlignment="1">
      <alignment horizontal="centerContinuous"/>
    </xf>
    <xf numFmtId="0" fontId="157" fillId="0" borderId="7" xfId="0" applyFont="1" applyBorder="1" applyAlignment="1">
      <alignment horizontal="centerContinuous"/>
    </xf>
    <xf numFmtId="0" fontId="157" fillId="0" borderId="9" xfId="0" applyFont="1" applyBorder="1" applyAlignment="1">
      <alignment horizontal="centerContinuous"/>
    </xf>
    <xf numFmtId="2" fontId="95" fillId="47" borderId="0" xfId="155" applyNumberFormat="1" applyFont="1" applyFill="1" applyAlignment="1" applyProtection="1">
      <alignment horizontal="center"/>
      <protection locked="0"/>
    </xf>
    <xf numFmtId="2" fontId="95" fillId="47" borderId="0" xfId="155" applyNumberFormat="1" applyFont="1" applyFill="1" applyAlignment="1" applyProtection="1">
      <alignment horizontal="center" vertical="center"/>
      <protection locked="0"/>
    </xf>
    <xf numFmtId="2" fontId="95" fillId="47" borderId="0" xfId="155" applyNumberFormat="1" applyFont="1" applyFill="1" applyAlignment="1" applyProtection="1">
      <alignment horizontal="center" vertical="center"/>
      <protection hidden="1"/>
    </xf>
    <xf numFmtId="0" fontId="6" fillId="9" borderId="17" xfId="5" applyFill="1" applyBorder="1" applyAlignment="1" applyProtection="1">
      <alignment horizontal="center"/>
      <protection locked="0"/>
    </xf>
    <xf numFmtId="0" fontId="24" fillId="9" borderId="23" xfId="5" applyFont="1" applyFill="1" applyBorder="1" applyAlignment="1">
      <alignment horizontal="center"/>
    </xf>
    <xf numFmtId="49" fontId="6" fillId="9" borderId="23" xfId="5" applyNumberFormat="1" applyFill="1" applyBorder="1" applyAlignment="1" applyProtection="1">
      <alignment horizontal="center"/>
      <protection locked="0"/>
    </xf>
    <xf numFmtId="0" fontId="24" fillId="9" borderId="17" xfId="5" applyFont="1" applyFill="1" applyBorder="1" applyAlignment="1" applyProtection="1">
      <alignment horizontal="center"/>
      <protection locked="0"/>
    </xf>
    <xf numFmtId="0" fontId="24" fillId="9" borderId="28" xfId="5" applyFont="1" applyFill="1" applyBorder="1" applyAlignment="1">
      <alignment horizontal="center"/>
    </xf>
    <xf numFmtId="49" fontId="6" fillId="9" borderId="29" xfId="5" applyNumberFormat="1" applyFill="1" applyBorder="1" applyAlignment="1" applyProtection="1">
      <alignment horizontal="center"/>
      <protection locked="0"/>
    </xf>
    <xf numFmtId="49" fontId="6" fillId="9" borderId="150" xfId="5" applyNumberFormat="1" applyFill="1" applyBorder="1" applyAlignment="1" applyProtection="1">
      <alignment horizontal="center"/>
      <protection locked="0"/>
    </xf>
    <xf numFmtId="49" fontId="102" fillId="48" borderId="0" xfId="155" applyNumberFormat="1" applyFont="1" applyFill="1" applyAlignment="1" applyProtection="1">
      <alignment horizontal="center" vertical="center"/>
      <protection hidden="1"/>
    </xf>
    <xf numFmtId="49" fontId="158" fillId="48" borderId="0" xfId="155" applyNumberFormat="1" applyFont="1" applyFill="1" applyAlignment="1" applyProtection="1">
      <alignment horizontal="left" vertical="center"/>
      <protection hidden="1"/>
    </xf>
    <xf numFmtId="0" fontId="44" fillId="47" borderId="0" xfId="155" applyFont="1" applyFill="1" applyAlignment="1" applyProtection="1">
      <alignment horizontal="center" vertical="top"/>
      <protection hidden="1"/>
    </xf>
    <xf numFmtId="49" fontId="44" fillId="47" borderId="0" xfId="155" applyNumberFormat="1" applyFont="1" applyFill="1" applyAlignment="1" applyProtection="1">
      <alignment horizontal="center" vertical="center"/>
      <protection hidden="1"/>
    </xf>
    <xf numFmtId="49" fontId="44" fillId="48" borderId="0" xfId="155" applyNumberFormat="1" applyFont="1" applyFill="1" applyAlignment="1" applyProtection="1">
      <alignment horizontal="center" vertical="top"/>
      <protection hidden="1"/>
    </xf>
    <xf numFmtId="49" fontId="117" fillId="48" borderId="0" xfId="155" applyNumberFormat="1" applyFont="1" applyFill="1" applyAlignment="1" applyProtection="1">
      <alignment horizontal="center" vertical="center"/>
      <protection hidden="1"/>
    </xf>
    <xf numFmtId="49" fontId="117" fillId="47" borderId="0" xfId="155" applyNumberFormat="1" applyFont="1" applyFill="1" applyAlignment="1" applyProtection="1">
      <alignment horizontal="center" vertical="center"/>
      <protection hidden="1"/>
    </xf>
    <xf numFmtId="0" fontId="7" fillId="3" borderId="1" xfId="0" applyFont="1" applyFill="1" applyBorder="1" applyAlignment="1">
      <alignment horizontal="center" vertical="center"/>
    </xf>
    <xf numFmtId="0" fontId="7" fillId="5" borderId="1" xfId="0" applyFont="1" applyFill="1" applyBorder="1" applyAlignment="1">
      <alignment horizontal="center" vertical="center" wrapText="1"/>
    </xf>
    <xf numFmtId="49" fontId="7" fillId="47" borderId="0" xfId="155" applyNumberFormat="1" applyFont="1" applyFill="1" applyAlignment="1" applyProtection="1">
      <alignment horizontal="center" vertical="center"/>
      <protection hidden="1"/>
    </xf>
    <xf numFmtId="49" fontId="7" fillId="48" borderId="0" xfId="155" applyNumberFormat="1" applyFont="1" applyFill="1" applyAlignment="1" applyProtection="1">
      <alignment horizontal="center" vertical="top"/>
      <protection hidden="1"/>
    </xf>
    <xf numFmtId="49" fontId="117" fillId="48" borderId="50" xfId="155" applyNumberFormat="1" applyFont="1" applyFill="1" applyBorder="1" applyAlignment="1" applyProtection="1">
      <alignment vertical="center"/>
      <protection hidden="1"/>
    </xf>
    <xf numFmtId="49" fontId="117" fillId="48" borderId="0" xfId="155" applyNumberFormat="1" applyFont="1" applyFill="1" applyAlignment="1" applyProtection="1">
      <alignment vertical="center"/>
      <protection hidden="1"/>
    </xf>
    <xf numFmtId="49" fontId="117" fillId="48" borderId="52" xfId="155" applyNumberFormat="1" applyFont="1" applyFill="1" applyBorder="1" applyAlignment="1" applyProtection="1">
      <alignment vertical="center"/>
      <protection hidden="1"/>
    </xf>
    <xf numFmtId="49" fontId="7" fillId="47" borderId="0" xfId="155" applyNumberFormat="1" applyFont="1" applyFill="1" applyAlignment="1" applyProtection="1">
      <alignment vertical="top"/>
      <protection hidden="1"/>
    </xf>
    <xf numFmtId="49" fontId="7" fillId="48" borderId="0" xfId="155" applyNumberFormat="1" applyFont="1" applyFill="1" applyAlignment="1" applyProtection="1">
      <alignment vertical="top"/>
      <protection hidden="1"/>
    </xf>
    <xf numFmtId="49" fontId="117" fillId="48" borderId="46" xfId="155" applyNumberFormat="1" applyFont="1" applyFill="1" applyBorder="1" applyAlignment="1" applyProtection="1">
      <alignment vertical="center"/>
      <protection hidden="1"/>
    </xf>
    <xf numFmtId="49" fontId="117" fillId="48" borderId="45" xfId="155" applyNumberFormat="1" applyFont="1" applyFill="1" applyBorder="1" applyAlignment="1" applyProtection="1">
      <alignment vertical="center"/>
      <protection hidden="1"/>
    </xf>
    <xf numFmtId="49" fontId="117" fillId="48" borderId="49" xfId="155" applyNumberFormat="1" applyFont="1" applyFill="1" applyBorder="1" applyAlignment="1" applyProtection="1">
      <alignment vertical="center"/>
      <protection hidden="1"/>
    </xf>
    <xf numFmtId="49" fontId="117" fillId="48" borderId="51" xfId="155" applyNumberFormat="1" applyFont="1" applyFill="1" applyBorder="1" applyAlignment="1" applyProtection="1">
      <alignment vertical="center"/>
      <protection hidden="1"/>
    </xf>
    <xf numFmtId="0" fontId="11" fillId="9" borderId="0" xfId="0" applyFont="1" applyFill="1"/>
    <xf numFmtId="0" fontId="13" fillId="9" borderId="0" xfId="0" applyFont="1" applyFill="1" applyAlignment="1">
      <alignment horizontal="left" wrapText="1"/>
    </xf>
    <xf numFmtId="0" fontId="12" fillId="9" borderId="0" xfId="0" applyFont="1" applyFill="1" applyAlignment="1">
      <alignment horizontal="center"/>
    </xf>
    <xf numFmtId="0" fontId="13" fillId="9" borderId="0" xfId="0" applyFont="1" applyFill="1" applyAlignment="1">
      <alignment horizontal="center"/>
    </xf>
    <xf numFmtId="0" fontId="14" fillId="9" borderId="0" xfId="158" applyFont="1" applyFill="1"/>
    <xf numFmtId="0" fontId="18" fillId="9" borderId="0" xfId="158" applyFont="1" applyFill="1" applyAlignment="1">
      <alignment horizontal="left"/>
    </xf>
    <xf numFmtId="0" fontId="15" fillId="9" borderId="0" xfId="0" applyFont="1" applyFill="1"/>
    <xf numFmtId="0" fontId="15" fillId="9" borderId="0" xfId="0" applyFont="1" applyFill="1" applyAlignment="1">
      <alignment horizontal="left" wrapText="1"/>
    </xf>
    <xf numFmtId="0" fontId="16" fillId="9" borderId="0" xfId="0" applyFont="1" applyFill="1" applyAlignment="1">
      <alignment horizontal="center"/>
    </xf>
    <xf numFmtId="0" fontId="15" fillId="9" borderId="0" xfId="0" applyFont="1" applyFill="1" applyAlignment="1">
      <alignment horizontal="center"/>
    </xf>
    <xf numFmtId="0" fontId="16" fillId="9" borderId="0" xfId="158" applyFont="1" applyFill="1" applyAlignment="1">
      <alignment horizontal="left"/>
    </xf>
    <xf numFmtId="0" fontId="0" fillId="11" borderId="0" xfId="0" applyFill="1" applyAlignment="1">
      <alignment horizontal="left"/>
    </xf>
    <xf numFmtId="168" fontId="31" fillId="11" borderId="0" xfId="1" applyNumberFormat="1" applyFont="1" applyFill="1" applyAlignment="1" applyProtection="1">
      <alignment horizontal="center"/>
    </xf>
    <xf numFmtId="168" fontId="6" fillId="11" borderId="0" xfId="1" applyNumberFormat="1" applyFont="1" applyFill="1" applyProtection="1"/>
    <xf numFmtId="0" fontId="34" fillId="8" borderId="0" xfId="0" applyFont="1" applyFill="1"/>
    <xf numFmtId="0" fontId="20" fillId="0" borderId="0" xfId="3" applyFont="1" applyAlignment="1">
      <alignment horizontal="left" vertical="center"/>
    </xf>
    <xf numFmtId="0" fontId="20" fillId="6" borderId="0" xfId="3" applyFont="1" applyFill="1" applyAlignment="1">
      <alignment horizontal="left" vertical="center"/>
    </xf>
    <xf numFmtId="0" fontId="21" fillId="3" borderId="0" xfId="3" applyFont="1" applyFill="1"/>
    <xf numFmtId="0" fontId="20" fillId="0" borderId="0" xfId="3" applyFont="1" applyAlignment="1">
      <alignment horizontal="left" vertical="center" wrapText="1"/>
    </xf>
    <xf numFmtId="0" fontId="20" fillId="0" borderId="0" xfId="3" applyFont="1"/>
    <xf numFmtId="0" fontId="12" fillId="0" borderId="0" xfId="201" applyFont="1"/>
    <xf numFmtId="0" fontId="15" fillId="0" borderId="0" xfId="201" applyFont="1"/>
    <xf numFmtId="166" fontId="12" fillId="0" borderId="0" xfId="201" applyNumberFormat="1" applyFont="1" applyAlignment="1">
      <alignment horizontal="left" wrapText="1"/>
    </xf>
    <xf numFmtId="166" fontId="12" fillId="0" borderId="0" xfId="201" applyNumberFormat="1" applyFont="1"/>
    <xf numFmtId="0" fontId="159" fillId="0" borderId="0" xfId="202"/>
    <xf numFmtId="0" fontId="13" fillId="0" borderId="0" xfId="201" applyFont="1"/>
    <xf numFmtId="0" fontId="17" fillId="0" borderId="0" xfId="201" applyFont="1"/>
    <xf numFmtId="0" fontId="17" fillId="0" borderId="2" xfId="201" applyFont="1" applyBorder="1" applyAlignment="1">
      <alignment horizontal="left" vertical="center" wrapText="1"/>
    </xf>
    <xf numFmtId="0" fontId="13" fillId="0" borderId="20" xfId="201" applyFont="1" applyBorder="1" applyAlignment="1">
      <alignment horizontal="center" vertical="center" wrapText="1"/>
    </xf>
    <xf numFmtId="166" fontId="13" fillId="0" borderId="0" xfId="201" applyNumberFormat="1" applyFont="1" applyAlignment="1">
      <alignment horizontal="left" wrapText="1"/>
    </xf>
    <xf numFmtId="166" fontId="13" fillId="0" borderId="0" xfId="201" applyNumberFormat="1" applyFont="1" applyAlignment="1">
      <alignment horizontal="center"/>
    </xf>
    <xf numFmtId="166" fontId="13" fillId="0" borderId="5" xfId="201" applyNumberFormat="1" applyFont="1" applyBorder="1" applyAlignment="1">
      <alignment horizontal="center"/>
    </xf>
    <xf numFmtId="0" fontId="13" fillId="0" borderId="7" xfId="201" applyFont="1" applyBorder="1" applyAlignment="1">
      <alignment horizontal="left" vertical="center"/>
    </xf>
    <xf numFmtId="0" fontId="13" fillId="0" borderId="7" xfId="201" applyFont="1" applyBorder="1" applyAlignment="1">
      <alignment horizontal="left" vertical="center" wrapText="1"/>
    </xf>
    <xf numFmtId="0" fontId="13" fillId="0" borderId="1" xfId="201" applyFont="1" applyBorder="1" applyAlignment="1">
      <alignment horizontal="left" vertical="center"/>
    </xf>
    <xf numFmtId="0" fontId="13" fillId="0" borderId="9" xfId="201" applyFont="1" applyBorder="1" applyAlignment="1">
      <alignment horizontal="left" vertical="center"/>
    </xf>
    <xf numFmtId="0" fontId="13" fillId="0" borderId="6" xfId="201" applyFont="1" applyBorder="1" applyAlignment="1">
      <alignment horizontal="left" vertical="top"/>
    </xf>
    <xf numFmtId="166" fontId="13" fillId="0" borderId="9" xfId="201" applyNumberFormat="1" applyFont="1" applyBorder="1" applyAlignment="1">
      <alignment horizontal="left" wrapText="1"/>
    </xf>
    <xf numFmtId="0" fontId="12" fillId="6" borderId="6" xfId="201" applyFont="1" applyFill="1" applyBorder="1" applyAlignment="1">
      <alignment horizontal="left" vertical="top"/>
    </xf>
    <xf numFmtId="166" fontId="13" fillId="6" borderId="9" xfId="201" applyNumberFormat="1" applyFont="1" applyFill="1" applyBorder="1" applyAlignment="1">
      <alignment horizontal="left" wrapText="1"/>
    </xf>
    <xf numFmtId="166" fontId="13" fillId="6" borderId="9" xfId="201" applyNumberFormat="1" applyFont="1" applyFill="1" applyBorder="1" applyAlignment="1">
      <alignment horizontal="right"/>
    </xf>
    <xf numFmtId="0" fontId="12" fillId="0" borderId="6" xfId="201" applyFont="1" applyBorder="1" applyAlignment="1">
      <alignment horizontal="left" vertical="top"/>
    </xf>
    <xf numFmtId="166" fontId="12" fillId="0" borderId="9" xfId="201" applyNumberFormat="1" applyFont="1" applyBorder="1" applyAlignment="1">
      <alignment horizontal="left" wrapText="1"/>
    </xf>
    <xf numFmtId="166" fontId="12" fillId="0" borderId="9" xfId="201" applyNumberFormat="1" applyFont="1" applyBorder="1" applyAlignment="1">
      <alignment horizontal="right"/>
    </xf>
    <xf numFmtId="0" fontId="13" fillId="6" borderId="6" xfId="201" applyFont="1" applyFill="1" applyBorder="1" applyAlignment="1">
      <alignment horizontal="left" vertical="top"/>
    </xf>
    <xf numFmtId="0" fontId="13" fillId="0" borderId="20" xfId="201" applyFont="1" applyBorder="1" applyAlignment="1">
      <alignment horizontal="left" vertical="top"/>
    </xf>
    <xf numFmtId="166" fontId="13" fillId="0" borderId="21" xfId="201" applyNumberFormat="1" applyFont="1" applyBorder="1" applyAlignment="1">
      <alignment horizontal="left" wrapText="1"/>
    </xf>
    <xf numFmtId="166" fontId="13" fillId="0" borderId="21" xfId="201" applyNumberFormat="1" applyFont="1" applyBorder="1" applyAlignment="1">
      <alignment horizontal="right"/>
    </xf>
    <xf numFmtId="0" fontId="12" fillId="0" borderId="8" xfId="201" applyFont="1" applyBorder="1" applyAlignment="1">
      <alignment horizontal="left" vertical="top"/>
    </xf>
    <xf numFmtId="166" fontId="12" fillId="0" borderId="10" xfId="201" applyNumberFormat="1" applyFont="1" applyBorder="1" applyAlignment="1">
      <alignment horizontal="left" wrapText="1"/>
    </xf>
    <xf numFmtId="166" fontId="12" fillId="0" borderId="10" xfId="201" applyNumberFormat="1" applyFont="1" applyBorder="1" applyAlignment="1">
      <alignment horizontal="right"/>
    </xf>
    <xf numFmtId="0" fontId="13" fillId="6" borderId="8" xfId="201" applyFont="1" applyFill="1" applyBorder="1" applyAlignment="1">
      <alignment horizontal="left" vertical="top"/>
    </xf>
    <xf numFmtId="166" fontId="13" fillId="6" borderId="10" xfId="201" applyNumberFormat="1" applyFont="1" applyFill="1" applyBorder="1" applyAlignment="1">
      <alignment horizontal="left" wrapText="1"/>
    </xf>
    <xf numFmtId="166" fontId="13" fillId="6" borderId="10" xfId="201" applyNumberFormat="1" applyFont="1" applyFill="1" applyBorder="1" applyAlignment="1">
      <alignment horizontal="right"/>
    </xf>
    <xf numFmtId="166" fontId="13" fillId="0" borderId="1" xfId="201" applyNumberFormat="1" applyFont="1" applyBorder="1" applyAlignment="1">
      <alignment horizontal="left" wrapText="1"/>
    </xf>
    <xf numFmtId="166" fontId="13" fillId="0" borderId="1" xfId="201" applyNumberFormat="1" applyFont="1" applyBorder="1" applyAlignment="1">
      <alignment horizontal="right"/>
    </xf>
    <xf numFmtId="0" fontId="13" fillId="0" borderId="8" xfId="201" applyFont="1" applyBorder="1" applyAlignment="1">
      <alignment horizontal="left" vertical="top"/>
    </xf>
    <xf numFmtId="0" fontId="35" fillId="0" borderId="6" xfId="201" applyFont="1" applyBorder="1" applyAlignment="1">
      <alignment horizontal="left" vertical="top"/>
    </xf>
    <xf numFmtId="3" fontId="14" fillId="0" borderId="0" xfId="158" applyNumberFormat="1" applyFont="1" applyAlignment="1">
      <alignment horizontal="right"/>
    </xf>
    <xf numFmtId="3" fontId="14" fillId="9" borderId="0" xfId="158" applyNumberFormat="1" applyFont="1" applyFill="1" applyAlignment="1">
      <alignment horizontal="right"/>
    </xf>
    <xf numFmtId="3" fontId="14" fillId="3" borderId="0" xfId="158" applyNumberFormat="1" applyFont="1" applyFill="1" applyAlignment="1">
      <alignment horizontal="right"/>
    </xf>
    <xf numFmtId="3" fontId="13" fillId="0" borderId="6" xfId="201" applyNumberFormat="1" applyFont="1" applyBorder="1" applyAlignment="1">
      <alignment horizontal="right"/>
    </xf>
    <xf numFmtId="3" fontId="12" fillId="0" borderId="6" xfId="201" applyNumberFormat="1" applyFont="1" applyBorder="1" applyAlignment="1">
      <alignment horizontal="right"/>
    </xf>
    <xf numFmtId="3" fontId="13" fillId="0" borderId="20" xfId="201" applyNumberFormat="1" applyFont="1" applyBorder="1" applyAlignment="1">
      <alignment horizontal="right"/>
    </xf>
    <xf numFmtId="3" fontId="13" fillId="0" borderId="7" xfId="201" applyNumberFormat="1" applyFont="1" applyBorder="1" applyAlignment="1">
      <alignment horizontal="right"/>
    </xf>
    <xf numFmtId="3" fontId="12" fillId="0" borderId="8" xfId="201" applyNumberFormat="1" applyFont="1" applyBorder="1" applyAlignment="1">
      <alignment horizontal="right"/>
    </xf>
    <xf numFmtId="3" fontId="13" fillId="0" borderId="8" xfId="201" applyNumberFormat="1" applyFont="1" applyBorder="1" applyAlignment="1">
      <alignment horizontal="right"/>
    </xf>
    <xf numFmtId="3" fontId="35" fillId="0" borderId="6" xfId="201" applyNumberFormat="1" applyFont="1" applyBorder="1" applyAlignment="1">
      <alignment horizontal="right"/>
    </xf>
    <xf numFmtId="3" fontId="6" fillId="3" borderId="0" xfId="0" applyNumberFormat="1" applyFont="1" applyFill="1" applyAlignment="1">
      <alignment horizontal="center" wrapText="1"/>
    </xf>
    <xf numFmtId="3" fontId="6" fillId="0" borderId="0" xfId="0" applyNumberFormat="1" applyFont="1" applyAlignment="1">
      <alignment horizontal="center" wrapText="1"/>
    </xf>
    <xf numFmtId="3" fontId="6" fillId="13" borderId="13" xfId="0" applyNumberFormat="1" applyFont="1" applyFill="1" applyBorder="1" applyAlignment="1">
      <alignment horizontal="right"/>
    </xf>
    <xf numFmtId="3" fontId="13" fillId="6" borderId="6" xfId="201" applyNumberFormat="1" applyFont="1" applyFill="1" applyBorder="1" applyAlignment="1">
      <alignment horizontal="right"/>
    </xf>
    <xf numFmtId="3" fontId="12" fillId="71" borderId="6" xfId="201" applyNumberFormat="1" applyFont="1" applyFill="1" applyBorder="1" applyAlignment="1">
      <alignment horizontal="right"/>
    </xf>
    <xf numFmtId="3" fontId="12" fillId="71" borderId="8" xfId="201" applyNumberFormat="1" applyFont="1" applyFill="1" applyBorder="1" applyAlignment="1">
      <alignment horizontal="right"/>
    </xf>
    <xf numFmtId="3" fontId="35" fillId="71" borderId="6" xfId="201" applyNumberFormat="1" applyFont="1" applyFill="1" applyBorder="1" applyAlignment="1">
      <alignment horizontal="right"/>
    </xf>
    <xf numFmtId="3" fontId="12" fillId="72" borderId="6" xfId="201" applyNumberFormat="1" applyFont="1" applyFill="1" applyBorder="1" applyAlignment="1">
      <alignment horizontal="right"/>
    </xf>
    <xf numFmtId="3" fontId="44" fillId="11" borderId="0" xfId="0" applyNumberFormat="1" applyFont="1" applyFill="1"/>
    <xf numFmtId="3" fontId="12" fillId="0" borderId="0" xfId="0" applyNumberFormat="1" applyFont="1"/>
    <xf numFmtId="0" fontId="35" fillId="0" borderId="0" xfId="0" applyFont="1"/>
    <xf numFmtId="3" fontId="12" fillId="73" borderId="0" xfId="0" applyNumberFormat="1" applyFont="1" applyFill="1" applyAlignment="1">
      <alignment horizontal="right"/>
    </xf>
    <xf numFmtId="0" fontId="12" fillId="0" borderId="0" xfId="0" applyFont="1"/>
    <xf numFmtId="0" fontId="12" fillId="0" borderId="0" xfId="0" quotePrefix="1" applyFont="1"/>
    <xf numFmtId="0" fontId="13" fillId="0" borderId="0" xfId="0" applyFont="1"/>
    <xf numFmtId="0" fontId="12" fillId="0" borderId="0" xfId="7" applyFont="1"/>
    <xf numFmtId="0" fontId="12" fillId="0" borderId="19" xfId="7" applyFont="1" applyBorder="1" applyAlignment="1">
      <alignment wrapText="1"/>
    </xf>
    <xf numFmtId="0" fontId="12" fillId="0" borderId="19" xfId="7" applyFont="1" applyBorder="1" applyAlignment="1">
      <alignment vertical="top" wrapText="1"/>
    </xf>
    <xf numFmtId="0" fontId="12" fillId="0" borderId="0" xfId="7" applyFont="1" applyAlignment="1">
      <alignment horizontal="left"/>
    </xf>
    <xf numFmtId="0" fontId="12" fillId="0" borderId="31" xfId="7" applyFont="1" applyBorder="1"/>
    <xf numFmtId="3" fontId="12" fillId="0" borderId="0" xfId="7" applyNumberFormat="1" applyFont="1"/>
    <xf numFmtId="0" fontId="36" fillId="0" borderId="0" xfId="7" applyFont="1"/>
    <xf numFmtId="3" fontId="13" fillId="6" borderId="8" xfId="201" applyNumberFormat="1" applyFont="1" applyFill="1" applyBorder="1" applyAlignment="1">
      <alignment horizontal="right"/>
    </xf>
    <xf numFmtId="3" fontId="6" fillId="0" borderId="0" xfId="0" applyNumberFormat="1" applyFont="1" applyAlignment="1">
      <alignment horizontal="center" vertical="center" wrapText="1"/>
    </xf>
    <xf numFmtId="3" fontId="0" fillId="0" borderId="0" xfId="0" applyNumberFormat="1" applyAlignment="1">
      <alignment horizontal="right"/>
    </xf>
    <xf numFmtId="0" fontId="12" fillId="0" borderId="0" xfId="0" applyFont="1" applyAlignment="1">
      <alignment wrapText="1"/>
    </xf>
    <xf numFmtId="0" fontId="15" fillId="0" borderId="0" xfId="0" applyFont="1" applyAlignment="1">
      <alignment horizontal="left" wrapText="1"/>
    </xf>
    <xf numFmtId="0" fontId="17" fillId="0" borderId="5" xfId="0" applyFont="1" applyBorder="1" applyAlignment="1">
      <alignment horizontal="center" wrapText="1"/>
    </xf>
    <xf numFmtId="0" fontId="13" fillId="2" borderId="8" xfId="158" applyFont="1" applyFill="1" applyBorder="1" applyAlignment="1">
      <alignment vertical="center" wrapText="1"/>
    </xf>
    <xf numFmtId="0" fontId="13" fillId="2" borderId="2" xfId="158" applyFont="1" applyFill="1" applyBorder="1" applyAlignment="1">
      <alignment vertical="center" wrapText="1"/>
    </xf>
    <xf numFmtId="0" fontId="12" fillId="0" borderId="6" xfId="158" applyFont="1" applyBorder="1" applyAlignment="1">
      <alignment vertical="center" wrapText="1"/>
    </xf>
    <xf numFmtId="0" fontId="13" fillId="6" borderId="2" xfId="158" applyFont="1" applyFill="1" applyBorder="1" applyAlignment="1">
      <alignment vertical="center" wrapText="1"/>
    </xf>
    <xf numFmtId="0" fontId="12" fillId="0" borderId="2" xfId="158" applyFont="1" applyBorder="1" applyAlignment="1">
      <alignment vertical="center" wrapText="1"/>
    </xf>
    <xf numFmtId="0" fontId="13" fillId="6" borderId="3" xfId="158" applyFont="1" applyFill="1" applyBorder="1" applyAlignment="1">
      <alignment vertical="center" wrapText="1"/>
    </xf>
    <xf numFmtId="0" fontId="12" fillId="0" borderId="3" xfId="158" applyFont="1" applyBorder="1" applyAlignment="1">
      <alignment vertical="center" wrapText="1"/>
    </xf>
    <xf numFmtId="0" fontId="14" fillId="0" borderId="0" xfId="158" applyFont="1" applyAlignment="1">
      <alignment wrapText="1"/>
    </xf>
    <xf numFmtId="0" fontId="18" fillId="0" borderId="0" xfId="0" applyFont="1" applyAlignment="1">
      <alignment wrapText="1"/>
    </xf>
    <xf numFmtId="0" fontId="16" fillId="0" borderId="0" xfId="0" applyFont="1" applyAlignment="1">
      <alignment wrapText="1"/>
    </xf>
    <xf numFmtId="0" fontId="12" fillId="0" borderId="0" xfId="158" applyFont="1" applyAlignment="1">
      <alignment wrapText="1"/>
    </xf>
    <xf numFmtId="0" fontId="13" fillId="0" borderId="2" xfId="158" applyFont="1" applyBorder="1" applyAlignment="1">
      <alignment vertical="center"/>
    </xf>
    <xf numFmtId="0" fontId="13" fillId="0" borderId="2" xfId="158" applyFont="1" applyBorder="1" applyAlignment="1">
      <alignment vertical="center" wrapText="1"/>
    </xf>
    <xf numFmtId="0" fontId="13" fillId="0" borderId="8" xfId="158" quotePrefix="1" applyFont="1" applyBorder="1" applyAlignment="1">
      <alignment horizontal="center"/>
    </xf>
    <xf numFmtId="166" fontId="13" fillId="0" borderId="9" xfId="201" applyNumberFormat="1" applyFont="1" applyBorder="1" applyAlignment="1">
      <alignment horizontal="left" vertical="center" wrapText="1"/>
    </xf>
    <xf numFmtId="166" fontId="12" fillId="0" borderId="9" xfId="201" applyNumberFormat="1" applyFont="1" applyBorder="1" applyAlignment="1">
      <alignment horizontal="left" vertical="center" wrapText="1"/>
    </xf>
    <xf numFmtId="168" fontId="7" fillId="3" borderId="0" xfId="1" applyNumberFormat="1" applyFont="1" applyFill="1" applyBorder="1" applyAlignment="1" applyProtection="1">
      <alignment horizontal="center" vertical="center" wrapText="1"/>
    </xf>
    <xf numFmtId="49" fontId="0" fillId="9" borderId="28" xfId="5" applyNumberFormat="1" applyFont="1" applyFill="1" applyBorder="1" applyAlignment="1" applyProtection="1">
      <alignment horizontal="center"/>
      <protection locked="0"/>
    </xf>
    <xf numFmtId="0" fontId="12" fillId="9" borderId="0" xfId="0" quotePrefix="1" applyFont="1" applyFill="1" applyAlignment="1">
      <alignment horizontal="center"/>
    </xf>
    <xf numFmtId="0" fontId="12" fillId="74" borderId="0" xfId="0" quotePrefix="1" applyFont="1" applyFill="1" applyAlignment="1">
      <alignment horizontal="center"/>
    </xf>
    <xf numFmtId="0" fontId="12" fillId="0" borderId="0" xfId="0" quotePrefix="1" applyFont="1" applyAlignment="1">
      <alignment horizontal="center"/>
    </xf>
    <xf numFmtId="0" fontId="0" fillId="9" borderId="0" xfId="0" applyFill="1" applyAlignment="1">
      <alignment horizontal="center"/>
    </xf>
    <xf numFmtId="0" fontId="0" fillId="9" borderId="0" xfId="0" applyFill="1"/>
    <xf numFmtId="0" fontId="0" fillId="74" borderId="0" xfId="0" applyFill="1"/>
    <xf numFmtId="166" fontId="36" fillId="0" borderId="0" xfId="201" applyNumberFormat="1" applyFont="1" applyAlignment="1">
      <alignment horizontal="left" wrapText="1"/>
    </xf>
    <xf numFmtId="166" fontId="36" fillId="0" borderId="0" xfId="201" applyNumberFormat="1" applyFont="1"/>
    <xf numFmtId="3" fontId="6" fillId="76" borderId="0" xfId="0" applyNumberFormat="1" applyFont="1" applyFill="1"/>
    <xf numFmtId="3" fontId="6" fillId="0" borderId="0" xfId="9" applyNumberFormat="1" applyProtection="1">
      <protection locked="0"/>
    </xf>
    <xf numFmtId="49" fontId="0" fillId="9" borderId="8" xfId="5" applyNumberFormat="1" applyFont="1" applyFill="1" applyBorder="1" applyAlignment="1" applyProtection="1">
      <alignment horizontal="center"/>
      <protection locked="0"/>
    </xf>
    <xf numFmtId="49" fontId="0" fillId="9" borderId="23" xfId="5" applyNumberFormat="1" applyFont="1" applyFill="1" applyBorder="1" applyAlignment="1" applyProtection="1">
      <alignment horizontal="center"/>
      <protection locked="0"/>
    </xf>
    <xf numFmtId="0" fontId="164" fillId="0" borderId="0" xfId="0" applyFont="1" applyAlignment="1">
      <alignment horizontal="left"/>
    </xf>
    <xf numFmtId="0" fontId="0" fillId="9" borderId="17" xfId="5" applyFont="1" applyFill="1" applyBorder="1" applyAlignment="1" applyProtection="1">
      <alignment horizontal="center"/>
      <protection locked="0"/>
    </xf>
    <xf numFmtId="49" fontId="0" fillId="9" borderId="30" xfId="5" applyNumberFormat="1" applyFont="1" applyFill="1" applyBorder="1" applyAlignment="1" applyProtection="1">
      <alignment horizontal="center"/>
      <protection locked="0"/>
    </xf>
    <xf numFmtId="168" fontId="12" fillId="73" borderId="0" xfId="1" applyNumberFormat="1" applyFont="1" applyFill="1" applyProtection="1"/>
    <xf numFmtId="168" fontId="12" fillId="0" borderId="31" xfId="1" applyNumberFormat="1" applyFont="1" applyBorder="1" applyProtection="1"/>
    <xf numFmtId="166" fontId="165" fillId="0" borderId="0" xfId="201" applyNumberFormat="1" applyFont="1" applyAlignment="1">
      <alignment horizontal="center"/>
    </xf>
    <xf numFmtId="0" fontId="167" fillId="0" borderId="0" xfId="158" applyFont="1" applyAlignment="1">
      <alignment horizontal="left"/>
    </xf>
    <xf numFmtId="3" fontId="168" fillId="11" borderId="0" xfId="0" applyNumberFormat="1" applyFont="1" applyFill="1"/>
    <xf numFmtId="3" fontId="168" fillId="11" borderId="0" xfId="9" applyNumberFormat="1" applyFont="1" applyFill="1"/>
    <xf numFmtId="3" fontId="168" fillId="11" borderId="0" xfId="0" applyNumberFormat="1" applyFont="1" applyFill="1" applyAlignment="1">
      <alignment horizontal="right"/>
    </xf>
    <xf numFmtId="0" fontId="169" fillId="0" borderId="0" xfId="202" applyFont="1"/>
    <xf numFmtId="0" fontId="166" fillId="0" borderId="0" xfId="202" applyFont="1"/>
    <xf numFmtId="168" fontId="12" fillId="0" borderId="0" xfId="1" applyNumberFormat="1" applyFont="1" applyProtection="1"/>
    <xf numFmtId="168" fontId="12" fillId="6" borderId="0" xfId="1" applyNumberFormat="1" applyFont="1" applyFill="1" applyProtection="1"/>
    <xf numFmtId="0" fontId="170" fillId="0" borderId="0" xfId="202" applyFont="1"/>
    <xf numFmtId="0" fontId="171" fillId="0" borderId="0" xfId="158" applyFont="1"/>
    <xf numFmtId="166" fontId="14" fillId="0" borderId="0" xfId="158" applyNumberFormat="1" applyFont="1" applyAlignment="1">
      <alignment horizontal="center"/>
    </xf>
    <xf numFmtId="0" fontId="17" fillId="0" borderId="3" xfId="0" applyFont="1" applyBorder="1" applyAlignment="1">
      <alignment horizontal="center" vertical="center" wrapText="1"/>
    </xf>
    <xf numFmtId="0" fontId="17" fillId="0" borderId="20" xfId="0" applyFont="1" applyBorder="1"/>
    <xf numFmtId="0" fontId="163" fillId="0" borderId="22" xfId="0" applyFont="1" applyBorder="1" applyAlignment="1">
      <alignment horizontal="center"/>
    </xf>
    <xf numFmtId="15" fontId="161" fillId="0" borderId="0" xfId="0" applyNumberFormat="1" applyFont="1" applyAlignment="1">
      <alignment horizontal="center" vertical="center" wrapText="1"/>
    </xf>
    <xf numFmtId="166" fontId="13" fillId="0" borderId="9" xfId="201" applyNumberFormat="1" applyFont="1" applyBorder="1" applyAlignment="1">
      <alignment horizontal="right"/>
    </xf>
    <xf numFmtId="4" fontId="0" fillId="0" borderId="0" xfId="0" applyNumberFormat="1"/>
    <xf numFmtId="166" fontId="12" fillId="0" borderId="0" xfId="158" applyNumberFormat="1" applyFont="1" applyAlignment="1">
      <alignment horizontal="right"/>
    </xf>
    <xf numFmtId="166" fontId="12" fillId="0" borderId="0" xfId="0" applyNumberFormat="1" applyFont="1" applyAlignment="1">
      <alignment horizontal="right"/>
    </xf>
    <xf numFmtId="0" fontId="17" fillId="0" borderId="0" xfId="0" applyFont="1" applyAlignment="1">
      <alignment horizontal="center"/>
    </xf>
    <xf numFmtId="166" fontId="13" fillId="0" borderId="0" xfId="158" applyNumberFormat="1" applyFont="1" applyAlignment="1">
      <alignment horizontal="right"/>
    </xf>
    <xf numFmtId="166" fontId="13" fillId="0" borderId="0" xfId="158" applyNumberFormat="1" applyFont="1" applyAlignment="1" applyProtection="1">
      <alignment horizontal="right"/>
      <protection locked="0"/>
    </xf>
    <xf numFmtId="0" fontId="16" fillId="0" borderId="0" xfId="158" applyFont="1" applyAlignment="1">
      <alignment horizontal="left"/>
    </xf>
    <xf numFmtId="0" fontId="157" fillId="0" borderId="0" xfId="0" applyFont="1" applyAlignment="1">
      <alignment horizontal="centerContinuous"/>
    </xf>
    <xf numFmtId="166" fontId="14" fillId="0" borderId="0" xfId="158" applyNumberFormat="1" applyFont="1"/>
    <xf numFmtId="166" fontId="172" fillId="0" borderId="8" xfId="0" applyNumberFormat="1" applyFont="1" applyBorder="1" applyAlignment="1">
      <alignment horizontal="right"/>
    </xf>
    <xf numFmtId="173" fontId="0" fillId="4" borderId="0" xfId="1" applyNumberFormat="1" applyFont="1" applyFill="1" applyProtection="1"/>
    <xf numFmtId="0" fontId="173" fillId="77" borderId="31" xfId="0" applyFont="1" applyFill="1" applyBorder="1" applyAlignment="1">
      <alignment horizontal="center"/>
    </xf>
    <xf numFmtId="0" fontId="174" fillId="0" borderId="0" xfId="0" applyFont="1"/>
    <xf numFmtId="4" fontId="174" fillId="0" borderId="0" xfId="0" applyNumberFormat="1" applyFont="1"/>
    <xf numFmtId="0" fontId="175" fillId="0" borderId="0" xfId="0" applyFont="1"/>
    <xf numFmtId="0" fontId="39" fillId="0" borderId="0" xfId="0" applyFont="1"/>
    <xf numFmtId="0" fontId="37" fillId="3" borderId="31" xfId="0" applyFont="1" applyFill="1" applyBorder="1" applyAlignment="1">
      <alignment horizontal="center" vertical="center"/>
    </xf>
    <xf numFmtId="0" fontId="176" fillId="3" borderId="31" xfId="0" applyFont="1" applyFill="1" applyBorder="1" applyAlignment="1">
      <alignment horizontal="center" vertical="center" wrapText="1"/>
    </xf>
    <xf numFmtId="0" fontId="39" fillId="70" borderId="0" xfId="0" applyFont="1" applyFill="1"/>
    <xf numFmtId="0" fontId="39" fillId="11" borderId="0" xfId="0" applyFont="1" applyFill="1"/>
    <xf numFmtId="4" fontId="39" fillId="6" borderId="0" xfId="0" applyNumberFormat="1" applyFont="1" applyFill="1"/>
    <xf numFmtId="4" fontId="39" fillId="0" borderId="0" xfId="0" applyNumberFormat="1" applyFont="1"/>
    <xf numFmtId="0" fontId="37" fillId="70" borderId="0" xfId="0" applyFont="1" applyFill="1"/>
    <xf numFmtId="0" fontId="173" fillId="0" borderId="0" xfId="0" applyFont="1" applyAlignment="1">
      <alignment horizontal="center"/>
    </xf>
    <xf numFmtId="0" fontId="37" fillId="70" borderId="1" xfId="0" applyFont="1" applyFill="1" applyBorder="1"/>
    <xf numFmtId="4" fontId="174" fillId="0" borderId="1" xfId="0" applyNumberFormat="1" applyFont="1" applyBorder="1"/>
    <xf numFmtId="4" fontId="177" fillId="0" borderId="19" xfId="0" applyNumberFormat="1" applyFont="1" applyBorder="1"/>
    <xf numFmtId="0" fontId="178" fillId="0" borderId="19" xfId="0" applyFont="1" applyBorder="1"/>
    <xf numFmtId="0" fontId="174" fillId="46" borderId="0" xfId="0" applyFont="1" applyFill="1"/>
    <xf numFmtId="4" fontId="174" fillId="46" borderId="0" xfId="0" applyNumberFormat="1" applyFont="1" applyFill="1"/>
    <xf numFmtId="0" fontId="39" fillId="46" borderId="0" xfId="0" applyFont="1" applyFill="1"/>
    <xf numFmtId="166" fontId="179" fillId="0" borderId="9" xfId="201" applyNumberFormat="1" applyFont="1" applyBorder="1" applyAlignment="1">
      <alignment horizontal="right"/>
    </xf>
    <xf numFmtId="166" fontId="172" fillId="0" borderId="9" xfId="201" applyNumberFormat="1" applyFont="1" applyBorder="1" applyAlignment="1">
      <alignment horizontal="right"/>
    </xf>
    <xf numFmtId="166" fontId="179" fillId="0" borderId="21" xfId="201" applyNumberFormat="1" applyFont="1" applyBorder="1" applyAlignment="1">
      <alignment horizontal="right"/>
    </xf>
    <xf numFmtId="0" fontId="179" fillId="0" borderId="1" xfId="201" applyFont="1" applyBorder="1" applyAlignment="1">
      <alignment horizontal="left" vertical="center"/>
    </xf>
    <xf numFmtId="166" fontId="172" fillId="0" borderId="10" xfId="201" applyNumberFormat="1" applyFont="1" applyBorder="1" applyAlignment="1">
      <alignment horizontal="right"/>
    </xf>
    <xf numFmtId="166" fontId="179" fillId="0" borderId="1" xfId="201" applyNumberFormat="1" applyFont="1" applyBorder="1" applyAlignment="1">
      <alignment horizontal="right"/>
    </xf>
    <xf numFmtId="166" fontId="179" fillId="78" borderId="9" xfId="201" applyNumberFormat="1" applyFont="1" applyFill="1" applyBorder="1" applyAlignment="1">
      <alignment horizontal="right"/>
    </xf>
    <xf numFmtId="166" fontId="179" fillId="78" borderId="10" xfId="201" applyNumberFormat="1" applyFont="1" applyFill="1" applyBorder="1" applyAlignment="1">
      <alignment horizontal="right"/>
    </xf>
    <xf numFmtId="166" fontId="172" fillId="0" borderId="8" xfId="158" applyNumberFormat="1" applyFont="1" applyBorder="1" applyAlignment="1">
      <alignment horizontal="right"/>
    </xf>
    <xf numFmtId="166" fontId="172" fillId="0" borderId="6" xfId="158" applyNumberFormat="1" applyFont="1" applyBorder="1" applyAlignment="1">
      <alignment horizontal="right"/>
    </xf>
    <xf numFmtId="166" fontId="179" fillId="78" borderId="8" xfId="158" applyNumberFormat="1" applyFont="1" applyFill="1" applyBorder="1" applyAlignment="1">
      <alignment horizontal="right"/>
    </xf>
    <xf numFmtId="166" fontId="179" fillId="78" borderId="8" xfId="158" applyNumberFormat="1" applyFont="1" applyFill="1" applyBorder="1" applyAlignment="1" applyProtection="1">
      <alignment horizontal="right"/>
      <protection locked="0"/>
    </xf>
    <xf numFmtId="166" fontId="172" fillId="0" borderId="8" xfId="158" applyNumberFormat="1" applyFont="1" applyBorder="1" applyAlignment="1" applyProtection="1">
      <alignment horizontal="right"/>
      <protection locked="0"/>
    </xf>
    <xf numFmtId="4" fontId="6" fillId="11" borderId="0" xfId="0" applyNumberFormat="1" applyFont="1" applyFill="1" applyAlignment="1">
      <alignment wrapText="1"/>
    </xf>
    <xf numFmtId="4" fontId="6" fillId="11" borderId="0" xfId="0" applyNumberFormat="1" applyFont="1" applyFill="1"/>
    <xf numFmtId="4" fontId="16" fillId="0" borderId="0" xfId="158" applyNumberFormat="1" applyFont="1"/>
    <xf numFmtId="4" fontId="14" fillId="0" borderId="0" xfId="158" applyNumberFormat="1" applyFont="1"/>
    <xf numFmtId="4" fontId="22" fillId="0" borderId="0" xfId="158" applyNumberFormat="1" applyFont="1"/>
    <xf numFmtId="4" fontId="18" fillId="9" borderId="0" xfId="158" applyNumberFormat="1" applyFont="1" applyFill="1" applyAlignment="1">
      <alignment horizontal="left"/>
    </xf>
    <xf numFmtId="4" fontId="16" fillId="9" borderId="0" xfId="158" applyNumberFormat="1" applyFont="1" applyFill="1" applyAlignment="1">
      <alignment horizontal="left"/>
    </xf>
    <xf numFmtId="4" fontId="19" fillId="0" borderId="0" xfId="158" applyNumberFormat="1" applyFont="1" applyAlignment="1">
      <alignment horizontal="left"/>
    </xf>
    <xf numFmtId="4" fontId="19" fillId="0" borderId="0" xfId="158" applyNumberFormat="1" applyFont="1"/>
    <xf numFmtId="4" fontId="14" fillId="0" borderId="0" xfId="158" applyNumberFormat="1" applyFont="1" applyAlignment="1">
      <alignment vertical="center"/>
    </xf>
    <xf numFmtId="4" fontId="6" fillId="0" borderId="0" xfId="0" applyNumberFormat="1" applyFont="1" applyAlignment="1">
      <alignment horizontal="center" wrapText="1"/>
    </xf>
    <xf numFmtId="4" fontId="159" fillId="0" borderId="0" xfId="202" applyNumberFormat="1"/>
    <xf numFmtId="4" fontId="13" fillId="12" borderId="6" xfId="201" applyNumberFormat="1" applyFont="1" applyFill="1" applyBorder="1" applyAlignment="1">
      <alignment horizontal="left" vertical="top"/>
    </xf>
    <xf numFmtId="4" fontId="12" fillId="12" borderId="6" xfId="201" applyNumberFormat="1" applyFont="1" applyFill="1" applyBorder="1" applyAlignment="1">
      <alignment horizontal="left" vertical="top"/>
    </xf>
    <xf numFmtId="4" fontId="12" fillId="12" borderId="6" xfId="1" applyNumberFormat="1" applyFont="1" applyFill="1" applyBorder="1" applyAlignment="1" applyProtection="1">
      <alignment horizontal="left" vertical="top"/>
    </xf>
    <xf numFmtId="4" fontId="12" fillId="12" borderId="8" xfId="201" applyNumberFormat="1" applyFont="1" applyFill="1" applyBorder="1" applyAlignment="1">
      <alignment horizontal="left" vertical="top"/>
    </xf>
    <xf numFmtId="4" fontId="13" fillId="12" borderId="8" xfId="201" applyNumberFormat="1" applyFont="1" applyFill="1" applyBorder="1" applyAlignment="1">
      <alignment horizontal="left" vertical="top"/>
    </xf>
    <xf numFmtId="4" fontId="35" fillId="12" borderId="6" xfId="201" applyNumberFormat="1" applyFont="1" applyFill="1" applyBorder="1" applyAlignment="1">
      <alignment horizontal="left" vertical="top"/>
    </xf>
    <xf numFmtId="4" fontId="6" fillId="13" borderId="13" xfId="0" applyNumberFormat="1" applyFont="1" applyFill="1" applyBorder="1"/>
    <xf numFmtId="4" fontId="6" fillId="11" borderId="0" xfId="9" applyNumberFormat="1" applyFill="1"/>
    <xf numFmtId="4" fontId="12" fillId="12" borderId="6" xfId="201" applyNumberFormat="1" applyFont="1" applyFill="1" applyBorder="1" applyAlignment="1">
      <alignment horizontal="right" vertical="top"/>
    </xf>
    <xf numFmtId="0" fontId="180" fillId="78" borderId="0" xfId="0" applyFont="1" applyFill="1"/>
    <xf numFmtId="0" fontId="17" fillId="0" borderId="2" xfId="201" applyFont="1" applyBorder="1" applyAlignment="1">
      <alignment horizontal="center" vertical="center" wrapText="1"/>
    </xf>
    <xf numFmtId="0" fontId="17" fillId="0" borderId="3" xfId="201" applyFont="1" applyBorder="1" applyAlignment="1">
      <alignment horizontal="center" vertical="center" wrapText="1"/>
    </xf>
    <xf numFmtId="0" fontId="17" fillId="0" borderId="6" xfId="201" applyFont="1" applyBorder="1" applyAlignment="1">
      <alignment horizontal="center" vertical="center" wrapText="1"/>
    </xf>
    <xf numFmtId="166" fontId="17" fillId="0" borderId="23" xfId="201" applyNumberFormat="1" applyFont="1" applyBorder="1" applyAlignment="1">
      <alignment horizontal="center"/>
    </xf>
    <xf numFmtId="166" fontId="17" fillId="0" borderId="10" xfId="201" applyNumberFormat="1" applyFont="1" applyBorder="1" applyAlignment="1">
      <alignment horizontal="center"/>
    </xf>
    <xf numFmtId="166" fontId="17" fillId="0" borderId="2" xfId="201" applyNumberFormat="1" applyFont="1" applyBorder="1" applyAlignment="1">
      <alignment horizontal="left" wrapText="1"/>
    </xf>
    <xf numFmtId="166" fontId="17" fillId="0" borderId="6" xfId="201" applyNumberFormat="1" applyFont="1" applyBorder="1" applyAlignment="1">
      <alignment horizontal="left" wrapText="1"/>
    </xf>
    <xf numFmtId="166" fontId="17" fillId="0" borderId="2" xfId="201" applyNumberFormat="1" applyFont="1" applyBorder="1" applyAlignment="1">
      <alignment horizontal="center" wrapText="1"/>
    </xf>
    <xf numFmtId="166" fontId="17" fillId="0" borderId="6" xfId="201" applyNumberFormat="1" applyFont="1" applyBorder="1" applyAlignment="1">
      <alignment horizontal="center" wrapText="1"/>
    </xf>
    <xf numFmtId="0" fontId="29" fillId="10" borderId="24" xfId="0" applyFont="1" applyFill="1" applyBorder="1" applyAlignment="1" applyProtection="1">
      <alignment horizontal="center"/>
      <protection locked="0"/>
    </xf>
    <xf numFmtId="0" fontId="29" fillId="10" borderId="13" xfId="0" applyFont="1" applyFill="1" applyBorder="1" applyAlignment="1" applyProtection="1">
      <alignment horizontal="center"/>
      <protection locked="0"/>
    </xf>
    <xf numFmtId="0" fontId="29" fillId="10" borderId="25" xfId="0" applyFont="1" applyFill="1" applyBorder="1" applyAlignment="1" applyProtection="1">
      <alignment horizontal="center"/>
      <protection locked="0"/>
    </xf>
    <xf numFmtId="0" fontId="30" fillId="0" borderId="24" xfId="0" applyFont="1" applyBorder="1" applyAlignment="1">
      <alignment horizontal="center" vertical="center"/>
    </xf>
    <xf numFmtId="0" fontId="30" fillId="0" borderId="13" xfId="0" applyFont="1" applyBorder="1" applyAlignment="1">
      <alignment horizontal="center" vertical="center"/>
    </xf>
    <xf numFmtId="0" fontId="30" fillId="0" borderId="25" xfId="0" applyFont="1" applyBorder="1" applyAlignment="1">
      <alignment horizontal="center" vertical="center"/>
    </xf>
    <xf numFmtId="49" fontId="6" fillId="9" borderId="8" xfId="5" applyNumberFormat="1" applyFill="1" applyBorder="1" applyAlignment="1" applyProtection="1">
      <alignment horizontal="center"/>
      <protection locked="0"/>
    </xf>
    <xf numFmtId="49" fontId="6" fillId="9" borderId="23" xfId="5" applyNumberFormat="1" applyFill="1" applyBorder="1" applyAlignment="1" applyProtection="1">
      <alignment horizontal="center"/>
      <protection locked="0"/>
    </xf>
    <xf numFmtId="49" fontId="6" fillId="9" borderId="17" xfId="5" applyNumberFormat="1" applyFill="1" applyBorder="1" applyAlignment="1" applyProtection="1">
      <alignment horizontal="center"/>
      <protection locked="0"/>
    </xf>
    <xf numFmtId="49" fontId="0" fillId="9" borderId="8" xfId="5" applyNumberFormat="1" applyFont="1" applyFill="1" applyBorder="1" applyAlignment="1" applyProtection="1">
      <alignment horizontal="center"/>
      <protection locked="0"/>
    </xf>
    <xf numFmtId="49" fontId="0" fillId="9" borderId="23" xfId="5" applyNumberFormat="1" applyFont="1" applyFill="1" applyBorder="1" applyAlignment="1" applyProtection="1">
      <alignment horizontal="center"/>
      <protection locked="0"/>
    </xf>
    <xf numFmtId="0" fontId="6" fillId="9" borderId="26" xfId="5" applyFill="1" applyBorder="1" applyAlignment="1" applyProtection="1">
      <alignment horizontal="center"/>
      <protection locked="0"/>
    </xf>
    <xf numFmtId="0" fontId="6" fillId="9" borderId="149" xfId="5" applyFill="1" applyBorder="1" applyAlignment="1" applyProtection="1">
      <alignment horizontal="center"/>
      <protection locked="0"/>
    </xf>
    <xf numFmtId="0" fontId="6" fillId="9" borderId="27" xfId="5" applyFill="1" applyBorder="1" applyAlignment="1" applyProtection="1">
      <alignment horizontal="center"/>
      <protection locked="0"/>
    </xf>
    <xf numFmtId="0" fontId="6" fillId="9" borderId="8" xfId="5" applyFill="1" applyBorder="1" applyAlignment="1" applyProtection="1">
      <alignment horizontal="center" vertical="top" wrapText="1"/>
      <protection locked="0"/>
    </xf>
    <xf numFmtId="0" fontId="6" fillId="9" borderId="23" xfId="5" applyFill="1" applyBorder="1" applyAlignment="1" applyProtection="1">
      <alignment horizontal="center" vertical="top"/>
      <protection locked="0"/>
    </xf>
    <xf numFmtId="0" fontId="6" fillId="9" borderId="17" xfId="5" applyFill="1" applyBorder="1" applyAlignment="1" applyProtection="1">
      <alignment horizontal="center" vertical="top"/>
      <protection locked="0"/>
    </xf>
    <xf numFmtId="0" fontId="6" fillId="9" borderId="8" xfId="5" applyFill="1" applyBorder="1" applyAlignment="1" applyProtection="1">
      <alignment horizontal="center"/>
      <protection locked="0"/>
    </xf>
    <xf numFmtId="0" fontId="6" fillId="9" borderId="23" xfId="5" applyFill="1" applyBorder="1" applyAlignment="1" applyProtection="1">
      <alignment horizontal="center"/>
      <protection locked="0"/>
    </xf>
    <xf numFmtId="0" fontId="6" fillId="9" borderId="17" xfId="5" applyFill="1" applyBorder="1" applyAlignment="1" applyProtection="1">
      <alignment horizontal="center"/>
      <protection locked="0"/>
    </xf>
    <xf numFmtId="0" fontId="0" fillId="9" borderId="8" xfId="5" applyFont="1" applyFill="1" applyBorder="1" applyAlignment="1" applyProtection="1">
      <alignment horizontal="center"/>
      <protection locked="0"/>
    </xf>
    <xf numFmtId="0" fontId="0" fillId="9" borderId="23" xfId="5" applyFont="1" applyFill="1" applyBorder="1" applyAlignment="1" applyProtection="1">
      <alignment horizontal="center"/>
      <protection locked="0"/>
    </xf>
    <xf numFmtId="0" fontId="6" fillId="9" borderId="19" xfId="5" applyFill="1" applyBorder="1" applyAlignment="1" applyProtection="1">
      <alignment horizontal="center"/>
      <protection locked="0"/>
    </xf>
    <xf numFmtId="0" fontId="6" fillId="9" borderId="28" xfId="5" applyFill="1" applyBorder="1" applyAlignment="1" applyProtection="1">
      <alignment horizontal="center"/>
      <protection locked="0"/>
    </xf>
    <xf numFmtId="49" fontId="6" fillId="9" borderId="19" xfId="5" applyNumberFormat="1" applyFill="1" applyBorder="1" applyAlignment="1" applyProtection="1">
      <alignment horizontal="center"/>
      <protection locked="0"/>
    </xf>
    <xf numFmtId="49" fontId="6" fillId="9" borderId="28" xfId="5" applyNumberFormat="1" applyFill="1" applyBorder="1" applyAlignment="1" applyProtection="1">
      <alignment horizontal="center"/>
      <protection locked="0"/>
    </xf>
    <xf numFmtId="49" fontId="25" fillId="9" borderId="8" xfId="2" applyNumberFormat="1" applyFill="1" applyBorder="1" applyAlignment="1" applyProtection="1">
      <alignment horizontal="center"/>
      <protection locked="0"/>
    </xf>
    <xf numFmtId="49" fontId="25" fillId="9" borderId="23" xfId="2" applyNumberFormat="1" applyFill="1" applyBorder="1" applyAlignment="1" applyProtection="1">
      <alignment horizontal="center"/>
      <protection locked="0"/>
    </xf>
    <xf numFmtId="3" fontId="24" fillId="9" borderId="23" xfId="5" applyNumberFormat="1" applyFont="1" applyFill="1" applyBorder="1" applyAlignment="1">
      <alignment horizontal="center"/>
    </xf>
    <xf numFmtId="3" fontId="24" fillId="9" borderId="10" xfId="5" applyNumberFormat="1" applyFont="1" applyFill="1" applyBorder="1" applyAlignment="1">
      <alignment horizontal="center"/>
    </xf>
    <xf numFmtId="3" fontId="0" fillId="9" borderId="23" xfId="5" applyNumberFormat="1" applyFont="1" applyFill="1" applyBorder="1" applyAlignment="1" applyProtection="1">
      <alignment horizontal="center"/>
      <protection locked="0"/>
    </xf>
    <xf numFmtId="3" fontId="0" fillId="9" borderId="10" xfId="5" applyNumberFormat="1" applyFont="1" applyFill="1" applyBorder="1" applyAlignment="1" applyProtection="1">
      <alignment horizontal="center"/>
      <protection locked="0"/>
    </xf>
    <xf numFmtId="0" fontId="6" fillId="9" borderId="10" xfId="5" applyFill="1" applyBorder="1" applyAlignment="1" applyProtection="1">
      <alignment horizontal="center"/>
      <protection locked="0"/>
    </xf>
    <xf numFmtId="0" fontId="24" fillId="9" borderId="23" xfId="5" applyFont="1" applyFill="1" applyBorder="1" applyAlignment="1" applyProtection="1">
      <alignment horizontal="center"/>
      <protection locked="0"/>
    </xf>
    <xf numFmtId="0" fontId="24" fillId="9" borderId="10" xfId="5" applyFont="1" applyFill="1" applyBorder="1" applyAlignment="1" applyProtection="1">
      <alignment horizontal="center"/>
      <protection locked="0"/>
    </xf>
    <xf numFmtId="166" fontId="172" fillId="0" borderId="23" xfId="0" applyNumberFormat="1" applyFont="1" applyBorder="1"/>
    <xf numFmtId="166" fontId="172" fillId="0" borderId="10" xfId="0" applyNumberFormat="1" applyFont="1" applyBorder="1"/>
    <xf numFmtId="166" fontId="179" fillId="78" borderId="23" xfId="158" applyNumberFormat="1" applyFont="1" applyFill="1" applyBorder="1"/>
    <xf numFmtId="166" fontId="179" fillId="78" borderId="10" xfId="158" applyNumberFormat="1" applyFont="1" applyFill="1" applyBorder="1"/>
    <xf numFmtId="166" fontId="179" fillId="0" borderId="23" xfId="158" applyNumberFormat="1" applyFont="1" applyBorder="1"/>
    <xf numFmtId="166" fontId="179" fillId="0" borderId="10" xfId="158" applyNumberFormat="1" applyFont="1" applyBorder="1"/>
    <xf numFmtId="166" fontId="179" fillId="78" borderId="23" xfId="158" applyNumberFormat="1" applyFont="1" applyFill="1" applyBorder="1" applyProtection="1">
      <protection locked="0"/>
    </xf>
    <xf numFmtId="166" fontId="179" fillId="78" borderId="10" xfId="158" applyNumberFormat="1" applyFont="1" applyFill="1" applyBorder="1" applyProtection="1">
      <protection locked="0"/>
    </xf>
    <xf numFmtId="166" fontId="12" fillId="0" borderId="0" xfId="0" applyNumberFormat="1" applyFont="1"/>
    <xf numFmtId="166" fontId="13" fillId="0" borderId="0" xfId="158" applyNumberFormat="1" applyFont="1"/>
    <xf numFmtId="0" fontId="162" fillId="0" borderId="0" xfId="158" applyFont="1" applyAlignment="1">
      <alignment horizontal="center"/>
    </xf>
    <xf numFmtId="0" fontId="161" fillId="0" borderId="1" xfId="0" applyFont="1" applyBorder="1" applyAlignment="1">
      <alignment horizontal="center"/>
    </xf>
    <xf numFmtId="166" fontId="13" fillId="0" borderId="0" xfId="158" applyNumberFormat="1" applyFont="1" applyProtection="1">
      <protection locked="0"/>
    </xf>
    <xf numFmtId="166" fontId="12" fillId="0" borderId="23" xfId="0" applyNumberFormat="1" applyFont="1" applyBorder="1"/>
    <xf numFmtId="166" fontId="12" fillId="0" borderId="10" xfId="0" applyNumberFormat="1" applyFont="1" applyBorder="1"/>
    <xf numFmtId="166" fontId="13" fillId="6" borderId="23" xfId="158" applyNumberFormat="1" applyFont="1" applyFill="1" applyBorder="1"/>
    <xf numFmtId="166" fontId="13" fillId="6" borderId="10" xfId="158" applyNumberFormat="1" applyFont="1" applyFill="1" applyBorder="1"/>
    <xf numFmtId="166" fontId="13" fillId="0" borderId="23" xfId="158" applyNumberFormat="1" applyFont="1" applyBorder="1"/>
    <xf numFmtId="166" fontId="13" fillId="0" borderId="10" xfId="158" applyNumberFormat="1" applyFont="1" applyBorder="1"/>
    <xf numFmtId="166" fontId="13" fillId="6" borderId="23" xfId="158" applyNumberFormat="1" applyFont="1" applyFill="1" applyBorder="1" applyProtection="1">
      <protection locked="0"/>
    </xf>
    <xf numFmtId="166" fontId="13" fillId="6" borderId="10" xfId="158" applyNumberFormat="1" applyFont="1" applyFill="1" applyBorder="1" applyProtection="1">
      <protection locked="0"/>
    </xf>
    <xf numFmtId="0" fontId="161" fillId="0" borderId="0" xfId="0" applyFont="1" applyAlignment="1">
      <alignment horizontal="center"/>
    </xf>
    <xf numFmtId="0" fontId="164" fillId="0" borderId="0" xfId="0" applyFont="1" applyAlignment="1">
      <alignment horizont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9" fillId="0" borderId="3" xfId="0" applyFont="1" applyBorder="1" applyAlignment="1">
      <alignment horizont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22" xfId="0" applyFont="1" applyBorder="1" applyAlignment="1">
      <alignment horizontal="center" vertical="center"/>
    </xf>
    <xf numFmtId="0" fontId="17" fillId="0" borderId="7" xfId="0" applyFont="1" applyBorder="1" applyAlignment="1">
      <alignment horizontal="center" vertical="center"/>
    </xf>
    <xf numFmtId="0" fontId="17" fillId="0" borderId="1" xfId="0" applyFont="1" applyBorder="1" applyAlignment="1">
      <alignment horizontal="center" vertical="center"/>
    </xf>
    <xf numFmtId="0" fontId="17" fillId="0" borderId="9" xfId="0" applyFont="1" applyBorder="1" applyAlignment="1">
      <alignment horizontal="center" vertical="center"/>
    </xf>
    <xf numFmtId="0" fontId="17" fillId="0" borderId="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0" xfId="0" applyFont="1" applyAlignment="1">
      <alignment horizontal="center" vertical="center"/>
    </xf>
    <xf numFmtId="0" fontId="17" fillId="0" borderId="0" xfId="0" applyFont="1" applyAlignment="1">
      <alignment horizontal="center" vertical="center" wrapText="1"/>
    </xf>
    <xf numFmtId="0" fontId="17" fillId="0" borderId="4" xfId="0" applyFont="1" applyBorder="1" applyAlignment="1">
      <alignment horizontal="center" vertical="center"/>
    </xf>
    <xf numFmtId="0" fontId="14" fillId="0" borderId="4" xfId="158" applyFont="1" applyBorder="1" applyAlignment="1">
      <alignment horizontal="center"/>
    </xf>
    <xf numFmtId="0" fontId="160" fillId="75" borderId="0" xfId="0" applyFont="1" applyFill="1" applyAlignment="1">
      <alignment horizontal="center"/>
    </xf>
    <xf numFmtId="49" fontId="105" fillId="48" borderId="55" xfId="155" applyNumberFormat="1" applyFont="1" applyFill="1" applyBorder="1" applyAlignment="1" applyProtection="1">
      <alignment horizontal="center" vertical="center"/>
      <protection hidden="1"/>
    </xf>
    <xf numFmtId="49" fontId="105" fillId="48" borderId="4" xfId="155" applyNumberFormat="1" applyFont="1" applyFill="1" applyBorder="1" applyAlignment="1" applyProtection="1">
      <alignment horizontal="center" vertical="center"/>
      <protection hidden="1"/>
    </xf>
    <xf numFmtId="49" fontId="105" fillId="48" borderId="7" xfId="155" applyNumberFormat="1" applyFont="1" applyFill="1" applyBorder="1" applyAlignment="1" applyProtection="1">
      <alignment horizontal="center" vertical="center"/>
      <protection hidden="1"/>
    </xf>
    <xf numFmtId="49" fontId="97" fillId="0" borderId="0" xfId="155" applyNumberFormat="1" applyFont="1" applyAlignment="1" applyProtection="1">
      <alignment vertical="center" wrapText="1"/>
      <protection hidden="1"/>
    </xf>
    <xf numFmtId="49" fontId="93" fillId="47" borderId="0" xfId="155" applyNumberFormat="1" applyFont="1" applyFill="1" applyAlignment="1" applyProtection="1">
      <alignment horizontal="center" vertical="center"/>
      <protection hidden="1"/>
    </xf>
    <xf numFmtId="49" fontId="105" fillId="47" borderId="0" xfId="155" applyNumberFormat="1" applyFont="1" applyFill="1" applyAlignment="1" applyProtection="1">
      <alignment horizontal="center" vertical="center"/>
      <protection hidden="1"/>
    </xf>
    <xf numFmtId="49" fontId="86" fillId="47" borderId="0" xfId="155" applyNumberFormat="1" applyFont="1" applyFill="1" applyAlignment="1" applyProtection="1">
      <alignment horizontal="left" vertical="center"/>
      <protection hidden="1"/>
    </xf>
    <xf numFmtId="2" fontId="107" fillId="47" borderId="0" xfId="155" applyNumberFormat="1" applyFont="1" applyFill="1" applyAlignment="1" applyProtection="1">
      <alignment horizontal="right" vertical="center"/>
      <protection hidden="1"/>
    </xf>
    <xf numFmtId="49" fontId="85" fillId="48" borderId="0" xfId="155" applyNumberFormat="1" applyFont="1" applyFill="1" applyAlignment="1" applyProtection="1">
      <alignment horizontal="center" vertical="center"/>
      <protection hidden="1"/>
    </xf>
    <xf numFmtId="0" fontId="95" fillId="47" borderId="0" xfId="155" applyFont="1" applyFill="1" applyAlignment="1" applyProtection="1">
      <alignment horizontal="center" vertical="center"/>
      <protection locked="0"/>
    </xf>
    <xf numFmtId="49" fontId="98" fillId="48" borderId="0" xfId="155" applyNumberFormat="1" applyFont="1" applyFill="1" applyAlignment="1" applyProtection="1">
      <alignment horizontal="center"/>
      <protection hidden="1"/>
    </xf>
    <xf numFmtId="49" fontId="104" fillId="48" borderId="0" xfId="155" applyNumberFormat="1" applyFont="1" applyFill="1" applyAlignment="1" applyProtection="1">
      <alignment horizontal="center" vertical="center"/>
      <protection hidden="1"/>
    </xf>
    <xf numFmtId="49" fontId="92" fillId="48" borderId="0" xfId="155" applyNumberFormat="1" applyFont="1" applyFill="1" applyAlignment="1" applyProtection="1">
      <alignment horizontal="center" vertical="center"/>
      <protection hidden="1"/>
    </xf>
    <xf numFmtId="49" fontId="97" fillId="47" borderId="0" xfId="155" applyNumberFormat="1" applyFont="1" applyFill="1" applyAlignment="1" applyProtection="1">
      <alignment horizontal="center" vertical="center"/>
      <protection hidden="1"/>
    </xf>
    <xf numFmtId="2" fontId="97" fillId="48" borderId="0" xfId="155" applyNumberFormat="1" applyFont="1" applyFill="1" applyAlignment="1" applyProtection="1">
      <alignment vertical="center" wrapText="1"/>
      <protection hidden="1"/>
    </xf>
    <xf numFmtId="49" fontId="103" fillId="48" borderId="0" xfId="155" applyNumberFormat="1" applyFont="1" applyFill="1" applyAlignment="1" applyProtection="1">
      <alignment horizontal="center" vertical="center"/>
      <protection hidden="1"/>
    </xf>
    <xf numFmtId="49" fontId="95" fillId="48" borderId="0" xfId="155" applyNumberFormat="1" applyFont="1" applyFill="1" applyAlignment="1" applyProtection="1">
      <alignment horizontal="center" vertical="center"/>
      <protection hidden="1"/>
    </xf>
    <xf numFmtId="49" fontId="95" fillId="48" borderId="50" xfId="155" applyNumberFormat="1" applyFont="1" applyFill="1" applyBorder="1" applyAlignment="1" applyProtection="1">
      <alignment horizontal="center" vertical="center"/>
      <protection hidden="1"/>
    </xf>
    <xf numFmtId="2" fontId="97" fillId="48" borderId="0" xfId="155" applyNumberFormat="1" applyFont="1" applyFill="1" applyAlignment="1" applyProtection="1">
      <alignment horizontal="left" vertical="center"/>
      <protection hidden="1"/>
    </xf>
    <xf numFmtId="49" fontId="97" fillId="48" borderId="0" xfId="155" applyNumberFormat="1" applyFont="1" applyFill="1" applyAlignment="1" applyProtection="1">
      <alignment horizontal="center" vertical="center"/>
      <protection hidden="1"/>
    </xf>
    <xf numFmtId="0" fontId="97" fillId="48" borderId="0" xfId="155" applyFont="1" applyFill="1" applyAlignment="1" applyProtection="1">
      <alignment horizontal="left" vertical="center"/>
      <protection hidden="1"/>
    </xf>
    <xf numFmtId="2" fontId="97" fillId="48" borderId="0" xfId="155" applyNumberFormat="1" applyFont="1" applyFill="1" applyAlignment="1" applyProtection="1">
      <alignment vertical="center"/>
      <protection hidden="1"/>
    </xf>
    <xf numFmtId="2" fontId="101" fillId="48" borderId="1" xfId="155" applyNumberFormat="1" applyFont="1" applyFill="1" applyBorder="1" applyAlignment="1" applyProtection="1">
      <alignment horizontal="left" vertical="center"/>
      <protection hidden="1"/>
    </xf>
    <xf numFmtId="2" fontId="95" fillId="47" borderId="0" xfId="155" applyNumberFormat="1" applyFont="1" applyFill="1" applyAlignment="1" applyProtection="1">
      <alignment horizontal="center" vertical="center"/>
      <protection hidden="1"/>
    </xf>
    <xf numFmtId="49" fontId="91" fillId="47" borderId="7" xfId="155" applyNumberFormat="1" applyFont="1" applyFill="1" applyBorder="1" applyAlignment="1" applyProtection="1">
      <alignment horizontal="center" vertical="center"/>
      <protection hidden="1"/>
    </xf>
    <xf numFmtId="49" fontId="91" fillId="47" borderId="1" xfId="155" applyNumberFormat="1" applyFont="1" applyFill="1" applyBorder="1" applyAlignment="1" applyProtection="1">
      <alignment horizontal="center" vertical="center"/>
      <protection hidden="1"/>
    </xf>
    <xf numFmtId="49" fontId="91" fillId="47" borderId="9" xfId="155" applyNumberFormat="1" applyFont="1" applyFill="1" applyBorder="1" applyAlignment="1" applyProtection="1">
      <alignment horizontal="center" vertical="center"/>
      <protection hidden="1"/>
    </xf>
    <xf numFmtId="2" fontId="97" fillId="48" borderId="53" xfId="155" applyNumberFormat="1" applyFont="1" applyFill="1" applyBorder="1" applyAlignment="1" applyProtection="1">
      <alignment horizontal="left" vertical="center"/>
      <protection hidden="1"/>
    </xf>
    <xf numFmtId="49" fontId="97" fillId="48" borderId="53" xfId="155" applyNumberFormat="1" applyFont="1" applyFill="1" applyBorder="1" applyAlignment="1" applyProtection="1">
      <alignment horizontal="left" vertical="center"/>
      <protection hidden="1"/>
    </xf>
    <xf numFmtId="2" fontId="97" fillId="48" borderId="48" xfId="155" applyNumberFormat="1" applyFont="1" applyFill="1" applyBorder="1" applyAlignment="1" applyProtection="1">
      <alignment horizontal="left" vertical="center"/>
      <protection hidden="1"/>
    </xf>
    <xf numFmtId="2" fontId="97" fillId="48" borderId="20" xfId="155" applyNumberFormat="1" applyFont="1" applyFill="1" applyBorder="1" applyAlignment="1" applyProtection="1">
      <alignment horizontal="left" vertical="center"/>
      <protection hidden="1"/>
    </xf>
    <xf numFmtId="2" fontId="97" fillId="48" borderId="21" xfId="155" applyNumberFormat="1" applyFont="1" applyFill="1" applyBorder="1" applyAlignment="1" applyProtection="1">
      <alignment horizontal="left" vertical="center"/>
      <protection hidden="1"/>
    </xf>
    <xf numFmtId="2" fontId="97" fillId="48" borderId="22" xfId="155" applyNumberFormat="1" applyFont="1" applyFill="1" applyBorder="1" applyAlignment="1" applyProtection="1">
      <alignment horizontal="left" vertical="center"/>
      <protection hidden="1"/>
    </xf>
    <xf numFmtId="49" fontId="95" fillId="47" borderId="0" xfId="155" applyNumberFormat="1" applyFont="1" applyFill="1" applyAlignment="1" applyProtection="1">
      <alignment horizontal="center" vertical="center"/>
      <protection hidden="1"/>
    </xf>
    <xf numFmtId="49" fontId="99" fillId="48" borderId="50" xfId="155" applyNumberFormat="1" applyFont="1" applyFill="1" applyBorder="1" applyAlignment="1" applyProtection="1">
      <alignment horizontal="left" vertical="center"/>
      <protection hidden="1"/>
    </xf>
    <xf numFmtId="2" fontId="84" fillId="48" borderId="0" xfId="155" applyNumberFormat="1" applyFill="1" applyAlignment="1" applyProtection="1">
      <alignment horizontal="center" vertical="center"/>
      <protection hidden="1"/>
    </xf>
    <xf numFmtId="49" fontId="91" fillId="47" borderId="48" xfId="155" applyNumberFormat="1" applyFont="1" applyFill="1" applyBorder="1" applyAlignment="1" applyProtection="1">
      <alignment horizontal="center" vertical="center"/>
      <protection hidden="1"/>
    </xf>
    <xf numFmtId="0" fontId="95" fillId="48" borderId="0" xfId="155" applyFont="1" applyFill="1" applyAlignment="1" applyProtection="1">
      <alignment horizontal="center" vertical="center"/>
      <protection hidden="1"/>
    </xf>
    <xf numFmtId="2" fontId="99" fillId="48" borderId="0" xfId="155" applyNumberFormat="1" applyFont="1" applyFill="1" applyAlignment="1" applyProtection="1">
      <alignment horizontal="left" vertical="center" wrapText="1"/>
      <protection hidden="1"/>
    </xf>
    <xf numFmtId="2" fontId="84" fillId="48" borderId="0" xfId="155" applyNumberFormat="1" applyFill="1" applyAlignment="1" applyProtection="1">
      <alignment horizontal="right" vertical="center"/>
      <protection hidden="1"/>
    </xf>
    <xf numFmtId="49" fontId="85" fillId="47" borderId="0" xfId="155" applyNumberFormat="1" applyFont="1" applyFill="1" applyAlignment="1" applyProtection="1">
      <alignment horizontal="center" vertical="center"/>
      <protection hidden="1"/>
    </xf>
    <xf numFmtId="49" fontId="97" fillId="48" borderId="0" xfId="155" applyNumberFormat="1" applyFont="1" applyFill="1" applyAlignment="1" applyProtection="1">
      <alignment horizontal="left" vertical="center"/>
      <protection hidden="1"/>
    </xf>
    <xf numFmtId="49" fontId="97" fillId="47" borderId="0" xfId="155" applyNumberFormat="1" applyFont="1" applyFill="1" applyAlignment="1" applyProtection="1">
      <alignment horizontal="center"/>
      <protection hidden="1"/>
    </xf>
    <xf numFmtId="2" fontId="102" fillId="47" borderId="2" xfId="155" applyNumberFormat="1" applyFont="1" applyFill="1" applyBorder="1" applyAlignment="1" applyProtection="1">
      <alignment horizontal="center" vertical="center"/>
      <protection locked="0"/>
    </xf>
    <xf numFmtId="2" fontId="102" fillId="47" borderId="6" xfId="155" applyNumberFormat="1" applyFont="1" applyFill="1" applyBorder="1" applyAlignment="1" applyProtection="1">
      <alignment horizontal="center" vertical="center"/>
      <protection locked="0"/>
    </xf>
    <xf numFmtId="2" fontId="97" fillId="48" borderId="50" xfId="155" applyNumberFormat="1" applyFont="1" applyFill="1" applyBorder="1" applyAlignment="1" applyProtection="1">
      <alignment horizontal="left" vertical="center"/>
      <protection hidden="1"/>
    </xf>
    <xf numFmtId="2" fontId="97" fillId="48" borderId="49" xfId="155" applyNumberFormat="1" applyFont="1" applyFill="1" applyBorder="1" applyAlignment="1" applyProtection="1">
      <alignment horizontal="left"/>
      <protection hidden="1"/>
    </xf>
    <xf numFmtId="2" fontId="97" fillId="48" borderId="0" xfId="155" applyNumberFormat="1" applyFont="1" applyFill="1" applyAlignment="1" applyProtection="1">
      <alignment horizontal="left"/>
      <protection hidden="1"/>
    </xf>
    <xf numFmtId="49" fontId="95" fillId="48" borderId="49" xfId="155" applyNumberFormat="1" applyFont="1" applyFill="1" applyBorder="1" applyAlignment="1" applyProtection="1">
      <alignment horizontal="center" vertical="center"/>
      <protection hidden="1"/>
    </xf>
    <xf numFmtId="2" fontId="95" fillId="47" borderId="0" xfId="155" applyNumberFormat="1" applyFont="1" applyFill="1" applyAlignment="1" applyProtection="1">
      <alignment horizontal="center" vertical="center"/>
      <protection locked="0"/>
    </xf>
    <xf numFmtId="0" fontId="88" fillId="47" borderId="0" xfId="156" applyFont="1" applyFill="1" applyAlignment="1" applyProtection="1">
      <alignment horizontal="center" vertical="center"/>
      <protection hidden="1"/>
    </xf>
    <xf numFmtId="49" fontId="85" fillId="47" borderId="4" xfId="155" applyNumberFormat="1" applyFont="1" applyFill="1" applyBorder="1" applyAlignment="1" applyProtection="1">
      <alignment horizontal="center" vertical="center"/>
      <protection hidden="1"/>
    </xf>
    <xf numFmtId="49" fontId="91" fillId="48" borderId="0" xfId="155" applyNumberFormat="1" applyFont="1" applyFill="1" applyAlignment="1" applyProtection="1">
      <alignment horizontal="center"/>
      <protection hidden="1"/>
    </xf>
    <xf numFmtId="49" fontId="93" fillId="48" borderId="0" xfId="155" applyNumberFormat="1" applyFont="1" applyFill="1" applyAlignment="1" applyProtection="1">
      <alignment horizontal="center" vertical="center"/>
      <protection hidden="1"/>
    </xf>
    <xf numFmtId="49" fontId="93" fillId="48" borderId="5" xfId="155" applyNumberFormat="1" applyFont="1" applyFill="1" applyBorder="1" applyAlignment="1" applyProtection="1">
      <alignment horizontal="center" vertical="center"/>
      <protection hidden="1"/>
    </xf>
    <xf numFmtId="49" fontId="85" fillId="47" borderId="44" xfId="155" applyNumberFormat="1" applyFont="1" applyFill="1" applyBorder="1" applyAlignment="1" applyProtection="1">
      <alignment horizontal="center" vertical="center"/>
      <protection hidden="1"/>
    </xf>
    <xf numFmtId="49" fontId="94" fillId="48" borderId="45" xfId="155" applyNumberFormat="1" applyFont="1" applyFill="1" applyBorder="1" applyAlignment="1" applyProtection="1">
      <alignment horizontal="left"/>
      <protection hidden="1"/>
    </xf>
    <xf numFmtId="49" fontId="94" fillId="48" borderId="46" xfId="155" applyNumberFormat="1" applyFont="1" applyFill="1" applyBorder="1" applyAlignment="1" applyProtection="1">
      <alignment horizontal="left"/>
      <protection hidden="1"/>
    </xf>
    <xf numFmtId="2" fontId="96" fillId="48" borderId="0" xfId="155" applyNumberFormat="1" applyFont="1" applyFill="1" applyAlignment="1" applyProtection="1">
      <alignment horizontal="left"/>
      <protection hidden="1"/>
    </xf>
    <xf numFmtId="49" fontId="97" fillId="48" borderId="50" xfId="155" applyNumberFormat="1" applyFont="1" applyFill="1" applyBorder="1" applyAlignment="1" applyProtection="1">
      <alignment horizontal="left" vertical="center"/>
      <protection hidden="1"/>
    </xf>
    <xf numFmtId="49" fontId="93" fillId="47" borderId="0" xfId="155" applyNumberFormat="1" applyFont="1" applyFill="1" applyAlignment="1" applyProtection="1">
      <alignment horizontal="center"/>
      <protection hidden="1"/>
    </xf>
    <xf numFmtId="49" fontId="91" fillId="48" borderId="50" xfId="155" applyNumberFormat="1" applyFont="1" applyFill="1" applyBorder="1" applyAlignment="1" applyProtection="1">
      <alignment horizontal="center" vertical="center"/>
      <protection hidden="1"/>
    </xf>
    <xf numFmtId="49" fontId="84" fillId="48" borderId="47" xfId="155" applyNumberFormat="1" applyFill="1" applyBorder="1" applyAlignment="1" applyProtection="1">
      <alignment horizontal="center" vertical="center"/>
      <protection hidden="1"/>
    </xf>
    <xf numFmtId="2" fontId="93" fillId="48" borderId="45" xfId="155" applyNumberFormat="1" applyFont="1" applyFill="1" applyBorder="1" applyAlignment="1" applyProtection="1">
      <alignment horizontal="left" vertical="center"/>
      <protection hidden="1"/>
    </xf>
    <xf numFmtId="2" fontId="97" fillId="48" borderId="45" xfId="155" applyNumberFormat="1" applyFont="1" applyFill="1" applyBorder="1" applyAlignment="1" applyProtection="1">
      <alignment horizontal="left" vertical="center"/>
      <protection hidden="1"/>
    </xf>
    <xf numFmtId="2" fontId="97" fillId="48" borderId="46" xfId="155" applyNumberFormat="1" applyFont="1" applyFill="1" applyBorder="1" applyAlignment="1" applyProtection="1">
      <alignment horizontal="left" vertical="center"/>
      <protection hidden="1"/>
    </xf>
    <xf numFmtId="49" fontId="7" fillId="48" borderId="0" xfId="155" applyNumberFormat="1" applyFont="1" applyFill="1" applyAlignment="1" applyProtection="1">
      <alignment horizontal="center" vertical="top"/>
      <protection hidden="1"/>
    </xf>
    <xf numFmtId="0" fontId="7" fillId="48" borderId="0" xfId="157" applyFont="1" applyFill="1" applyAlignment="1" applyProtection="1">
      <alignment horizontal="center"/>
      <protection hidden="1"/>
    </xf>
    <xf numFmtId="49" fontId="117" fillId="47" borderId="0" xfId="155" applyNumberFormat="1" applyFont="1" applyFill="1" applyAlignment="1" applyProtection="1">
      <alignment horizontal="center" vertical="center"/>
      <protection hidden="1"/>
    </xf>
    <xf numFmtId="49" fontId="7" fillId="47" borderId="0" xfId="155" applyNumberFormat="1" applyFont="1" applyFill="1" applyAlignment="1" applyProtection="1">
      <alignment horizontal="center" vertical="center"/>
      <protection hidden="1"/>
    </xf>
    <xf numFmtId="49" fontId="7" fillId="47" borderId="0" xfId="155" applyNumberFormat="1" applyFont="1" applyFill="1" applyAlignment="1" applyProtection="1">
      <alignment horizontal="center" vertical="top"/>
      <protection hidden="1"/>
    </xf>
    <xf numFmtId="49" fontId="118" fillId="48" borderId="103" xfId="155" applyNumberFormat="1" applyFont="1" applyFill="1" applyBorder="1" applyAlignment="1" applyProtection="1">
      <alignment horizontal="center" vertical="center"/>
      <protection hidden="1"/>
    </xf>
    <xf numFmtId="0" fontId="108" fillId="47" borderId="0" xfId="157" applyFont="1" applyFill="1" applyAlignment="1" applyProtection="1">
      <alignment horizontal="center" vertical="center"/>
      <protection hidden="1"/>
    </xf>
    <xf numFmtId="49" fontId="117" fillId="48" borderId="83" xfId="155" applyNumberFormat="1" applyFont="1" applyFill="1" applyBorder="1" applyAlignment="1" applyProtection="1">
      <alignment horizontal="center" vertical="center"/>
      <protection hidden="1"/>
    </xf>
    <xf numFmtId="49" fontId="117" fillId="48" borderId="49" xfId="155" applyNumberFormat="1" applyFont="1" applyFill="1" applyBorder="1" applyAlignment="1" applyProtection="1">
      <alignment horizontal="center" vertical="center"/>
      <protection hidden="1"/>
    </xf>
    <xf numFmtId="0" fontId="7" fillId="48" borderId="50" xfId="157" applyFont="1" applyFill="1" applyBorder="1" applyAlignment="1" applyProtection="1">
      <alignment horizontal="center"/>
      <protection hidden="1"/>
    </xf>
    <xf numFmtId="0" fontId="108" fillId="48" borderId="91" xfId="157" applyFont="1" applyFill="1" applyBorder="1" applyAlignment="1" applyProtection="1">
      <alignment horizontal="right" vertical="center"/>
      <protection hidden="1"/>
    </xf>
    <xf numFmtId="0" fontId="108" fillId="48" borderId="92" xfId="157" applyFont="1" applyFill="1" applyBorder="1" applyAlignment="1" applyProtection="1">
      <alignment horizontal="right" vertical="center"/>
      <protection hidden="1"/>
    </xf>
    <xf numFmtId="0" fontId="108" fillId="48" borderId="95" xfId="157" applyFont="1" applyFill="1" applyBorder="1" applyAlignment="1" applyProtection="1">
      <alignment horizontal="right" vertical="center"/>
      <protection hidden="1"/>
    </xf>
    <xf numFmtId="0" fontId="108" fillId="48" borderId="96" xfId="157" applyFont="1" applyFill="1" applyBorder="1" applyAlignment="1" applyProtection="1">
      <alignment horizontal="right" vertical="center"/>
      <protection hidden="1"/>
    </xf>
    <xf numFmtId="0" fontId="108" fillId="48" borderId="99" xfId="157" applyFont="1" applyFill="1" applyBorder="1" applyAlignment="1" applyProtection="1">
      <alignment horizontal="right" vertical="center"/>
      <protection hidden="1"/>
    </xf>
    <xf numFmtId="0" fontId="108" fillId="48" borderId="100" xfId="157" applyFont="1" applyFill="1" applyBorder="1" applyAlignment="1" applyProtection="1">
      <alignment horizontal="right" vertical="center"/>
      <protection hidden="1"/>
    </xf>
    <xf numFmtId="0" fontId="108" fillId="48" borderId="93" xfId="157" applyFont="1" applyFill="1" applyBorder="1" applyAlignment="1" applyProtection="1">
      <alignment vertical="center"/>
      <protection hidden="1"/>
    </xf>
    <xf numFmtId="0" fontId="108" fillId="48" borderId="97" xfId="157" applyFont="1" applyFill="1" applyBorder="1" applyAlignment="1" applyProtection="1">
      <alignment vertical="center"/>
      <protection hidden="1"/>
    </xf>
    <xf numFmtId="0" fontId="108" fillId="48" borderId="101" xfId="157" applyFont="1" applyFill="1" applyBorder="1" applyAlignment="1" applyProtection="1">
      <alignment vertical="center"/>
      <protection hidden="1"/>
    </xf>
    <xf numFmtId="0" fontId="108" fillId="48" borderId="146" xfId="157" applyFont="1" applyFill="1" applyBorder="1" applyAlignment="1" applyProtection="1">
      <alignment vertical="center" wrapText="1"/>
      <protection hidden="1"/>
    </xf>
    <xf numFmtId="0" fontId="108" fillId="48" borderId="147" xfId="157" applyFont="1" applyFill="1" applyBorder="1" applyAlignment="1" applyProtection="1">
      <alignment vertical="center" wrapText="1"/>
      <protection hidden="1"/>
    </xf>
    <xf numFmtId="0" fontId="108" fillId="48" borderId="148" xfId="157" applyFont="1" applyFill="1" applyBorder="1" applyAlignment="1" applyProtection="1">
      <alignment vertical="center" wrapText="1"/>
      <protection hidden="1"/>
    </xf>
    <xf numFmtId="49" fontId="118" fillId="48" borderId="94" xfId="155" applyNumberFormat="1" applyFont="1" applyFill="1" applyBorder="1" applyAlignment="1" applyProtection="1">
      <alignment horizontal="center" vertical="center"/>
      <protection hidden="1"/>
    </xf>
    <xf numFmtId="49" fontId="118" fillId="48" borderId="98" xfId="155" applyNumberFormat="1" applyFont="1" applyFill="1" applyBorder="1" applyAlignment="1" applyProtection="1">
      <alignment horizontal="center" vertical="center"/>
      <protection hidden="1"/>
    </xf>
    <xf numFmtId="49" fontId="118" fillId="48" borderId="102" xfId="155" applyNumberFormat="1" applyFont="1" applyFill="1" applyBorder="1" applyAlignment="1" applyProtection="1">
      <alignment horizontal="center" vertical="center"/>
      <protection hidden="1"/>
    </xf>
    <xf numFmtId="49" fontId="118" fillId="48" borderId="83" xfId="155" applyNumberFormat="1" applyFont="1" applyFill="1" applyBorder="1" applyAlignment="1" applyProtection="1">
      <alignment horizontal="center" vertical="center"/>
      <protection hidden="1"/>
    </xf>
    <xf numFmtId="49" fontId="118" fillId="48" borderId="45" xfId="155" applyNumberFormat="1" applyFont="1" applyFill="1" applyBorder="1" applyAlignment="1" applyProtection="1">
      <alignment horizontal="center" vertical="center"/>
      <protection hidden="1"/>
    </xf>
    <xf numFmtId="49" fontId="117" fillId="48" borderId="47" xfId="155" applyNumberFormat="1" applyFont="1" applyFill="1" applyBorder="1" applyAlignment="1" applyProtection="1">
      <alignment horizontal="center" vertical="center"/>
      <protection hidden="1"/>
    </xf>
    <xf numFmtId="49" fontId="117" fillId="48" borderId="51" xfId="155" applyNumberFormat="1" applyFont="1" applyFill="1" applyBorder="1" applyAlignment="1" applyProtection="1">
      <alignment horizontal="center" vertical="center"/>
      <protection hidden="1"/>
    </xf>
    <xf numFmtId="49" fontId="118" fillId="48" borderId="52" xfId="155" applyNumberFormat="1" applyFont="1" applyFill="1" applyBorder="1" applyAlignment="1" applyProtection="1">
      <alignment horizontal="center" vertical="center"/>
      <protection hidden="1"/>
    </xf>
    <xf numFmtId="49" fontId="118" fillId="48" borderId="47" xfId="155" applyNumberFormat="1" applyFont="1" applyFill="1" applyBorder="1" applyAlignment="1" applyProtection="1">
      <alignment horizontal="center" vertical="center"/>
      <protection hidden="1"/>
    </xf>
    <xf numFmtId="49" fontId="117" fillId="48" borderId="52" xfId="155" applyNumberFormat="1" applyFont="1" applyFill="1" applyBorder="1" applyAlignment="1" applyProtection="1">
      <alignment horizontal="center" vertical="center"/>
      <protection hidden="1"/>
    </xf>
    <xf numFmtId="49" fontId="117" fillId="48" borderId="46" xfId="155" applyNumberFormat="1" applyFont="1" applyFill="1" applyBorder="1" applyAlignment="1" applyProtection="1">
      <alignment horizontal="center" vertical="center"/>
      <protection hidden="1"/>
    </xf>
    <xf numFmtId="49" fontId="117" fillId="48" borderId="0" xfId="155" applyNumberFormat="1" applyFont="1" applyFill="1" applyAlignment="1" applyProtection="1">
      <alignment horizontal="center" vertical="center"/>
      <protection hidden="1"/>
    </xf>
    <xf numFmtId="0" fontId="108" fillId="48" borderId="90" xfId="157" applyFont="1" applyFill="1" applyBorder="1" applyAlignment="1" applyProtection="1">
      <alignment horizontal="right" vertical="center"/>
      <protection hidden="1"/>
    </xf>
    <xf numFmtId="0" fontId="108" fillId="48" borderId="8" xfId="157" applyFont="1" applyFill="1" applyBorder="1" applyAlignment="1" applyProtection="1">
      <alignment horizontal="right" vertical="center"/>
      <protection hidden="1"/>
    </xf>
    <xf numFmtId="0" fontId="108" fillId="48" borderId="23" xfId="157" applyFont="1" applyFill="1" applyBorder="1" applyAlignment="1" applyProtection="1">
      <alignment vertical="center"/>
      <protection hidden="1"/>
    </xf>
    <xf numFmtId="0" fontId="108" fillId="48" borderId="10" xfId="157" applyFont="1" applyFill="1" applyBorder="1" applyAlignment="1" applyProtection="1">
      <alignment vertical="center" wrapText="1"/>
      <protection hidden="1"/>
    </xf>
    <xf numFmtId="0" fontId="108" fillId="48" borderId="8" xfId="157" applyFont="1" applyFill="1" applyBorder="1" applyAlignment="1" applyProtection="1">
      <alignment vertical="center" wrapText="1"/>
      <protection hidden="1"/>
    </xf>
    <xf numFmtId="49" fontId="118" fillId="48" borderId="8" xfId="155" applyNumberFormat="1" applyFont="1" applyFill="1" applyBorder="1" applyAlignment="1" applyProtection="1">
      <alignment horizontal="center" vertical="center"/>
      <protection hidden="1"/>
    </xf>
    <xf numFmtId="0" fontId="108" fillId="48" borderId="80" xfId="157" applyFont="1" applyFill="1" applyBorder="1" applyAlignment="1" applyProtection="1">
      <alignment vertical="center"/>
      <protection hidden="1"/>
    </xf>
    <xf numFmtId="0" fontId="108" fillId="48" borderId="81" xfId="157" applyFont="1" applyFill="1" applyBorder="1" applyAlignment="1" applyProtection="1">
      <alignment vertical="center"/>
      <protection hidden="1"/>
    </xf>
    <xf numFmtId="0" fontId="108" fillId="48" borderId="88" xfId="157" applyFont="1" applyFill="1" applyBorder="1" applyAlignment="1" applyProtection="1">
      <alignment vertical="center"/>
      <protection hidden="1"/>
    </xf>
    <xf numFmtId="0" fontId="108" fillId="48" borderId="89" xfId="157" applyFont="1" applyFill="1" applyBorder="1" applyAlignment="1" applyProtection="1">
      <alignment vertical="center"/>
      <protection hidden="1"/>
    </xf>
    <xf numFmtId="0" fontId="108" fillId="48" borderId="54" xfId="157" applyFont="1" applyFill="1" applyBorder="1" applyAlignment="1" applyProtection="1">
      <alignment vertical="center"/>
      <protection hidden="1"/>
    </xf>
    <xf numFmtId="0" fontId="108" fillId="48" borderId="45" xfId="157" applyFont="1" applyFill="1" applyBorder="1" applyAlignment="1" applyProtection="1">
      <alignment vertical="center"/>
      <protection hidden="1"/>
    </xf>
    <xf numFmtId="0" fontId="108" fillId="48" borderId="82" xfId="157" applyFont="1" applyFill="1" applyBorder="1" applyAlignment="1" applyProtection="1">
      <alignment vertical="center" wrapText="1"/>
      <protection hidden="1"/>
    </xf>
    <xf numFmtId="0" fontId="108" fillId="48" borderId="46" xfId="157" applyFont="1" applyFill="1" applyBorder="1" applyAlignment="1" applyProtection="1">
      <alignment vertical="center" wrapText="1"/>
      <protection hidden="1"/>
    </xf>
    <xf numFmtId="49" fontId="118" fillId="48" borderId="75" xfId="155" applyNumberFormat="1" applyFont="1" applyFill="1" applyBorder="1" applyAlignment="1" applyProtection="1">
      <alignment horizontal="center" vertical="center"/>
      <protection hidden="1"/>
    </xf>
    <xf numFmtId="49" fontId="117" fillId="48" borderId="45" xfId="155" applyNumberFormat="1" applyFont="1" applyFill="1" applyBorder="1" applyAlignment="1" applyProtection="1">
      <alignment horizontal="center" vertical="center"/>
      <protection hidden="1"/>
    </xf>
    <xf numFmtId="0" fontId="111" fillId="48" borderId="86" xfId="157" applyFont="1" applyFill="1" applyBorder="1" applyAlignment="1" applyProtection="1">
      <alignment horizontal="left" vertical="center"/>
      <protection hidden="1"/>
    </xf>
    <xf numFmtId="0" fontId="111" fillId="48" borderId="46" xfId="157" applyFont="1" applyFill="1" applyBorder="1" applyAlignment="1" applyProtection="1">
      <alignment horizontal="left" vertical="center"/>
      <protection hidden="1"/>
    </xf>
    <xf numFmtId="0" fontId="111" fillId="48" borderId="15" xfId="157" applyFont="1" applyFill="1" applyBorder="1" applyAlignment="1" applyProtection="1">
      <alignment horizontal="left" vertical="center"/>
      <protection hidden="1"/>
    </xf>
    <xf numFmtId="0" fontId="111" fillId="48" borderId="50" xfId="157" applyFont="1" applyFill="1" applyBorder="1" applyAlignment="1" applyProtection="1">
      <alignment horizontal="left" vertical="center"/>
      <protection hidden="1"/>
    </xf>
    <xf numFmtId="0" fontId="111" fillId="48" borderId="87" xfId="157" applyFont="1" applyFill="1" applyBorder="1" applyAlignment="1" applyProtection="1">
      <alignment horizontal="left" vertical="center"/>
      <protection hidden="1"/>
    </xf>
    <xf numFmtId="0" fontId="111" fillId="48" borderId="52" xfId="157" applyFont="1" applyFill="1" applyBorder="1" applyAlignment="1" applyProtection="1">
      <alignment horizontal="left" vertical="center"/>
      <protection hidden="1"/>
    </xf>
    <xf numFmtId="0" fontId="113" fillId="48" borderId="82" xfId="157" applyFont="1" applyFill="1" applyBorder="1" applyAlignment="1" applyProtection="1">
      <alignment vertical="center" wrapText="1"/>
      <protection hidden="1"/>
    </xf>
    <xf numFmtId="49" fontId="117" fillId="48" borderId="75" xfId="155" applyNumberFormat="1" applyFont="1" applyFill="1" applyBorder="1" applyAlignment="1" applyProtection="1">
      <alignment horizontal="center" vertical="center"/>
      <protection hidden="1"/>
    </xf>
    <xf numFmtId="0" fontId="119" fillId="48" borderId="80" xfId="157" applyFont="1" applyFill="1" applyBorder="1" applyAlignment="1" applyProtection="1">
      <alignment horizontal="right" vertical="center"/>
      <protection hidden="1"/>
    </xf>
    <xf numFmtId="0" fontId="119" fillId="48" borderId="81" xfId="157" applyFont="1" applyFill="1" applyBorder="1" applyAlignment="1" applyProtection="1">
      <alignment horizontal="right" vertical="center"/>
      <protection hidden="1"/>
    </xf>
    <xf numFmtId="0" fontId="0" fillId="47" borderId="0" xfId="157" applyFont="1" applyFill="1" applyProtection="1">
      <protection hidden="1"/>
    </xf>
    <xf numFmtId="0" fontId="115" fillId="47" borderId="0" xfId="157" applyFont="1" applyFill="1" applyAlignment="1" applyProtection="1">
      <alignment horizontal="center" vertical="top" textRotation="180"/>
      <protection hidden="1"/>
    </xf>
    <xf numFmtId="0" fontId="113" fillId="48" borderId="80" xfId="157" applyFont="1" applyFill="1" applyBorder="1" applyAlignment="1" applyProtection="1">
      <alignment vertical="center"/>
      <protection hidden="1"/>
    </xf>
    <xf numFmtId="0" fontId="113" fillId="48" borderId="81" xfId="157" applyFont="1" applyFill="1" applyBorder="1" applyAlignment="1" applyProtection="1">
      <alignment vertical="center"/>
      <protection hidden="1"/>
    </xf>
    <xf numFmtId="0" fontId="114" fillId="48" borderId="14" xfId="157" applyFont="1" applyFill="1" applyBorder="1" applyAlignment="1" applyProtection="1">
      <alignment horizontal="center" wrapText="1"/>
      <protection hidden="1"/>
    </xf>
    <xf numFmtId="0" fontId="114" fillId="48" borderId="61" xfId="157" applyFont="1" applyFill="1" applyBorder="1" applyAlignment="1" applyProtection="1">
      <alignment horizontal="center" wrapText="1"/>
      <protection hidden="1"/>
    </xf>
    <xf numFmtId="0" fontId="114" fillId="48" borderId="15" xfId="157" applyFont="1" applyFill="1" applyBorder="1" applyAlignment="1" applyProtection="1">
      <alignment horizontal="center" wrapText="1"/>
      <protection hidden="1"/>
    </xf>
    <xf numFmtId="0" fontId="114" fillId="48" borderId="50" xfId="157" applyFont="1" applyFill="1" applyBorder="1" applyAlignment="1" applyProtection="1">
      <alignment horizontal="center" wrapText="1"/>
      <protection hidden="1"/>
    </xf>
    <xf numFmtId="2" fontId="111" fillId="48" borderId="63" xfId="155" applyNumberFormat="1" applyFont="1" applyFill="1" applyBorder="1" applyAlignment="1" applyProtection="1">
      <alignment horizontal="center" vertical="center"/>
      <protection hidden="1"/>
    </xf>
    <xf numFmtId="2" fontId="111" fillId="48" borderId="64" xfId="155" applyNumberFormat="1" applyFont="1" applyFill="1" applyBorder="1" applyAlignment="1" applyProtection="1">
      <alignment horizontal="center" vertical="center"/>
      <protection hidden="1"/>
    </xf>
    <xf numFmtId="2" fontId="111" fillId="48" borderId="65" xfId="155" applyNumberFormat="1" applyFont="1" applyFill="1" applyBorder="1" applyAlignment="1" applyProtection="1">
      <alignment horizontal="center" vertical="center"/>
      <protection hidden="1"/>
    </xf>
    <xf numFmtId="2" fontId="111" fillId="48" borderId="69" xfId="155" applyNumberFormat="1" applyFont="1" applyFill="1" applyBorder="1" applyAlignment="1" applyProtection="1">
      <alignment horizontal="center" vertical="center"/>
      <protection hidden="1"/>
    </xf>
    <xf numFmtId="2" fontId="111" fillId="48" borderId="70" xfId="155" applyNumberFormat="1" applyFont="1" applyFill="1" applyBorder="1" applyAlignment="1" applyProtection="1">
      <alignment horizontal="center" vertical="center"/>
      <protection hidden="1"/>
    </xf>
    <xf numFmtId="2" fontId="111" fillId="48" borderId="71" xfId="155" applyNumberFormat="1" applyFont="1" applyFill="1" applyBorder="1" applyAlignment="1" applyProtection="1">
      <alignment horizontal="center" vertical="center"/>
      <protection hidden="1"/>
    </xf>
    <xf numFmtId="2" fontId="113" fillId="48" borderId="66" xfId="155" applyNumberFormat="1" applyFont="1" applyFill="1" applyBorder="1" applyAlignment="1" applyProtection="1">
      <alignment horizontal="center" vertical="center" wrapText="1"/>
      <protection hidden="1"/>
    </xf>
    <xf numFmtId="2" fontId="113" fillId="48" borderId="67" xfId="155" applyNumberFormat="1" applyFont="1" applyFill="1" applyBorder="1" applyAlignment="1" applyProtection="1">
      <alignment horizontal="center" vertical="center" wrapText="1"/>
      <protection hidden="1"/>
    </xf>
    <xf numFmtId="2" fontId="113" fillId="48" borderId="68" xfId="155" applyNumberFormat="1" applyFont="1" applyFill="1" applyBorder="1" applyAlignment="1" applyProtection="1">
      <alignment horizontal="center" vertical="center" wrapText="1"/>
      <protection hidden="1"/>
    </xf>
    <xf numFmtId="2" fontId="113" fillId="48" borderId="72" xfId="155" applyNumberFormat="1" applyFont="1" applyFill="1" applyBorder="1" applyAlignment="1" applyProtection="1">
      <alignment horizontal="center" vertical="center" wrapText="1"/>
      <protection hidden="1"/>
    </xf>
    <xf numFmtId="2" fontId="113" fillId="48" borderId="73" xfId="155" applyNumberFormat="1" applyFont="1" applyFill="1" applyBorder="1" applyAlignment="1" applyProtection="1">
      <alignment horizontal="center" vertical="center" wrapText="1"/>
      <protection hidden="1"/>
    </xf>
    <xf numFmtId="2" fontId="113" fillId="48" borderId="74" xfId="155" applyNumberFormat="1" applyFont="1" applyFill="1" applyBorder="1" applyAlignment="1" applyProtection="1">
      <alignment horizontal="center" vertical="center" wrapText="1"/>
      <protection hidden="1"/>
    </xf>
    <xf numFmtId="0" fontId="111" fillId="48" borderId="53" xfId="157" applyFont="1" applyFill="1" applyBorder="1" applyAlignment="1" applyProtection="1">
      <alignment horizontal="center" vertical="center" wrapText="1"/>
      <protection hidden="1"/>
    </xf>
    <xf numFmtId="49" fontId="95" fillId="48" borderId="1" xfId="155" applyNumberFormat="1" applyFont="1" applyFill="1" applyBorder="1" applyAlignment="1" applyProtection="1">
      <alignment horizontal="center" vertical="center"/>
      <protection hidden="1"/>
    </xf>
    <xf numFmtId="0" fontId="115" fillId="47" borderId="0" xfId="157" applyFont="1" applyFill="1" applyAlignment="1" applyProtection="1">
      <alignment horizontal="right" vertical="top" textRotation="180"/>
      <protection hidden="1"/>
    </xf>
    <xf numFmtId="2" fontId="116" fillId="48" borderId="53" xfId="155" applyNumberFormat="1" applyFont="1" applyFill="1" applyBorder="1" applyAlignment="1" applyProtection="1">
      <alignment horizontal="center" vertical="top"/>
      <protection hidden="1"/>
    </xf>
    <xf numFmtId="49" fontId="113" fillId="48" borderId="47" xfId="155" applyNumberFormat="1" applyFont="1" applyFill="1" applyBorder="1" applyAlignment="1" applyProtection="1">
      <alignment horizontal="center" vertical="center"/>
      <protection hidden="1"/>
    </xf>
    <xf numFmtId="49" fontId="113" fillId="48" borderId="75" xfId="155" applyNumberFormat="1" applyFont="1" applyFill="1" applyBorder="1" applyAlignment="1" applyProtection="1">
      <alignment horizontal="center" vertical="center"/>
      <protection hidden="1"/>
    </xf>
    <xf numFmtId="2" fontId="113" fillId="48" borderId="47" xfId="155" applyNumberFormat="1" applyFont="1" applyFill="1" applyBorder="1" applyAlignment="1" applyProtection="1">
      <alignment horizontal="center" vertical="center"/>
      <protection hidden="1"/>
    </xf>
    <xf numFmtId="2" fontId="113" fillId="48" borderId="75" xfId="155" applyNumberFormat="1" applyFont="1" applyFill="1" applyBorder="1" applyAlignment="1" applyProtection="1">
      <alignment horizontal="center" vertical="center"/>
      <protection hidden="1"/>
    </xf>
    <xf numFmtId="2" fontId="116" fillId="48" borderId="53" xfId="155" applyNumberFormat="1" applyFont="1" applyFill="1" applyBorder="1" applyAlignment="1" applyProtection="1">
      <alignment horizontal="center" vertical="center" shrinkToFit="1"/>
      <protection hidden="1"/>
    </xf>
    <xf numFmtId="0" fontId="113" fillId="48" borderId="76" xfId="157" applyFont="1" applyFill="1" applyBorder="1" applyAlignment="1" applyProtection="1">
      <alignment horizontal="center" vertical="center"/>
      <protection hidden="1"/>
    </xf>
    <xf numFmtId="0" fontId="113" fillId="48" borderId="77" xfId="157" applyFont="1" applyFill="1" applyBorder="1" applyAlignment="1" applyProtection="1">
      <alignment horizontal="center" vertical="center"/>
      <protection hidden="1"/>
    </xf>
    <xf numFmtId="0" fontId="113" fillId="48" borderId="47" xfId="157" applyFont="1" applyFill="1" applyBorder="1" applyAlignment="1" applyProtection="1">
      <alignment horizontal="center" vertical="center"/>
      <protection hidden="1"/>
    </xf>
    <xf numFmtId="2" fontId="113" fillId="48" borderId="78" xfId="155" applyNumberFormat="1" applyFont="1" applyFill="1" applyBorder="1" applyAlignment="1" applyProtection="1">
      <alignment horizontal="center" vertical="center"/>
      <protection hidden="1"/>
    </xf>
    <xf numFmtId="2" fontId="113" fillId="48" borderId="79" xfId="155" applyNumberFormat="1" applyFont="1" applyFill="1" applyBorder="1" applyAlignment="1" applyProtection="1">
      <alignment horizontal="center" vertical="center"/>
      <protection hidden="1"/>
    </xf>
    <xf numFmtId="0" fontId="109" fillId="47" borderId="20" xfId="157" applyFont="1" applyFill="1" applyBorder="1" applyAlignment="1" applyProtection="1">
      <alignment horizontal="center" vertical="center" wrapText="1"/>
      <protection hidden="1"/>
    </xf>
    <xf numFmtId="0" fontId="109" fillId="47" borderId="21" xfId="157" applyFont="1" applyFill="1" applyBorder="1" applyAlignment="1" applyProtection="1">
      <alignment horizontal="center" vertical="center" wrapText="1"/>
      <protection hidden="1"/>
    </xf>
    <xf numFmtId="0" fontId="109" fillId="47" borderId="22" xfId="157" applyFont="1" applyFill="1" applyBorder="1" applyAlignment="1" applyProtection="1">
      <alignment horizontal="center" vertical="center" wrapText="1"/>
      <protection hidden="1"/>
    </xf>
    <xf numFmtId="0" fontId="109" fillId="47" borderId="4" xfId="157" applyFont="1" applyFill="1" applyBorder="1" applyAlignment="1" applyProtection="1">
      <alignment horizontal="center" vertical="center" wrapText="1"/>
      <protection hidden="1"/>
    </xf>
    <xf numFmtId="0" fontId="109" fillId="47" borderId="0" xfId="157" applyFont="1" applyFill="1" applyAlignment="1" applyProtection="1">
      <alignment horizontal="center" vertical="center" wrapText="1"/>
      <protection hidden="1"/>
    </xf>
    <xf numFmtId="0" fontId="109" fillId="47" borderId="5" xfId="157" applyFont="1" applyFill="1" applyBorder="1" applyAlignment="1" applyProtection="1">
      <alignment horizontal="center" vertical="center" wrapText="1"/>
      <protection hidden="1"/>
    </xf>
    <xf numFmtId="0" fontId="109" fillId="47" borderId="7" xfId="157" applyFont="1" applyFill="1" applyBorder="1" applyAlignment="1" applyProtection="1">
      <alignment horizontal="center" vertical="center" wrapText="1"/>
      <protection hidden="1"/>
    </xf>
    <xf numFmtId="0" fontId="109" fillId="47" borderId="1" xfId="157" applyFont="1" applyFill="1" applyBorder="1" applyAlignment="1" applyProtection="1">
      <alignment horizontal="center" vertical="center" wrapText="1"/>
      <protection hidden="1"/>
    </xf>
    <xf numFmtId="0" fontId="109" fillId="47" borderId="9" xfId="157" applyFont="1" applyFill="1" applyBorder="1" applyAlignment="1" applyProtection="1">
      <alignment horizontal="center" vertical="center" wrapText="1"/>
      <protection hidden="1"/>
    </xf>
    <xf numFmtId="49" fontId="93" fillId="48" borderId="20" xfId="155" applyNumberFormat="1" applyFont="1" applyFill="1" applyBorder="1" applyAlignment="1" applyProtection="1">
      <alignment horizontal="left" vertical="center"/>
      <protection hidden="1"/>
    </xf>
    <xf numFmtId="49" fontId="93" fillId="48" borderId="21" xfId="155" applyNumberFormat="1" applyFont="1" applyFill="1" applyBorder="1" applyAlignment="1" applyProtection="1">
      <alignment horizontal="left" vertical="center"/>
      <protection hidden="1"/>
    </xf>
    <xf numFmtId="49" fontId="93" fillId="48" borderId="22" xfId="155" applyNumberFormat="1" applyFont="1" applyFill="1" applyBorder="1" applyAlignment="1" applyProtection="1">
      <alignment horizontal="left" vertical="center"/>
      <protection hidden="1"/>
    </xf>
    <xf numFmtId="49" fontId="95" fillId="0" borderId="0" xfId="155" applyNumberFormat="1" applyFont="1" applyAlignment="1" applyProtection="1">
      <alignment vertical="center"/>
      <protection hidden="1"/>
    </xf>
    <xf numFmtId="49" fontId="95" fillId="48" borderId="20" xfId="155" applyNumberFormat="1" applyFont="1" applyFill="1" applyBorder="1" applyAlignment="1" applyProtection="1">
      <alignment vertical="center"/>
      <protection hidden="1"/>
    </xf>
    <xf numFmtId="49" fontId="95" fillId="48" borderId="21" xfId="155" applyNumberFormat="1" applyFont="1" applyFill="1" applyBorder="1" applyAlignment="1" applyProtection="1">
      <alignment vertical="center"/>
      <protection hidden="1"/>
    </xf>
    <xf numFmtId="49" fontId="95" fillId="48" borderId="22" xfId="155" applyNumberFormat="1" applyFont="1" applyFill="1" applyBorder="1" applyAlignment="1" applyProtection="1">
      <alignment vertical="center"/>
      <protection hidden="1"/>
    </xf>
    <xf numFmtId="49" fontId="93" fillId="0" borderId="0" xfId="155" applyNumberFormat="1" applyFont="1" applyAlignment="1" applyProtection="1">
      <alignment vertical="center"/>
      <protection hidden="1"/>
    </xf>
    <xf numFmtId="49" fontId="93" fillId="0" borderId="0" xfId="155" applyNumberFormat="1" applyFont="1" applyAlignment="1" applyProtection="1">
      <alignment horizontal="left" vertical="center"/>
      <protection hidden="1"/>
    </xf>
    <xf numFmtId="49" fontId="110" fillId="48" borderId="4" xfId="155" applyNumberFormat="1" applyFont="1" applyFill="1" applyBorder="1" applyAlignment="1" applyProtection="1">
      <alignment horizontal="left" vertical="center"/>
      <protection hidden="1"/>
    </xf>
    <xf numFmtId="49" fontId="110" fillId="48" borderId="0" xfId="155" applyNumberFormat="1" applyFont="1" applyFill="1" applyAlignment="1" applyProtection="1">
      <alignment horizontal="left" vertical="center"/>
      <protection hidden="1"/>
    </xf>
    <xf numFmtId="49" fontId="110" fillId="48" borderId="4" xfId="155" applyNumberFormat="1" applyFont="1" applyFill="1" applyBorder="1" applyAlignment="1" applyProtection="1">
      <alignment horizontal="center" vertical="center"/>
      <protection hidden="1"/>
    </xf>
    <xf numFmtId="49" fontId="110" fillId="48" borderId="0" xfId="155" applyNumberFormat="1" applyFont="1" applyFill="1" applyAlignment="1" applyProtection="1">
      <alignment horizontal="center" vertical="center"/>
      <protection hidden="1"/>
    </xf>
    <xf numFmtId="49" fontId="110" fillId="48" borderId="7" xfId="155" applyNumberFormat="1" applyFont="1" applyFill="1" applyBorder="1" applyAlignment="1" applyProtection="1">
      <alignment horizontal="center" vertical="center"/>
      <protection hidden="1"/>
    </xf>
    <xf numFmtId="49" fontId="110" fillId="48" borderId="1" xfId="155" applyNumberFormat="1" applyFont="1" applyFill="1" applyBorder="1" applyAlignment="1" applyProtection="1">
      <alignment horizontal="center" vertical="center"/>
      <protection hidden="1"/>
    </xf>
    <xf numFmtId="49" fontId="97" fillId="48" borderId="1" xfId="155" applyNumberFormat="1" applyFont="1" applyFill="1" applyBorder="1" applyAlignment="1" applyProtection="1">
      <alignment horizontal="left" vertical="center"/>
      <protection hidden="1"/>
    </xf>
    <xf numFmtId="0" fontId="119" fillId="48" borderId="96" xfId="157" applyFont="1" applyFill="1" applyBorder="1" applyAlignment="1" applyProtection="1">
      <alignment horizontal="right" vertical="center"/>
      <protection hidden="1"/>
    </xf>
    <xf numFmtId="0" fontId="115" fillId="48" borderId="82" xfId="157" applyFont="1" applyFill="1" applyBorder="1" applyAlignment="1" applyProtection="1">
      <alignment vertical="center" wrapText="1"/>
      <protection hidden="1"/>
    </xf>
    <xf numFmtId="0" fontId="111" fillId="48" borderId="81" xfId="157" applyFont="1" applyFill="1" applyBorder="1" applyAlignment="1" applyProtection="1">
      <alignment horizontal="right" vertical="center"/>
      <protection hidden="1"/>
    </xf>
    <xf numFmtId="2" fontId="124" fillId="48" borderId="53" xfId="155" applyNumberFormat="1" applyFont="1" applyFill="1" applyBorder="1" applyAlignment="1" applyProtection="1">
      <alignment horizontal="center" vertical="center" shrinkToFit="1"/>
      <protection hidden="1"/>
    </xf>
    <xf numFmtId="0" fontId="114" fillId="48" borderId="107" xfId="157" applyFont="1" applyFill="1" applyBorder="1" applyAlignment="1" applyProtection="1">
      <alignment horizontal="center" wrapText="1"/>
      <protection hidden="1"/>
    </xf>
    <xf numFmtId="0" fontId="114" fillId="48" borderId="108" xfId="157" applyFont="1" applyFill="1" applyBorder="1" applyAlignment="1" applyProtection="1">
      <alignment horizontal="center" wrapText="1"/>
      <protection hidden="1"/>
    </xf>
    <xf numFmtId="0" fontId="114" fillId="48" borderId="112" xfId="157" applyFont="1" applyFill="1" applyBorder="1" applyAlignment="1" applyProtection="1">
      <alignment horizontal="center" wrapText="1"/>
      <protection hidden="1"/>
    </xf>
    <xf numFmtId="2" fontId="111" fillId="48" borderId="111" xfId="155" applyNumberFormat="1" applyFont="1" applyFill="1" applyBorder="1" applyAlignment="1" applyProtection="1">
      <alignment horizontal="center" vertical="center"/>
      <protection hidden="1"/>
    </xf>
    <xf numFmtId="2" fontId="124" fillId="48" borderId="53" xfId="155" applyNumberFormat="1" applyFont="1" applyFill="1" applyBorder="1" applyAlignment="1" applyProtection="1">
      <alignment horizontal="center" vertical="top"/>
      <protection hidden="1"/>
    </xf>
    <xf numFmtId="0" fontId="113" fillId="48" borderId="54" xfId="157" applyFont="1" applyFill="1" applyBorder="1" applyAlignment="1" applyProtection="1">
      <alignment vertical="center"/>
      <protection hidden="1"/>
    </xf>
    <xf numFmtId="0" fontId="125" fillId="48" borderId="82" xfId="157" applyFont="1" applyFill="1" applyBorder="1" applyAlignment="1" applyProtection="1">
      <alignment vertical="center" wrapText="1"/>
      <protection hidden="1"/>
    </xf>
    <xf numFmtId="0" fontId="115" fillId="48" borderId="48" xfId="157" applyFont="1" applyFill="1" applyBorder="1" applyAlignment="1" applyProtection="1">
      <alignment vertical="center" wrapText="1"/>
      <protection hidden="1"/>
    </xf>
    <xf numFmtId="0" fontId="115" fillId="48" borderId="46" xfId="157" applyFont="1" applyFill="1" applyBorder="1" applyAlignment="1" applyProtection="1">
      <alignment vertical="center" wrapText="1"/>
      <protection hidden="1"/>
    </xf>
    <xf numFmtId="0" fontId="115" fillId="48" borderId="0" xfId="157" applyFont="1" applyFill="1" applyAlignment="1" applyProtection="1">
      <alignment vertical="center" wrapText="1"/>
      <protection hidden="1"/>
    </xf>
    <xf numFmtId="0" fontId="115" fillId="48" borderId="50" xfId="157" applyFont="1" applyFill="1" applyBorder="1" applyAlignment="1" applyProtection="1">
      <alignment vertical="center" wrapText="1"/>
      <protection hidden="1"/>
    </xf>
    <xf numFmtId="0" fontId="115" fillId="48" borderId="44" xfId="157" applyFont="1" applyFill="1" applyBorder="1" applyAlignment="1" applyProtection="1">
      <alignment vertical="center" wrapText="1"/>
      <protection hidden="1"/>
    </xf>
    <xf numFmtId="0" fontId="115" fillId="48" borderId="52" xfId="157" applyFont="1" applyFill="1" applyBorder="1" applyAlignment="1" applyProtection="1">
      <alignment vertical="center" wrapText="1"/>
      <protection hidden="1"/>
    </xf>
    <xf numFmtId="49" fontId="116" fillId="48" borderId="53" xfId="155" applyNumberFormat="1" applyFont="1" applyFill="1" applyBorder="1" applyAlignment="1" applyProtection="1">
      <alignment horizontal="center" vertical="center" shrinkToFit="1"/>
      <protection hidden="1"/>
    </xf>
    <xf numFmtId="171" fontId="111" fillId="48" borderId="111" xfId="155" applyNumberFormat="1" applyFont="1" applyFill="1" applyBorder="1" applyAlignment="1" applyProtection="1">
      <alignment horizontal="center" vertical="center"/>
      <protection hidden="1"/>
    </xf>
    <xf numFmtId="49" fontId="116" fillId="48" borderId="53" xfId="155" applyNumberFormat="1" applyFont="1" applyFill="1" applyBorder="1" applyAlignment="1" applyProtection="1">
      <alignment horizontal="center" vertical="top"/>
      <protection hidden="1"/>
    </xf>
    <xf numFmtId="0" fontId="156" fillId="48" borderId="82" xfId="157" applyFont="1" applyFill="1" applyBorder="1" applyAlignment="1" applyProtection="1">
      <alignment vertical="center" wrapText="1"/>
      <protection hidden="1"/>
    </xf>
    <xf numFmtId="0" fontId="155" fillId="48" borderId="82" xfId="157" applyFont="1" applyFill="1" applyBorder="1" applyAlignment="1" applyProtection="1">
      <alignment vertical="center" wrapText="1"/>
      <protection hidden="1"/>
    </xf>
    <xf numFmtId="49" fontId="0" fillId="47" borderId="60" xfId="155" applyNumberFormat="1" applyFont="1" applyFill="1" applyBorder="1" applyAlignment="1" applyProtection="1">
      <alignment horizontal="center" vertical="center"/>
      <protection hidden="1"/>
    </xf>
    <xf numFmtId="0" fontId="125" fillId="48" borderId="81" xfId="157" applyFont="1" applyFill="1" applyBorder="1" applyAlignment="1" applyProtection="1">
      <alignment horizontal="right" vertical="center"/>
      <protection hidden="1"/>
    </xf>
    <xf numFmtId="0" fontId="44" fillId="47" borderId="0" xfId="155" applyFont="1" applyFill="1" applyAlignment="1" applyProtection="1">
      <alignment horizontal="center" vertical="top"/>
      <protection hidden="1"/>
    </xf>
    <xf numFmtId="0" fontId="115" fillId="48" borderId="92" xfId="157" applyFont="1" applyFill="1" applyBorder="1" applyAlignment="1" applyProtection="1">
      <alignment horizontal="right" vertical="center"/>
      <protection hidden="1"/>
    </xf>
    <xf numFmtId="0" fontId="115" fillId="48" borderId="96" xfId="157" applyFont="1" applyFill="1" applyBorder="1" applyAlignment="1" applyProtection="1">
      <alignment horizontal="right" vertical="center"/>
      <protection hidden="1"/>
    </xf>
    <xf numFmtId="0" fontId="108" fillId="48" borderId="94" xfId="157" applyFont="1" applyFill="1" applyBorder="1" applyAlignment="1" applyProtection="1">
      <alignment horizontal="left" vertical="center" wrapText="1"/>
      <protection hidden="1"/>
    </xf>
    <xf numFmtId="0" fontId="108" fillId="48" borderId="98" xfId="157" applyFont="1" applyFill="1" applyBorder="1" applyAlignment="1" applyProtection="1">
      <alignment horizontal="left" vertical="center" wrapText="1"/>
      <protection hidden="1"/>
    </xf>
    <xf numFmtId="0" fontId="108" fillId="48" borderId="94" xfId="157" applyFont="1" applyFill="1" applyBorder="1" applyAlignment="1" applyProtection="1">
      <alignment horizontal="center" vertical="center"/>
      <protection hidden="1"/>
    </xf>
    <xf numFmtId="0" fontId="108" fillId="48" borderId="98" xfId="157" applyFont="1" applyFill="1" applyBorder="1" applyAlignment="1" applyProtection="1">
      <alignment horizontal="center" vertical="center"/>
      <protection hidden="1"/>
    </xf>
    <xf numFmtId="49" fontId="44" fillId="47" borderId="0" xfId="155" applyNumberFormat="1" applyFont="1" applyFill="1" applyAlignment="1" applyProtection="1">
      <alignment horizontal="center" vertical="top"/>
      <protection hidden="1"/>
    </xf>
    <xf numFmtId="49" fontId="118" fillId="48" borderId="51" xfId="155" applyNumberFormat="1" applyFont="1" applyFill="1" applyBorder="1" applyAlignment="1" applyProtection="1">
      <alignment horizontal="center" vertical="center"/>
      <protection hidden="1"/>
    </xf>
    <xf numFmtId="0" fontId="115" fillId="48" borderId="123" xfId="157" applyFont="1" applyFill="1" applyBorder="1" applyAlignment="1" applyProtection="1">
      <alignment horizontal="left" vertical="center"/>
      <protection hidden="1"/>
    </xf>
    <xf numFmtId="0" fontId="115" fillId="48" borderId="82" xfId="157" applyFont="1" applyFill="1" applyBorder="1" applyAlignment="1" applyProtection="1">
      <alignment horizontal="left" vertical="center"/>
      <protection hidden="1"/>
    </xf>
    <xf numFmtId="0" fontId="108" fillId="48" borderId="75" xfId="157" applyFont="1" applyFill="1" applyBorder="1" applyAlignment="1" applyProtection="1">
      <alignment horizontal="left" vertical="center" wrapText="1"/>
      <protection hidden="1"/>
    </xf>
    <xf numFmtId="0" fontId="108" fillId="48" borderId="75" xfId="157" applyFont="1" applyFill="1" applyBorder="1" applyAlignment="1" applyProtection="1">
      <alignment horizontal="center" vertical="center"/>
      <protection hidden="1"/>
    </xf>
    <xf numFmtId="0" fontId="129" fillId="48" borderId="123" xfId="157" applyFont="1" applyFill="1" applyBorder="1" applyAlignment="1" applyProtection="1">
      <alignment horizontal="left" vertical="center"/>
      <protection hidden="1"/>
    </xf>
    <xf numFmtId="0" fontId="129" fillId="48" borderId="82" xfId="157" applyFont="1" applyFill="1" applyBorder="1" applyAlignment="1" applyProtection="1">
      <alignment horizontal="left" vertical="center"/>
      <protection hidden="1"/>
    </xf>
    <xf numFmtId="0" fontId="130" fillId="48" borderId="75" xfId="157" applyFont="1" applyFill="1" applyBorder="1" applyAlignment="1" applyProtection="1">
      <alignment horizontal="left" vertical="center" wrapText="1"/>
      <protection hidden="1"/>
    </xf>
    <xf numFmtId="0" fontId="130" fillId="48" borderId="75" xfId="157" applyFont="1" applyFill="1" applyBorder="1" applyAlignment="1" applyProtection="1">
      <alignment horizontal="center" vertical="center"/>
      <protection hidden="1"/>
    </xf>
    <xf numFmtId="0" fontId="129" fillId="48" borderId="81" xfId="157" applyFont="1" applyFill="1" applyBorder="1" applyAlignment="1" applyProtection="1">
      <alignment horizontal="left" vertical="center"/>
      <protection hidden="1"/>
    </xf>
    <xf numFmtId="0" fontId="129" fillId="48" borderId="89" xfId="157" applyFont="1" applyFill="1" applyBorder="1" applyAlignment="1" applyProtection="1">
      <alignment horizontal="left" vertical="center"/>
      <protection hidden="1"/>
    </xf>
    <xf numFmtId="0" fontId="130" fillId="48" borderId="83" xfId="157" applyFont="1" applyFill="1" applyBorder="1" applyAlignment="1" applyProtection="1">
      <alignment horizontal="left" vertical="center" wrapText="1"/>
      <protection hidden="1"/>
    </xf>
    <xf numFmtId="0" fontId="130" fillId="48" borderId="98" xfId="157" applyFont="1" applyFill="1" applyBorder="1" applyAlignment="1" applyProtection="1">
      <alignment horizontal="center" vertical="center"/>
      <protection hidden="1"/>
    </xf>
    <xf numFmtId="0" fontId="130" fillId="48" borderId="83" xfId="157" applyFont="1" applyFill="1" applyBorder="1" applyAlignment="1" applyProtection="1">
      <alignment horizontal="center" vertical="center"/>
      <protection hidden="1"/>
    </xf>
    <xf numFmtId="0" fontId="115" fillId="48" borderId="81" xfId="157" applyFont="1" applyFill="1" applyBorder="1" applyAlignment="1" applyProtection="1">
      <alignment horizontal="right" vertical="center"/>
      <protection hidden="1"/>
    </xf>
    <xf numFmtId="0" fontId="108" fillId="48" borderId="75" xfId="157" applyFont="1" applyFill="1" applyBorder="1" applyAlignment="1" applyProtection="1">
      <alignment horizontal="left" vertical="center"/>
      <protection hidden="1"/>
    </xf>
    <xf numFmtId="0" fontId="115" fillId="48" borderId="121" xfId="157" applyFont="1" applyFill="1" applyBorder="1" applyAlignment="1" applyProtection="1">
      <alignment horizontal="left" vertical="center"/>
      <protection hidden="1"/>
    </xf>
    <xf numFmtId="0" fontId="115" fillId="48" borderId="46" xfId="157" applyFont="1" applyFill="1" applyBorder="1" applyAlignment="1" applyProtection="1">
      <alignment horizontal="left" vertical="center"/>
      <protection hidden="1"/>
    </xf>
    <xf numFmtId="0" fontId="115" fillId="48" borderId="112" xfId="157" applyFont="1" applyFill="1" applyBorder="1" applyAlignment="1" applyProtection="1">
      <alignment horizontal="left" vertical="center"/>
      <protection hidden="1"/>
    </xf>
    <xf numFmtId="0" fontId="115" fillId="48" borderId="50" xfId="157" applyFont="1" applyFill="1" applyBorder="1" applyAlignment="1" applyProtection="1">
      <alignment horizontal="left" vertical="center"/>
      <protection hidden="1"/>
    </xf>
    <xf numFmtId="0" fontId="115" fillId="48" borderId="122" xfId="157" applyFont="1" applyFill="1" applyBorder="1" applyAlignment="1" applyProtection="1">
      <alignment horizontal="left" vertical="center"/>
      <protection hidden="1"/>
    </xf>
    <xf numFmtId="0" fontId="115" fillId="48" borderId="52" xfId="157" applyFont="1" applyFill="1" applyBorder="1" applyAlignment="1" applyProtection="1">
      <alignment horizontal="left" vertical="center"/>
      <protection hidden="1"/>
    </xf>
    <xf numFmtId="0" fontId="121" fillId="48" borderId="81" xfId="157" applyFont="1" applyFill="1" applyBorder="1" applyAlignment="1" applyProtection="1">
      <alignment horizontal="left" vertical="center"/>
      <protection hidden="1"/>
    </xf>
    <xf numFmtId="0" fontId="113" fillId="48" borderId="75" xfId="157" applyFont="1" applyFill="1" applyBorder="1" applyAlignment="1" applyProtection="1">
      <alignment horizontal="left" vertical="center" wrapText="1"/>
      <protection hidden="1"/>
    </xf>
    <xf numFmtId="0" fontId="113" fillId="48" borderId="75" xfId="157" applyFont="1" applyFill="1" applyBorder="1" applyAlignment="1" applyProtection="1">
      <alignment horizontal="center" vertical="center"/>
      <protection hidden="1"/>
    </xf>
    <xf numFmtId="0" fontId="111" fillId="48" borderId="120" xfId="157" applyFont="1" applyFill="1" applyBorder="1" applyAlignment="1" applyProtection="1">
      <alignment horizontal="center" wrapText="1"/>
      <protection hidden="1"/>
    </xf>
    <xf numFmtId="0" fontId="121" fillId="48" borderId="81" xfId="157" applyFont="1" applyFill="1" applyBorder="1" applyAlignment="1" applyProtection="1">
      <alignment horizontal="center"/>
      <protection hidden="1"/>
    </xf>
    <xf numFmtId="0" fontId="115" fillId="47" borderId="0" xfId="157" applyFont="1" applyFill="1" applyAlignment="1" applyProtection="1">
      <alignment horizontal="center" textRotation="180"/>
      <protection hidden="1"/>
    </xf>
    <xf numFmtId="0" fontId="111" fillId="48" borderId="119" xfId="157" applyFont="1" applyFill="1" applyBorder="1" applyAlignment="1" applyProtection="1">
      <alignment horizontal="center"/>
      <protection hidden="1"/>
    </xf>
    <xf numFmtId="0" fontId="111" fillId="48" borderId="47" xfId="157" applyFont="1" applyFill="1" applyBorder="1" applyAlignment="1" applyProtection="1">
      <alignment horizontal="center" wrapText="1"/>
      <protection hidden="1"/>
    </xf>
    <xf numFmtId="0" fontId="111" fillId="48" borderId="51" xfId="157" applyFont="1" applyFill="1" applyBorder="1" applyAlignment="1" applyProtection="1">
      <alignment horizontal="center" wrapText="1"/>
      <protection hidden="1"/>
    </xf>
    <xf numFmtId="0" fontId="121" fillId="48" borderId="116" xfId="157" applyFont="1" applyFill="1" applyBorder="1" applyAlignment="1" applyProtection="1">
      <alignment horizontal="center" wrapText="1"/>
      <protection hidden="1"/>
    </xf>
    <xf numFmtId="0" fontId="111" fillId="48" borderId="117" xfId="157" applyFont="1" applyFill="1" applyBorder="1" applyAlignment="1" applyProtection="1">
      <alignment horizontal="center" vertical="center" wrapText="1"/>
      <protection hidden="1"/>
    </xf>
    <xf numFmtId="0" fontId="121" fillId="48" borderId="117" xfId="157" applyFont="1" applyFill="1" applyBorder="1" applyAlignment="1" applyProtection="1">
      <alignment horizontal="center" vertical="center" wrapText="1"/>
      <protection hidden="1"/>
    </xf>
    <xf numFmtId="0" fontId="111" fillId="48" borderId="109" xfId="157" applyFont="1" applyFill="1" applyBorder="1" applyAlignment="1" applyProtection="1">
      <alignment horizontal="center" vertical="center" wrapText="1"/>
      <protection hidden="1"/>
    </xf>
    <xf numFmtId="0" fontId="111" fillId="48" borderId="118" xfId="157" applyFont="1" applyFill="1" applyBorder="1" applyAlignment="1" applyProtection="1">
      <alignment horizontal="center" vertical="center" wrapText="1"/>
      <protection hidden="1"/>
    </xf>
    <xf numFmtId="49" fontId="117" fillId="48" borderId="48" xfId="155" applyNumberFormat="1" applyFont="1" applyFill="1" applyBorder="1" applyAlignment="1" applyProtection="1">
      <alignment horizontal="center" vertical="center"/>
      <protection hidden="1"/>
    </xf>
    <xf numFmtId="0" fontId="115" fillId="48" borderId="75" xfId="157" applyFont="1" applyFill="1" applyBorder="1" applyAlignment="1" applyProtection="1">
      <alignment horizontal="left" vertical="center" wrapText="1"/>
      <protection hidden="1"/>
    </xf>
    <xf numFmtId="49" fontId="44" fillId="47" borderId="0" xfId="155" applyNumberFormat="1" applyFont="1" applyFill="1" applyAlignment="1" applyProtection="1">
      <alignment horizontal="center" vertical="center"/>
      <protection hidden="1"/>
    </xf>
    <xf numFmtId="49" fontId="44" fillId="48" borderId="0" xfId="155" applyNumberFormat="1" applyFont="1" applyFill="1" applyAlignment="1" applyProtection="1">
      <alignment horizontal="center" vertical="top"/>
      <protection hidden="1"/>
    </xf>
    <xf numFmtId="0" fontId="44" fillId="48" borderId="0" xfId="157" applyFont="1" applyFill="1" applyAlignment="1" applyProtection="1">
      <alignment horizontal="center"/>
      <protection hidden="1"/>
    </xf>
    <xf numFmtId="0" fontId="134" fillId="48" borderId="75" xfId="157" applyFont="1" applyFill="1" applyBorder="1" applyAlignment="1" applyProtection="1">
      <alignment horizontal="left" vertical="center" wrapText="1"/>
      <protection hidden="1"/>
    </xf>
    <xf numFmtId="0" fontId="132" fillId="48" borderId="123" xfId="157" applyFont="1" applyFill="1" applyBorder="1" applyAlignment="1" applyProtection="1">
      <alignment horizontal="right" vertical="center"/>
      <protection hidden="1"/>
    </xf>
    <xf numFmtId="0" fontId="132" fillId="48" borderId="82" xfId="157" applyFont="1" applyFill="1" applyBorder="1" applyAlignment="1" applyProtection="1">
      <alignment horizontal="right" vertical="center"/>
      <protection hidden="1"/>
    </xf>
    <xf numFmtId="0" fontId="133" fillId="48" borderId="75" xfId="157" applyFont="1" applyFill="1" applyBorder="1" applyAlignment="1" applyProtection="1">
      <alignment horizontal="left" vertical="center" wrapText="1"/>
      <protection hidden="1"/>
    </xf>
    <xf numFmtId="0" fontId="133" fillId="48" borderId="75" xfId="157" applyFont="1" applyFill="1" applyBorder="1" applyAlignment="1" applyProtection="1">
      <alignment horizontal="center" vertical="center"/>
      <protection hidden="1"/>
    </xf>
    <xf numFmtId="0" fontId="132" fillId="48" borderId="123" xfId="157" applyFont="1" applyFill="1" applyBorder="1" applyAlignment="1" applyProtection="1">
      <alignment horizontal="left" vertical="center"/>
      <protection hidden="1"/>
    </xf>
    <xf numFmtId="0" fontId="132" fillId="48" borderId="82" xfId="157" applyFont="1" applyFill="1" applyBorder="1" applyAlignment="1" applyProtection="1">
      <alignment horizontal="left" vertical="center"/>
      <protection hidden="1"/>
    </xf>
    <xf numFmtId="0" fontId="115" fillId="48" borderId="81" xfId="157" applyFont="1" applyFill="1" applyBorder="1" applyAlignment="1" applyProtection="1">
      <alignment horizontal="left" vertical="center"/>
      <protection hidden="1"/>
    </xf>
    <xf numFmtId="0" fontId="129" fillId="48" borderId="121" xfId="157" applyFont="1" applyFill="1" applyBorder="1" applyAlignment="1" applyProtection="1">
      <alignment horizontal="left" vertical="center"/>
      <protection hidden="1"/>
    </xf>
    <xf numFmtId="0" fontId="129" fillId="48" borderId="46" xfId="157" applyFont="1" applyFill="1" applyBorder="1" applyAlignment="1" applyProtection="1">
      <alignment horizontal="left" vertical="center"/>
      <protection hidden="1"/>
    </xf>
    <xf numFmtId="0" fontId="129" fillId="48" borderId="112" xfId="157" applyFont="1" applyFill="1" applyBorder="1" applyAlignment="1" applyProtection="1">
      <alignment horizontal="left" vertical="center"/>
      <protection hidden="1"/>
    </xf>
    <xf numFmtId="0" fontId="129" fillId="48" borderId="50" xfId="157" applyFont="1" applyFill="1" applyBorder="1" applyAlignment="1" applyProtection="1">
      <alignment horizontal="left" vertical="center"/>
      <protection hidden="1"/>
    </xf>
    <xf numFmtId="0" fontId="129" fillId="48" borderId="122" xfId="157" applyFont="1" applyFill="1" applyBorder="1" applyAlignment="1" applyProtection="1">
      <alignment horizontal="left" vertical="center"/>
      <protection hidden="1"/>
    </xf>
    <xf numFmtId="0" fontId="129" fillId="48" borderId="52" xfId="157" applyFont="1" applyFill="1" applyBorder="1" applyAlignment="1" applyProtection="1">
      <alignment horizontal="left" vertical="center"/>
      <protection hidden="1"/>
    </xf>
    <xf numFmtId="0" fontId="130" fillId="48" borderId="45" xfId="157" applyFont="1" applyFill="1" applyBorder="1" applyAlignment="1" applyProtection="1">
      <alignment horizontal="left" vertical="center" wrapText="1"/>
      <protection hidden="1"/>
    </xf>
    <xf numFmtId="0" fontId="130" fillId="48" borderId="48" xfId="157" applyFont="1" applyFill="1" applyBorder="1" applyAlignment="1" applyProtection="1">
      <alignment horizontal="left" vertical="center" wrapText="1"/>
      <protection hidden="1"/>
    </xf>
    <xf numFmtId="0" fontId="130" fillId="48" borderId="46" xfId="157" applyFont="1" applyFill="1" applyBorder="1" applyAlignment="1" applyProtection="1">
      <alignment horizontal="left" vertical="center" wrapText="1"/>
      <protection hidden="1"/>
    </xf>
    <xf numFmtId="0" fontId="130" fillId="48" borderId="49" xfId="157" applyFont="1" applyFill="1" applyBorder="1" applyAlignment="1" applyProtection="1">
      <alignment horizontal="left" vertical="center" wrapText="1"/>
      <protection hidden="1"/>
    </xf>
    <xf numFmtId="0" fontId="130" fillId="48" borderId="0" xfId="157" applyFont="1" applyFill="1" applyAlignment="1" applyProtection="1">
      <alignment horizontal="left" vertical="center" wrapText="1"/>
      <protection hidden="1"/>
    </xf>
    <xf numFmtId="0" fontId="130" fillId="48" borderId="50" xfId="157" applyFont="1" applyFill="1" applyBorder="1" applyAlignment="1" applyProtection="1">
      <alignment horizontal="left" vertical="center" wrapText="1"/>
      <protection hidden="1"/>
    </xf>
    <xf numFmtId="0" fontId="130" fillId="48" borderId="51" xfId="157" applyFont="1" applyFill="1" applyBorder="1" applyAlignment="1" applyProtection="1">
      <alignment horizontal="left" vertical="center" wrapText="1"/>
      <protection hidden="1"/>
    </xf>
    <xf numFmtId="0" fontId="130" fillId="48" borderId="44" xfId="157" applyFont="1" applyFill="1" applyBorder="1" applyAlignment="1" applyProtection="1">
      <alignment horizontal="left" vertical="center" wrapText="1"/>
      <protection hidden="1"/>
    </xf>
    <xf numFmtId="0" fontId="130" fillId="48" borderId="52" xfId="157" applyFont="1" applyFill="1" applyBorder="1" applyAlignment="1" applyProtection="1">
      <alignment horizontal="left" vertical="center" wrapText="1"/>
      <protection hidden="1"/>
    </xf>
    <xf numFmtId="0" fontId="115" fillId="48" borderId="121" xfId="157" applyFont="1" applyFill="1" applyBorder="1" applyAlignment="1" applyProtection="1">
      <alignment horizontal="right" vertical="center"/>
      <protection hidden="1"/>
    </xf>
    <xf numFmtId="0" fontId="115" fillId="48" borderId="46" xfId="157" applyFont="1" applyFill="1" applyBorder="1" applyAlignment="1" applyProtection="1">
      <alignment horizontal="right" vertical="center"/>
      <protection hidden="1"/>
    </xf>
    <xf numFmtId="0" fontId="115" fillId="48" borderId="112" xfId="157" applyFont="1" applyFill="1" applyBorder="1" applyAlignment="1" applyProtection="1">
      <alignment horizontal="right" vertical="center"/>
      <protection hidden="1"/>
    </xf>
    <xf numFmtId="0" fontId="115" fillId="48" borderId="50" xfId="157" applyFont="1" applyFill="1" applyBorder="1" applyAlignment="1" applyProtection="1">
      <alignment horizontal="right" vertical="center"/>
      <protection hidden="1"/>
    </xf>
    <xf numFmtId="0" fontId="115" fillId="48" borderId="122" xfId="157" applyFont="1" applyFill="1" applyBorder="1" applyAlignment="1" applyProtection="1">
      <alignment horizontal="right" vertical="center"/>
      <protection hidden="1"/>
    </xf>
    <xf numFmtId="0" fontId="115" fillId="48" borderId="52" xfId="157" applyFont="1" applyFill="1" applyBorder="1" applyAlignment="1" applyProtection="1">
      <alignment horizontal="right" vertical="center"/>
      <protection hidden="1"/>
    </xf>
    <xf numFmtId="0" fontId="121" fillId="48" borderId="81" xfId="157" applyFont="1" applyFill="1" applyBorder="1" applyAlignment="1" applyProtection="1">
      <alignment horizontal="left"/>
      <protection hidden="1"/>
    </xf>
    <xf numFmtId="0" fontId="121" fillId="48" borderId="123" xfId="157" applyFont="1" applyFill="1" applyBorder="1" applyAlignment="1" applyProtection="1">
      <alignment horizontal="left" vertical="center"/>
      <protection hidden="1"/>
    </xf>
    <xf numFmtId="0" fontId="121" fillId="48" borderId="82" xfId="157" applyFont="1" applyFill="1" applyBorder="1" applyAlignment="1" applyProtection="1">
      <alignment horizontal="left" vertical="center"/>
      <protection hidden="1"/>
    </xf>
    <xf numFmtId="0" fontId="135" fillId="48" borderId="75" xfId="157" applyFont="1" applyFill="1" applyBorder="1" applyAlignment="1" applyProtection="1">
      <alignment horizontal="left" vertical="center" wrapText="1"/>
      <protection hidden="1"/>
    </xf>
    <xf numFmtId="0" fontId="132" fillId="48" borderId="75" xfId="157" applyFont="1" applyFill="1" applyBorder="1" applyAlignment="1" applyProtection="1">
      <alignment horizontal="left" vertical="center" wrapText="1"/>
      <protection hidden="1"/>
    </xf>
    <xf numFmtId="0" fontId="135" fillId="48" borderId="75" xfId="157" applyFont="1" applyFill="1" applyBorder="1" applyAlignment="1" applyProtection="1">
      <alignment horizontal="left" vertical="center"/>
      <protection hidden="1"/>
    </xf>
    <xf numFmtId="0" fontId="155" fillId="48" borderId="75" xfId="157" applyFont="1" applyFill="1" applyBorder="1" applyAlignment="1" applyProtection="1">
      <alignment horizontal="left" vertical="center" wrapText="1"/>
      <protection hidden="1"/>
    </xf>
    <xf numFmtId="0" fontId="155" fillId="48" borderId="75" xfId="157" applyFont="1" applyFill="1" applyBorder="1" applyAlignment="1" applyProtection="1">
      <alignment horizontal="left" vertical="center"/>
      <protection hidden="1"/>
    </xf>
    <xf numFmtId="0" fontId="115" fillId="48" borderId="75" xfId="157" applyFont="1" applyFill="1" applyBorder="1" applyAlignment="1" applyProtection="1">
      <alignment horizontal="left" vertical="center"/>
      <protection hidden="1"/>
    </xf>
    <xf numFmtId="0" fontId="113" fillId="48" borderId="75" xfId="157" applyFont="1" applyFill="1" applyBorder="1" applyAlignment="1" applyProtection="1">
      <alignment horizontal="left" vertical="center"/>
      <protection hidden="1"/>
    </xf>
    <xf numFmtId="0" fontId="121" fillId="48" borderId="92" xfId="157" applyFont="1" applyFill="1" applyBorder="1" applyAlignment="1" applyProtection="1">
      <alignment horizontal="center" vertical="center"/>
      <protection hidden="1"/>
    </xf>
    <xf numFmtId="0" fontId="121" fillId="48" borderId="96" xfId="157" applyFont="1" applyFill="1" applyBorder="1" applyAlignment="1" applyProtection="1">
      <alignment horizontal="center" vertical="center"/>
      <protection hidden="1"/>
    </xf>
    <xf numFmtId="0" fontId="113" fillId="48" borderId="94" xfId="157" applyFont="1" applyFill="1" applyBorder="1" applyAlignment="1" applyProtection="1">
      <alignment horizontal="left" vertical="center" wrapText="1"/>
      <protection hidden="1"/>
    </xf>
    <xf numFmtId="0" fontId="113" fillId="48" borderId="98" xfId="157" applyFont="1" applyFill="1" applyBorder="1" applyAlignment="1" applyProtection="1">
      <alignment horizontal="left" vertical="center" wrapText="1"/>
      <protection hidden="1"/>
    </xf>
    <xf numFmtId="0" fontId="130" fillId="48" borderId="47" xfId="157" quotePrefix="1" applyFont="1" applyFill="1" applyBorder="1" applyAlignment="1" applyProtection="1">
      <alignment horizontal="center" vertical="center"/>
      <protection hidden="1"/>
    </xf>
    <xf numFmtId="0" fontId="130" fillId="48" borderId="47" xfId="157" applyFont="1" applyFill="1" applyBorder="1" applyAlignment="1" applyProtection="1">
      <alignment horizontal="center" vertical="center"/>
      <protection hidden="1"/>
    </xf>
    <xf numFmtId="0" fontId="115" fillId="48" borderId="81" xfId="157" applyFont="1" applyFill="1" applyBorder="1" applyAlignment="1" applyProtection="1">
      <alignment horizontal="center" vertical="center"/>
      <protection hidden="1"/>
    </xf>
    <xf numFmtId="0" fontId="133" fillId="48" borderId="75" xfId="157" quotePrefix="1" applyFont="1" applyFill="1" applyBorder="1" applyAlignment="1" applyProtection="1">
      <alignment horizontal="center" vertical="center"/>
      <protection hidden="1"/>
    </xf>
    <xf numFmtId="0" fontId="115" fillId="48" borderId="123" xfId="157" applyFont="1" applyFill="1" applyBorder="1" applyAlignment="1" applyProtection="1">
      <alignment horizontal="center" vertical="center"/>
      <protection hidden="1"/>
    </xf>
    <xf numFmtId="0" fontId="115" fillId="48" borderId="82" xfId="157" applyFont="1" applyFill="1" applyBorder="1" applyAlignment="1" applyProtection="1">
      <alignment horizontal="center" vertical="center"/>
      <protection hidden="1"/>
    </xf>
    <xf numFmtId="0" fontId="115" fillId="48" borderId="123" xfId="157" applyFont="1" applyFill="1" applyBorder="1" applyAlignment="1" applyProtection="1">
      <alignment horizontal="right" vertical="center"/>
      <protection hidden="1"/>
    </xf>
    <xf numFmtId="0" fontId="115" fillId="48" borderId="82" xfId="157" applyFont="1" applyFill="1" applyBorder="1" applyAlignment="1" applyProtection="1">
      <alignment horizontal="right" vertical="center"/>
      <protection hidden="1"/>
    </xf>
    <xf numFmtId="0" fontId="125" fillId="48" borderId="75" xfId="157" applyFont="1" applyFill="1" applyBorder="1" applyAlignment="1" applyProtection="1">
      <alignment horizontal="left" vertical="center" wrapText="1"/>
      <protection hidden="1"/>
    </xf>
    <xf numFmtId="0" fontId="133" fillId="48" borderId="54" xfId="157" applyFont="1" applyFill="1" applyBorder="1" applyAlignment="1" applyProtection="1">
      <alignment horizontal="left" vertical="center" wrapText="1"/>
      <protection hidden="1"/>
    </xf>
    <xf numFmtId="0" fontId="133" fillId="48" borderId="133" xfId="157" applyFont="1" applyFill="1" applyBorder="1" applyAlignment="1" applyProtection="1">
      <alignment horizontal="left" vertical="center" wrapText="1"/>
      <protection hidden="1"/>
    </xf>
    <xf numFmtId="0" fontId="133" fillId="48" borderId="82" xfId="157" applyFont="1" applyFill="1" applyBorder="1" applyAlignment="1" applyProtection="1">
      <alignment horizontal="left" vertical="center" wrapText="1"/>
      <protection hidden="1"/>
    </xf>
    <xf numFmtId="0" fontId="135" fillId="48" borderId="54" xfId="157" applyFont="1" applyFill="1" applyBorder="1" applyAlignment="1" applyProtection="1">
      <alignment horizontal="left" vertical="center" wrapText="1"/>
      <protection hidden="1"/>
    </xf>
    <xf numFmtId="0" fontId="135" fillId="48" borderId="133" xfId="157" applyFont="1" applyFill="1" applyBorder="1" applyAlignment="1" applyProtection="1">
      <alignment horizontal="left" vertical="center" wrapText="1"/>
      <protection hidden="1"/>
    </xf>
    <xf numFmtId="0" fontId="135" fillId="48" borderId="82" xfId="157" applyFont="1" applyFill="1" applyBorder="1" applyAlignment="1" applyProtection="1">
      <alignment horizontal="left" vertical="center" wrapText="1"/>
      <protection hidden="1"/>
    </xf>
    <xf numFmtId="0" fontId="121" fillId="48" borderId="81" xfId="157" applyFont="1" applyFill="1" applyBorder="1" applyAlignment="1" applyProtection="1">
      <alignment horizontal="center" vertical="center"/>
      <protection hidden="1"/>
    </xf>
    <xf numFmtId="0" fontId="130" fillId="48" borderId="75" xfId="157" quotePrefix="1" applyFont="1" applyFill="1" applyBorder="1" applyAlignment="1" applyProtection="1">
      <alignment horizontal="center" vertical="center"/>
      <protection hidden="1"/>
    </xf>
    <xf numFmtId="0" fontId="115" fillId="48" borderId="121" xfId="157" applyFont="1" applyFill="1" applyBorder="1" applyAlignment="1" applyProtection="1">
      <alignment horizontal="center" vertical="center"/>
      <protection hidden="1"/>
    </xf>
    <xf numFmtId="0" fontId="115" fillId="48" borderId="46" xfId="157" applyFont="1" applyFill="1" applyBorder="1" applyAlignment="1" applyProtection="1">
      <alignment horizontal="center" vertical="center"/>
      <protection hidden="1"/>
    </xf>
    <xf numFmtId="0" fontId="115" fillId="48" borderId="112" xfId="157" applyFont="1" applyFill="1" applyBorder="1" applyAlignment="1" applyProtection="1">
      <alignment horizontal="center" vertical="center"/>
      <protection hidden="1"/>
    </xf>
    <xf numFmtId="0" fontId="115" fillId="48" borderId="50" xfId="157" applyFont="1" applyFill="1" applyBorder="1" applyAlignment="1" applyProtection="1">
      <alignment horizontal="center" vertical="center"/>
      <protection hidden="1"/>
    </xf>
    <xf numFmtId="0" fontId="115" fillId="48" borderId="122" xfId="157" applyFont="1" applyFill="1" applyBorder="1" applyAlignment="1" applyProtection="1">
      <alignment horizontal="center" vertical="center"/>
      <protection hidden="1"/>
    </xf>
    <xf numFmtId="0" fontId="115" fillId="48" borderId="52" xfId="157" applyFont="1" applyFill="1" applyBorder="1" applyAlignment="1" applyProtection="1">
      <alignment horizontal="center" vertical="center"/>
      <protection hidden="1"/>
    </xf>
    <xf numFmtId="0" fontId="132" fillId="48" borderId="121" xfId="157" applyFont="1" applyFill="1" applyBorder="1" applyAlignment="1" applyProtection="1">
      <alignment horizontal="center" vertical="center"/>
      <protection hidden="1"/>
    </xf>
    <xf numFmtId="0" fontId="132" fillId="48" borderId="46" xfId="157" applyFont="1" applyFill="1" applyBorder="1" applyAlignment="1" applyProtection="1">
      <alignment horizontal="center" vertical="center"/>
      <protection hidden="1"/>
    </xf>
    <xf numFmtId="0" fontId="132" fillId="48" borderId="112" xfId="157" applyFont="1" applyFill="1" applyBorder="1" applyAlignment="1" applyProtection="1">
      <alignment horizontal="center" vertical="center"/>
      <protection hidden="1"/>
    </xf>
    <xf numFmtId="0" fontId="132" fillId="48" borderId="50" xfId="157" applyFont="1" applyFill="1" applyBorder="1" applyAlignment="1" applyProtection="1">
      <alignment horizontal="center" vertical="center"/>
      <protection hidden="1"/>
    </xf>
    <xf numFmtId="0" fontId="132" fillId="48" borderId="122" xfId="157" applyFont="1" applyFill="1" applyBorder="1" applyAlignment="1" applyProtection="1">
      <alignment horizontal="center" vertical="center"/>
      <protection hidden="1"/>
    </xf>
    <xf numFmtId="0" fontId="132" fillId="48" borderId="52" xfId="157" applyFont="1" applyFill="1" applyBorder="1" applyAlignment="1" applyProtection="1">
      <alignment horizontal="center" vertical="center"/>
      <protection hidden="1"/>
    </xf>
    <xf numFmtId="0" fontId="125" fillId="48" borderId="75" xfId="157" applyFont="1" applyFill="1" applyBorder="1" applyAlignment="1" applyProtection="1">
      <alignment horizontal="left" vertical="center"/>
      <protection hidden="1"/>
    </xf>
    <xf numFmtId="0" fontId="133" fillId="48" borderId="45" xfId="157" applyFont="1" applyFill="1" applyBorder="1" applyAlignment="1" applyProtection="1">
      <alignment horizontal="left" vertical="center" wrapText="1"/>
      <protection hidden="1"/>
    </xf>
    <xf numFmtId="0" fontId="133" fillId="48" borderId="48" xfId="157" applyFont="1" applyFill="1" applyBorder="1" applyAlignment="1" applyProtection="1">
      <alignment horizontal="left" vertical="center" wrapText="1"/>
      <protection hidden="1"/>
    </xf>
    <xf numFmtId="0" fontId="133" fillId="48" borderId="46" xfId="157" applyFont="1" applyFill="1" applyBorder="1" applyAlignment="1" applyProtection="1">
      <alignment horizontal="left" vertical="center" wrapText="1"/>
      <protection hidden="1"/>
    </xf>
    <xf numFmtId="0" fontId="133" fillId="48" borderId="49" xfId="157" applyFont="1" applyFill="1" applyBorder="1" applyAlignment="1" applyProtection="1">
      <alignment horizontal="left" vertical="center" wrapText="1"/>
      <protection hidden="1"/>
    </xf>
    <xf numFmtId="0" fontId="133" fillId="48" borderId="0" xfId="157" applyFont="1" applyFill="1" applyAlignment="1" applyProtection="1">
      <alignment horizontal="left" vertical="center" wrapText="1"/>
      <protection hidden="1"/>
    </xf>
    <xf numFmtId="0" fontId="133" fillId="48" borderId="50" xfId="157" applyFont="1" applyFill="1" applyBorder="1" applyAlignment="1" applyProtection="1">
      <alignment horizontal="left" vertical="center" wrapText="1"/>
      <protection hidden="1"/>
    </xf>
    <xf numFmtId="0" fontId="133" fillId="48" borderId="51" xfId="157" applyFont="1" applyFill="1" applyBorder="1" applyAlignment="1" applyProtection="1">
      <alignment horizontal="left" vertical="center" wrapText="1"/>
      <protection hidden="1"/>
    </xf>
    <xf numFmtId="0" fontId="133" fillId="48" borderId="44" xfId="157" applyFont="1" applyFill="1" applyBorder="1" applyAlignment="1" applyProtection="1">
      <alignment horizontal="left" vertical="center" wrapText="1"/>
      <protection hidden="1"/>
    </xf>
    <xf numFmtId="0" fontId="133" fillId="48" borderId="52" xfId="157" applyFont="1" applyFill="1" applyBorder="1" applyAlignment="1" applyProtection="1">
      <alignment horizontal="left" vertical="center" wrapText="1"/>
      <protection hidden="1"/>
    </xf>
    <xf numFmtId="0" fontId="113" fillId="48" borderId="75" xfId="157" quotePrefix="1" applyFont="1" applyFill="1" applyBorder="1" applyAlignment="1" applyProtection="1">
      <alignment horizontal="center" vertical="center"/>
      <protection hidden="1"/>
    </xf>
    <xf numFmtId="0" fontId="136" fillId="47" borderId="20" xfId="157" applyFont="1" applyFill="1" applyBorder="1" applyAlignment="1" applyProtection="1">
      <alignment horizontal="center" vertical="center" wrapText="1"/>
      <protection hidden="1"/>
    </xf>
    <xf numFmtId="0" fontId="136" fillId="47" borderId="21" xfId="157" applyFont="1" applyFill="1" applyBorder="1" applyAlignment="1" applyProtection="1">
      <alignment horizontal="center" vertical="center" wrapText="1"/>
      <protection hidden="1"/>
    </xf>
    <xf numFmtId="0" fontId="136" fillId="47" borderId="22" xfId="157" applyFont="1" applyFill="1" applyBorder="1" applyAlignment="1" applyProtection="1">
      <alignment horizontal="center" vertical="center" wrapText="1"/>
      <protection hidden="1"/>
    </xf>
    <xf numFmtId="0" fontId="136" fillId="47" borderId="4" xfId="157" applyFont="1" applyFill="1" applyBorder="1" applyAlignment="1" applyProtection="1">
      <alignment horizontal="center" vertical="center" wrapText="1"/>
      <protection hidden="1"/>
    </xf>
    <xf numFmtId="0" fontId="136" fillId="47" borderId="0" xfId="157" applyFont="1" applyFill="1" applyAlignment="1" applyProtection="1">
      <alignment horizontal="center" vertical="center" wrapText="1"/>
      <protection hidden="1"/>
    </xf>
    <xf numFmtId="0" fontId="136" fillId="47" borderId="5" xfId="157" applyFont="1" applyFill="1" applyBorder="1" applyAlignment="1" applyProtection="1">
      <alignment horizontal="center" vertical="center" wrapText="1"/>
      <protection hidden="1"/>
    </xf>
    <xf numFmtId="0" fontId="136" fillId="47" borderId="7" xfId="157" applyFont="1" applyFill="1" applyBorder="1" applyAlignment="1" applyProtection="1">
      <alignment horizontal="center" vertical="center" wrapText="1"/>
      <protection hidden="1"/>
    </xf>
    <xf numFmtId="0" fontId="136" fillId="47" borderId="1" xfId="157" applyFont="1" applyFill="1" applyBorder="1" applyAlignment="1" applyProtection="1">
      <alignment horizontal="center" vertical="center" wrapText="1"/>
      <protection hidden="1"/>
    </xf>
    <xf numFmtId="0" fontId="136" fillId="47" borderId="9" xfId="157" applyFont="1" applyFill="1" applyBorder="1" applyAlignment="1" applyProtection="1">
      <alignment horizontal="center" vertical="center" wrapText="1"/>
      <protection hidden="1"/>
    </xf>
    <xf numFmtId="0" fontId="121" fillId="48" borderId="107" xfId="157" applyFont="1" applyFill="1" applyBorder="1" applyAlignment="1" applyProtection="1">
      <alignment horizontal="center" wrapText="1"/>
      <protection hidden="1"/>
    </xf>
    <xf numFmtId="0" fontId="121" fillId="48" borderId="110" xfId="157" applyFont="1" applyFill="1" applyBorder="1" applyAlignment="1" applyProtection="1">
      <alignment horizontal="center" wrapText="1"/>
      <protection hidden="1"/>
    </xf>
    <xf numFmtId="0" fontId="121" fillId="48" borderId="112" xfId="157" applyFont="1" applyFill="1" applyBorder="1" applyAlignment="1" applyProtection="1">
      <alignment horizontal="center" wrapText="1"/>
      <protection hidden="1"/>
    </xf>
    <xf numFmtId="0" fontId="121" fillId="48" borderId="0" xfId="157" applyFont="1" applyFill="1" applyAlignment="1" applyProtection="1">
      <alignment horizontal="center" wrapText="1"/>
      <protection hidden="1"/>
    </xf>
    <xf numFmtId="0" fontId="111" fillId="48" borderId="110" xfId="157" applyFont="1" applyFill="1" applyBorder="1" applyAlignment="1" applyProtection="1">
      <alignment horizontal="center" vertical="center" wrapText="1"/>
      <protection hidden="1"/>
    </xf>
    <xf numFmtId="0" fontId="111" fillId="48" borderId="0" xfId="157" applyFont="1" applyFill="1" applyAlignment="1" applyProtection="1">
      <alignment horizontal="center" vertical="center" wrapText="1"/>
      <protection hidden="1"/>
    </xf>
    <xf numFmtId="0" fontId="121" fillId="48" borderId="124" xfId="157" applyFont="1" applyFill="1" applyBorder="1" applyAlignment="1" applyProtection="1">
      <alignment horizontal="center" vertical="center" wrapText="1"/>
      <protection hidden="1"/>
    </xf>
    <xf numFmtId="0" fontId="121" fillId="48" borderId="12" xfId="157" applyFont="1" applyFill="1" applyBorder="1" applyAlignment="1" applyProtection="1">
      <alignment horizontal="center" vertical="center" wrapText="1"/>
      <protection hidden="1"/>
    </xf>
    <xf numFmtId="0" fontId="121" fillId="48" borderId="125" xfId="157" applyFont="1" applyFill="1" applyBorder="1" applyAlignment="1" applyProtection="1">
      <alignment horizontal="center" vertical="center" wrapText="1"/>
      <protection hidden="1"/>
    </xf>
    <xf numFmtId="0" fontId="121" fillId="48" borderId="4" xfId="157" applyFont="1" applyFill="1" applyBorder="1" applyAlignment="1" applyProtection="1">
      <alignment horizontal="center" vertical="center" wrapText="1"/>
      <protection hidden="1"/>
    </xf>
    <xf numFmtId="0" fontId="121" fillId="48" borderId="0" xfId="157" applyFont="1" applyFill="1" applyAlignment="1" applyProtection="1">
      <alignment horizontal="center" vertical="center" wrapText="1"/>
      <protection hidden="1"/>
    </xf>
    <xf numFmtId="0" fontId="121" fillId="48" borderId="5" xfId="157" applyFont="1" applyFill="1" applyBorder="1" applyAlignment="1" applyProtection="1">
      <alignment horizontal="center" vertical="center" wrapText="1"/>
      <protection hidden="1"/>
    </xf>
    <xf numFmtId="0" fontId="121" fillId="48" borderId="7" xfId="157" applyFont="1" applyFill="1" applyBorder="1" applyAlignment="1" applyProtection="1">
      <alignment horizontal="center" vertical="center" wrapText="1"/>
      <protection hidden="1"/>
    </xf>
    <xf numFmtId="0" fontId="121" fillId="48" borderId="1" xfId="157" applyFont="1" applyFill="1" applyBorder="1" applyAlignment="1" applyProtection="1">
      <alignment horizontal="center" vertical="center" wrapText="1"/>
      <protection hidden="1"/>
    </xf>
    <xf numFmtId="0" fontId="121" fillId="48" borderId="9" xfId="157" applyFont="1" applyFill="1" applyBorder="1" applyAlignment="1" applyProtection="1">
      <alignment horizontal="center" vertical="center" wrapText="1"/>
      <protection hidden="1"/>
    </xf>
    <xf numFmtId="0" fontId="111" fillId="48" borderId="126" xfId="157" applyFont="1" applyFill="1" applyBorder="1" applyAlignment="1" applyProtection="1">
      <alignment horizontal="center" vertical="center" wrapText="1"/>
      <protection hidden="1"/>
    </xf>
    <xf numFmtId="0" fontId="111" fillId="48" borderId="127" xfId="157" applyFont="1" applyFill="1" applyBorder="1" applyAlignment="1" applyProtection="1">
      <alignment horizontal="center" vertical="center" wrapText="1"/>
      <protection hidden="1"/>
    </xf>
    <xf numFmtId="0" fontId="111" fillId="48" borderId="128" xfId="157" applyFont="1" applyFill="1" applyBorder="1" applyAlignment="1" applyProtection="1">
      <alignment horizontal="center" vertical="center" wrapText="1"/>
      <protection hidden="1"/>
    </xf>
    <xf numFmtId="0" fontId="111" fillId="48" borderId="129" xfId="157" applyFont="1" applyFill="1" applyBorder="1" applyAlignment="1" applyProtection="1">
      <alignment horizontal="center" vertical="center" wrapText="1"/>
      <protection hidden="1"/>
    </xf>
    <xf numFmtId="0" fontId="111" fillId="48" borderId="130" xfId="157" applyFont="1" applyFill="1" applyBorder="1" applyAlignment="1" applyProtection="1">
      <alignment horizontal="center" vertical="center" wrapText="1"/>
      <protection hidden="1"/>
    </xf>
    <xf numFmtId="0" fontId="111" fillId="48" borderId="131" xfId="157" applyFont="1" applyFill="1" applyBorder="1" applyAlignment="1" applyProtection="1">
      <alignment horizontal="center" vertical="center" wrapText="1"/>
      <protection hidden="1"/>
    </xf>
    <xf numFmtId="0" fontId="111" fillId="48" borderId="108" xfId="157" applyFont="1" applyFill="1" applyBorder="1" applyAlignment="1" applyProtection="1">
      <alignment horizontal="center" vertical="center" wrapText="1"/>
      <protection hidden="1"/>
    </xf>
    <xf numFmtId="0" fontId="111" fillId="48" borderId="132" xfId="157" applyFont="1" applyFill="1" applyBorder="1" applyAlignment="1" applyProtection="1">
      <alignment horizontal="center" vertical="center" wrapText="1"/>
      <protection hidden="1"/>
    </xf>
    <xf numFmtId="0" fontId="115" fillId="48" borderId="92" xfId="157" applyFont="1" applyFill="1" applyBorder="1" applyAlignment="1" applyProtection="1">
      <alignment horizontal="center" vertical="center"/>
      <protection hidden="1"/>
    </xf>
    <xf numFmtId="0" fontId="115" fillId="48" borderId="96" xfId="157" applyFont="1" applyFill="1" applyBorder="1" applyAlignment="1" applyProtection="1">
      <alignment horizontal="center" vertical="center"/>
      <protection hidden="1"/>
    </xf>
    <xf numFmtId="0" fontId="133" fillId="48" borderId="47" xfId="157" quotePrefix="1" applyFont="1" applyFill="1" applyBorder="1" applyAlignment="1" applyProtection="1">
      <alignment horizontal="center" vertical="center"/>
      <protection hidden="1"/>
    </xf>
    <xf numFmtId="0" fontId="133" fillId="48" borderId="47" xfId="157" applyFont="1" applyFill="1" applyBorder="1" applyAlignment="1" applyProtection="1">
      <alignment horizontal="center" vertical="center"/>
      <protection hidden="1"/>
    </xf>
    <xf numFmtId="0" fontId="132" fillId="48" borderId="121" xfId="157" applyFont="1" applyFill="1" applyBorder="1" applyAlignment="1" applyProtection="1">
      <alignment horizontal="right" vertical="center"/>
      <protection hidden="1"/>
    </xf>
    <xf numFmtId="0" fontId="132" fillId="48" borderId="46" xfId="157" applyFont="1" applyFill="1" applyBorder="1" applyAlignment="1" applyProtection="1">
      <alignment horizontal="right" vertical="center"/>
      <protection hidden="1"/>
    </xf>
    <xf numFmtId="0" fontId="132" fillId="48" borderId="112" xfId="157" applyFont="1" applyFill="1" applyBorder="1" applyAlignment="1" applyProtection="1">
      <alignment horizontal="right" vertical="center"/>
      <protection hidden="1"/>
    </xf>
    <xf numFmtId="0" fontId="132" fillId="48" borderId="50" xfId="157" applyFont="1" applyFill="1" applyBorder="1" applyAlignment="1" applyProtection="1">
      <alignment horizontal="right" vertical="center"/>
      <protection hidden="1"/>
    </xf>
    <xf numFmtId="0" fontId="132" fillId="48" borderId="122" xfId="157" applyFont="1" applyFill="1" applyBorder="1" applyAlignment="1" applyProtection="1">
      <alignment horizontal="right" vertical="center"/>
      <protection hidden="1"/>
    </xf>
    <xf numFmtId="0" fontId="132" fillId="48" borderId="52" xfId="157" applyFont="1" applyFill="1" applyBorder="1" applyAlignment="1" applyProtection="1">
      <alignment horizontal="right" vertical="center"/>
      <protection hidden="1"/>
    </xf>
    <xf numFmtId="49" fontId="117" fillId="48" borderId="93" xfId="155" applyNumberFormat="1" applyFont="1" applyFill="1" applyBorder="1" applyAlignment="1" applyProtection="1">
      <alignment horizontal="center" vertical="center"/>
      <protection hidden="1"/>
    </xf>
    <xf numFmtId="0" fontId="132" fillId="48" borderId="123" xfId="157" applyFont="1" applyFill="1" applyBorder="1" applyAlignment="1" applyProtection="1">
      <alignment horizontal="center" vertical="center"/>
      <protection hidden="1"/>
    </xf>
    <xf numFmtId="0" fontId="132" fillId="48" borderId="82" xfId="157" applyFont="1" applyFill="1" applyBorder="1" applyAlignment="1" applyProtection="1">
      <alignment horizontal="center" vertical="center"/>
      <protection hidden="1"/>
    </xf>
    <xf numFmtId="0" fontId="111" fillId="48" borderId="52" xfId="157" applyFont="1" applyFill="1" applyBorder="1" applyAlignment="1" applyProtection="1">
      <alignment horizontal="center" wrapText="1"/>
      <protection hidden="1"/>
    </xf>
    <xf numFmtId="0" fontId="111" fillId="48" borderId="134" xfId="157" applyFont="1" applyFill="1" applyBorder="1" applyAlignment="1" applyProtection="1">
      <alignment horizontal="center" vertical="center" wrapText="1"/>
      <protection hidden="1"/>
    </xf>
    <xf numFmtId="0" fontId="111" fillId="48" borderId="49" xfId="157" applyFont="1" applyFill="1" applyBorder="1" applyAlignment="1" applyProtection="1">
      <alignment horizontal="center" vertical="center" wrapText="1"/>
      <protection hidden="1"/>
    </xf>
    <xf numFmtId="0" fontId="111" fillId="48" borderId="5" xfId="157" applyFont="1" applyFill="1" applyBorder="1" applyAlignment="1" applyProtection="1">
      <alignment horizontal="center" vertical="center" wrapText="1"/>
      <protection hidden="1"/>
    </xf>
  </cellXfs>
  <cellStyles count="350">
    <cellStyle name="20 % - zvýraznenie1" xfId="160" xr:uid="{00000000-0005-0000-0000-000000000000}"/>
    <cellStyle name="20 % - zvýraznenie2" xfId="161" xr:uid="{00000000-0005-0000-0000-000001000000}"/>
    <cellStyle name="20 % - zvýraznenie3" xfId="162" xr:uid="{00000000-0005-0000-0000-000002000000}"/>
    <cellStyle name="20 % - zvýraznenie4" xfId="163" xr:uid="{00000000-0005-0000-0000-000003000000}"/>
    <cellStyle name="20 % - zvýraznenie5" xfId="164" xr:uid="{00000000-0005-0000-0000-000004000000}"/>
    <cellStyle name="20 % - zvýraznenie6" xfId="165" xr:uid="{00000000-0005-0000-0000-000005000000}"/>
    <cellStyle name="20% - Accent1 2" xfId="13" xr:uid="{00000000-0005-0000-0000-000006000000}"/>
    <cellStyle name="20% - Accent1 2 2" xfId="14" xr:uid="{00000000-0005-0000-0000-000007000000}"/>
    <cellStyle name="20% - Accent1 2 2 2" xfId="205" xr:uid="{AAF3F14A-BB17-4268-983B-B4F829440360}"/>
    <cellStyle name="20% - Accent1 2 2 3" xfId="280" xr:uid="{77D35786-99B8-446D-A3AD-4DE76AA4BDBC}"/>
    <cellStyle name="20% - Accent1 2 3" xfId="204" xr:uid="{28967CA4-EED4-4768-B366-66C14B98EC9B}"/>
    <cellStyle name="20% - Accent1 2 4" xfId="279" xr:uid="{D1403F67-0C5A-441A-A8F1-12C971EB6DDB}"/>
    <cellStyle name="20% - Accent1 3" xfId="15" xr:uid="{00000000-0005-0000-0000-000008000000}"/>
    <cellStyle name="20% - Accent1 3 2" xfId="16" xr:uid="{00000000-0005-0000-0000-000009000000}"/>
    <cellStyle name="20% - Accent1 3 2 2" xfId="207" xr:uid="{F98AA8CB-FDA9-403A-A8CE-CD6AEF35DFC2}"/>
    <cellStyle name="20% - Accent1 3 2 3" xfId="282" xr:uid="{8E148810-4773-40F0-8047-3092E2ABEDDB}"/>
    <cellStyle name="20% - Accent1 3 3" xfId="206" xr:uid="{59FDF919-FDD6-44EB-B994-785A07BB40AF}"/>
    <cellStyle name="20% - Accent1 3 4" xfId="281" xr:uid="{79281116-E9F3-480F-A198-F0585094A2CB}"/>
    <cellStyle name="20% - Accent1 4" xfId="17" xr:uid="{00000000-0005-0000-0000-00000A000000}"/>
    <cellStyle name="20% - Accent1 4 2" xfId="18" xr:uid="{00000000-0005-0000-0000-00000B000000}"/>
    <cellStyle name="20% - Accent1 4 2 2" xfId="208" xr:uid="{E7805982-875E-42E9-94E3-7C07FD5BBF11}"/>
    <cellStyle name="20% - Accent1 4 2 3" xfId="283" xr:uid="{E6582FAC-FAAB-4B15-AA1F-8209CCCFD2AD}"/>
    <cellStyle name="20% - Accent2 2" xfId="19" xr:uid="{00000000-0005-0000-0000-00000C000000}"/>
    <cellStyle name="20% - Accent2 2 2" xfId="20" xr:uid="{00000000-0005-0000-0000-00000D000000}"/>
    <cellStyle name="20% - Accent2 2 2 2" xfId="210" xr:uid="{C5D4B067-6639-4C4B-8228-B54235D9F7BA}"/>
    <cellStyle name="20% - Accent2 2 2 3" xfId="285" xr:uid="{6CD190BD-BF6D-4856-86F3-433AEE92A48F}"/>
    <cellStyle name="20% - Accent2 2 3" xfId="209" xr:uid="{FA094761-F28D-4799-8239-2E32DE818237}"/>
    <cellStyle name="20% - Accent2 2 4" xfId="284" xr:uid="{1BACF641-0CF2-44EA-8F87-03249C3142D3}"/>
    <cellStyle name="20% - Accent2 3" xfId="21" xr:uid="{00000000-0005-0000-0000-00000E000000}"/>
    <cellStyle name="20% - Accent2 3 2" xfId="22" xr:uid="{00000000-0005-0000-0000-00000F000000}"/>
    <cellStyle name="20% - Accent2 3 2 2" xfId="212" xr:uid="{B2B7828C-675A-414C-B016-428CD9774BEF}"/>
    <cellStyle name="20% - Accent2 3 2 3" xfId="287" xr:uid="{24108DBC-F600-48DF-B603-41403BC6BDFE}"/>
    <cellStyle name="20% - Accent2 3 3" xfId="211" xr:uid="{37D2029D-266B-43A8-8C3B-73437BC88598}"/>
    <cellStyle name="20% - Accent2 3 4" xfId="286" xr:uid="{CAE71BFC-EF7F-473B-BE6B-38927C2C7A0F}"/>
    <cellStyle name="20% - Accent2 4" xfId="23" xr:uid="{00000000-0005-0000-0000-000010000000}"/>
    <cellStyle name="20% - Accent2 4 2" xfId="24" xr:uid="{00000000-0005-0000-0000-000011000000}"/>
    <cellStyle name="20% - Accent2 4 2 2" xfId="213" xr:uid="{2770F8BC-2C05-4D6B-B566-A90B8F63E642}"/>
    <cellStyle name="20% - Accent2 4 2 3" xfId="288" xr:uid="{639973D7-D817-4DE9-BE61-9210E9C9EBF5}"/>
    <cellStyle name="20% - Accent3 2" xfId="25" xr:uid="{00000000-0005-0000-0000-000012000000}"/>
    <cellStyle name="20% - Accent3 2 2" xfId="26" xr:uid="{00000000-0005-0000-0000-000013000000}"/>
    <cellStyle name="20% - Accent3 2 2 2" xfId="215" xr:uid="{DD9AF91D-0542-454E-9E0D-5D750ABCF60B}"/>
    <cellStyle name="20% - Accent3 2 2 3" xfId="290" xr:uid="{D95E6AEE-42F0-461C-B366-4F31DA48AC34}"/>
    <cellStyle name="20% - Accent3 2 3" xfId="214" xr:uid="{2D8C2F2D-5D61-4163-B5C5-3790A97E38BD}"/>
    <cellStyle name="20% - Accent3 2 4" xfId="289" xr:uid="{CB8F83A0-36F7-4E1B-8C28-F012026B3DF5}"/>
    <cellStyle name="20% - Accent3 3" xfId="27" xr:uid="{00000000-0005-0000-0000-000014000000}"/>
    <cellStyle name="20% - Accent3 3 2" xfId="28" xr:uid="{00000000-0005-0000-0000-000015000000}"/>
    <cellStyle name="20% - Accent3 3 2 2" xfId="217" xr:uid="{96B76037-F020-4BE4-B49F-D0B114AA9882}"/>
    <cellStyle name="20% - Accent3 3 2 3" xfId="292" xr:uid="{DEF14B0C-6A63-4735-888F-5741A585B683}"/>
    <cellStyle name="20% - Accent3 3 3" xfId="216" xr:uid="{8B836882-7C8A-4F5A-9EB1-02D82B4BF7BA}"/>
    <cellStyle name="20% - Accent3 3 4" xfId="291" xr:uid="{2A0FA2D9-BE0F-45ED-9254-95EF482BBB2B}"/>
    <cellStyle name="20% - Accent3 4" xfId="29" xr:uid="{00000000-0005-0000-0000-000016000000}"/>
    <cellStyle name="20% - Accent3 4 2" xfId="30" xr:uid="{00000000-0005-0000-0000-000017000000}"/>
    <cellStyle name="20% - Accent3 4 2 2" xfId="218" xr:uid="{6B7143A5-B6E4-4D4F-ACEA-B34279771154}"/>
    <cellStyle name="20% - Accent3 4 2 3" xfId="293" xr:uid="{E7BF45AE-4F6C-4958-95FB-1A990540B9DA}"/>
    <cellStyle name="20% - Accent4 2" xfId="31" xr:uid="{00000000-0005-0000-0000-000018000000}"/>
    <cellStyle name="20% - Accent4 2 2" xfId="32" xr:uid="{00000000-0005-0000-0000-000019000000}"/>
    <cellStyle name="20% - Accent4 2 2 2" xfId="220" xr:uid="{C58E28BE-1F2D-429D-81C5-A4F45736B7CF}"/>
    <cellStyle name="20% - Accent4 2 2 3" xfId="295" xr:uid="{D778F2D2-A644-47CD-90EA-663ABEFDBDD9}"/>
    <cellStyle name="20% - Accent4 2 3" xfId="219" xr:uid="{C4758F26-23AE-4D33-853F-DDE09A360B84}"/>
    <cellStyle name="20% - Accent4 2 4" xfId="294" xr:uid="{DAA58B0A-0A1D-4A82-BB77-FEEC037D8665}"/>
    <cellStyle name="20% - Accent4 3" xfId="33" xr:uid="{00000000-0005-0000-0000-00001A000000}"/>
    <cellStyle name="20% - Accent4 3 2" xfId="34" xr:uid="{00000000-0005-0000-0000-00001B000000}"/>
    <cellStyle name="20% - Accent4 3 2 2" xfId="222" xr:uid="{DE667B61-F251-48EB-8FB8-846404A90647}"/>
    <cellStyle name="20% - Accent4 3 2 3" xfId="297" xr:uid="{5BBE5464-35B2-40E7-A86D-059652A45D79}"/>
    <cellStyle name="20% - Accent4 3 3" xfId="221" xr:uid="{DFB84607-6688-4B8E-B531-CAF1151C3E1C}"/>
    <cellStyle name="20% - Accent4 3 4" xfId="296" xr:uid="{850D76ED-0859-4C68-B97B-BFF713BE4804}"/>
    <cellStyle name="20% - Accent4 4" xfId="35" xr:uid="{00000000-0005-0000-0000-00001C000000}"/>
    <cellStyle name="20% - Accent4 4 2" xfId="36" xr:uid="{00000000-0005-0000-0000-00001D000000}"/>
    <cellStyle name="20% - Accent4 4 2 2" xfId="223" xr:uid="{1B2A7209-0F4E-4D45-BA73-BB7BC3B6D37C}"/>
    <cellStyle name="20% - Accent4 4 2 3" xfId="298" xr:uid="{70EA65B9-0DAA-4E75-91D2-715DE83761AE}"/>
    <cellStyle name="20% - Accent5 2" xfId="37" xr:uid="{00000000-0005-0000-0000-00001E000000}"/>
    <cellStyle name="20% - Accent5 2 2" xfId="38" xr:uid="{00000000-0005-0000-0000-00001F000000}"/>
    <cellStyle name="20% - Accent5 2 2 2" xfId="225" xr:uid="{F3F11108-A3FD-4EF4-A83C-2F369C0BFA34}"/>
    <cellStyle name="20% - Accent5 2 2 3" xfId="300" xr:uid="{20650FE3-3ABE-49C2-AA36-37AC7FBF0BFA}"/>
    <cellStyle name="20% - Accent5 2 3" xfId="224" xr:uid="{D95AA78E-C076-4141-B5FB-8A10E4370889}"/>
    <cellStyle name="20% - Accent5 2 4" xfId="299" xr:uid="{11834786-840D-477C-ABD5-D0CD22F91171}"/>
    <cellStyle name="20% - Accent5 3" xfId="39" xr:uid="{00000000-0005-0000-0000-000020000000}"/>
    <cellStyle name="20% - Accent5 3 2" xfId="40" xr:uid="{00000000-0005-0000-0000-000021000000}"/>
    <cellStyle name="20% - Accent5 3 2 2" xfId="227" xr:uid="{33BCF561-A9A9-4216-B9ED-995055475B5A}"/>
    <cellStyle name="20% - Accent5 3 2 3" xfId="302" xr:uid="{FF3FAED2-8C3E-49BD-941E-B7904FA22CDF}"/>
    <cellStyle name="20% - Accent5 3 3" xfId="226" xr:uid="{260D2E1B-97CF-4B2E-B1BA-EC9C5BEDBDC8}"/>
    <cellStyle name="20% - Accent5 3 4" xfId="301" xr:uid="{2B709857-B3D3-4F7A-A57B-790A7D0C1AF7}"/>
    <cellStyle name="20% - Accent5 4" xfId="41" xr:uid="{00000000-0005-0000-0000-000022000000}"/>
    <cellStyle name="20% - Accent5 4 2" xfId="42" xr:uid="{00000000-0005-0000-0000-000023000000}"/>
    <cellStyle name="20% - Accent5 4 2 2" xfId="228" xr:uid="{E1E4FEBF-A337-49DB-9573-DA097ACBC337}"/>
    <cellStyle name="20% - Accent5 4 2 3" xfId="303" xr:uid="{F3CEA445-BD3A-4418-A511-DDFA7B0D87AC}"/>
    <cellStyle name="20% - Accent6 2" xfId="43" xr:uid="{00000000-0005-0000-0000-000024000000}"/>
    <cellStyle name="20% - Accent6 2 2" xfId="44" xr:uid="{00000000-0005-0000-0000-000025000000}"/>
    <cellStyle name="20% - Accent6 2 2 2" xfId="230" xr:uid="{86F67D5B-54C6-4081-B8A5-4E98995EF0B5}"/>
    <cellStyle name="20% - Accent6 2 2 3" xfId="305" xr:uid="{9AE19632-6363-48E0-8875-4B53832B4BA4}"/>
    <cellStyle name="20% - Accent6 2 3" xfId="229" xr:uid="{C5AF2776-05D2-4FA7-B4DC-4BD5DA5BF270}"/>
    <cellStyle name="20% - Accent6 2 4" xfId="304" xr:uid="{6999BC37-59C2-4F76-A90F-6AC41796F369}"/>
    <cellStyle name="20% - Accent6 3" xfId="45" xr:uid="{00000000-0005-0000-0000-000026000000}"/>
    <cellStyle name="20% - Accent6 3 2" xfId="46" xr:uid="{00000000-0005-0000-0000-000027000000}"/>
    <cellStyle name="20% - Accent6 3 2 2" xfId="232" xr:uid="{C2DC5338-8DBF-45A7-966C-F3C3568CBB57}"/>
    <cellStyle name="20% - Accent6 3 2 3" xfId="307" xr:uid="{118DD81C-C74C-4072-840D-889945FD9389}"/>
    <cellStyle name="20% - Accent6 3 3" xfId="231" xr:uid="{C3384F70-35D8-488F-99B8-91D243ADEAE3}"/>
    <cellStyle name="20% - Accent6 3 4" xfId="306" xr:uid="{2B30476A-CA5B-40FB-A20F-62FCF97DBF29}"/>
    <cellStyle name="20% - Accent6 4" xfId="47" xr:uid="{00000000-0005-0000-0000-000028000000}"/>
    <cellStyle name="20% - Accent6 4 2" xfId="48" xr:uid="{00000000-0005-0000-0000-000029000000}"/>
    <cellStyle name="20% - Accent6 4 2 2" xfId="233" xr:uid="{4D6E05F0-8422-4436-A0F6-B014D0502770}"/>
    <cellStyle name="20% - Accent6 4 2 3" xfId="308" xr:uid="{5D3E4144-47E6-44BC-B83C-9AB8A3ABD025}"/>
    <cellStyle name="40 % - zvýraznenie1" xfId="166" xr:uid="{00000000-0005-0000-0000-00002A000000}"/>
    <cellStyle name="40 % - zvýraznenie2" xfId="167" xr:uid="{00000000-0005-0000-0000-00002B000000}"/>
    <cellStyle name="40 % - zvýraznenie3" xfId="168" xr:uid="{00000000-0005-0000-0000-00002C000000}"/>
    <cellStyle name="40 % - zvýraznenie4" xfId="169" xr:uid="{00000000-0005-0000-0000-00002D000000}"/>
    <cellStyle name="40 % - zvýraznenie5" xfId="170" xr:uid="{00000000-0005-0000-0000-00002E000000}"/>
    <cellStyle name="40 % - zvýraznenie6" xfId="171" xr:uid="{00000000-0005-0000-0000-00002F000000}"/>
    <cellStyle name="40% - Accent1 2" xfId="49" xr:uid="{00000000-0005-0000-0000-000030000000}"/>
    <cellStyle name="40% - Accent1 2 2" xfId="50" xr:uid="{00000000-0005-0000-0000-000031000000}"/>
    <cellStyle name="40% - Accent1 2 2 2" xfId="235" xr:uid="{53361DED-E777-427D-B0D8-0C1A2F685670}"/>
    <cellStyle name="40% - Accent1 2 2 3" xfId="310" xr:uid="{2E68BAE7-410E-41B4-8246-F6BD79E62F93}"/>
    <cellStyle name="40% - Accent1 2 3" xfId="234" xr:uid="{32C96EDB-2FF7-4D94-AA6D-601E2EEF0332}"/>
    <cellStyle name="40% - Accent1 2 4" xfId="309" xr:uid="{A9C51D3D-34C5-408E-A06D-D2E37B11A9D9}"/>
    <cellStyle name="40% - Accent1 3" xfId="51" xr:uid="{00000000-0005-0000-0000-000032000000}"/>
    <cellStyle name="40% - Accent1 3 2" xfId="52" xr:uid="{00000000-0005-0000-0000-000033000000}"/>
    <cellStyle name="40% - Accent1 3 2 2" xfId="237" xr:uid="{5E0EEA7E-20C4-4D63-8046-0B1091406B80}"/>
    <cellStyle name="40% - Accent1 3 2 3" xfId="312" xr:uid="{1BE0F6CD-6189-461E-BD40-49AAD6A3D1DA}"/>
    <cellStyle name="40% - Accent1 3 3" xfId="236" xr:uid="{7CFB6EC3-665D-4458-B0AD-E8C483B53382}"/>
    <cellStyle name="40% - Accent1 3 4" xfId="311" xr:uid="{D589185C-DFEA-442A-89BC-2D2AA72BAE02}"/>
    <cellStyle name="40% - Accent1 4" xfId="53" xr:uid="{00000000-0005-0000-0000-000034000000}"/>
    <cellStyle name="40% - Accent1 4 2" xfId="54" xr:uid="{00000000-0005-0000-0000-000035000000}"/>
    <cellStyle name="40% - Accent1 4 2 2" xfId="238" xr:uid="{A81A9944-DF43-4E6E-9C2A-F2F775A1B445}"/>
    <cellStyle name="40% - Accent1 4 2 3" xfId="313" xr:uid="{A0489863-7DDC-438B-99C3-AC49849A21B1}"/>
    <cellStyle name="40% - Accent2 2" xfId="55" xr:uid="{00000000-0005-0000-0000-000036000000}"/>
    <cellStyle name="40% - Accent2 2 2" xfId="56" xr:uid="{00000000-0005-0000-0000-000037000000}"/>
    <cellStyle name="40% - Accent2 2 2 2" xfId="240" xr:uid="{7BAA8843-7E53-4E15-B01D-A4E63CF86398}"/>
    <cellStyle name="40% - Accent2 2 2 3" xfId="315" xr:uid="{3D1095A6-D579-4A51-AA7D-7BF5B43A7016}"/>
    <cellStyle name="40% - Accent2 2 3" xfId="239" xr:uid="{6F0945AA-4FB2-4D7F-8A09-62A190BCCD67}"/>
    <cellStyle name="40% - Accent2 2 4" xfId="314" xr:uid="{AAD14F9A-C28D-4E7E-B8EC-EF78645E9A87}"/>
    <cellStyle name="40% - Accent2 3" xfId="57" xr:uid="{00000000-0005-0000-0000-000038000000}"/>
    <cellStyle name="40% - Accent2 3 2" xfId="58" xr:uid="{00000000-0005-0000-0000-000039000000}"/>
    <cellStyle name="40% - Accent2 3 2 2" xfId="242" xr:uid="{17E18AA6-B1B5-4B78-ACD5-DA6663BC42C9}"/>
    <cellStyle name="40% - Accent2 3 2 3" xfId="317" xr:uid="{99136444-5D75-4F59-8E49-1C855118CE88}"/>
    <cellStyle name="40% - Accent2 3 3" xfId="241" xr:uid="{066119C6-B196-44EE-8AE7-35B3500F70C5}"/>
    <cellStyle name="40% - Accent2 3 4" xfId="316" xr:uid="{DC629C0A-0F6D-425F-8C04-82317A99CE51}"/>
    <cellStyle name="40% - Accent2 4" xfId="59" xr:uid="{00000000-0005-0000-0000-00003A000000}"/>
    <cellStyle name="40% - Accent2 4 2" xfId="60" xr:uid="{00000000-0005-0000-0000-00003B000000}"/>
    <cellStyle name="40% - Accent2 4 2 2" xfId="243" xr:uid="{630CA6EE-20F1-4B9F-8BBE-ABE403D6D606}"/>
    <cellStyle name="40% - Accent2 4 2 3" xfId="318" xr:uid="{029B7336-9349-4971-971C-F45DAE3C55A1}"/>
    <cellStyle name="40% - Accent3 2" xfId="61" xr:uid="{00000000-0005-0000-0000-00003C000000}"/>
    <cellStyle name="40% - Accent3 2 2" xfId="62" xr:uid="{00000000-0005-0000-0000-00003D000000}"/>
    <cellStyle name="40% - Accent3 2 2 2" xfId="245" xr:uid="{EFE12705-4EF7-4117-8598-66FD2F3A8588}"/>
    <cellStyle name="40% - Accent3 2 2 3" xfId="320" xr:uid="{930E35D7-E6EF-4258-A427-91FD17083B31}"/>
    <cellStyle name="40% - Accent3 2 3" xfId="244" xr:uid="{1D983EBD-B2F5-4845-B311-B64569F3F57E}"/>
    <cellStyle name="40% - Accent3 2 4" xfId="319" xr:uid="{FA0EC178-69C6-4023-B341-1A73A8A7ADAB}"/>
    <cellStyle name="40% - Accent3 3" xfId="63" xr:uid="{00000000-0005-0000-0000-00003E000000}"/>
    <cellStyle name="40% - Accent3 3 2" xfId="64" xr:uid="{00000000-0005-0000-0000-00003F000000}"/>
    <cellStyle name="40% - Accent3 3 2 2" xfId="247" xr:uid="{CC77AA4A-12D5-4CBF-BD94-AA7205A430EF}"/>
    <cellStyle name="40% - Accent3 3 2 3" xfId="322" xr:uid="{55FC6932-05E2-4C20-9817-4FC57BBFBF40}"/>
    <cellStyle name="40% - Accent3 3 3" xfId="246" xr:uid="{79CEFA36-D3E3-49F0-95D3-63034CE22DBC}"/>
    <cellStyle name="40% - Accent3 3 4" xfId="321" xr:uid="{FFD2D50E-665E-4066-9B58-2292363E1786}"/>
    <cellStyle name="40% - Accent3 4" xfId="65" xr:uid="{00000000-0005-0000-0000-000040000000}"/>
    <cellStyle name="40% - Accent3 4 2" xfId="66" xr:uid="{00000000-0005-0000-0000-000041000000}"/>
    <cellStyle name="40% - Accent3 4 2 2" xfId="248" xr:uid="{4F7CAD13-A19C-43B5-9564-5E7715F5A07D}"/>
    <cellStyle name="40% - Accent3 4 2 3" xfId="323" xr:uid="{DB1F80A9-FEB5-4654-8E84-E98446D5C712}"/>
    <cellStyle name="40% - Accent4 2" xfId="67" xr:uid="{00000000-0005-0000-0000-000042000000}"/>
    <cellStyle name="40% - Accent4 2 2" xfId="68" xr:uid="{00000000-0005-0000-0000-000043000000}"/>
    <cellStyle name="40% - Accent4 2 2 2" xfId="250" xr:uid="{7D64CE79-3608-4885-8C30-B90A0E5ABDA9}"/>
    <cellStyle name="40% - Accent4 2 2 3" xfId="325" xr:uid="{E35A157B-CD34-4073-8915-A66BEB22D3A6}"/>
    <cellStyle name="40% - Accent4 2 3" xfId="249" xr:uid="{E6D61B80-F9D6-4B6F-8B78-3E3743F1EC7F}"/>
    <cellStyle name="40% - Accent4 2 4" xfId="324" xr:uid="{105C1230-FC39-4681-8FB7-EF9E4FB2BC93}"/>
    <cellStyle name="40% - Accent4 3" xfId="69" xr:uid="{00000000-0005-0000-0000-000044000000}"/>
    <cellStyle name="40% - Accent4 3 2" xfId="70" xr:uid="{00000000-0005-0000-0000-000045000000}"/>
    <cellStyle name="40% - Accent4 3 2 2" xfId="252" xr:uid="{449C9B97-3A5E-45A8-A2B8-B9275DA93761}"/>
    <cellStyle name="40% - Accent4 3 2 3" xfId="327" xr:uid="{C02C1A3D-71C9-482E-8794-E886775BC268}"/>
    <cellStyle name="40% - Accent4 3 3" xfId="251" xr:uid="{3161FC72-1B4E-4A89-82D1-265878B97247}"/>
    <cellStyle name="40% - Accent4 3 4" xfId="326" xr:uid="{8057CAC5-8096-44C6-A0AB-2CC4C90C141C}"/>
    <cellStyle name="40% - Accent4 4" xfId="71" xr:uid="{00000000-0005-0000-0000-000046000000}"/>
    <cellStyle name="40% - Accent4 4 2" xfId="72" xr:uid="{00000000-0005-0000-0000-000047000000}"/>
    <cellStyle name="40% - Accent4 4 2 2" xfId="253" xr:uid="{AA858768-5EB6-488D-BE35-F3DCF993B46C}"/>
    <cellStyle name="40% - Accent4 4 2 3" xfId="328" xr:uid="{4D3EB1C2-AE6D-456D-B6D4-9FFDFEFD2348}"/>
    <cellStyle name="40% - Accent5 2" xfId="73" xr:uid="{00000000-0005-0000-0000-000048000000}"/>
    <cellStyle name="40% - Accent5 2 2" xfId="74" xr:uid="{00000000-0005-0000-0000-000049000000}"/>
    <cellStyle name="40% - Accent5 2 2 2" xfId="255" xr:uid="{6C1EC83F-627E-4920-9E45-3FC9362EED1A}"/>
    <cellStyle name="40% - Accent5 2 2 3" xfId="330" xr:uid="{14C2B756-DB02-4D1B-B412-220C7797CC9A}"/>
    <cellStyle name="40% - Accent5 2 3" xfId="254" xr:uid="{661F74B2-ED91-48DB-A75D-5A79A7AC28E8}"/>
    <cellStyle name="40% - Accent5 2 4" xfId="329" xr:uid="{760DB304-DC37-43AB-AB56-8ACB86267770}"/>
    <cellStyle name="40% - Accent5 3" xfId="75" xr:uid="{00000000-0005-0000-0000-00004A000000}"/>
    <cellStyle name="40% - Accent5 3 2" xfId="76" xr:uid="{00000000-0005-0000-0000-00004B000000}"/>
    <cellStyle name="40% - Accent5 3 2 2" xfId="257" xr:uid="{CA2A0041-D611-486F-A74A-09ED00901A06}"/>
    <cellStyle name="40% - Accent5 3 2 3" xfId="332" xr:uid="{CF262D14-A64D-41C9-86EC-BF32C20E7FEA}"/>
    <cellStyle name="40% - Accent5 3 3" xfId="256" xr:uid="{231C87F9-10F1-45EC-B4B3-1D42170C993B}"/>
    <cellStyle name="40% - Accent5 3 4" xfId="331" xr:uid="{D3D5C0D7-D7B8-4D0C-91FD-7BE9F50CD652}"/>
    <cellStyle name="40% - Accent5 4" xfId="77" xr:uid="{00000000-0005-0000-0000-00004C000000}"/>
    <cellStyle name="40% - Accent5 4 2" xfId="78" xr:uid="{00000000-0005-0000-0000-00004D000000}"/>
    <cellStyle name="40% - Accent5 4 2 2" xfId="258" xr:uid="{339A60D0-94C1-483D-88CD-91AEC266CE75}"/>
    <cellStyle name="40% - Accent5 4 2 3" xfId="333" xr:uid="{02C37A13-3F46-46AF-9AA9-B5BE22BAD5C2}"/>
    <cellStyle name="40% - Accent6 2" xfId="79" xr:uid="{00000000-0005-0000-0000-00004E000000}"/>
    <cellStyle name="40% - Accent6 2 2" xfId="80" xr:uid="{00000000-0005-0000-0000-00004F000000}"/>
    <cellStyle name="40% - Accent6 2 2 2" xfId="260" xr:uid="{10AEF6A4-20A8-4231-BED9-A396A3E5DBE9}"/>
    <cellStyle name="40% - Accent6 2 2 3" xfId="335" xr:uid="{EDD18EDB-A3C3-47F8-A2CB-7712226DEE5C}"/>
    <cellStyle name="40% - Accent6 2 3" xfId="259" xr:uid="{7E939328-4A69-4A4C-A7E7-5E8382E1A23B}"/>
    <cellStyle name="40% - Accent6 2 4" xfId="334" xr:uid="{9E23CD77-0A4C-4873-B573-CC13E3C3A960}"/>
    <cellStyle name="40% - Accent6 3" xfId="81" xr:uid="{00000000-0005-0000-0000-000050000000}"/>
    <cellStyle name="40% - Accent6 3 2" xfId="82" xr:uid="{00000000-0005-0000-0000-000051000000}"/>
    <cellStyle name="40% - Accent6 3 2 2" xfId="262" xr:uid="{E282F1D2-9B09-4486-B674-CCAA4D74A3DA}"/>
    <cellStyle name="40% - Accent6 3 2 3" xfId="337" xr:uid="{BEFA1CDE-25AA-40B8-BDCA-00496A82AEA5}"/>
    <cellStyle name="40% - Accent6 3 3" xfId="261" xr:uid="{23038C87-96FC-4F4F-9702-DD7775EA5078}"/>
    <cellStyle name="40% - Accent6 3 4" xfId="336" xr:uid="{C332C5C7-2507-4779-AF8F-5CD0321AFA1E}"/>
    <cellStyle name="40% - Accent6 4" xfId="83" xr:uid="{00000000-0005-0000-0000-000052000000}"/>
    <cellStyle name="40% - Accent6 4 2" xfId="84" xr:uid="{00000000-0005-0000-0000-000053000000}"/>
    <cellStyle name="40% - Accent6 4 2 2" xfId="263" xr:uid="{72DA340A-F5EF-4FF4-B70F-A5A043C8B06D}"/>
    <cellStyle name="40% - Accent6 4 2 3" xfId="338" xr:uid="{8284BA22-F9F2-4981-AAC0-1CA23DF8E49C}"/>
    <cellStyle name="60 % - zvýraznenie1" xfId="172" xr:uid="{00000000-0005-0000-0000-000054000000}"/>
    <cellStyle name="60 % - zvýraznenie2" xfId="173" xr:uid="{00000000-0005-0000-0000-000055000000}"/>
    <cellStyle name="60 % - zvýraznenie3" xfId="174" xr:uid="{00000000-0005-0000-0000-000056000000}"/>
    <cellStyle name="60 % - zvýraznenie4" xfId="175" xr:uid="{00000000-0005-0000-0000-000057000000}"/>
    <cellStyle name="60 % - zvýraznenie5" xfId="176" xr:uid="{00000000-0005-0000-0000-000058000000}"/>
    <cellStyle name="60 % - zvýraznenie6" xfId="177" xr:uid="{00000000-0005-0000-0000-000059000000}"/>
    <cellStyle name="60% - Accent1 2" xfId="85" xr:uid="{00000000-0005-0000-0000-00005A000000}"/>
    <cellStyle name="60% - Accent1 3" xfId="86" xr:uid="{00000000-0005-0000-0000-00005B000000}"/>
    <cellStyle name="60% - Accent2 2" xfId="87" xr:uid="{00000000-0005-0000-0000-00005C000000}"/>
    <cellStyle name="60% - Accent2 3" xfId="88" xr:uid="{00000000-0005-0000-0000-00005D000000}"/>
    <cellStyle name="60% - Accent3 2" xfId="89" xr:uid="{00000000-0005-0000-0000-00005E000000}"/>
    <cellStyle name="60% - Accent3 3" xfId="90" xr:uid="{00000000-0005-0000-0000-00005F000000}"/>
    <cellStyle name="60% - Accent4 2" xfId="91" xr:uid="{00000000-0005-0000-0000-000060000000}"/>
    <cellStyle name="60% - Accent4 3" xfId="92" xr:uid="{00000000-0005-0000-0000-000061000000}"/>
    <cellStyle name="60% - Accent5 2" xfId="93" xr:uid="{00000000-0005-0000-0000-000062000000}"/>
    <cellStyle name="60% - Accent5 3" xfId="94" xr:uid="{00000000-0005-0000-0000-000063000000}"/>
    <cellStyle name="60% - Accent6 2" xfId="95" xr:uid="{00000000-0005-0000-0000-000064000000}"/>
    <cellStyle name="60% - Accent6 3" xfId="96" xr:uid="{00000000-0005-0000-0000-000065000000}"/>
    <cellStyle name="Accent1 2" xfId="97" xr:uid="{00000000-0005-0000-0000-000066000000}"/>
    <cellStyle name="Accent1 3" xfId="98" xr:uid="{00000000-0005-0000-0000-000067000000}"/>
    <cellStyle name="Accent2 2" xfId="99" xr:uid="{00000000-0005-0000-0000-000068000000}"/>
    <cellStyle name="Accent2 3" xfId="100" xr:uid="{00000000-0005-0000-0000-000069000000}"/>
    <cellStyle name="Accent3 2" xfId="101" xr:uid="{00000000-0005-0000-0000-00006A000000}"/>
    <cellStyle name="Accent3 3" xfId="102" xr:uid="{00000000-0005-0000-0000-00006B000000}"/>
    <cellStyle name="Accent4 2" xfId="103" xr:uid="{00000000-0005-0000-0000-00006C000000}"/>
    <cellStyle name="Accent4 3" xfId="104" xr:uid="{00000000-0005-0000-0000-00006D000000}"/>
    <cellStyle name="Accent5 2" xfId="105" xr:uid="{00000000-0005-0000-0000-00006E000000}"/>
    <cellStyle name="Accent5 3" xfId="106" xr:uid="{00000000-0005-0000-0000-00006F000000}"/>
    <cellStyle name="Accent6 2" xfId="107" xr:uid="{00000000-0005-0000-0000-000070000000}"/>
    <cellStyle name="Accent6 3" xfId="108" xr:uid="{00000000-0005-0000-0000-000071000000}"/>
    <cellStyle name="Bad 2" xfId="109" xr:uid="{00000000-0005-0000-0000-000072000000}"/>
    <cellStyle name="Bad 3" xfId="110" xr:uid="{00000000-0005-0000-0000-000073000000}"/>
    <cellStyle name="Calculation 2" xfId="111" xr:uid="{00000000-0005-0000-0000-000074000000}"/>
    <cellStyle name="Calculation 3" xfId="112" xr:uid="{00000000-0005-0000-0000-000075000000}"/>
    <cellStyle name="Comma 2" xfId="159" xr:uid="{00000000-0005-0000-0000-000077000000}"/>
    <cellStyle name="Comma 2 2" xfId="276" xr:uid="{775E018A-202D-49EB-92F8-1A140797C958}"/>
    <cellStyle name="Comma 3" xfId="203" xr:uid="{00000000-0005-0000-0000-000078000000}"/>
    <cellStyle name="Čiarka" xfId="1" builtinId="3"/>
    <cellStyle name="Čiarka 2" xfId="277" xr:uid="{E30A5856-073D-4D33-9242-76BDA3F74872}"/>
    <cellStyle name="Dobrá" xfId="178" xr:uid="{00000000-0005-0000-0000-000079000000}"/>
    <cellStyle name="Explanatory Text 2" xfId="113" xr:uid="{00000000-0005-0000-0000-00007A000000}"/>
    <cellStyle name="Explanatory Text 3" xfId="114" xr:uid="{00000000-0005-0000-0000-00007B000000}"/>
    <cellStyle name="Good 2" xfId="115" xr:uid="{00000000-0005-0000-0000-00007C000000}"/>
    <cellStyle name="Good 3" xfId="116" xr:uid="{00000000-0005-0000-0000-00007D000000}"/>
    <cellStyle name="Heading 1 2" xfId="117" xr:uid="{00000000-0005-0000-0000-00007E000000}"/>
    <cellStyle name="Heading 1 3" xfId="118" xr:uid="{00000000-0005-0000-0000-00007F000000}"/>
    <cellStyle name="Heading 2 2" xfId="119" xr:uid="{00000000-0005-0000-0000-000080000000}"/>
    <cellStyle name="Heading 2 3" xfId="120" xr:uid="{00000000-0005-0000-0000-000081000000}"/>
    <cellStyle name="Heading 3 2" xfId="121" xr:uid="{00000000-0005-0000-0000-000082000000}"/>
    <cellStyle name="Heading 3 3" xfId="122" xr:uid="{00000000-0005-0000-0000-000083000000}"/>
    <cellStyle name="Heading 4 2" xfId="123" xr:uid="{00000000-0005-0000-0000-000084000000}"/>
    <cellStyle name="Heading 4 3" xfId="124" xr:uid="{00000000-0005-0000-0000-000085000000}"/>
    <cellStyle name="Hypertextové prepojenie" xfId="2" builtinId="8"/>
    <cellStyle name="Check Cell 2" xfId="125" xr:uid="{00000000-0005-0000-0000-000087000000}"/>
    <cellStyle name="Check Cell 3" xfId="126" xr:uid="{00000000-0005-0000-0000-000088000000}"/>
    <cellStyle name="Input 2" xfId="127" xr:uid="{00000000-0005-0000-0000-000089000000}"/>
    <cellStyle name="Input 3" xfId="128" xr:uid="{00000000-0005-0000-0000-00008A000000}"/>
    <cellStyle name="Kontrolná bunka" xfId="179" xr:uid="{00000000-0005-0000-0000-00008B000000}"/>
    <cellStyle name="Linked Cell 2" xfId="129" xr:uid="{00000000-0005-0000-0000-00008C000000}"/>
    <cellStyle name="Linked Cell 3" xfId="130" xr:uid="{00000000-0005-0000-0000-00008D000000}"/>
    <cellStyle name="měny_prilohy1,2,3,4 Heatco Deloitte" xfId="10" xr:uid="{00000000-0005-0000-0000-00008E000000}"/>
    <cellStyle name="Nadpis 1" xfId="180" xr:uid="{00000000-0005-0000-0000-00008F000000}"/>
    <cellStyle name="Nadpis 2" xfId="181" xr:uid="{00000000-0005-0000-0000-000090000000}"/>
    <cellStyle name="Nadpis 3" xfId="182" xr:uid="{00000000-0005-0000-0000-000091000000}"/>
    <cellStyle name="Nadpis 4" xfId="183" xr:uid="{00000000-0005-0000-0000-000092000000}"/>
    <cellStyle name="Neutral 2" xfId="131" xr:uid="{00000000-0005-0000-0000-000093000000}"/>
    <cellStyle name="Neutral 3" xfId="132" xr:uid="{00000000-0005-0000-0000-000094000000}"/>
    <cellStyle name="Neutrálna" xfId="184" xr:uid="{00000000-0005-0000-0000-000095000000}"/>
    <cellStyle name="Normal 2" xfId="3" xr:uid="{00000000-0005-0000-0000-000097000000}"/>
    <cellStyle name="Normal 2 2" xfId="133" xr:uid="{00000000-0005-0000-0000-000098000000}"/>
    <cellStyle name="Normal 2 2 2" xfId="264" xr:uid="{73201E45-7538-456F-A295-D6549F159E72}"/>
    <cellStyle name="Normal 2 2 3" xfId="339" xr:uid="{D02A2712-A74D-464F-8D5C-320203002802}"/>
    <cellStyle name="Normal 2 3" xfId="134" xr:uid="{00000000-0005-0000-0000-000099000000}"/>
    <cellStyle name="Normal 2 4" xfId="135" xr:uid="{00000000-0005-0000-0000-00009A000000}"/>
    <cellStyle name="Normal 2 4 2" xfId="265" xr:uid="{0F8009F3-40E0-497D-9D5E-875FA7560EA9}"/>
    <cellStyle name="Normal 2 4 3" xfId="340" xr:uid="{1A8B50D7-6F01-497D-AD3C-33B2AC576B5B}"/>
    <cellStyle name="Normal 2 5" xfId="136" xr:uid="{00000000-0005-0000-0000-00009B000000}"/>
    <cellStyle name="Normal 2 5 2" xfId="266" xr:uid="{681257ED-E21B-4E2C-9DE2-93C4937CC0ED}"/>
    <cellStyle name="Normal 2 5 3" xfId="341" xr:uid="{C3C9568C-8FE0-4138-AEFE-9669DEA37BC1}"/>
    <cellStyle name="Normal 3" xfId="4" xr:uid="{00000000-0005-0000-0000-00009C000000}"/>
    <cellStyle name="Normal 3 2" xfId="137" xr:uid="{00000000-0005-0000-0000-00009D000000}"/>
    <cellStyle name="Normal 3 2 2" xfId="267" xr:uid="{4C600088-56C8-481F-95F6-E31AB4321353}"/>
    <cellStyle name="Normal 3 2 3" xfId="342" xr:uid="{C8947B40-236D-479A-9F53-5FAD802893AF}"/>
    <cellStyle name="Normal 3 3" xfId="138" xr:uid="{00000000-0005-0000-0000-00009E000000}"/>
    <cellStyle name="Normal 3 4" xfId="158" xr:uid="{00000000-0005-0000-0000-00009F000000}"/>
    <cellStyle name="Normal 4" xfId="6" xr:uid="{00000000-0005-0000-0000-0000A0000000}"/>
    <cellStyle name="Normal 4 2" xfId="139" xr:uid="{00000000-0005-0000-0000-0000A1000000}"/>
    <cellStyle name="Normal 4 2 2" xfId="268" xr:uid="{CC25BC5D-0D16-4EF0-BFDB-3673C585BDC7}"/>
    <cellStyle name="Normal 4 2 3" xfId="343" xr:uid="{17730C14-5E05-4DD8-8435-440197BC9F6D}"/>
    <cellStyle name="Normal 4 3" xfId="12" xr:uid="{00000000-0005-0000-0000-0000A2000000}"/>
    <cellStyle name="Normal 4 4" xfId="201" xr:uid="{00000000-0005-0000-0000-0000A3000000}"/>
    <cellStyle name="Normal 5" xfId="140" xr:uid="{00000000-0005-0000-0000-0000A4000000}"/>
    <cellStyle name="Normal 6" xfId="141" xr:uid="{00000000-0005-0000-0000-0000A5000000}"/>
    <cellStyle name="Normal 6 2" xfId="269" xr:uid="{1EEDBB70-BC0B-4F8B-9801-7855E2E8C8B3}"/>
    <cellStyle name="Normal 6 3" xfId="344" xr:uid="{FBFECB47-BCFA-4B97-9779-156E9AEA4DFA}"/>
    <cellStyle name="Normal 7" xfId="154" xr:uid="{00000000-0005-0000-0000-0000A6000000}"/>
    <cellStyle name="Normal 7 2" xfId="275" xr:uid="{BA0EFD23-5657-4948-8B84-AF88A279CFFA}"/>
    <cellStyle name="Normal 8" xfId="202" xr:uid="{00000000-0005-0000-0000-0000A7000000}"/>
    <cellStyle name="Normal_cover fs company 2003" xfId="5" xr:uid="{00000000-0005-0000-0000-0000A8000000}"/>
    <cellStyle name="Normal_Worksheet in 2225 Fotomat Cash Flow 2002" xfId="9" xr:uid="{00000000-0005-0000-0000-0000A9000000}"/>
    <cellStyle name="Normal_Worksheet in 2232 &lt;PBC&gt; FS @ 31.12" xfId="7" xr:uid="{00000000-0005-0000-0000-0000AA000000}"/>
    <cellStyle name="Normálna" xfId="0" builtinId="0"/>
    <cellStyle name="Normálna 2" xfId="278" xr:uid="{FA4F226B-CC1B-4549-B2F5-8F32F6C80DF5}"/>
    <cellStyle name="normálne_DPH od 1.1.2004" xfId="155" xr:uid="{00000000-0005-0000-0000-0000AB000000}"/>
    <cellStyle name="normálne_UC_ZAV_PU_POD_" xfId="156" xr:uid="{00000000-0005-0000-0000-0000AC000000}"/>
    <cellStyle name="normálne_Uctovne vykazyeva" xfId="157" xr:uid="{00000000-0005-0000-0000-0000AD000000}"/>
    <cellStyle name="normální_BIL_KONS 96" xfId="11" xr:uid="{00000000-0005-0000-0000-0000AE000000}"/>
    <cellStyle name="normální_cashflow96" xfId="8" xr:uid="{00000000-0005-0000-0000-0000AF000000}"/>
    <cellStyle name="Note 2" xfId="142" xr:uid="{00000000-0005-0000-0000-0000B0000000}"/>
    <cellStyle name="Note 2 2" xfId="143" xr:uid="{00000000-0005-0000-0000-0000B1000000}"/>
    <cellStyle name="Note 2 2 2" xfId="271" xr:uid="{88C8130C-302D-46A4-B2D8-3695F00BD0A1}"/>
    <cellStyle name="Note 2 2 3" xfId="346" xr:uid="{6070B714-ABBC-422A-BF1B-C82143E7FF71}"/>
    <cellStyle name="Note 2 3" xfId="270" xr:uid="{C1B51621-3840-47B9-BC79-A1E6606218E0}"/>
    <cellStyle name="Note 2 4" xfId="345" xr:uid="{25F7CEDB-66A3-45F6-BA37-6C788EB7BDEA}"/>
    <cellStyle name="Note 3" xfId="144" xr:uid="{00000000-0005-0000-0000-0000B2000000}"/>
    <cellStyle name="Note 3 2" xfId="145" xr:uid="{00000000-0005-0000-0000-0000B3000000}"/>
    <cellStyle name="Note 3 2 2" xfId="273" xr:uid="{0F593F9D-6DCC-46D6-9E19-D811EFACD7F1}"/>
    <cellStyle name="Note 3 2 3" xfId="348" xr:uid="{2F4EC79A-5160-4EDE-B93F-C9F9096F660B}"/>
    <cellStyle name="Note 3 3" xfId="272" xr:uid="{E930389A-AF83-4E43-9968-658B219637CE}"/>
    <cellStyle name="Note 3 4" xfId="347" xr:uid="{32BF5304-07F7-4AEA-94FF-BE3F57E0EDD4}"/>
    <cellStyle name="Note 4" xfId="146" xr:uid="{00000000-0005-0000-0000-0000B4000000}"/>
    <cellStyle name="Note 4 2" xfId="274" xr:uid="{E7379F8F-AFDB-4295-A102-B4AE2ACD99FF}"/>
    <cellStyle name="Note 4 3" xfId="349" xr:uid="{6E3935CB-6DCD-4CDF-8745-5C2E67F3D534}"/>
    <cellStyle name="Output 2" xfId="147" xr:uid="{00000000-0005-0000-0000-0000B5000000}"/>
    <cellStyle name="Output 3" xfId="148" xr:uid="{00000000-0005-0000-0000-0000B6000000}"/>
    <cellStyle name="Percent 2" xfId="149" xr:uid="{00000000-0005-0000-0000-0000B7000000}"/>
    <cellStyle name="Poznámka" xfId="185" xr:uid="{00000000-0005-0000-0000-0000B8000000}"/>
    <cellStyle name="Prepojená bunka" xfId="186" xr:uid="{00000000-0005-0000-0000-0000B9000000}"/>
    <cellStyle name="Spolu" xfId="187" xr:uid="{00000000-0005-0000-0000-0000BA000000}"/>
    <cellStyle name="Text upozornenia" xfId="188" xr:uid="{00000000-0005-0000-0000-0000BB000000}"/>
    <cellStyle name="Titul" xfId="189" xr:uid="{00000000-0005-0000-0000-0000BC000000}"/>
    <cellStyle name="Total 2" xfId="150" xr:uid="{00000000-0005-0000-0000-0000BD000000}"/>
    <cellStyle name="Total 3" xfId="151" xr:uid="{00000000-0005-0000-0000-0000BE000000}"/>
    <cellStyle name="Vstup" xfId="190" xr:uid="{00000000-0005-0000-0000-0000BF000000}"/>
    <cellStyle name="Výpočet" xfId="191" xr:uid="{00000000-0005-0000-0000-0000C0000000}"/>
    <cellStyle name="Výstup" xfId="192" xr:uid="{00000000-0005-0000-0000-0000C1000000}"/>
    <cellStyle name="Vysvetľujúci text" xfId="193" xr:uid="{00000000-0005-0000-0000-0000C2000000}"/>
    <cellStyle name="Warning Text 2" xfId="152" xr:uid="{00000000-0005-0000-0000-0000C3000000}"/>
    <cellStyle name="Warning Text 3" xfId="153" xr:uid="{00000000-0005-0000-0000-0000C4000000}"/>
    <cellStyle name="Zlá" xfId="194" xr:uid="{00000000-0005-0000-0000-0000C5000000}"/>
    <cellStyle name="Zvýraznenie1" xfId="195" xr:uid="{00000000-0005-0000-0000-0000C6000000}"/>
    <cellStyle name="Zvýraznenie2" xfId="196" xr:uid="{00000000-0005-0000-0000-0000C7000000}"/>
    <cellStyle name="Zvýraznenie3" xfId="197" xr:uid="{00000000-0005-0000-0000-0000C8000000}"/>
    <cellStyle name="Zvýraznenie4" xfId="198" xr:uid="{00000000-0005-0000-0000-0000C9000000}"/>
    <cellStyle name="Zvýraznenie5" xfId="199" xr:uid="{00000000-0005-0000-0000-0000CA000000}"/>
    <cellStyle name="Zvýraznenie6" xfId="200" xr:uid="{00000000-0005-0000-0000-0000C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AFACC"/>
      <color rgb="FFFFFFCC"/>
      <color rgb="FF1B3277"/>
      <color rgb="FF3A9238"/>
      <color rgb="FFFAFA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60</xdr:col>
      <xdr:colOff>28575</xdr:colOff>
      <xdr:row>1</xdr:row>
      <xdr:rowOff>9525</xdr:rowOff>
    </xdr:from>
    <xdr:to>
      <xdr:col>75</xdr:col>
      <xdr:colOff>0</xdr:colOff>
      <xdr:row>4</xdr:row>
      <xdr:rowOff>76200</xdr:rowOff>
    </xdr:to>
    <xdr:pic>
      <xdr:nvPicPr>
        <xdr:cNvPr id="2" name="Picture 4">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48300" y="190500"/>
          <a:ext cx="1390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72</xdr:col>
      <xdr:colOff>19050</xdr:colOff>
      <xdr:row>2</xdr:row>
      <xdr:rowOff>9525</xdr:rowOff>
    </xdr:from>
    <xdr:to>
      <xdr:col>84</xdr:col>
      <xdr:colOff>9525</xdr:colOff>
      <xdr:row>5</xdr:row>
      <xdr:rowOff>0</xdr:rowOff>
    </xdr:to>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85750"/>
          <a:ext cx="10763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72</xdr:col>
      <xdr:colOff>9525</xdr:colOff>
      <xdr:row>1</xdr:row>
      <xdr:rowOff>85725</xdr:rowOff>
    </xdr:from>
    <xdr:to>
      <xdr:col>83</xdr:col>
      <xdr:colOff>19050</xdr:colOff>
      <xdr:row>4</xdr:row>
      <xdr:rowOff>9525</xdr:rowOff>
    </xdr:to>
    <xdr:pic>
      <xdr:nvPicPr>
        <xdr:cNvPr id="2" name="Picture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34025" y="266700"/>
          <a:ext cx="1057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72</xdr:col>
      <xdr:colOff>19050</xdr:colOff>
      <xdr:row>2</xdr:row>
      <xdr:rowOff>19050</xdr:rowOff>
    </xdr:from>
    <xdr:to>
      <xdr:col>83</xdr:col>
      <xdr:colOff>28575</xdr:colOff>
      <xdr:row>5</xdr:row>
      <xdr:rowOff>0</xdr:rowOff>
    </xdr:to>
    <xdr:pic>
      <xdr:nvPicPr>
        <xdr:cNvPr id="2" name="Picture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95275"/>
          <a:ext cx="1057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71</xdr:col>
      <xdr:colOff>38100</xdr:colOff>
      <xdr:row>2</xdr:row>
      <xdr:rowOff>9525</xdr:rowOff>
    </xdr:from>
    <xdr:to>
      <xdr:col>83</xdr:col>
      <xdr:colOff>28575</xdr:colOff>
      <xdr:row>5</xdr:row>
      <xdr:rowOff>0</xdr:rowOff>
    </xdr:to>
    <xdr:pic>
      <xdr:nvPicPr>
        <xdr:cNvPr id="2" name="Picture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353050" y="285750"/>
          <a:ext cx="10763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71</xdr:col>
      <xdr:colOff>19050</xdr:colOff>
      <xdr:row>2</xdr:row>
      <xdr:rowOff>0</xdr:rowOff>
    </xdr:from>
    <xdr:to>
      <xdr:col>83</xdr:col>
      <xdr:colOff>0</xdr:colOff>
      <xdr:row>4</xdr:row>
      <xdr:rowOff>19050</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19725" y="276225"/>
          <a:ext cx="1066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71</xdr:col>
      <xdr:colOff>19050</xdr:colOff>
      <xdr:row>1</xdr:row>
      <xdr:rowOff>85725</xdr:rowOff>
    </xdr:from>
    <xdr:to>
      <xdr:col>82</xdr:col>
      <xdr:colOff>28575</xdr:colOff>
      <xdr:row>4</xdr:row>
      <xdr:rowOff>9525</xdr:rowOff>
    </xdr:to>
    <xdr:pic>
      <xdr:nvPicPr>
        <xdr:cNvPr id="2" name="Picture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48300" y="266700"/>
          <a:ext cx="1057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71</xdr:col>
      <xdr:colOff>28575</xdr:colOff>
      <xdr:row>1</xdr:row>
      <xdr:rowOff>76200</xdr:rowOff>
    </xdr:from>
    <xdr:to>
      <xdr:col>83</xdr:col>
      <xdr:colOff>9525</xdr:colOff>
      <xdr:row>4</xdr:row>
      <xdr:rowOff>9525</xdr:rowOff>
    </xdr:to>
    <xdr:pic>
      <xdr:nvPicPr>
        <xdr:cNvPr id="2" name="Picture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29250" y="257175"/>
          <a:ext cx="1066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71</xdr:col>
      <xdr:colOff>9525</xdr:colOff>
      <xdr:row>1</xdr:row>
      <xdr:rowOff>85725</xdr:rowOff>
    </xdr:from>
    <xdr:to>
      <xdr:col>82</xdr:col>
      <xdr:colOff>28575</xdr:colOff>
      <xdr:row>4</xdr:row>
      <xdr:rowOff>19050</xdr:rowOff>
    </xdr:to>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495925" y="266700"/>
          <a:ext cx="1066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72</xdr:col>
      <xdr:colOff>9525</xdr:colOff>
      <xdr:row>1</xdr:row>
      <xdr:rowOff>76200</xdr:rowOff>
    </xdr:from>
    <xdr:to>
      <xdr:col>83</xdr:col>
      <xdr:colOff>19050</xdr:colOff>
      <xdr:row>4</xdr:row>
      <xdr:rowOff>9525</xdr:rowOff>
    </xdr:to>
    <xdr:pic>
      <xdr:nvPicPr>
        <xdr:cNvPr id="2" name="Picture 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34025" y="257175"/>
          <a:ext cx="10572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72</xdr:col>
      <xdr:colOff>19050</xdr:colOff>
      <xdr:row>2</xdr:row>
      <xdr:rowOff>0</xdr:rowOff>
    </xdr:from>
    <xdr:to>
      <xdr:col>84</xdr:col>
      <xdr:colOff>0</xdr:colOff>
      <xdr:row>4</xdr:row>
      <xdr:rowOff>19050</xdr:rowOff>
    </xdr:to>
    <xdr:pic>
      <xdr:nvPicPr>
        <xdr:cNvPr id="2" name="Picture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76225"/>
          <a:ext cx="1066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72</xdr:col>
      <xdr:colOff>19050</xdr:colOff>
      <xdr:row>2</xdr:row>
      <xdr:rowOff>9525</xdr:rowOff>
    </xdr:from>
    <xdr:to>
      <xdr:col>84</xdr:col>
      <xdr:colOff>0</xdr:colOff>
      <xdr:row>4</xdr:row>
      <xdr:rowOff>28575</xdr:rowOff>
    </xdr:to>
    <xdr:pic>
      <xdr:nvPicPr>
        <xdr:cNvPr id="2" name="Picture 2">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lum bright="-20000" contrast="40000"/>
          <a:extLst>
            <a:ext uri="{28A0092B-C50C-407E-A947-70E740481C1C}">
              <a14:useLocalDpi xmlns:a14="http://schemas.microsoft.com/office/drawing/2010/main" val="0"/>
            </a:ext>
          </a:extLst>
        </a:blip>
        <a:srcRect/>
        <a:stretch>
          <a:fillRect/>
        </a:stretch>
      </xdr:blipFill>
      <xdr:spPr bwMode="auto">
        <a:xfrm>
          <a:off x="5543550" y="285750"/>
          <a:ext cx="1066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tabColor rgb="FFFFFF00"/>
  </sheetPr>
  <dimension ref="A2:J94"/>
  <sheetViews>
    <sheetView showGridLines="0" tabSelected="1" topLeftCell="B73" zoomScale="70" zoomScaleNormal="70" workbookViewId="0">
      <selection activeCell="C77" sqref="C77"/>
    </sheetView>
  </sheetViews>
  <sheetFormatPr defaultRowHeight="15"/>
  <cols>
    <col min="1" max="1" width="4.7109375" style="470" hidden="1" customWidth="1"/>
    <col min="2" max="2" width="6.42578125" style="470" customWidth="1"/>
    <col min="3" max="3" width="98.7109375" style="472" customWidth="1"/>
    <col min="4" max="4" width="15.7109375" style="473" customWidth="1"/>
    <col min="5" max="5" width="17.7109375" style="473" customWidth="1"/>
    <col min="6" max="7" width="18.42578125" customWidth="1"/>
    <col min="8" max="8" width="16.7109375" customWidth="1"/>
    <col min="9" max="9" width="18.140625" customWidth="1"/>
    <col min="10" max="257" width="9.140625" style="474"/>
    <col min="258" max="258" width="6.42578125" style="474" customWidth="1"/>
    <col min="259" max="259" width="98.7109375" style="474" customWidth="1"/>
    <col min="260" max="261" width="15.7109375" style="474" customWidth="1"/>
    <col min="262" max="262" width="10.28515625" style="474" bestFit="1" customWidth="1"/>
    <col min="263" max="513" width="9.140625" style="474"/>
    <col min="514" max="514" width="6.42578125" style="474" customWidth="1"/>
    <col min="515" max="515" width="98.7109375" style="474" customWidth="1"/>
    <col min="516" max="517" width="15.7109375" style="474" customWidth="1"/>
    <col min="518" max="518" width="10.28515625" style="474" bestFit="1" customWidth="1"/>
    <col min="519" max="769" width="9.140625" style="474"/>
    <col min="770" max="770" width="6.42578125" style="474" customWidth="1"/>
    <col min="771" max="771" width="98.7109375" style="474" customWidth="1"/>
    <col min="772" max="773" width="15.7109375" style="474" customWidth="1"/>
    <col min="774" max="774" width="10.28515625" style="474" bestFit="1" customWidth="1"/>
    <col min="775" max="1025" width="9.140625" style="474"/>
    <col min="1026" max="1026" width="6.42578125" style="474" customWidth="1"/>
    <col min="1027" max="1027" width="98.7109375" style="474" customWidth="1"/>
    <col min="1028" max="1029" width="15.7109375" style="474" customWidth="1"/>
    <col min="1030" max="1030" width="10.28515625" style="474" bestFit="1" customWidth="1"/>
    <col min="1031" max="1281" width="9.140625" style="474"/>
    <col min="1282" max="1282" width="6.42578125" style="474" customWidth="1"/>
    <col min="1283" max="1283" width="98.7109375" style="474" customWidth="1"/>
    <col min="1284" max="1285" width="15.7109375" style="474" customWidth="1"/>
    <col min="1286" max="1286" width="10.28515625" style="474" bestFit="1" customWidth="1"/>
    <col min="1287" max="1537" width="9.140625" style="474"/>
    <col min="1538" max="1538" width="6.42578125" style="474" customWidth="1"/>
    <col min="1539" max="1539" width="98.7109375" style="474" customWidth="1"/>
    <col min="1540" max="1541" width="15.7109375" style="474" customWidth="1"/>
    <col min="1542" max="1542" width="10.28515625" style="474" bestFit="1" customWidth="1"/>
    <col min="1543" max="1793" width="9.140625" style="474"/>
    <col min="1794" max="1794" width="6.42578125" style="474" customWidth="1"/>
    <col min="1795" max="1795" width="98.7109375" style="474" customWidth="1"/>
    <col min="1796" max="1797" width="15.7109375" style="474" customWidth="1"/>
    <col min="1798" max="1798" width="10.28515625" style="474" bestFit="1" customWidth="1"/>
    <col min="1799" max="2049" width="9.140625" style="474"/>
    <col min="2050" max="2050" width="6.42578125" style="474" customWidth="1"/>
    <col min="2051" max="2051" width="98.7109375" style="474" customWidth="1"/>
    <col min="2052" max="2053" width="15.7109375" style="474" customWidth="1"/>
    <col min="2054" max="2054" width="10.28515625" style="474" bestFit="1" customWidth="1"/>
    <col min="2055" max="2305" width="9.140625" style="474"/>
    <col min="2306" max="2306" width="6.42578125" style="474" customWidth="1"/>
    <col min="2307" max="2307" width="98.7109375" style="474" customWidth="1"/>
    <col min="2308" max="2309" width="15.7109375" style="474" customWidth="1"/>
    <col min="2310" max="2310" width="10.28515625" style="474" bestFit="1" customWidth="1"/>
    <col min="2311" max="2561" width="9.140625" style="474"/>
    <col min="2562" max="2562" width="6.42578125" style="474" customWidth="1"/>
    <col min="2563" max="2563" width="98.7109375" style="474" customWidth="1"/>
    <col min="2564" max="2565" width="15.7109375" style="474" customWidth="1"/>
    <col min="2566" max="2566" width="10.28515625" style="474" bestFit="1" customWidth="1"/>
    <col min="2567" max="2817" width="9.140625" style="474"/>
    <col min="2818" max="2818" width="6.42578125" style="474" customWidth="1"/>
    <col min="2819" max="2819" width="98.7109375" style="474" customWidth="1"/>
    <col min="2820" max="2821" width="15.7109375" style="474" customWidth="1"/>
    <col min="2822" max="2822" width="10.28515625" style="474" bestFit="1" customWidth="1"/>
    <col min="2823" max="3073" width="9.140625" style="474"/>
    <col min="3074" max="3074" width="6.42578125" style="474" customWidth="1"/>
    <col min="3075" max="3075" width="98.7109375" style="474" customWidth="1"/>
    <col min="3076" max="3077" width="15.7109375" style="474" customWidth="1"/>
    <col min="3078" max="3078" width="10.28515625" style="474" bestFit="1" customWidth="1"/>
    <col min="3079" max="3329" width="9.140625" style="474"/>
    <col min="3330" max="3330" width="6.42578125" style="474" customWidth="1"/>
    <col min="3331" max="3331" width="98.7109375" style="474" customWidth="1"/>
    <col min="3332" max="3333" width="15.7109375" style="474" customWidth="1"/>
    <col min="3334" max="3334" width="10.28515625" style="474" bestFit="1" customWidth="1"/>
    <col min="3335" max="3585" width="9.140625" style="474"/>
    <col min="3586" max="3586" width="6.42578125" style="474" customWidth="1"/>
    <col min="3587" max="3587" width="98.7109375" style="474" customWidth="1"/>
    <col min="3588" max="3589" width="15.7109375" style="474" customWidth="1"/>
    <col min="3590" max="3590" width="10.28515625" style="474" bestFit="1" customWidth="1"/>
    <col min="3591" max="3841" width="9.140625" style="474"/>
    <col min="3842" max="3842" width="6.42578125" style="474" customWidth="1"/>
    <col min="3843" max="3843" width="98.7109375" style="474" customWidth="1"/>
    <col min="3844" max="3845" width="15.7109375" style="474" customWidth="1"/>
    <col min="3846" max="3846" width="10.28515625" style="474" bestFit="1" customWidth="1"/>
    <col min="3847" max="4097" width="9.140625" style="474"/>
    <col min="4098" max="4098" width="6.42578125" style="474" customWidth="1"/>
    <col min="4099" max="4099" width="98.7109375" style="474" customWidth="1"/>
    <col min="4100" max="4101" width="15.7109375" style="474" customWidth="1"/>
    <col min="4102" max="4102" width="10.28515625" style="474" bestFit="1" customWidth="1"/>
    <col min="4103" max="4353" width="9.140625" style="474"/>
    <col min="4354" max="4354" width="6.42578125" style="474" customWidth="1"/>
    <col min="4355" max="4355" width="98.7109375" style="474" customWidth="1"/>
    <col min="4356" max="4357" width="15.7109375" style="474" customWidth="1"/>
    <col min="4358" max="4358" width="10.28515625" style="474" bestFit="1" customWidth="1"/>
    <col min="4359" max="4609" width="9.140625" style="474"/>
    <col min="4610" max="4610" width="6.42578125" style="474" customWidth="1"/>
    <col min="4611" max="4611" width="98.7109375" style="474" customWidth="1"/>
    <col min="4612" max="4613" width="15.7109375" style="474" customWidth="1"/>
    <col min="4614" max="4614" width="10.28515625" style="474" bestFit="1" customWidth="1"/>
    <col min="4615" max="4865" width="9.140625" style="474"/>
    <col min="4866" max="4866" width="6.42578125" style="474" customWidth="1"/>
    <col min="4867" max="4867" width="98.7109375" style="474" customWidth="1"/>
    <col min="4868" max="4869" width="15.7109375" style="474" customWidth="1"/>
    <col min="4870" max="4870" width="10.28515625" style="474" bestFit="1" customWidth="1"/>
    <col min="4871" max="5121" width="9.140625" style="474"/>
    <col min="5122" max="5122" width="6.42578125" style="474" customWidth="1"/>
    <col min="5123" max="5123" width="98.7109375" style="474" customWidth="1"/>
    <col min="5124" max="5125" width="15.7109375" style="474" customWidth="1"/>
    <col min="5126" max="5126" width="10.28515625" style="474" bestFit="1" customWidth="1"/>
    <col min="5127" max="5377" width="9.140625" style="474"/>
    <col min="5378" max="5378" width="6.42578125" style="474" customWidth="1"/>
    <col min="5379" max="5379" width="98.7109375" style="474" customWidth="1"/>
    <col min="5380" max="5381" width="15.7109375" style="474" customWidth="1"/>
    <col min="5382" max="5382" width="10.28515625" style="474" bestFit="1" customWidth="1"/>
    <col min="5383" max="5633" width="9.140625" style="474"/>
    <col min="5634" max="5634" width="6.42578125" style="474" customWidth="1"/>
    <col min="5635" max="5635" width="98.7109375" style="474" customWidth="1"/>
    <col min="5636" max="5637" width="15.7109375" style="474" customWidth="1"/>
    <col min="5638" max="5638" width="10.28515625" style="474" bestFit="1" customWidth="1"/>
    <col min="5639" max="5889" width="9.140625" style="474"/>
    <col min="5890" max="5890" width="6.42578125" style="474" customWidth="1"/>
    <col min="5891" max="5891" width="98.7109375" style="474" customWidth="1"/>
    <col min="5892" max="5893" width="15.7109375" style="474" customWidth="1"/>
    <col min="5894" max="5894" width="10.28515625" style="474" bestFit="1" customWidth="1"/>
    <col min="5895" max="6145" width="9.140625" style="474"/>
    <col min="6146" max="6146" width="6.42578125" style="474" customWidth="1"/>
    <col min="6147" max="6147" width="98.7109375" style="474" customWidth="1"/>
    <col min="6148" max="6149" width="15.7109375" style="474" customWidth="1"/>
    <col min="6150" max="6150" width="10.28515625" style="474" bestFit="1" customWidth="1"/>
    <col min="6151" max="6401" width="9.140625" style="474"/>
    <col min="6402" max="6402" width="6.42578125" style="474" customWidth="1"/>
    <col min="6403" max="6403" width="98.7109375" style="474" customWidth="1"/>
    <col min="6404" max="6405" width="15.7109375" style="474" customWidth="1"/>
    <col min="6406" max="6406" width="10.28515625" style="474" bestFit="1" customWidth="1"/>
    <col min="6407" max="6657" width="9.140625" style="474"/>
    <col min="6658" max="6658" width="6.42578125" style="474" customWidth="1"/>
    <col min="6659" max="6659" width="98.7109375" style="474" customWidth="1"/>
    <col min="6660" max="6661" width="15.7109375" style="474" customWidth="1"/>
    <col min="6662" max="6662" width="10.28515625" style="474" bestFit="1" customWidth="1"/>
    <col min="6663" max="6913" width="9.140625" style="474"/>
    <col min="6914" max="6914" width="6.42578125" style="474" customWidth="1"/>
    <col min="6915" max="6915" width="98.7109375" style="474" customWidth="1"/>
    <col min="6916" max="6917" width="15.7109375" style="474" customWidth="1"/>
    <col min="6918" max="6918" width="10.28515625" style="474" bestFit="1" customWidth="1"/>
    <col min="6919" max="7169" width="9.140625" style="474"/>
    <col min="7170" max="7170" width="6.42578125" style="474" customWidth="1"/>
    <col min="7171" max="7171" width="98.7109375" style="474" customWidth="1"/>
    <col min="7172" max="7173" width="15.7109375" style="474" customWidth="1"/>
    <col min="7174" max="7174" width="10.28515625" style="474" bestFit="1" customWidth="1"/>
    <col min="7175" max="7425" width="9.140625" style="474"/>
    <col min="7426" max="7426" width="6.42578125" style="474" customWidth="1"/>
    <col min="7427" max="7427" width="98.7109375" style="474" customWidth="1"/>
    <col min="7428" max="7429" width="15.7109375" style="474" customWidth="1"/>
    <col min="7430" max="7430" width="10.28515625" style="474" bestFit="1" customWidth="1"/>
    <col min="7431" max="7681" width="9.140625" style="474"/>
    <col min="7682" max="7682" width="6.42578125" style="474" customWidth="1"/>
    <col min="7683" max="7683" width="98.7109375" style="474" customWidth="1"/>
    <col min="7684" max="7685" width="15.7109375" style="474" customWidth="1"/>
    <col min="7686" max="7686" width="10.28515625" style="474" bestFit="1" customWidth="1"/>
    <col min="7687" max="7937" width="9.140625" style="474"/>
    <col min="7938" max="7938" width="6.42578125" style="474" customWidth="1"/>
    <col min="7939" max="7939" width="98.7109375" style="474" customWidth="1"/>
    <col min="7940" max="7941" width="15.7109375" style="474" customWidth="1"/>
    <col min="7942" max="7942" width="10.28515625" style="474" bestFit="1" customWidth="1"/>
    <col min="7943" max="8193" width="9.140625" style="474"/>
    <col min="8194" max="8194" width="6.42578125" style="474" customWidth="1"/>
    <col min="8195" max="8195" width="98.7109375" style="474" customWidth="1"/>
    <col min="8196" max="8197" width="15.7109375" style="474" customWidth="1"/>
    <col min="8198" max="8198" width="10.28515625" style="474" bestFit="1" customWidth="1"/>
    <col min="8199" max="8449" width="9.140625" style="474"/>
    <col min="8450" max="8450" width="6.42578125" style="474" customWidth="1"/>
    <col min="8451" max="8451" width="98.7109375" style="474" customWidth="1"/>
    <col min="8452" max="8453" width="15.7109375" style="474" customWidth="1"/>
    <col min="8454" max="8454" width="10.28515625" style="474" bestFit="1" customWidth="1"/>
    <col min="8455" max="8705" width="9.140625" style="474"/>
    <col min="8706" max="8706" width="6.42578125" style="474" customWidth="1"/>
    <col min="8707" max="8707" width="98.7109375" style="474" customWidth="1"/>
    <col min="8708" max="8709" width="15.7109375" style="474" customWidth="1"/>
    <col min="8710" max="8710" width="10.28515625" style="474" bestFit="1" customWidth="1"/>
    <col min="8711" max="8961" width="9.140625" style="474"/>
    <col min="8962" max="8962" width="6.42578125" style="474" customWidth="1"/>
    <col min="8963" max="8963" width="98.7109375" style="474" customWidth="1"/>
    <col min="8964" max="8965" width="15.7109375" style="474" customWidth="1"/>
    <col min="8966" max="8966" width="10.28515625" style="474" bestFit="1" customWidth="1"/>
    <col min="8967" max="9217" width="9.140625" style="474"/>
    <col min="9218" max="9218" width="6.42578125" style="474" customWidth="1"/>
    <col min="9219" max="9219" width="98.7109375" style="474" customWidth="1"/>
    <col min="9220" max="9221" width="15.7109375" style="474" customWidth="1"/>
    <col min="9222" max="9222" width="10.28515625" style="474" bestFit="1" customWidth="1"/>
    <col min="9223" max="9473" width="9.140625" style="474"/>
    <col min="9474" max="9474" width="6.42578125" style="474" customWidth="1"/>
    <col min="9475" max="9475" width="98.7109375" style="474" customWidth="1"/>
    <col min="9476" max="9477" width="15.7109375" style="474" customWidth="1"/>
    <col min="9478" max="9478" width="10.28515625" style="474" bestFit="1" customWidth="1"/>
    <col min="9479" max="9729" width="9.140625" style="474"/>
    <col min="9730" max="9730" width="6.42578125" style="474" customWidth="1"/>
    <col min="9731" max="9731" width="98.7109375" style="474" customWidth="1"/>
    <col min="9732" max="9733" width="15.7109375" style="474" customWidth="1"/>
    <col min="9734" max="9734" width="10.28515625" style="474" bestFit="1" customWidth="1"/>
    <col min="9735" max="9985" width="9.140625" style="474"/>
    <col min="9986" max="9986" width="6.42578125" style="474" customWidth="1"/>
    <col min="9987" max="9987" width="98.7109375" style="474" customWidth="1"/>
    <col min="9988" max="9989" width="15.7109375" style="474" customWidth="1"/>
    <col min="9990" max="9990" width="10.28515625" style="474" bestFit="1" customWidth="1"/>
    <col min="9991" max="10241" width="9.140625" style="474"/>
    <col min="10242" max="10242" width="6.42578125" style="474" customWidth="1"/>
    <col min="10243" max="10243" width="98.7109375" style="474" customWidth="1"/>
    <col min="10244" max="10245" width="15.7109375" style="474" customWidth="1"/>
    <col min="10246" max="10246" width="10.28515625" style="474" bestFit="1" customWidth="1"/>
    <col min="10247" max="10497" width="9.140625" style="474"/>
    <col min="10498" max="10498" width="6.42578125" style="474" customWidth="1"/>
    <col min="10499" max="10499" width="98.7109375" style="474" customWidth="1"/>
    <col min="10500" max="10501" width="15.7109375" style="474" customWidth="1"/>
    <col min="10502" max="10502" width="10.28515625" style="474" bestFit="1" customWidth="1"/>
    <col min="10503" max="10753" width="9.140625" style="474"/>
    <col min="10754" max="10754" width="6.42578125" style="474" customWidth="1"/>
    <col min="10755" max="10755" width="98.7109375" style="474" customWidth="1"/>
    <col min="10756" max="10757" width="15.7109375" style="474" customWidth="1"/>
    <col min="10758" max="10758" width="10.28515625" style="474" bestFit="1" customWidth="1"/>
    <col min="10759" max="11009" width="9.140625" style="474"/>
    <col min="11010" max="11010" width="6.42578125" style="474" customWidth="1"/>
    <col min="11011" max="11011" width="98.7109375" style="474" customWidth="1"/>
    <col min="11012" max="11013" width="15.7109375" style="474" customWidth="1"/>
    <col min="11014" max="11014" width="10.28515625" style="474" bestFit="1" customWidth="1"/>
    <col min="11015" max="11265" width="9.140625" style="474"/>
    <col min="11266" max="11266" width="6.42578125" style="474" customWidth="1"/>
    <col min="11267" max="11267" width="98.7109375" style="474" customWidth="1"/>
    <col min="11268" max="11269" width="15.7109375" style="474" customWidth="1"/>
    <col min="11270" max="11270" width="10.28515625" style="474" bestFit="1" customWidth="1"/>
    <col min="11271" max="11521" width="9.140625" style="474"/>
    <col min="11522" max="11522" width="6.42578125" style="474" customWidth="1"/>
    <col min="11523" max="11523" width="98.7109375" style="474" customWidth="1"/>
    <col min="11524" max="11525" width="15.7109375" style="474" customWidth="1"/>
    <col min="11526" max="11526" width="10.28515625" style="474" bestFit="1" customWidth="1"/>
    <col min="11527" max="11777" width="9.140625" style="474"/>
    <col min="11778" max="11778" width="6.42578125" style="474" customWidth="1"/>
    <col min="11779" max="11779" width="98.7109375" style="474" customWidth="1"/>
    <col min="11780" max="11781" width="15.7109375" style="474" customWidth="1"/>
    <col min="11782" max="11782" width="10.28515625" style="474" bestFit="1" customWidth="1"/>
    <col min="11783" max="12033" width="9.140625" style="474"/>
    <col min="12034" max="12034" width="6.42578125" style="474" customWidth="1"/>
    <col min="12035" max="12035" width="98.7109375" style="474" customWidth="1"/>
    <col min="12036" max="12037" width="15.7109375" style="474" customWidth="1"/>
    <col min="12038" max="12038" width="10.28515625" style="474" bestFit="1" customWidth="1"/>
    <col min="12039" max="12289" width="9.140625" style="474"/>
    <col min="12290" max="12290" width="6.42578125" style="474" customWidth="1"/>
    <col min="12291" max="12291" width="98.7109375" style="474" customWidth="1"/>
    <col min="12292" max="12293" width="15.7109375" style="474" customWidth="1"/>
    <col min="12294" max="12294" width="10.28515625" style="474" bestFit="1" customWidth="1"/>
    <col min="12295" max="12545" width="9.140625" style="474"/>
    <col min="12546" max="12546" width="6.42578125" style="474" customWidth="1"/>
    <col min="12547" max="12547" width="98.7109375" style="474" customWidth="1"/>
    <col min="12548" max="12549" width="15.7109375" style="474" customWidth="1"/>
    <col min="12550" max="12550" width="10.28515625" style="474" bestFit="1" customWidth="1"/>
    <col min="12551" max="12801" width="9.140625" style="474"/>
    <col min="12802" max="12802" width="6.42578125" style="474" customWidth="1"/>
    <col min="12803" max="12803" width="98.7109375" style="474" customWidth="1"/>
    <col min="12804" max="12805" width="15.7109375" style="474" customWidth="1"/>
    <col min="12806" max="12806" width="10.28515625" style="474" bestFit="1" customWidth="1"/>
    <col min="12807" max="13057" width="9.140625" style="474"/>
    <col min="13058" max="13058" width="6.42578125" style="474" customWidth="1"/>
    <col min="13059" max="13059" width="98.7109375" style="474" customWidth="1"/>
    <col min="13060" max="13061" width="15.7109375" style="474" customWidth="1"/>
    <col min="13062" max="13062" width="10.28515625" style="474" bestFit="1" customWidth="1"/>
    <col min="13063" max="13313" width="9.140625" style="474"/>
    <col min="13314" max="13314" width="6.42578125" style="474" customWidth="1"/>
    <col min="13315" max="13315" width="98.7109375" style="474" customWidth="1"/>
    <col min="13316" max="13317" width="15.7109375" style="474" customWidth="1"/>
    <col min="13318" max="13318" width="10.28515625" style="474" bestFit="1" customWidth="1"/>
    <col min="13319" max="13569" width="9.140625" style="474"/>
    <col min="13570" max="13570" width="6.42578125" style="474" customWidth="1"/>
    <col min="13571" max="13571" width="98.7109375" style="474" customWidth="1"/>
    <col min="13572" max="13573" width="15.7109375" style="474" customWidth="1"/>
    <col min="13574" max="13574" width="10.28515625" style="474" bestFit="1" customWidth="1"/>
    <col min="13575" max="13825" width="9.140625" style="474"/>
    <col min="13826" max="13826" width="6.42578125" style="474" customWidth="1"/>
    <col min="13827" max="13827" width="98.7109375" style="474" customWidth="1"/>
    <col min="13828" max="13829" width="15.7109375" style="474" customWidth="1"/>
    <col min="13830" max="13830" width="10.28515625" style="474" bestFit="1" customWidth="1"/>
    <col min="13831" max="14081" width="9.140625" style="474"/>
    <col min="14082" max="14082" width="6.42578125" style="474" customWidth="1"/>
    <col min="14083" max="14083" width="98.7109375" style="474" customWidth="1"/>
    <col min="14084" max="14085" width="15.7109375" style="474" customWidth="1"/>
    <col min="14086" max="14086" width="10.28515625" style="474" bestFit="1" customWidth="1"/>
    <col min="14087" max="14337" width="9.140625" style="474"/>
    <col min="14338" max="14338" width="6.42578125" style="474" customWidth="1"/>
    <col min="14339" max="14339" width="98.7109375" style="474" customWidth="1"/>
    <col min="14340" max="14341" width="15.7109375" style="474" customWidth="1"/>
    <col min="14342" max="14342" width="10.28515625" style="474" bestFit="1" customWidth="1"/>
    <col min="14343" max="14593" width="9.140625" style="474"/>
    <col min="14594" max="14594" width="6.42578125" style="474" customWidth="1"/>
    <col min="14595" max="14595" width="98.7109375" style="474" customWidth="1"/>
    <col min="14596" max="14597" width="15.7109375" style="474" customWidth="1"/>
    <col min="14598" max="14598" width="10.28515625" style="474" bestFit="1" customWidth="1"/>
    <col min="14599" max="14849" width="9.140625" style="474"/>
    <col min="14850" max="14850" width="6.42578125" style="474" customWidth="1"/>
    <col min="14851" max="14851" width="98.7109375" style="474" customWidth="1"/>
    <col min="14852" max="14853" width="15.7109375" style="474" customWidth="1"/>
    <col min="14854" max="14854" width="10.28515625" style="474" bestFit="1" customWidth="1"/>
    <col min="14855" max="15105" width="9.140625" style="474"/>
    <col min="15106" max="15106" width="6.42578125" style="474" customWidth="1"/>
    <col min="15107" max="15107" width="98.7109375" style="474" customWidth="1"/>
    <col min="15108" max="15109" width="15.7109375" style="474" customWidth="1"/>
    <col min="15110" max="15110" width="10.28515625" style="474" bestFit="1" customWidth="1"/>
    <col min="15111" max="15361" width="9.140625" style="474"/>
    <col min="15362" max="15362" width="6.42578125" style="474" customWidth="1"/>
    <col min="15363" max="15363" width="98.7109375" style="474" customWidth="1"/>
    <col min="15364" max="15365" width="15.7109375" style="474" customWidth="1"/>
    <col min="15366" max="15366" width="10.28515625" style="474" bestFit="1" customWidth="1"/>
    <col min="15367" max="15617" width="9.140625" style="474"/>
    <col min="15618" max="15618" width="6.42578125" style="474" customWidth="1"/>
    <col min="15619" max="15619" width="98.7109375" style="474" customWidth="1"/>
    <col min="15620" max="15621" width="15.7109375" style="474" customWidth="1"/>
    <col min="15622" max="15622" width="10.28515625" style="474" bestFit="1" customWidth="1"/>
    <col min="15623" max="15873" width="9.140625" style="474"/>
    <col min="15874" max="15874" width="6.42578125" style="474" customWidth="1"/>
    <col min="15875" max="15875" width="98.7109375" style="474" customWidth="1"/>
    <col min="15876" max="15877" width="15.7109375" style="474" customWidth="1"/>
    <col min="15878" max="15878" width="10.28515625" style="474" bestFit="1" customWidth="1"/>
    <col min="15879" max="16129" width="9.140625" style="474"/>
    <col min="16130" max="16130" width="6.42578125" style="474" customWidth="1"/>
    <col min="16131" max="16131" width="98.7109375" style="474" customWidth="1"/>
    <col min="16132" max="16133" width="15.7109375" style="474" customWidth="1"/>
    <col min="16134" max="16134" width="10.28515625" style="474" bestFit="1" customWidth="1"/>
    <col min="16135" max="16383" width="9.140625" style="474"/>
    <col min="16384" max="16384" width="9.140625" style="474" customWidth="1"/>
  </cols>
  <sheetData>
    <row r="2" spans="1:5">
      <c r="B2" s="471" t="str">
        <f>Index!C356</f>
        <v>Tabuľka č. 1 - Prehľad peňažných tokov</v>
      </c>
    </row>
    <row r="3" spans="1:5">
      <c r="B3" s="475"/>
      <c r="E3" s="581"/>
    </row>
    <row r="4" spans="1:5" ht="15" customHeight="1">
      <c r="A4" s="476"/>
      <c r="B4" s="664" t="str">
        <f>Index!C357</f>
        <v>Názov položky</v>
      </c>
      <c r="C4" s="477" t="str">
        <f>Index!C358</f>
        <v>Označenie</v>
      </c>
      <c r="D4" s="667" t="str">
        <f>Index!C359</f>
        <v>Skutočnosť v eurách</v>
      </c>
      <c r="E4" s="668"/>
    </row>
    <row r="5" spans="1:5" ht="15" customHeight="1">
      <c r="A5" s="476"/>
      <c r="B5" s="665"/>
      <c r="C5" s="669"/>
      <c r="D5" s="671" t="str">
        <f>Index!C360</f>
        <v>Bežné účtovné obdobie</v>
      </c>
      <c r="E5" s="671" t="str">
        <f>Index!C361</f>
        <v>Minulé účtovné obdobie</v>
      </c>
    </row>
    <row r="6" spans="1:5" ht="20.25" customHeight="1">
      <c r="A6" s="476"/>
      <c r="B6" s="666"/>
      <c r="C6" s="670"/>
      <c r="D6" s="672"/>
      <c r="E6" s="672"/>
    </row>
    <row r="7" spans="1:5">
      <c r="A7" s="475"/>
      <c r="B7" s="478"/>
      <c r="C7" s="479"/>
      <c r="D7" s="480"/>
      <c r="E7" s="481"/>
    </row>
    <row r="8" spans="1:5">
      <c r="A8" s="482"/>
      <c r="B8" s="482" t="str">
        <f>Index!C362</f>
        <v>Peňažné toky z prevádzkovej činnosti</v>
      </c>
      <c r="C8" s="483"/>
      <c r="D8" s="484"/>
      <c r="E8" s="485"/>
    </row>
    <row r="9" spans="1:5">
      <c r="A9" s="475"/>
      <c r="B9" s="486" t="s">
        <v>1014</v>
      </c>
      <c r="C9" s="560" t="str">
        <f>Index!C276</f>
        <v>Výsledok hospodárenia z bežnej činnosti pred zdanením daňou z príjmov (+/</v>
      </c>
      <c r="D9" s="597">
        <f>'CF calculation'!Z164</f>
        <v>604948</v>
      </c>
      <c r="E9" s="629">
        <v>1378111</v>
      </c>
    </row>
    <row r="10" spans="1:5" ht="26.25">
      <c r="B10" s="488" t="s">
        <v>1015</v>
      </c>
      <c r="C10" s="489" t="str">
        <f>Index!C277</f>
        <v>Nepeňažné operácie ovplyvňujúce výsledok hospodárenia z bežnej činnosti pred zdanením daňou z príjmov (+/-)</v>
      </c>
      <c r="D10" s="490">
        <f>SUM(D11:D22)</f>
        <v>1530324</v>
      </c>
      <c r="E10" s="635">
        <v>6271674.8399999999</v>
      </c>
    </row>
    <row r="11" spans="1:5">
      <c r="B11" s="491"/>
      <c r="C11" s="561" t="str">
        <f>Index!C278</f>
        <v>Odpisy dlhodobého nehmotného majetku a dlhodobého hmotného majetku (+)</v>
      </c>
      <c r="D11" s="493">
        <f>'CF calculation'!Z166</f>
        <v>9551</v>
      </c>
      <c r="E11" s="630">
        <v>4850</v>
      </c>
    </row>
    <row r="12" spans="1:5" ht="25.5">
      <c r="B12" s="491"/>
      <c r="C12" s="561" t="str">
        <f>Index!C279</f>
        <v>Zostatková hodnota dlhodobého nehmotného majetku a dlhodobého hmotného majetku účtovaná pri vyradení tohto majetku do nákladov na bežnú činnosť, s výnimkou jeho predaja (+)</v>
      </c>
      <c r="D12" s="493">
        <f>'CF calculation'!Z167</f>
        <v>0</v>
      </c>
      <c r="E12" s="630">
        <v>0</v>
      </c>
    </row>
    <row r="13" spans="1:5">
      <c r="B13" s="491"/>
      <c r="C13" s="561" t="str">
        <f>Index!C280</f>
        <v>Odpis opravnej položky k nadobudnutému majetku (+/-)</v>
      </c>
      <c r="D13" s="493">
        <f>'CF calculation'!Z168</f>
        <v>0</v>
      </c>
      <c r="E13" s="630">
        <v>0</v>
      </c>
    </row>
    <row r="14" spans="1:5">
      <c r="B14" s="491"/>
      <c r="C14" s="561" t="str">
        <f>Index!C281</f>
        <v>Zmena stavu rezerv (+/-)</v>
      </c>
      <c r="D14" s="493">
        <f>'CF calculation'!Z169</f>
        <v>-291079</v>
      </c>
      <c r="E14" s="630">
        <v>361338</v>
      </c>
    </row>
    <row r="15" spans="1:5">
      <c r="B15" s="491"/>
      <c r="C15" s="561" t="str">
        <f>Index!C282</f>
        <v>Zmena stavu opravných položiek (+/-)</v>
      </c>
      <c r="D15" s="493">
        <f>'CF calculation'!Z170</f>
        <v>1898556</v>
      </c>
      <c r="E15" s="630">
        <v>69482</v>
      </c>
    </row>
    <row r="16" spans="1:5">
      <c r="B16" s="491"/>
      <c r="C16" s="561" t="str">
        <f>Index!C283</f>
        <v>Zmena stavu položiek časového rozlíšenia nákladov a výnosov (+/-)</v>
      </c>
      <c r="D16" s="493">
        <f>'CF calculation'!Z171</f>
        <v>212098</v>
      </c>
      <c r="E16" s="630">
        <v>3098398</v>
      </c>
    </row>
    <row r="17" spans="2:9" s="474" customFormat="1">
      <c r="B17" s="491"/>
      <c r="C17" s="561" t="str">
        <f>Index!C284</f>
        <v>Dividendy a iné podiely na zisku účtované do výnosov (-)</v>
      </c>
      <c r="D17" s="493">
        <f>'CF calculation'!Z172</f>
        <v>0</v>
      </c>
      <c r="E17" s="630">
        <v>0</v>
      </c>
      <c r="F17"/>
      <c r="G17"/>
      <c r="H17"/>
      <c r="I17"/>
    </row>
    <row r="18" spans="2:9" s="474" customFormat="1">
      <c r="B18" s="491"/>
      <c r="C18" s="561" t="str">
        <f>Index!C285</f>
        <v>Úroky účtované do nákladov (+)</v>
      </c>
      <c r="D18" s="493">
        <f>'CF calculation'!Z173</f>
        <v>288671</v>
      </c>
      <c r="E18" s="630">
        <v>317553</v>
      </c>
      <c r="F18"/>
      <c r="G18"/>
      <c r="H18"/>
      <c r="I18"/>
    </row>
    <row r="19" spans="2:9" s="474" customFormat="1">
      <c r="B19" s="491"/>
      <c r="C19" s="561" t="str">
        <f>Index!C286</f>
        <v>Úroky účtované do výnosov (-)</v>
      </c>
      <c r="D19" s="493">
        <f>'CF calculation'!Z174</f>
        <v>-655176</v>
      </c>
      <c r="E19" s="630">
        <v>-394160</v>
      </c>
      <c r="F19"/>
      <c r="G19"/>
      <c r="H19"/>
      <c r="I19"/>
    </row>
    <row r="20" spans="2:9" s="474" customFormat="1" ht="25.5">
      <c r="B20" s="491"/>
      <c r="C20" s="561" t="str">
        <f>Index!C287</f>
        <v xml:space="preserve">Kurzový zisk/strata vyčíslený k peňažným prostriedkom a peňažným ekvivalentom ku dňu, ku ktorému sa zostavuje účtovná závierka (-/+) </v>
      </c>
      <c r="D20" s="493">
        <f>'CF calculation'!Z175</f>
        <v>0</v>
      </c>
      <c r="E20" s="630">
        <v>0</v>
      </c>
      <c r="F20"/>
      <c r="G20"/>
      <c r="H20"/>
      <c r="I20"/>
    </row>
    <row r="21" spans="2:9" s="474" customFormat="1" ht="25.5">
      <c r="B21" s="491"/>
      <c r="C21" s="561" t="str">
        <f>Index!C288</f>
        <v>Výsledok z predaja dlhodobého majetku, s výnimkou majetku, ktorý sa považuje za peňažný ekvivalent (+/-)</v>
      </c>
      <c r="D21" s="493">
        <f>'CF calculation'!Z176</f>
        <v>0</v>
      </c>
      <c r="E21" s="630">
        <v>-20</v>
      </c>
      <c r="F21"/>
      <c r="G21"/>
      <c r="H21"/>
      <c r="I21"/>
    </row>
    <row r="22" spans="2:9" s="474" customFormat="1">
      <c r="B22" s="491"/>
      <c r="C22" s="561" t="str">
        <f>Index!C289</f>
        <v>Ostatné položky nepeňažného charakteru (+/-)</v>
      </c>
      <c r="D22" s="493">
        <f>'CF calculation'!Z177</f>
        <v>67703</v>
      </c>
      <c r="E22" s="630">
        <v>2814233.84</v>
      </c>
      <c r="F22"/>
      <c r="G22"/>
      <c r="H22"/>
      <c r="I22"/>
    </row>
    <row r="23" spans="2:9" s="474" customFormat="1">
      <c r="B23" s="488" t="s">
        <v>1027</v>
      </c>
      <c r="C23" s="489" t="str">
        <f>Index!C290</f>
        <v>Vplyv zmien stavu pracovného kapitálu na výsledok hospodárenia z bežnej činnosti</v>
      </c>
      <c r="D23" s="490">
        <f>SUM(D24:D27)</f>
        <v>-5026734</v>
      </c>
      <c r="E23" s="635">
        <v>3134914.8699999992</v>
      </c>
      <c r="F23"/>
      <c r="G23"/>
      <c r="H23"/>
      <c r="I23"/>
    </row>
    <row r="24" spans="2:9" s="474" customFormat="1">
      <c r="B24" s="491"/>
      <c r="C24" s="492" t="str">
        <f>Index!C291</f>
        <v>Zmena stavu pohľadávok z prevádzkovej činnosti (-/+)</v>
      </c>
      <c r="D24" s="493">
        <f>'CF calculation'!Z179</f>
        <v>-629461</v>
      </c>
      <c r="E24" s="630">
        <v>10784940.469999999</v>
      </c>
      <c r="F24"/>
      <c r="G24"/>
      <c r="H24"/>
      <c r="I24"/>
    </row>
    <row r="25" spans="2:9" s="474" customFormat="1">
      <c r="B25" s="491"/>
      <c r="C25" s="492" t="str">
        <f>Index!C292</f>
        <v>Zmena stavu záväzkov z prevádzkovej činnosti (+/-)</v>
      </c>
      <c r="D25" s="493">
        <f>'CF calculation'!Z180</f>
        <v>-5143590</v>
      </c>
      <c r="E25" s="630">
        <v>-16289886.6</v>
      </c>
      <c r="F25"/>
      <c r="G25"/>
      <c r="H25"/>
      <c r="I25"/>
    </row>
    <row r="26" spans="2:9" s="474" customFormat="1">
      <c r="B26" s="491"/>
      <c r="C26" s="492" t="str">
        <f>Index!C293</f>
        <v>Zmena stavu zásob (-/+)</v>
      </c>
      <c r="D26" s="493">
        <f>'CF calculation'!Z181</f>
        <v>746317</v>
      </c>
      <c r="E26" s="630">
        <v>8639861</v>
      </c>
      <c r="F26"/>
      <c r="G26"/>
      <c r="H26"/>
      <c r="I26"/>
    </row>
    <row r="27" spans="2:9" s="474" customFormat="1" ht="26.25">
      <c r="B27" s="491"/>
      <c r="C27" s="492" t="str">
        <f>Index!C294</f>
        <v xml:space="preserve">Zmena stavu krátkodobého finančného majetku, s výnimkou majetku, ktorý je súčasťou peňažných prostriedkov a peňažných ekvivalentov (-/+) </v>
      </c>
      <c r="D27" s="493">
        <f>'CF calculation'!Z182</f>
        <v>0</v>
      </c>
      <c r="E27" s="630">
        <v>0</v>
      </c>
      <c r="F27"/>
      <c r="G27"/>
      <c r="H27"/>
      <c r="I27"/>
    </row>
    <row r="28" spans="2:9" s="474" customFormat="1" ht="30.75" customHeight="1">
      <c r="B28" s="491"/>
      <c r="C28" s="487" t="str">
        <f>Index!C295</f>
        <v>Peňažné toky z prevádzkovej činnosti s výnimkou príjmov a výdavkov, ktoré sa uvádzajú osobitne v iných častiach prehľadu peňažných tokov (+/-), (súčet Z/S+A.1.+A.2.)</v>
      </c>
      <c r="D28" s="597">
        <f>D9+D10+D23</f>
        <v>-2891462</v>
      </c>
      <c r="E28" s="629">
        <v>10784700.709999999</v>
      </c>
      <c r="F28"/>
      <c r="G28"/>
      <c r="H28"/>
      <c r="I28"/>
    </row>
    <row r="29" spans="2:9" s="474" customFormat="1">
      <c r="B29" s="491"/>
      <c r="C29" s="492" t="str">
        <f>Index!C296</f>
        <v>Prijaté úroky (+)</v>
      </c>
      <c r="D29" s="493">
        <f>'CF calculation'!Z184</f>
        <v>655176</v>
      </c>
      <c r="E29" s="630">
        <v>394160</v>
      </c>
      <c r="F29"/>
      <c r="G29"/>
      <c r="H29"/>
      <c r="I29"/>
    </row>
    <row r="30" spans="2:9" s="474" customFormat="1">
      <c r="B30" s="491"/>
      <c r="C30" s="492" t="str">
        <f>Index!C297</f>
        <v>Výdavky na zaplatené úroky (-)</v>
      </c>
      <c r="D30" s="493">
        <f>'CF calculation'!Z185</f>
        <v>-288671</v>
      </c>
      <c r="E30" s="630">
        <v>-317553</v>
      </c>
      <c r="F30"/>
      <c r="G30"/>
      <c r="H30"/>
      <c r="I30"/>
    </row>
    <row r="31" spans="2:9" s="474" customFormat="1">
      <c r="B31" s="491"/>
      <c r="C31" s="492" t="str">
        <f>Index!C298</f>
        <v>Príjmy z dividend a iných podielov na zisku (+)</v>
      </c>
      <c r="D31" s="493">
        <f>'CF calculation'!Z186</f>
        <v>0</v>
      </c>
      <c r="E31" s="630">
        <v>0</v>
      </c>
      <c r="F31"/>
      <c r="G31"/>
      <c r="H31"/>
      <c r="I31"/>
    </row>
    <row r="32" spans="2:9" s="474" customFormat="1">
      <c r="B32" s="491"/>
      <c r="C32" s="492" t="str">
        <f>Index!C299</f>
        <v>Výdavky na vyplatené dividendy a iné podiely na zisku (-)</v>
      </c>
      <c r="D32" s="493">
        <f>'CF calculation'!Z187</f>
        <v>0</v>
      </c>
      <c r="E32" s="630">
        <v>0</v>
      </c>
      <c r="F32"/>
      <c r="G32"/>
      <c r="H32"/>
      <c r="I32"/>
    </row>
    <row r="33" spans="1:10">
      <c r="B33" s="491"/>
      <c r="C33" s="492" t="str">
        <f>Index!C300</f>
        <v>Výdavky na daň z príjmov účtovnej jednotky (-/+)</v>
      </c>
      <c r="D33" s="493">
        <f>'CF calculation'!Z188</f>
        <v>-875623</v>
      </c>
      <c r="E33" s="630">
        <v>-105383.40000000002</v>
      </c>
    </row>
    <row r="34" spans="1:10">
      <c r="B34" s="491"/>
      <c r="C34" s="492" t="str">
        <f>Index!C301</f>
        <v>Príjmy výnimočného rozsahu alebo výskytu vzťahujúce sa na prevádzkovú činnosť (+)</v>
      </c>
      <c r="D34" s="493">
        <f>'CF calculation'!Z189</f>
        <v>0</v>
      </c>
      <c r="E34" s="630">
        <v>0</v>
      </c>
    </row>
    <row r="35" spans="1:10">
      <c r="B35" s="491"/>
      <c r="C35" s="492" t="str">
        <f>Index!C302</f>
        <v>Výdavky výnimočného rozsahu alebo výskytu vzťahujúce sa na prevádzkovú činnosť (-)</v>
      </c>
      <c r="D35" s="493">
        <f>'CF calculation'!Z190</f>
        <v>0</v>
      </c>
      <c r="E35" s="630">
        <v>0</v>
      </c>
    </row>
    <row r="36" spans="1:10">
      <c r="B36" s="494" t="s">
        <v>495</v>
      </c>
      <c r="C36" s="489" t="str">
        <f>Index!C303</f>
        <v>Čisté peňažné toky z prevádzkovej činnosti</v>
      </c>
      <c r="D36" s="490">
        <f>SUM(D28:D35)</f>
        <v>-3400580</v>
      </c>
      <c r="E36" s="635">
        <v>10755924.309999999</v>
      </c>
    </row>
    <row r="37" spans="1:10">
      <c r="B37" s="495"/>
      <c r="C37" s="496"/>
      <c r="D37" s="497"/>
      <c r="E37" s="631"/>
    </row>
    <row r="38" spans="1:10">
      <c r="A38" s="482"/>
      <c r="B38" s="482" t="str">
        <f>Index!C363</f>
        <v>Peňažné toky z investičnej činnosti</v>
      </c>
      <c r="C38" s="483"/>
      <c r="D38" s="484"/>
      <c r="E38" s="632"/>
    </row>
    <row r="39" spans="1:10">
      <c r="B39" s="491"/>
      <c r="C39" s="492" t="str">
        <f>Index!C304</f>
        <v>Výdavky na obstaranie dlhodobého nehmotného majetku (-)</v>
      </c>
      <c r="D39" s="493">
        <f>'CF calculation'!Z194</f>
        <v>-685131</v>
      </c>
      <c r="E39" s="630">
        <v>0</v>
      </c>
    </row>
    <row r="40" spans="1:10">
      <c r="B40" s="491"/>
      <c r="C40" s="492" t="str">
        <f>Index!C305</f>
        <v>Výdavky na obstaranie dlhodobého hmotného majetku (-)</v>
      </c>
      <c r="D40" s="493">
        <f>'CF calculation'!Z195</f>
        <v>-103273</v>
      </c>
      <c r="E40" s="630">
        <v>-283591</v>
      </c>
    </row>
    <row r="41" spans="1:10" ht="39">
      <c r="B41" s="491"/>
      <c r="C41" s="492" t="str">
        <f>Index!C306</f>
        <v>Výdavky na obstaranie dlhodobých cenných papierov a podielov v iných účtovných jednotkách, s výnimkou cenných papierov, ktoré sa považujú za peňažné ekvivalenty a cenných papierov určených na predaj alebo na obchodovanie (-)</v>
      </c>
      <c r="D41" s="493">
        <f>'CF calculation'!Z196</f>
        <v>-272117.53000000119</v>
      </c>
      <c r="E41" s="630">
        <v>0</v>
      </c>
    </row>
    <row r="42" spans="1:10">
      <c r="B42" s="491"/>
      <c r="C42" s="492" t="str">
        <f>Index!C307</f>
        <v>Príjmy z predaja dlhodobého nehmotného majetku (+)</v>
      </c>
      <c r="D42" s="493">
        <f>'CF calculation'!Z197</f>
        <v>0</v>
      </c>
      <c r="E42" s="630">
        <v>0</v>
      </c>
      <c r="J42" s="587"/>
    </row>
    <row r="43" spans="1:10">
      <c r="B43" s="491"/>
      <c r="C43" s="492" t="str">
        <f>Index!C308</f>
        <v>Príjmy z predaja dlhodobého hmotného majetku (+)</v>
      </c>
      <c r="D43" s="493">
        <f>'CF calculation'!Z198</f>
        <v>0</v>
      </c>
      <c r="E43" s="630">
        <v>0</v>
      </c>
      <c r="J43" s="587"/>
    </row>
    <row r="44" spans="1:10" ht="39">
      <c r="B44" s="491"/>
      <c r="C44" s="492" t="str">
        <f>Index!C309</f>
        <v>Príjmy z predaja dlhodobých cenných papierov a podielov v iných účtovných jednotkách, s výnimkou cenných papierov, ktoré sa považujú za peňažné ekvivalenty a cenných papierov určených na predaj alebo na obchodovanie (+)</v>
      </c>
      <c r="D44" s="493">
        <f>'CF calculation'!Z199</f>
        <v>0</v>
      </c>
      <c r="E44" s="630">
        <v>2803770</v>
      </c>
    </row>
    <row r="45" spans="1:10" ht="26.25">
      <c r="B45" s="491"/>
      <c r="C45" s="492" t="str">
        <f>Index!C310</f>
        <v>Výdavky na dlhodobé pôžičky poskytnuté účtovnou jednotkou inej účtovnej jednotke, ktorá je súčasťou konsolidovaného celku (-)</v>
      </c>
      <c r="D45" s="493">
        <f>'CF calculation'!Z200</f>
        <v>0</v>
      </c>
      <c r="E45" s="630">
        <v>0</v>
      </c>
    </row>
    <row r="46" spans="1:10" ht="26.25">
      <c r="B46" s="491"/>
      <c r="C46" s="492" t="str">
        <f>Index!C311</f>
        <v>Príjmy zo splácania dlhodobých pôžičiek poskytnutých účtovnou jednotkou inej účtovnej jednotke, ktorá je súčasťou konsolidovaného celku (+)</v>
      </c>
      <c r="D46" s="493">
        <f>'CF calculation'!Z201</f>
        <v>8251374</v>
      </c>
      <c r="E46" s="630">
        <v>4504563.6900000004</v>
      </c>
    </row>
    <row r="47" spans="1:10" ht="48" customHeight="1">
      <c r="B47" s="491"/>
      <c r="C47" s="492" t="str">
        <f>Index!C312</f>
        <v>Výdavky na dlhodobé pôžičky poskytnuté účtovnou jednotkou tretím osobám s výnimkou dlhodobých pôžičiek poskytnutých účtovnej jednotke, ktorá je súčasťou konsolidovaného celku (-)</v>
      </c>
      <c r="D47" s="493">
        <f>'CF calculation'!Z202</f>
        <v>0</v>
      </c>
      <c r="E47" s="630">
        <v>0</v>
      </c>
    </row>
    <row r="48" spans="1:10" ht="12.75" customHeight="1">
      <c r="B48" s="498"/>
      <c r="C48" s="499" t="str">
        <f>Index!C313</f>
        <v>Príjmy zo splácania pôžičiek poskytnutých účtovnou jednotkou tretím osobám, s výnimkou pôžičiek poskytnutých účtovnej jednotke, ktorá je súčasťou konsolidovaného celku (+)</v>
      </c>
      <c r="D48" s="500">
        <f>'CF calculation'!Z203</f>
        <v>0</v>
      </c>
      <c r="E48" s="633">
        <v>0</v>
      </c>
    </row>
    <row r="49" spans="1:5">
      <c r="B49" s="498"/>
      <c r="C49" s="499" t="str">
        <f>Index!C314</f>
        <v>Prijaté úroky (+)</v>
      </c>
      <c r="D49" s="500">
        <f>'CF calculation'!Z204</f>
        <v>0</v>
      </c>
      <c r="E49" s="633">
        <v>0</v>
      </c>
    </row>
    <row r="50" spans="1:5">
      <c r="B50" s="498"/>
      <c r="C50" s="499" t="str">
        <f>Index!C315</f>
        <v>Príjmy z dividend a iných podielov na zisku (+)</v>
      </c>
      <c r="D50" s="500">
        <f>'CF calculation'!Z205</f>
        <v>0</v>
      </c>
      <c r="E50" s="633">
        <v>0</v>
      </c>
    </row>
    <row r="51" spans="1:5" ht="12.75" customHeight="1">
      <c r="B51" s="498"/>
      <c r="C51" s="499" t="str">
        <f>Index!C316</f>
        <v>Výdavky súvisiace s derivátmi s výnimkou, ak sú určené na predaj alebo na obchodovanie (-)</v>
      </c>
      <c r="D51" s="500">
        <f>'CF calculation'!Z206</f>
        <v>0</v>
      </c>
      <c r="E51" s="633">
        <v>0</v>
      </c>
    </row>
    <row r="52" spans="1:5" ht="12.75" customHeight="1">
      <c r="B52" s="498"/>
      <c r="C52" s="499" t="str">
        <f>Index!C317</f>
        <v>Príjmy súvisiace s derivátmi s výnimkou, ak sú určené na predaj alebo na obchodovanie (-)</v>
      </c>
      <c r="D52" s="500">
        <f>'CF calculation'!Z207</f>
        <v>0</v>
      </c>
      <c r="E52" s="633">
        <v>0</v>
      </c>
    </row>
    <row r="53" spans="1:5">
      <c r="B53" s="498"/>
      <c r="C53" s="499" t="str">
        <f>Index!C318</f>
        <v>Výdavky na daň z príjmov účtovnej jednotky (-)</v>
      </c>
      <c r="D53" s="500">
        <f>'CF calculation'!Z208</f>
        <v>0</v>
      </c>
      <c r="E53" s="633">
        <v>0</v>
      </c>
    </row>
    <row r="54" spans="1:5">
      <c r="B54" s="498"/>
      <c r="C54" s="499" t="str">
        <f>Index!C319</f>
        <v>Príjmy výnimočného rozsahu alebo výskytu vzťahujúce sa na investičnú činnosť (+)</v>
      </c>
      <c r="D54" s="500">
        <f>'CF calculation'!Z209</f>
        <v>0</v>
      </c>
      <c r="E54" s="633">
        <v>0</v>
      </c>
    </row>
    <row r="55" spans="1:5">
      <c r="B55" s="498"/>
      <c r="C55" s="499" t="str">
        <f>Index!C320</f>
        <v>Výdavky výnimočného rozsahu alebo výskytu vzťahujúce sa na investičnú činnosť (-)</v>
      </c>
      <c r="D55" s="500">
        <f>'CF calculation'!Z210</f>
        <v>0</v>
      </c>
      <c r="E55" s="633">
        <v>0</v>
      </c>
    </row>
    <row r="56" spans="1:5">
      <c r="B56" s="498"/>
      <c r="C56" s="499" t="str">
        <f>Index!C321</f>
        <v>Ostatné príjmy vzťahujúce sa na investičnú činnosť (+)</v>
      </c>
      <c r="D56" s="500">
        <f>'CF calculation'!Z211</f>
        <v>0</v>
      </c>
      <c r="E56" s="633">
        <v>0</v>
      </c>
    </row>
    <row r="57" spans="1:5">
      <c r="B57" s="498"/>
      <c r="C57" s="499" t="str">
        <f>Index!C322</f>
        <v>Ostatné výdavky vzťahujúce sa na investičnú činnosť (-)</v>
      </c>
      <c r="D57" s="500">
        <f>'CF calculation'!Z212</f>
        <v>0</v>
      </c>
      <c r="E57" s="633">
        <v>0</v>
      </c>
    </row>
    <row r="58" spans="1:5">
      <c r="A58" s="475"/>
      <c r="B58" s="501" t="s">
        <v>536</v>
      </c>
      <c r="C58" s="502" t="str">
        <f>Index!C323</f>
        <v>Čisté peňažné toky z investičnej činnosti</v>
      </c>
      <c r="D58" s="503">
        <f>SUM(D39:D57)</f>
        <v>7190852.4699999988</v>
      </c>
      <c r="E58" s="636">
        <v>7024742.6900000004</v>
      </c>
    </row>
    <row r="59" spans="1:5">
      <c r="A59" s="475"/>
      <c r="B59" s="495"/>
      <c r="C59" s="496"/>
      <c r="D59" s="497"/>
      <c r="E59" s="631"/>
    </row>
    <row r="60" spans="1:5">
      <c r="A60" s="475"/>
      <c r="B60" s="482" t="str">
        <f>Index!C364</f>
        <v>Peňažné toky z finančnej činnosti</v>
      </c>
      <c r="C60" s="504"/>
      <c r="D60" s="505"/>
      <c r="E60" s="634"/>
    </row>
    <row r="61" spans="1:5">
      <c r="B61" s="488" t="s">
        <v>577</v>
      </c>
      <c r="C61" s="489" t="str">
        <f>Index!C324</f>
        <v>Peňažné toky vo vlastnom imaní</v>
      </c>
      <c r="D61" s="490">
        <f>'CF calculation'!AA216</f>
        <v>0</v>
      </c>
      <c r="E61" s="635">
        <v>0</v>
      </c>
    </row>
    <row r="62" spans="1:5">
      <c r="B62" s="491"/>
      <c r="C62" s="492" t="str">
        <f>Index!C325</f>
        <v>Príjmy z upísaných akcií a obchodných podielov (+)</v>
      </c>
      <c r="D62" s="493">
        <f>'CF calculation'!Z217</f>
        <v>0</v>
      </c>
      <c r="E62" s="630">
        <v>0</v>
      </c>
    </row>
    <row r="63" spans="1:5">
      <c r="B63" s="491"/>
      <c r="C63" s="492" t="str">
        <f>Index!C326</f>
        <v>Príjmy z ďalších vkladov do vlastného imania spoločníkmi (+)</v>
      </c>
      <c r="D63" s="493">
        <f>'CF calculation'!Z218</f>
        <v>0</v>
      </c>
      <c r="E63" s="630">
        <v>0</v>
      </c>
    </row>
    <row r="64" spans="1:5">
      <c r="B64" s="491"/>
      <c r="C64" s="492" t="str">
        <f>Index!C327</f>
        <v>Prijaté peňažné dary (+)</v>
      </c>
      <c r="D64" s="493">
        <f>'CF calculation'!Z219</f>
        <v>0</v>
      </c>
      <c r="E64" s="630">
        <v>0</v>
      </c>
    </row>
    <row r="65" spans="2:10" s="474" customFormat="1">
      <c r="B65" s="491"/>
      <c r="C65" s="492" t="str">
        <f>Index!C328</f>
        <v>Príjmy z úhrady straty spoločníkmi (+)</v>
      </c>
      <c r="D65" s="493">
        <f>'CF calculation'!Z220</f>
        <v>0</v>
      </c>
      <c r="E65" s="630">
        <v>0</v>
      </c>
      <c r="F65"/>
      <c r="G65"/>
      <c r="H65"/>
      <c r="I65"/>
    </row>
    <row r="66" spans="2:10" s="474" customFormat="1" ht="12.75" customHeight="1">
      <c r="B66" s="491"/>
      <c r="C66" s="492" t="str">
        <f>Index!C329</f>
        <v>Výdavky na obstaranie alebo spätné odkúpenie vlastných akcií a vlastných obchodných podielov (-)</v>
      </c>
      <c r="D66" s="493">
        <f>'CF calculation'!Z221</f>
        <v>0</v>
      </c>
      <c r="E66" s="630">
        <v>0</v>
      </c>
      <c r="F66"/>
      <c r="G66"/>
      <c r="H66"/>
      <c r="I66"/>
    </row>
    <row r="67" spans="2:10" s="474" customFormat="1">
      <c r="B67" s="491"/>
      <c r="C67" s="492" t="str">
        <f>Index!C330</f>
        <v>Výdavky spojené so znížením fondov vytvorených účtovnou jednotkou (-)</v>
      </c>
      <c r="D67" s="493">
        <f>'CF calculation'!Z222</f>
        <v>0</v>
      </c>
      <c r="E67" s="630">
        <v>0</v>
      </c>
      <c r="F67"/>
      <c r="G67"/>
      <c r="H67"/>
      <c r="I67"/>
    </row>
    <row r="68" spans="2:10" s="474" customFormat="1">
      <c r="B68" s="491"/>
      <c r="C68" s="492" t="str">
        <f>Index!C331</f>
        <v>Výdavky na vyplatenie podielu na vlastnom imaní spoločníkmi účtovnej jednotky (-)</v>
      </c>
      <c r="D68" s="493">
        <f>'CF calculation'!Z223</f>
        <v>0</v>
      </c>
      <c r="E68" s="630">
        <v>0</v>
      </c>
      <c r="F68"/>
      <c r="G68"/>
      <c r="H68"/>
      <c r="I68"/>
    </row>
    <row r="69" spans="2:10" s="474" customFormat="1">
      <c r="B69" s="491"/>
      <c r="C69" s="492" t="str">
        <f>Index!C332</f>
        <v>Výdavky z iných dôvodov, ktoré súvisia so znížením vlastného imania (-)</v>
      </c>
      <c r="D69" s="493">
        <f>'CF calculation'!Z224</f>
        <v>0</v>
      </c>
      <c r="E69" s="630">
        <v>0</v>
      </c>
      <c r="F69"/>
      <c r="G69"/>
      <c r="H69"/>
      <c r="I69"/>
    </row>
    <row r="70" spans="2:10" s="474" customFormat="1" ht="12.75" customHeight="1">
      <c r="B70" s="488" t="s">
        <v>579</v>
      </c>
      <c r="C70" s="489" t="str">
        <f>Index!C333</f>
        <v>Peňažné toky vznikajúce z dlhodobých záväzkov a krátkodobých záväzkov z finančnej činnosti</v>
      </c>
      <c r="D70" s="490">
        <f>SUM(D71:D79)</f>
        <v>710801</v>
      </c>
      <c r="E70" s="635">
        <v>-17789160.140000001</v>
      </c>
      <c r="F70"/>
      <c r="G70"/>
      <c r="H70"/>
      <c r="I70"/>
    </row>
    <row r="71" spans="2:10" s="474" customFormat="1">
      <c r="B71" s="491"/>
      <c r="C71" s="492" t="str">
        <f>Index!C334</f>
        <v>Príjmy z emisie dlhových cenných papierov (+)</v>
      </c>
      <c r="D71" s="493">
        <f>'CF calculation'!Z226</f>
        <v>0</v>
      </c>
      <c r="E71" s="630">
        <v>0</v>
      </c>
      <c r="F71"/>
      <c r="G71"/>
      <c r="H71"/>
      <c r="I71"/>
    </row>
    <row r="72" spans="2:10" s="474" customFormat="1">
      <c r="B72" s="491"/>
      <c r="C72" s="492" t="str">
        <f>Index!C335</f>
        <v>Výdavky na úhradu záväzkov z dlhových cenných papierov (-)</v>
      </c>
      <c r="D72" s="493">
        <f>'CF calculation'!Z227</f>
        <v>0</v>
      </c>
      <c r="E72" s="630">
        <v>0</v>
      </c>
      <c r="F72"/>
      <c r="G72"/>
      <c r="H72"/>
      <c r="I72"/>
    </row>
    <row r="73" spans="2:10" s="474" customFormat="1">
      <c r="B73" s="491"/>
      <c r="C73" s="492" t="str">
        <f>Index!C336</f>
        <v>Príjmy z úverov (+)</v>
      </c>
      <c r="D73" s="493">
        <f>'CF calculation'!Z228</f>
        <v>3886386</v>
      </c>
      <c r="E73" s="630">
        <v>7848454.4300000016</v>
      </c>
      <c r="F73"/>
      <c r="G73"/>
      <c r="H73"/>
      <c r="I73"/>
    </row>
    <row r="74" spans="2:10" s="474" customFormat="1">
      <c r="B74" s="491"/>
      <c r="C74" s="492" t="str">
        <f>Index!C337</f>
        <v>Výdavky na splácanie úverov (-)</v>
      </c>
      <c r="D74" s="493">
        <f>'CF calculation'!Z229</f>
        <v>-9616767</v>
      </c>
      <c r="E74" s="630">
        <v>-12805614.570000002</v>
      </c>
      <c r="F74"/>
      <c r="G74"/>
      <c r="H74"/>
      <c r="I74"/>
    </row>
    <row r="75" spans="2:10" s="474" customFormat="1">
      <c r="B75" s="491"/>
      <c r="C75" s="492" t="str">
        <f>Index!C338</f>
        <v>Príjmy z prijatých pôžičiek (+)</v>
      </c>
      <c r="D75" s="493">
        <f>'CF calculation'!Z230</f>
        <v>6441182</v>
      </c>
      <c r="E75" s="630">
        <v>0</v>
      </c>
      <c r="F75"/>
      <c r="G75"/>
      <c r="H75"/>
      <c r="I75"/>
    </row>
    <row r="76" spans="2:10" s="474" customFormat="1">
      <c r="B76" s="491"/>
      <c r="C76" s="492" t="str">
        <f>Index!C339</f>
        <v>Výdavky na splácanie pôžičiek (-)</v>
      </c>
      <c r="D76" s="493">
        <f>'CF calculation'!Z231</f>
        <v>0</v>
      </c>
      <c r="E76" s="630">
        <v>-12832000</v>
      </c>
      <c r="F76"/>
      <c r="G76"/>
      <c r="H76"/>
      <c r="I76"/>
    </row>
    <row r="77" spans="2:10" s="474" customFormat="1">
      <c r="B77" s="491"/>
      <c r="C77" s="492" t="str">
        <f>Index!C340</f>
        <v>Výdavky na úhradu záväzkov z finančného lízingu (-)</v>
      </c>
      <c r="D77" s="493">
        <f>'CF calculation'!Z232</f>
        <v>0</v>
      </c>
      <c r="E77" s="630">
        <v>0</v>
      </c>
      <c r="F77"/>
      <c r="G77"/>
      <c r="H77"/>
      <c r="I77"/>
      <c r="J77" s="587"/>
    </row>
    <row r="78" spans="2:10" s="474" customFormat="1" ht="26.25">
      <c r="B78" s="491"/>
      <c r="C78" s="492" t="str">
        <f>Index!C341</f>
        <v>Príjmy z ostatných dlhodobých záväzkov a krátkodobých záväzkov vyplývajúcich z finančnej činnosti účtovnej jednotky (+)</v>
      </c>
      <c r="D78" s="493">
        <f>'CF calculation'!Z233</f>
        <v>0</v>
      </c>
      <c r="E78" s="630">
        <v>0</v>
      </c>
      <c r="F78"/>
      <c r="G78"/>
      <c r="H78"/>
      <c r="I78"/>
    </row>
    <row r="79" spans="2:10" s="474" customFormat="1" ht="26.25">
      <c r="B79" s="498"/>
      <c r="C79" s="492" t="str">
        <f>Index!C342</f>
        <v>Výdavky na splácanie ostatných dlhodobých záväzkov a krátkodobých záväzkov vyplývajúcich z finančnej činnosti účtovnej jednotky (-)</v>
      </c>
      <c r="D79" s="493">
        <f>'CF calculation'!Z234</f>
        <v>0</v>
      </c>
      <c r="E79" s="630">
        <v>0</v>
      </c>
      <c r="F79"/>
      <c r="G79"/>
      <c r="H79"/>
      <c r="I79"/>
    </row>
    <row r="80" spans="2:10" s="474" customFormat="1">
      <c r="B80" s="498"/>
      <c r="C80" s="492" t="str">
        <f>Index!C343</f>
        <v>Výdavky na zaplatené úroky (-)</v>
      </c>
      <c r="D80" s="493">
        <f>'CF calculation'!Z235</f>
        <v>0</v>
      </c>
      <c r="E80" s="630">
        <v>0</v>
      </c>
      <c r="F80"/>
      <c r="G80"/>
      <c r="H80"/>
      <c r="I80"/>
    </row>
    <row r="81" spans="1:5">
      <c r="B81" s="491"/>
      <c r="C81" s="492" t="str">
        <f>Index!C344</f>
        <v>Výdavky na vyplatené dividendy a iné podiely na zisku (-)</v>
      </c>
      <c r="D81" s="493">
        <f>'CF calculation'!Z236</f>
        <v>0</v>
      </c>
      <c r="E81" s="630">
        <v>0</v>
      </c>
    </row>
    <row r="82" spans="1:5" ht="12.75" customHeight="1">
      <c r="B82" s="491"/>
      <c r="C82" s="492" t="str">
        <f>Index!C345</f>
        <v>Výdavky súvisiace s derivátmi, s výnimkou, ak sú určené na predaj alebo na obchodovanie (-)</v>
      </c>
      <c r="D82" s="493">
        <f>'CF calculation'!Z237</f>
        <v>272117.53000000119</v>
      </c>
      <c r="E82" s="630">
        <v>0</v>
      </c>
    </row>
    <row r="83" spans="1:5" ht="12.75" customHeight="1">
      <c r="B83" s="491"/>
      <c r="C83" s="492" t="str">
        <f>Index!C346</f>
        <v>Príjmy súvisiace s derivátmi, s výnimkou, ak sú určené na predaj alebo na obchodovanie (+)</v>
      </c>
      <c r="D83" s="493">
        <f>'CF calculation'!Z238</f>
        <v>0</v>
      </c>
      <c r="E83" s="630">
        <v>0</v>
      </c>
    </row>
    <row r="84" spans="1:5">
      <c r="B84" s="491"/>
      <c r="C84" s="492" t="str">
        <f>Index!C347</f>
        <v>Výdavky na daň z príjmov účtovnej jednotky (-)</v>
      </c>
      <c r="D84" s="493">
        <f>'CF calculation'!Z239</f>
        <v>0</v>
      </c>
      <c r="E84" s="630">
        <v>0</v>
      </c>
    </row>
    <row r="85" spans="1:5">
      <c r="B85" s="491"/>
      <c r="C85" s="492" t="str">
        <f>Index!C348</f>
        <v>Príjmy výnimočného rozsahu alebo výskytu vzťahujúce sa na finančnú činnosť (+)</v>
      </c>
      <c r="D85" s="493">
        <f>'CF calculation'!Z240</f>
        <v>0</v>
      </c>
      <c r="E85" s="630">
        <v>0</v>
      </c>
    </row>
    <row r="86" spans="1:5">
      <c r="B86" s="491"/>
      <c r="C86" s="492" t="str">
        <f>Index!C349</f>
        <v>Výdavky výnimočného rozsahu alebo výskytu vzťahujúce sa na finančnú činnosť (-)</v>
      </c>
      <c r="D86" s="493">
        <f>'CF calculation'!Z241</f>
        <v>0</v>
      </c>
      <c r="E86" s="630">
        <v>0</v>
      </c>
    </row>
    <row r="87" spans="1:5">
      <c r="A87" s="475"/>
      <c r="B87" s="494" t="s">
        <v>576</v>
      </c>
      <c r="C87" s="489" t="str">
        <f>Index!C350</f>
        <v>Čisté peňažné toky z finančnej činnosti</v>
      </c>
      <c r="D87" s="490">
        <f>SUM(D61+D70+D80+D81+D82+D83+D84+D85+D86)</f>
        <v>982918.53000000119</v>
      </c>
      <c r="E87" s="635">
        <v>-17789160.140000001</v>
      </c>
    </row>
    <row r="88" spans="1:5" ht="12.75" customHeight="1">
      <c r="A88" s="475"/>
      <c r="B88" s="494" t="s">
        <v>668</v>
      </c>
      <c r="C88" s="489" t="str">
        <f>Index!C351</f>
        <v>Čisté zvýšenie alebo čisté zníženie peňažných prostriedkov a peňažných ekvivalentov (+/-)                            (súčet A+B+C)</v>
      </c>
      <c r="D88" s="490">
        <f>D87+D58+D36</f>
        <v>4773191</v>
      </c>
      <c r="E88" s="635">
        <v>-8493.140000000596</v>
      </c>
    </row>
    <row r="89" spans="1:5">
      <c r="B89" s="491" t="s">
        <v>670</v>
      </c>
      <c r="C89" s="492" t="str">
        <f>Index!C352</f>
        <v>Stav peňažných prostriedkov a peňažných ekvivalentov na začiatku účtovného obdobia</v>
      </c>
      <c r="D89" s="493">
        <f>'CF calculation'!Z244</f>
        <v>13284</v>
      </c>
      <c r="E89" s="630">
        <v>21777</v>
      </c>
    </row>
    <row r="90" spans="1:5" ht="39">
      <c r="B90" s="491" t="s">
        <v>672</v>
      </c>
      <c r="C90" s="492" t="str">
        <f>Index!C353</f>
        <v>Stav peňažných prostriedkov a peňažných ekvivalentov na konci účtovného obdobia pred zohľadnením kurzových rozdielov vyčíslených ku dňu, ku ktorému sa zostavuje účtovná závierka (+/-)</v>
      </c>
      <c r="D90" s="493">
        <f>'CF calculation'!Z245</f>
        <v>4786475</v>
      </c>
      <c r="E90" s="630">
        <v>13284</v>
      </c>
    </row>
    <row r="91" spans="1:5" ht="26.25">
      <c r="B91" s="486" t="s">
        <v>674</v>
      </c>
      <c r="C91" s="492" t="str">
        <f>Index!C354</f>
        <v>Kurzové rozdiely vyčíslené k peňažným prostriedkom a peňažným ekvivalentom ku dňu, ku ktorému sa zostavuje účtovná závierka (+/-)</v>
      </c>
      <c r="D91" s="493">
        <f>'CF calculation'!Z246</f>
        <v>0</v>
      </c>
      <c r="E91" s="630">
        <v>0</v>
      </c>
    </row>
    <row r="92" spans="1:5" ht="39">
      <c r="A92" s="475"/>
      <c r="B92" s="494" t="s">
        <v>677</v>
      </c>
      <c r="C92" s="489" t="str">
        <f>Index!C355</f>
        <v>Zostatok peňažných prostriedkov a peňažných ekvivalentov na konci účtovného obdobia upravený o kurzové rozdiely vyčíslené ku dňu, ku ktorému sa zostavuje účtovná závierka 
(+/-) (súčet D + E + G)</v>
      </c>
      <c r="D92" s="490">
        <f>'CF calculation'!Z247</f>
        <v>4786475</v>
      </c>
      <c r="E92" s="635">
        <v>13284</v>
      </c>
    </row>
    <row r="94" spans="1:5">
      <c r="C94" s="570" t="s">
        <v>1229</v>
      </c>
      <c r="D94" s="571">
        <f>D92-D89-D88</f>
        <v>0</v>
      </c>
      <c r="E94" s="571">
        <f>E92-E89-E88</f>
        <v>0.14000000059604645</v>
      </c>
    </row>
  </sheetData>
  <mergeCells count="5">
    <mergeCell ref="B4:B6"/>
    <mergeCell ref="D4:E4"/>
    <mergeCell ref="C5:C6"/>
    <mergeCell ref="D5:D6"/>
    <mergeCell ref="E5:E6"/>
  </mergeCells>
  <printOptions horizontalCentered="1"/>
  <pageMargins left="0.59055118110236227" right="0.23622047244094491" top="0.55118110236220474" bottom="0.39370078740157483" header="0.31496062992125984" footer="0.31496062992125984"/>
  <pageSetup paperSize="9" scale="68" orientation="portrait" r:id="rId1"/>
  <headerFooter alignWithMargins="0"/>
  <rowBreaks count="1" manualBreakCount="1">
    <brk id="5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6">
    <tabColor theme="0" tint="-0.499984740745262"/>
  </sheetPr>
  <dimension ref="A1:D75"/>
  <sheetViews>
    <sheetView topLeftCell="A46" zoomScale="80" zoomScaleNormal="80" workbookViewId="0">
      <selection activeCell="C73" sqref="C73"/>
    </sheetView>
  </sheetViews>
  <sheetFormatPr defaultRowHeight="12.75"/>
  <cols>
    <col min="2" max="2" width="37.85546875" bestFit="1" customWidth="1"/>
    <col min="3" max="3" width="14.140625" customWidth="1"/>
  </cols>
  <sheetData>
    <row r="1" spans="1:4" s="87" customFormat="1" ht="24.75" customHeight="1">
      <c r="A1" s="89" t="s">
        <v>956</v>
      </c>
      <c r="B1" s="90" t="s">
        <v>1453</v>
      </c>
      <c r="C1" s="90" t="s">
        <v>958</v>
      </c>
      <c r="D1" s="90" t="s">
        <v>1454</v>
      </c>
    </row>
    <row r="2" spans="1:4">
      <c r="A2" t="s">
        <v>814</v>
      </c>
      <c r="B2" s="86" t="s">
        <v>1392</v>
      </c>
      <c r="C2" s="88" t="e">
        <f>SUM(#REF!)</f>
        <v>#REF!</v>
      </c>
      <c r="D2" t="e">
        <f>ROW(INDEX(#REF!,MATCH(Check_Empty!$B2,#REF!,0),1))</f>
        <v>#REF!</v>
      </c>
    </row>
    <row r="3" spans="1:4">
      <c r="A3" t="s">
        <v>815</v>
      </c>
      <c r="B3" s="86" t="s">
        <v>1457</v>
      </c>
      <c r="C3" s="88" t="e">
        <f>SUM(#REF!)</f>
        <v>#REF!</v>
      </c>
      <c r="D3" t="e">
        <f>ROW(INDEX(#REF!,MATCH(Check_Empty!$B3,#REF!,0),1))</f>
        <v>#REF!</v>
      </c>
    </row>
    <row r="4" spans="1:4">
      <c r="A4" t="s">
        <v>815</v>
      </c>
      <c r="B4" s="86" t="s">
        <v>1458</v>
      </c>
      <c r="C4" s="88" t="e">
        <f>SUM(#REF!)</f>
        <v>#REF!</v>
      </c>
      <c r="D4" t="e">
        <f>ROW(INDEX(#REF!,MATCH(Check_Empty!$B4,#REF!,0),1))</f>
        <v>#REF!</v>
      </c>
    </row>
    <row r="5" spans="1:4">
      <c r="A5" t="s">
        <v>816</v>
      </c>
      <c r="B5" s="86" t="s">
        <v>1383</v>
      </c>
      <c r="C5" s="88" t="e">
        <f>SUM(#REF!)</f>
        <v>#REF!</v>
      </c>
      <c r="D5" t="e">
        <f>ROW(INDEX(#REF!,MATCH(Check_Empty!$B5,#REF!,0),1))</f>
        <v>#REF!</v>
      </c>
    </row>
    <row r="6" spans="1:4">
      <c r="A6" t="s">
        <v>816</v>
      </c>
      <c r="B6" s="86" t="s">
        <v>1384</v>
      </c>
      <c r="C6" s="88" t="e">
        <f>SUM(#REF!)</f>
        <v>#REF!</v>
      </c>
      <c r="D6" t="e">
        <f>ROW(INDEX(#REF!,MATCH(Check_Empty!$B6,#REF!,0),1))</f>
        <v>#REF!</v>
      </c>
    </row>
    <row r="7" spans="1:4">
      <c r="A7" t="s">
        <v>817</v>
      </c>
      <c r="B7" s="86" t="s">
        <v>1385</v>
      </c>
      <c r="C7" s="88" t="e">
        <f>SUM(#REF!)</f>
        <v>#REF!</v>
      </c>
      <c r="D7" t="e">
        <f>ROW(INDEX(#REF!,MATCH(Check_Empty!$B7,#REF!,0),1))</f>
        <v>#REF!</v>
      </c>
    </row>
    <row r="8" spans="1:4">
      <c r="A8" t="s">
        <v>817</v>
      </c>
      <c r="B8" s="86" t="s">
        <v>1386</v>
      </c>
      <c r="C8" s="88" t="e">
        <f>SUM(#REF!)</f>
        <v>#REF!</v>
      </c>
      <c r="D8" t="e">
        <f>ROW(INDEX(#REF!,MATCH(Check_Empty!$B8,#REF!,0),1))</f>
        <v>#REF!</v>
      </c>
    </row>
    <row r="9" spans="1:4">
      <c r="A9" t="s">
        <v>818</v>
      </c>
      <c r="B9" s="86" t="s">
        <v>1394</v>
      </c>
      <c r="C9" s="88" t="e">
        <f>SUM(#REF!)</f>
        <v>#REF!</v>
      </c>
      <c r="D9" t="e">
        <f>ROW(INDEX(#REF!,MATCH(Check_Empty!$B9,#REF!,0),1))</f>
        <v>#REF!</v>
      </c>
    </row>
    <row r="10" spans="1:4">
      <c r="A10" t="s">
        <v>820</v>
      </c>
      <c r="B10" s="86" t="s">
        <v>1393</v>
      </c>
      <c r="C10" s="88" t="e">
        <f>SUM(#REF!)</f>
        <v>#REF!</v>
      </c>
      <c r="D10" t="e">
        <f>ROW(INDEX(#REF!,MATCH(Check_Empty!$B10,#REF!,0),1))</f>
        <v>#REF!</v>
      </c>
    </row>
    <row r="11" spans="1:4">
      <c r="A11" t="s">
        <v>821</v>
      </c>
      <c r="B11" s="86" t="s">
        <v>1395</v>
      </c>
      <c r="C11" s="88" t="e">
        <f>SUM(#REF!)</f>
        <v>#REF!</v>
      </c>
      <c r="D11" t="e">
        <f>ROW(INDEX(#REF!,MATCH(Check_Empty!$B11,#REF!,0),1))</f>
        <v>#REF!</v>
      </c>
    </row>
    <row r="12" spans="1:4">
      <c r="A12" t="s">
        <v>821</v>
      </c>
      <c r="B12" s="86" t="s">
        <v>1396</v>
      </c>
      <c r="C12" s="88" t="e">
        <f>SUM(#REF!)</f>
        <v>#REF!</v>
      </c>
      <c r="D12" t="e">
        <f>ROW(INDEX(#REF!,MATCH(Check_Empty!$B12,#REF!,0),1))</f>
        <v>#REF!</v>
      </c>
    </row>
    <row r="13" spans="1:4">
      <c r="A13" t="s">
        <v>822</v>
      </c>
      <c r="B13" s="86" t="s">
        <v>1397</v>
      </c>
      <c r="C13" s="88" t="e">
        <f>SUM(#REF!)</f>
        <v>#REF!</v>
      </c>
      <c r="D13" t="e">
        <f>ROW(INDEX(#REF!,MATCH(Check_Empty!$B13,#REF!,0),1))</f>
        <v>#REF!</v>
      </c>
    </row>
    <row r="14" spans="1:4">
      <c r="A14" t="s">
        <v>823</v>
      </c>
      <c r="B14" s="86" t="s">
        <v>1402</v>
      </c>
      <c r="C14" s="88" t="e">
        <f>SUM(#REF!)</f>
        <v>#REF!</v>
      </c>
      <c r="D14" t="e">
        <f>ROW(INDEX(#REF!,MATCH(Check_Empty!$B14,#REF!,0),1))</f>
        <v>#REF!</v>
      </c>
    </row>
    <row r="15" spans="1:4">
      <c r="A15" t="s">
        <v>823</v>
      </c>
      <c r="B15" s="86" t="s">
        <v>1403</v>
      </c>
      <c r="C15" s="88" t="e">
        <f>SUM(#REF!)</f>
        <v>#REF!</v>
      </c>
      <c r="D15" t="e">
        <f>ROW(INDEX(#REF!,MATCH(Check_Empty!$B15,#REF!,0),1))</f>
        <v>#REF!</v>
      </c>
    </row>
    <row r="16" spans="1:4">
      <c r="A16" t="s">
        <v>824</v>
      </c>
      <c r="B16" s="86" t="s">
        <v>1452</v>
      </c>
      <c r="C16" s="88" t="e">
        <f>SUM(#REF!)</f>
        <v>#REF!</v>
      </c>
      <c r="D16" t="e">
        <f>ROW(INDEX(#REF!,MATCH(Check_Empty!$B16,#REF!,0),1))</f>
        <v>#REF!</v>
      </c>
    </row>
    <row r="17" spans="1:4">
      <c r="A17" t="s">
        <v>826</v>
      </c>
      <c r="B17" s="86" t="s">
        <v>1398</v>
      </c>
      <c r="C17" s="88" t="e">
        <f>SUM(#REF!)</f>
        <v>#REF!</v>
      </c>
      <c r="D17" t="e">
        <f>ROW(INDEX(#REF!,MATCH(Check_Empty!$B17,#REF!,0),1))</f>
        <v>#REF!</v>
      </c>
    </row>
    <row r="18" spans="1:4">
      <c r="A18" t="s">
        <v>829</v>
      </c>
      <c r="B18" s="86" t="s">
        <v>1387</v>
      </c>
      <c r="C18" s="88" t="e">
        <f>SUM(#REF!)</f>
        <v>#REF!</v>
      </c>
      <c r="D18" t="e">
        <f>ROW(INDEX(#REF!,MATCH(Check_Empty!$B18,#REF!,0),1))</f>
        <v>#REF!</v>
      </c>
    </row>
    <row r="19" spans="1:4">
      <c r="A19" t="s">
        <v>830</v>
      </c>
      <c r="B19" s="86" t="s">
        <v>1399</v>
      </c>
      <c r="C19" s="88" t="e">
        <f>SUM(#REF!)</f>
        <v>#REF!</v>
      </c>
      <c r="D19" t="e">
        <f>ROW(INDEX(#REF!,MATCH(Check_Empty!$B19,#REF!,0),1))</f>
        <v>#REF!</v>
      </c>
    </row>
    <row r="20" spans="1:4">
      <c r="A20" t="s">
        <v>831</v>
      </c>
      <c r="B20" s="86" t="s">
        <v>1400</v>
      </c>
      <c r="C20" s="88" t="e">
        <f>SUM(#REF!)</f>
        <v>#REF!</v>
      </c>
      <c r="D20" t="e">
        <f>ROW(INDEX(#REF!,MATCH(Check_Empty!$B20,#REF!,0),1))</f>
        <v>#REF!</v>
      </c>
    </row>
    <row r="21" spans="1:4">
      <c r="A21" t="s">
        <v>832</v>
      </c>
      <c r="B21" s="86" t="s">
        <v>1401</v>
      </c>
      <c r="C21" s="88" t="e">
        <f>SUM(#REF!,#REF!)</f>
        <v>#REF!</v>
      </c>
      <c r="D21" t="e">
        <f>ROW(INDEX(#REF!,MATCH(Check_Empty!$B21,#REF!,0),1))</f>
        <v>#REF!</v>
      </c>
    </row>
    <row r="22" spans="1:4">
      <c r="A22" t="s">
        <v>833</v>
      </c>
      <c r="B22" s="86" t="s">
        <v>1404</v>
      </c>
      <c r="C22" s="88" t="e">
        <f>SUM(#REF!)</f>
        <v>#REF!</v>
      </c>
      <c r="D22" t="e">
        <f>ROW(INDEX(#REF!,MATCH(Check_Empty!$B22,#REF!,0),1))</f>
        <v>#REF!</v>
      </c>
    </row>
    <row r="23" spans="1:4">
      <c r="A23" t="s">
        <v>834</v>
      </c>
      <c r="B23" s="86" t="s">
        <v>1405</v>
      </c>
      <c r="C23" s="88" t="e">
        <f>SUM(#REF!)</f>
        <v>#REF!</v>
      </c>
      <c r="D23" t="e">
        <f>ROW(INDEX(#REF!,MATCH(Check_Empty!$B23,#REF!,0),1))</f>
        <v>#REF!</v>
      </c>
    </row>
    <row r="24" spans="1:4">
      <c r="A24" t="s">
        <v>835</v>
      </c>
      <c r="B24" s="86" t="s">
        <v>1406</v>
      </c>
      <c r="C24" s="88" t="e">
        <f>SUM(#REF!)</f>
        <v>#REF!</v>
      </c>
      <c r="D24" t="e">
        <f>ROW(INDEX(#REF!,MATCH(Check_Empty!$B24,#REF!,0),1))</f>
        <v>#REF!</v>
      </c>
    </row>
    <row r="25" spans="1:4">
      <c r="A25" t="s">
        <v>836</v>
      </c>
      <c r="B25" s="86" t="s">
        <v>1407</v>
      </c>
      <c r="C25" s="88" t="e">
        <f>SUM(#REF!)</f>
        <v>#REF!</v>
      </c>
      <c r="D25" t="e">
        <f>ROW(INDEX(#REF!,MATCH(Check_Empty!$B25,#REF!,0),1))</f>
        <v>#REF!</v>
      </c>
    </row>
    <row r="26" spans="1:4">
      <c r="A26" t="s">
        <v>837</v>
      </c>
      <c r="B26" s="86" t="s">
        <v>1408</v>
      </c>
      <c r="C26" s="88" t="e">
        <f>SUM(#REF!)</f>
        <v>#REF!</v>
      </c>
      <c r="D26" t="e">
        <f>ROW(INDEX(#REF!,MATCH(Check_Empty!$B26,#REF!,0),1))</f>
        <v>#REF!</v>
      </c>
    </row>
    <row r="27" spans="1:4">
      <c r="A27" t="s">
        <v>838</v>
      </c>
      <c r="B27" s="86" t="s">
        <v>1409</v>
      </c>
      <c r="C27" s="88" t="e">
        <f>SUM(#REF!)</f>
        <v>#REF!</v>
      </c>
      <c r="D27" t="e">
        <f>ROW(INDEX(#REF!,MATCH(Check_Empty!$B27,#REF!,0),1))</f>
        <v>#REF!</v>
      </c>
    </row>
    <row r="28" spans="1:4">
      <c r="A28" t="s">
        <v>839</v>
      </c>
      <c r="B28" s="86" t="s">
        <v>1388</v>
      </c>
      <c r="C28" s="88" t="e">
        <f>SUM(#REF!)</f>
        <v>#REF!</v>
      </c>
      <c r="D28" t="e">
        <f>ROW(INDEX(#REF!,MATCH(Check_Empty!$B28,#REF!,0),1))</f>
        <v>#REF!</v>
      </c>
    </row>
    <row r="29" spans="1:4">
      <c r="A29" t="s">
        <v>839</v>
      </c>
      <c r="B29" s="86" t="s">
        <v>1389</v>
      </c>
      <c r="C29" s="88" t="e">
        <f>SUM(#REF!)</f>
        <v>#REF!</v>
      </c>
      <c r="D29" t="e">
        <f>ROW(INDEX(#REF!,MATCH(Check_Empty!$B29,#REF!,0),1))</f>
        <v>#REF!</v>
      </c>
    </row>
    <row r="30" spans="1:4">
      <c r="A30" t="s">
        <v>840</v>
      </c>
      <c r="B30" s="86" t="s">
        <v>1390</v>
      </c>
      <c r="C30" s="88" t="e">
        <f>SUM(#REF!)</f>
        <v>#REF!</v>
      </c>
      <c r="D30" t="e">
        <f>ROW(INDEX(#REF!,MATCH(Check_Empty!$B30,#REF!,0),1))</f>
        <v>#REF!</v>
      </c>
    </row>
    <row r="31" spans="1:4">
      <c r="A31" t="s">
        <v>840</v>
      </c>
      <c r="B31" s="86" t="s">
        <v>1391</v>
      </c>
      <c r="C31" s="88" t="e">
        <f>SUM(#REF!)</f>
        <v>#REF!</v>
      </c>
      <c r="D31" t="e">
        <f>ROW(INDEX(#REF!,MATCH(Check_Empty!$B31,#REF!,0),1))</f>
        <v>#REF!</v>
      </c>
    </row>
    <row r="32" spans="1:4">
      <c r="A32" t="s">
        <v>841</v>
      </c>
      <c r="B32" s="86" t="s">
        <v>1410</v>
      </c>
      <c r="C32" s="88" t="e">
        <f>SUM(#REF!)</f>
        <v>#REF!</v>
      </c>
      <c r="D32" t="e">
        <f>ROW(INDEX(#REF!,MATCH(Check_Empty!$B32,#REF!,0),1))</f>
        <v>#REF!</v>
      </c>
    </row>
    <row r="33" spans="1:4">
      <c r="A33" t="s">
        <v>841</v>
      </c>
      <c r="B33" s="86" t="s">
        <v>1411</v>
      </c>
      <c r="C33" s="88" t="e">
        <f>SUM(#REF!)</f>
        <v>#REF!</v>
      </c>
      <c r="D33" t="e">
        <f>ROW(INDEX(#REF!,MATCH(Check_Empty!$B33,#REF!,0),1))</f>
        <v>#REF!</v>
      </c>
    </row>
    <row r="34" spans="1:4">
      <c r="A34" t="s">
        <v>842</v>
      </c>
      <c r="B34" s="86" t="s">
        <v>1412</v>
      </c>
      <c r="C34" s="88" t="e">
        <f>SUM(#REF!)</f>
        <v>#REF!</v>
      </c>
      <c r="D34" t="e">
        <f>ROW(INDEX(#REF!,MATCH(Check_Empty!$B34,#REF!,0),1))</f>
        <v>#REF!</v>
      </c>
    </row>
    <row r="35" spans="1:4">
      <c r="A35" t="s">
        <v>843</v>
      </c>
      <c r="B35" s="86" t="s">
        <v>1413</v>
      </c>
      <c r="C35" s="88" t="e">
        <f>SUM(#REF!)</f>
        <v>#REF!</v>
      </c>
      <c r="D35" t="e">
        <f>ROW(INDEX(#REF!,MATCH(Check_Empty!$B35,#REF!,0),1))</f>
        <v>#REF!</v>
      </c>
    </row>
    <row r="36" spans="1:4">
      <c r="A36" t="s">
        <v>844</v>
      </c>
      <c r="B36" s="86" t="s">
        <v>1414</v>
      </c>
      <c r="C36" s="88" t="e">
        <f>SUM(#REF!)</f>
        <v>#REF!</v>
      </c>
      <c r="D36" t="e">
        <f>ROW(INDEX(#REF!,MATCH(Check_Empty!$B36,#REF!,0),1))</f>
        <v>#REF!</v>
      </c>
    </row>
    <row r="37" spans="1:4">
      <c r="A37" t="s">
        <v>845</v>
      </c>
      <c r="B37" s="86" t="s">
        <v>1415</v>
      </c>
      <c r="C37" s="88" t="e">
        <f>SUM(#REF!)</f>
        <v>#REF!</v>
      </c>
      <c r="D37" t="e">
        <f>ROW(INDEX(#REF!,MATCH(Check_Empty!$B37,#REF!,0),1))</f>
        <v>#REF!</v>
      </c>
    </row>
    <row r="38" spans="1:4">
      <c r="A38" t="s">
        <v>845</v>
      </c>
      <c r="B38" s="86" t="s">
        <v>1416</v>
      </c>
      <c r="C38" s="88" t="e">
        <f>SUM(#REF!)</f>
        <v>#REF!</v>
      </c>
      <c r="D38" t="e">
        <f>ROW(INDEX(#REF!,MATCH(Check_Empty!$B38,#REF!,0),1))</f>
        <v>#REF!</v>
      </c>
    </row>
    <row r="39" spans="1:4">
      <c r="A39" t="s">
        <v>846</v>
      </c>
      <c r="B39" s="86" t="s">
        <v>1417</v>
      </c>
      <c r="C39" s="88" t="e">
        <f>SUM(#REF!)</f>
        <v>#REF!</v>
      </c>
      <c r="D39" t="e">
        <f>ROW(INDEX(#REF!,MATCH(Check_Empty!$B39,#REF!,0),1))</f>
        <v>#REF!</v>
      </c>
    </row>
    <row r="40" spans="1:4">
      <c r="A40" t="s">
        <v>847</v>
      </c>
      <c r="B40" s="86" t="s">
        <v>1418</v>
      </c>
      <c r="C40" s="88" t="e">
        <f>SUM(#REF!)</f>
        <v>#REF!</v>
      </c>
      <c r="D40" t="e">
        <f>ROW(INDEX(#REF!,MATCH(Check_Empty!$B40,#REF!,0),1))</f>
        <v>#REF!</v>
      </c>
    </row>
    <row r="41" spans="1:4">
      <c r="A41" t="s">
        <v>848</v>
      </c>
      <c r="B41" s="86" t="s">
        <v>1419</v>
      </c>
      <c r="C41" s="88" t="e">
        <f>SUM(#REF!)</f>
        <v>#REF!</v>
      </c>
      <c r="D41" t="e">
        <f>ROW(INDEX(#REF!,MATCH(Check_Empty!$B41,#REF!,0),1))</f>
        <v>#REF!</v>
      </c>
    </row>
    <row r="42" spans="1:4">
      <c r="A42" t="s">
        <v>849</v>
      </c>
      <c r="B42" s="86" t="s">
        <v>1429</v>
      </c>
      <c r="C42" s="88" t="e">
        <f>SUM(#REF!)</f>
        <v>#REF!</v>
      </c>
      <c r="D42" t="e">
        <f>ROW(INDEX(#REF!,MATCH(Check_Empty!$B42,#REF!,0),1))</f>
        <v>#REF!</v>
      </c>
    </row>
    <row r="43" spans="1:4">
      <c r="A43" t="s">
        <v>850</v>
      </c>
      <c r="B43" s="86" t="s">
        <v>1420</v>
      </c>
      <c r="C43" s="88" t="e">
        <f>SUM(#REF!)</f>
        <v>#REF!</v>
      </c>
      <c r="D43" t="e">
        <f>ROW(INDEX(#REF!,MATCH(Check_Empty!$B43,#REF!,0),1))</f>
        <v>#REF!</v>
      </c>
    </row>
    <row r="44" spans="1:4">
      <c r="A44" t="s">
        <v>851</v>
      </c>
      <c r="B44" s="86" t="s">
        <v>1463</v>
      </c>
      <c r="C44" s="88" t="e">
        <f>SUM(#REF!,#REF!)</f>
        <v>#REF!</v>
      </c>
      <c r="D44" t="e">
        <f>ROW(INDEX(#REF!,MATCH(Check_Empty!$B44,#REF!,0),1))</f>
        <v>#REF!</v>
      </c>
    </row>
    <row r="45" spans="1:4">
      <c r="A45" t="s">
        <v>851</v>
      </c>
      <c r="B45" s="86" t="s">
        <v>1464</v>
      </c>
      <c r="C45" s="88" t="e">
        <f>SUM(#REF!,#REF!)</f>
        <v>#REF!</v>
      </c>
      <c r="D45" t="e">
        <f>ROW(INDEX(#REF!,MATCH(Check_Empty!$B45,#REF!,0),1))</f>
        <v>#REF!</v>
      </c>
    </row>
    <row r="46" spans="1:4">
      <c r="A46" t="s">
        <v>853</v>
      </c>
      <c r="B46" s="86" t="s">
        <v>1421</v>
      </c>
      <c r="C46" s="88" t="e">
        <f>SUM(#REF!)</f>
        <v>#REF!</v>
      </c>
      <c r="D46" t="e">
        <f>ROW(INDEX(#REF!,MATCH(Check_Empty!$B46,#REF!,0),1))</f>
        <v>#REF!</v>
      </c>
    </row>
    <row r="47" spans="1:4">
      <c r="A47" t="s">
        <v>853</v>
      </c>
      <c r="B47" s="86" t="s">
        <v>1422</v>
      </c>
      <c r="C47" s="88" t="e">
        <f>SUM(#REF!)</f>
        <v>#REF!</v>
      </c>
      <c r="D47" t="e">
        <f>ROW(INDEX(#REF!,MATCH(Check_Empty!$B47,#REF!,0),1))</f>
        <v>#REF!</v>
      </c>
    </row>
    <row r="48" spans="1:4">
      <c r="A48" t="s">
        <v>855</v>
      </c>
      <c r="B48" s="86" t="s">
        <v>1423</v>
      </c>
      <c r="C48" s="88" t="e">
        <f>SUM(#REF!)</f>
        <v>#REF!</v>
      </c>
      <c r="D48" t="e">
        <f>ROW(INDEX(#REF!,MATCH(Check_Empty!$B48,#REF!,0),1))</f>
        <v>#REF!</v>
      </c>
    </row>
    <row r="49" spans="1:4">
      <c r="A49" t="s">
        <v>856</v>
      </c>
      <c r="B49" s="86" t="s">
        <v>1424</v>
      </c>
      <c r="C49" s="88" t="e">
        <f>SUM(#REF!)</f>
        <v>#REF!</v>
      </c>
      <c r="D49" t="e">
        <f>ROW(INDEX(#REF!,MATCH(Check_Empty!$B49,#REF!,0),1))</f>
        <v>#REF!</v>
      </c>
    </row>
    <row r="50" spans="1:4">
      <c r="A50" t="s">
        <v>857</v>
      </c>
      <c r="B50" s="86" t="s">
        <v>1425</v>
      </c>
      <c r="C50" s="88" t="e">
        <f>SUM(#REF!)</f>
        <v>#REF!</v>
      </c>
      <c r="D50" t="e">
        <f>ROW(INDEX(#REF!,MATCH(Check_Empty!$B50,#REF!,0),1))</f>
        <v>#REF!</v>
      </c>
    </row>
    <row r="51" spans="1:4">
      <c r="A51" t="s">
        <v>858</v>
      </c>
      <c r="B51" s="86" t="s">
        <v>1426</v>
      </c>
      <c r="C51" s="88" t="e">
        <f>SUM(#REF!)</f>
        <v>#REF!</v>
      </c>
      <c r="D51" t="e">
        <f>ROW(INDEX(#REF!,MATCH(Check_Empty!$B51,#REF!,0),1))</f>
        <v>#REF!</v>
      </c>
    </row>
    <row r="52" spans="1:4">
      <c r="A52" t="s">
        <v>859</v>
      </c>
      <c r="B52" s="86" t="s">
        <v>1427</v>
      </c>
      <c r="C52" s="88" t="e">
        <f>SUM(#REF!)</f>
        <v>#REF!</v>
      </c>
      <c r="D52" t="e">
        <f>ROW(INDEX(#REF!,MATCH(Check_Empty!$B52,#REF!,0),1))</f>
        <v>#REF!</v>
      </c>
    </row>
    <row r="53" spans="1:4">
      <c r="A53" t="s">
        <v>860</v>
      </c>
      <c r="B53" s="86" t="s">
        <v>1428</v>
      </c>
      <c r="C53" s="88" t="e">
        <f>SUM(#REF!)</f>
        <v>#REF!</v>
      </c>
      <c r="D53" t="e">
        <f>ROW(INDEX(#REF!,MATCH(Check_Empty!$B53,#REF!,0),1))</f>
        <v>#REF!</v>
      </c>
    </row>
    <row r="54" spans="1:4">
      <c r="A54" t="s">
        <v>861</v>
      </c>
      <c r="B54" s="86" t="s">
        <v>1430</v>
      </c>
      <c r="C54" s="88" t="e">
        <f>SUM(#REF!)</f>
        <v>#REF!</v>
      </c>
      <c r="D54" t="e">
        <f>ROW(INDEX(#REF!,MATCH(Check_Empty!$B54,#REF!,0),1))</f>
        <v>#REF!</v>
      </c>
    </row>
    <row r="55" spans="1:4">
      <c r="A55" t="s">
        <v>863</v>
      </c>
      <c r="B55" s="86" t="s">
        <v>1431</v>
      </c>
      <c r="C55" s="88" t="e">
        <f>SUM(#REF!)</f>
        <v>#REF!</v>
      </c>
      <c r="D55" t="e">
        <f>ROW(INDEX(#REF!,MATCH(Check_Empty!$B55,#REF!,0),1))</f>
        <v>#REF!</v>
      </c>
    </row>
    <row r="56" spans="1:4">
      <c r="A56" t="s">
        <v>863</v>
      </c>
      <c r="B56" s="86" t="s">
        <v>1432</v>
      </c>
      <c r="C56" s="88" t="e">
        <f>SUM(#REF!)</f>
        <v>#REF!</v>
      </c>
      <c r="D56" t="e">
        <f>ROW(INDEX(#REF!,MATCH(Check_Empty!$B56,#REF!,0),1))</f>
        <v>#REF!</v>
      </c>
    </row>
    <row r="57" spans="1:4">
      <c r="A57" t="s">
        <v>864</v>
      </c>
      <c r="B57" s="86" t="s">
        <v>1433</v>
      </c>
      <c r="C57" s="88" t="e">
        <f>SUM(#REF!)</f>
        <v>#REF!</v>
      </c>
      <c r="D57" t="e">
        <f>ROW(INDEX(#REF!,MATCH(Check_Empty!$B57,#REF!,0),1))</f>
        <v>#REF!</v>
      </c>
    </row>
    <row r="58" spans="1:4">
      <c r="A58" t="s">
        <v>865</v>
      </c>
      <c r="B58" s="86" t="s">
        <v>1434</v>
      </c>
      <c r="C58" s="88" t="e">
        <f>SUM(#REF!)</f>
        <v>#REF!</v>
      </c>
      <c r="D58" t="e">
        <f>ROW(INDEX(#REF!,MATCH(Check_Empty!$B58,#REF!,0),1))</f>
        <v>#REF!</v>
      </c>
    </row>
    <row r="59" spans="1:4">
      <c r="A59" t="s">
        <v>866</v>
      </c>
      <c r="B59" s="86" t="s">
        <v>1435</v>
      </c>
      <c r="C59" s="88" t="e">
        <f>SUM(#REF!)</f>
        <v>#REF!</v>
      </c>
      <c r="D59" t="e">
        <f>ROW(INDEX(#REF!,MATCH(Check_Empty!$B59,#REF!,0),1))</f>
        <v>#REF!</v>
      </c>
    </row>
    <row r="60" spans="1:4">
      <c r="A60" t="s">
        <v>869</v>
      </c>
      <c r="B60" s="86" t="s">
        <v>1436</v>
      </c>
      <c r="C60" s="88" t="e">
        <f>SUM(#REF!)</f>
        <v>#REF!</v>
      </c>
      <c r="D60" t="e">
        <f>ROW(INDEX(#REF!,MATCH(Check_Empty!$B60,#REF!,0),1))</f>
        <v>#REF!</v>
      </c>
    </row>
    <row r="61" spans="1:4">
      <c r="A61" t="s">
        <v>870</v>
      </c>
      <c r="B61" s="86" t="s">
        <v>1437</v>
      </c>
      <c r="C61" s="88" t="e">
        <f>SUM(#REF!)</f>
        <v>#REF!</v>
      </c>
      <c r="D61" t="e">
        <f>ROW(INDEX(#REF!,MATCH(Check_Empty!$B61,#REF!,0),1))</f>
        <v>#REF!</v>
      </c>
    </row>
    <row r="62" spans="1:4">
      <c r="A62" t="s">
        <v>872</v>
      </c>
      <c r="B62" s="86" t="s">
        <v>1438</v>
      </c>
      <c r="C62" s="88" t="e">
        <f>SUM(#REF!)</f>
        <v>#REF!</v>
      </c>
      <c r="D62" t="e">
        <f>ROW(INDEX(#REF!,MATCH(Check_Empty!$B62,#REF!,0),1))</f>
        <v>#REF!</v>
      </c>
    </row>
    <row r="63" spans="1:4">
      <c r="A63" t="s">
        <v>873</v>
      </c>
      <c r="B63" s="86" t="s">
        <v>1439</v>
      </c>
      <c r="C63" s="88" t="e">
        <f>SUM(#REF!)</f>
        <v>#REF!</v>
      </c>
      <c r="D63" t="e">
        <f>ROW(INDEX(#REF!,MATCH(Check_Empty!$B63,#REF!,0),1))</f>
        <v>#REF!</v>
      </c>
    </row>
    <row r="64" spans="1:4">
      <c r="A64" t="s">
        <v>874</v>
      </c>
      <c r="B64" s="86" t="s">
        <v>1440</v>
      </c>
      <c r="C64" s="88" t="e">
        <f>SUM(#REF!)</f>
        <v>#REF!</v>
      </c>
      <c r="D64" t="e">
        <f>ROW(INDEX(#REF!,MATCH(Check_Empty!$B64,#REF!,0),1))</f>
        <v>#REF!</v>
      </c>
    </row>
    <row r="65" spans="1:4">
      <c r="A65" t="s">
        <v>875</v>
      </c>
      <c r="B65" s="86" t="s">
        <v>1441</v>
      </c>
      <c r="C65" s="88" t="e">
        <f>SUM(#REF!,#REF!)</f>
        <v>#REF!</v>
      </c>
      <c r="D65" t="e">
        <f>ROW(INDEX(#REF!,MATCH(Check_Empty!$B65,#REF!,0),1))</f>
        <v>#REF!</v>
      </c>
    </row>
    <row r="66" spans="1:4">
      <c r="A66" t="s">
        <v>876</v>
      </c>
      <c r="B66" s="86" t="s">
        <v>1442</v>
      </c>
      <c r="C66" s="88" t="e">
        <f>SUM(#REF!)</f>
        <v>#REF!</v>
      </c>
      <c r="D66" t="e">
        <f>ROW(INDEX(#REF!,MATCH(Check_Empty!$B66,#REF!,0),1))</f>
        <v>#REF!</v>
      </c>
    </row>
    <row r="67" spans="1:4">
      <c r="A67" t="s">
        <v>877</v>
      </c>
      <c r="B67" s="86" t="s">
        <v>1443</v>
      </c>
      <c r="C67" s="88" t="e">
        <f>SUM(#REF!)</f>
        <v>#REF!</v>
      </c>
      <c r="D67" t="e">
        <f>ROW(INDEX(#REF!,MATCH(Check_Empty!$B67,#REF!,0),1))</f>
        <v>#REF!</v>
      </c>
    </row>
    <row r="68" spans="1:4">
      <c r="A68" t="s">
        <v>877</v>
      </c>
      <c r="B68" s="86" t="s">
        <v>1444</v>
      </c>
      <c r="C68" s="88" t="e">
        <f>SUM(#REF!)</f>
        <v>#REF!</v>
      </c>
      <c r="D68" t="e">
        <f>ROW(INDEX(#REF!,MATCH(Check_Empty!$B68,#REF!,0),1))</f>
        <v>#REF!</v>
      </c>
    </row>
    <row r="69" spans="1:4">
      <c r="A69" t="s">
        <v>878</v>
      </c>
      <c r="B69" s="86" t="s">
        <v>1445</v>
      </c>
      <c r="C69" s="88" t="e">
        <f>SUM(#REF!)</f>
        <v>#REF!</v>
      </c>
      <c r="D69" t="e">
        <f>ROW(INDEX(#REF!,MATCH(Check_Empty!$B69,#REF!,0),1))</f>
        <v>#REF!</v>
      </c>
    </row>
    <row r="70" spans="1:4">
      <c r="A70" t="s">
        <v>879</v>
      </c>
      <c r="B70" s="86" t="s">
        <v>1446</v>
      </c>
      <c r="C70" s="88" t="e">
        <f>SUM(#REF!)</f>
        <v>#REF!</v>
      </c>
      <c r="D70" t="e">
        <f>ROW(INDEX(#REF!,MATCH(Check_Empty!$B70,#REF!,0),1))</f>
        <v>#REF!</v>
      </c>
    </row>
    <row r="71" spans="1:4">
      <c r="A71" t="s">
        <v>880</v>
      </c>
      <c r="B71" s="86" t="s">
        <v>1447</v>
      </c>
      <c r="C71" s="88" t="e">
        <f>SUM(#REF!)</f>
        <v>#REF!</v>
      </c>
      <c r="D71" t="e">
        <f>ROW(INDEX(#REF!,MATCH(Check_Empty!$B71,#REF!,0),1))</f>
        <v>#REF!</v>
      </c>
    </row>
    <row r="72" spans="1:4">
      <c r="A72" t="s">
        <v>880</v>
      </c>
      <c r="B72" s="86" t="s">
        <v>1448</v>
      </c>
      <c r="C72" s="88" t="e">
        <f>SUM(#REF!)</f>
        <v>#REF!</v>
      </c>
      <c r="D72" t="e">
        <f>ROW(INDEX(#REF!,MATCH(Check_Empty!$B72,#REF!,0),1))</f>
        <v>#REF!</v>
      </c>
    </row>
    <row r="73" spans="1:4">
      <c r="A73" t="s">
        <v>881</v>
      </c>
      <c r="B73" s="86" t="s">
        <v>1449</v>
      </c>
      <c r="C73" s="88" t="e">
        <f>SUM(#REF!)</f>
        <v>#REF!</v>
      </c>
      <c r="D73" t="e">
        <f>ROW(INDEX(#REF!,MATCH(Check_Empty!$B73,#REF!,0),1))</f>
        <v>#REF!</v>
      </c>
    </row>
    <row r="74" spans="1:4">
      <c r="A74" t="s">
        <v>881</v>
      </c>
      <c r="B74" s="86" t="s">
        <v>1450</v>
      </c>
      <c r="C74" s="88" t="e">
        <f>SUM(#REF!)</f>
        <v>#REF!</v>
      </c>
      <c r="D74" t="e">
        <f>ROW(INDEX(#REF!,MATCH(Check_Empty!$B74,#REF!,0),1))</f>
        <v>#REF!</v>
      </c>
    </row>
    <row r="75" spans="1:4">
      <c r="A75" t="s">
        <v>955</v>
      </c>
      <c r="B75" s="86" t="s">
        <v>1451</v>
      </c>
      <c r="C75" s="88" t="e">
        <f>SUM(#REF!)</f>
        <v>#REF!</v>
      </c>
      <c r="D75" t="e">
        <f>ROW(INDEX(#REF!,MATCH(Check_Empty!$B75,#REF!,0),1))</f>
        <v>#REF!</v>
      </c>
    </row>
  </sheetData>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7"/>
  <dimension ref="A1:BX94"/>
  <sheetViews>
    <sheetView zoomScale="130" zoomScaleNormal="130" workbookViewId="0">
      <selection activeCell="C31" sqref="C31"/>
    </sheetView>
  </sheetViews>
  <sheetFormatPr defaultRowHeight="12.75"/>
  <cols>
    <col min="1" max="1" width="0.7109375" style="103" customWidth="1"/>
    <col min="2" max="2" width="0.5703125" style="103" customWidth="1"/>
    <col min="3" max="3" width="2.140625" style="103" customWidth="1"/>
    <col min="4" max="4" width="0.5703125" style="103" customWidth="1"/>
    <col min="5" max="5" width="2.140625" style="103" customWidth="1"/>
    <col min="6" max="6" width="0.5703125" style="103" customWidth="1"/>
    <col min="7" max="7" width="2.140625" style="103" customWidth="1"/>
    <col min="8" max="8" width="0.5703125" style="103" customWidth="1"/>
    <col min="9" max="9" width="2.140625" style="103" customWidth="1"/>
    <col min="10" max="10" width="0.5703125" style="103" customWidth="1"/>
    <col min="11" max="11" width="2.140625" style="103" customWidth="1"/>
    <col min="12" max="12" width="0.5703125" style="103" customWidth="1"/>
    <col min="13" max="13" width="2.28515625" style="103" customWidth="1"/>
    <col min="14" max="14" width="0.5703125" style="103" customWidth="1"/>
    <col min="15" max="15" width="2.140625" style="103" customWidth="1"/>
    <col min="16" max="16" width="0.5703125" style="103" customWidth="1"/>
    <col min="17" max="17" width="2.140625" style="103" customWidth="1"/>
    <col min="18" max="18" width="0.5703125" style="103" customWidth="1"/>
    <col min="19" max="19" width="2.140625" style="103" customWidth="1"/>
    <col min="20" max="20" width="0.5703125" style="103" customWidth="1"/>
    <col min="21" max="21" width="2.140625" style="103" customWidth="1"/>
    <col min="22" max="22" width="0.5703125" style="103" customWidth="1"/>
    <col min="23" max="23" width="2.140625" style="103" customWidth="1"/>
    <col min="24" max="24" width="0.5703125" style="103" customWidth="1"/>
    <col min="25" max="25" width="2.140625" style="103" customWidth="1"/>
    <col min="26" max="26" width="0.5703125" style="103" customWidth="1"/>
    <col min="27" max="27" width="2.140625" style="103" customWidth="1"/>
    <col min="28" max="28" width="0.5703125" style="103" customWidth="1"/>
    <col min="29" max="29" width="2.28515625" style="103" customWidth="1"/>
    <col min="30" max="30" width="0.5703125" style="103" customWidth="1"/>
    <col min="31" max="31" width="2.28515625" style="103" customWidth="1"/>
    <col min="32" max="32" width="0.5703125" style="103" customWidth="1"/>
    <col min="33" max="33" width="2.28515625" style="103" customWidth="1"/>
    <col min="34" max="34" width="0.5703125" style="103" customWidth="1"/>
    <col min="35" max="35" width="2.140625" style="103" customWidth="1"/>
    <col min="36" max="36" width="0.5703125" style="103" customWidth="1"/>
    <col min="37" max="37" width="2.140625" style="103" customWidth="1"/>
    <col min="38" max="38" width="0.5703125" style="103" customWidth="1"/>
    <col min="39" max="39" width="2.28515625" style="103" customWidth="1"/>
    <col min="40" max="40" width="0.5703125" style="103" customWidth="1"/>
    <col min="41" max="41" width="2.140625" style="103" customWidth="1"/>
    <col min="42" max="42" width="0.5703125" style="103" customWidth="1"/>
    <col min="43" max="43" width="2.140625" style="103" customWidth="1"/>
    <col min="44" max="44" width="0.5703125" style="103" customWidth="1"/>
    <col min="45" max="45" width="2.28515625" style="103" customWidth="1"/>
    <col min="46" max="46" width="0.5703125" style="103" customWidth="1"/>
    <col min="47" max="47" width="2.140625" style="103" customWidth="1"/>
    <col min="48" max="48" width="0.5703125" style="103" customWidth="1"/>
    <col min="49" max="49" width="2.28515625" style="103" customWidth="1"/>
    <col min="50" max="50" width="0.5703125" style="103" customWidth="1"/>
    <col min="51" max="51" width="2.140625" style="103" customWidth="1"/>
    <col min="52" max="52" width="0.5703125" style="103" customWidth="1"/>
    <col min="53" max="53" width="2.28515625" style="103" customWidth="1"/>
    <col min="54" max="54" width="0.5703125" style="103" customWidth="1"/>
    <col min="55" max="55" width="2.140625" style="103" customWidth="1"/>
    <col min="56" max="56" width="0.5703125" style="103" customWidth="1"/>
    <col min="57" max="57" width="2.140625" style="103" customWidth="1"/>
    <col min="58" max="58" width="0.5703125" style="103" customWidth="1"/>
    <col min="59" max="59" width="2.28515625" style="103" customWidth="1"/>
    <col min="60" max="60" width="0.5703125" style="103" customWidth="1"/>
    <col min="61" max="61" width="2.140625" style="103" customWidth="1"/>
    <col min="62" max="62" width="0.5703125" style="103" customWidth="1"/>
    <col min="63" max="63" width="2.140625" style="103" customWidth="1"/>
    <col min="64" max="64" width="0.5703125" style="103" customWidth="1"/>
    <col min="65" max="65" width="2.140625" style="103" customWidth="1"/>
    <col min="66" max="66" width="0.5703125" style="103" customWidth="1"/>
    <col min="67" max="67" width="2.140625" style="103" customWidth="1"/>
    <col min="68" max="68" width="0.5703125" style="103" customWidth="1"/>
    <col min="69" max="69" width="2.28515625" style="103" customWidth="1"/>
    <col min="70" max="70" width="0.5703125" style="103" customWidth="1"/>
    <col min="71" max="71" width="2.140625" style="103" customWidth="1"/>
    <col min="72" max="72" width="0.5703125" style="103" customWidth="1"/>
    <col min="73" max="73" width="2.140625" style="103" customWidth="1"/>
    <col min="74" max="74" width="0.5703125" style="103" customWidth="1"/>
    <col min="75" max="75" width="2.140625" style="103" customWidth="1"/>
    <col min="76" max="76" width="0.42578125" style="103" customWidth="1"/>
    <col min="77" max="256" width="9.140625" style="103"/>
    <col min="257" max="257" width="0.7109375" style="103" customWidth="1"/>
    <col min="258" max="258" width="0.5703125" style="103" customWidth="1"/>
    <col min="259" max="259" width="2.140625" style="103" customWidth="1"/>
    <col min="260" max="260" width="0.5703125" style="103" customWidth="1"/>
    <col min="261" max="261" width="2.140625" style="103" customWidth="1"/>
    <col min="262" max="262" width="0.5703125" style="103" customWidth="1"/>
    <col min="263" max="263" width="2.140625" style="103" customWidth="1"/>
    <col min="264" max="264" width="0.5703125" style="103" customWidth="1"/>
    <col min="265" max="265" width="2.140625" style="103" customWidth="1"/>
    <col min="266" max="266" width="0.5703125" style="103" customWidth="1"/>
    <col min="267" max="267" width="2.140625" style="103" customWidth="1"/>
    <col min="268" max="268" width="0.5703125" style="103" customWidth="1"/>
    <col min="269" max="269" width="2.28515625" style="103" customWidth="1"/>
    <col min="270" max="270" width="0.5703125" style="103" customWidth="1"/>
    <col min="271" max="271" width="2.140625" style="103" customWidth="1"/>
    <col min="272" max="272" width="0.5703125" style="103" customWidth="1"/>
    <col min="273" max="273" width="2.140625" style="103" customWidth="1"/>
    <col min="274" max="274" width="0.5703125" style="103" customWidth="1"/>
    <col min="275" max="275" width="2.140625" style="103" customWidth="1"/>
    <col min="276" max="276" width="0.5703125" style="103" customWidth="1"/>
    <col min="277" max="277" width="2.140625" style="103" customWidth="1"/>
    <col min="278" max="278" width="0.5703125" style="103" customWidth="1"/>
    <col min="279" max="279" width="2.140625" style="103" customWidth="1"/>
    <col min="280" max="280" width="0.5703125" style="103" customWidth="1"/>
    <col min="281" max="281" width="2.140625" style="103" customWidth="1"/>
    <col min="282" max="282" width="0.5703125" style="103" customWidth="1"/>
    <col min="283" max="283" width="2.140625" style="103" customWidth="1"/>
    <col min="284" max="284" width="0.5703125" style="103" customWidth="1"/>
    <col min="285" max="285" width="2.28515625" style="103" customWidth="1"/>
    <col min="286" max="286" width="0.5703125" style="103" customWidth="1"/>
    <col min="287" max="287" width="2.28515625" style="103" customWidth="1"/>
    <col min="288" max="288" width="0.5703125" style="103" customWidth="1"/>
    <col min="289" max="289" width="2.28515625" style="103" customWidth="1"/>
    <col min="290" max="290" width="0.5703125" style="103" customWidth="1"/>
    <col min="291" max="291" width="2.140625" style="103" customWidth="1"/>
    <col min="292" max="292" width="0.5703125" style="103" customWidth="1"/>
    <col min="293" max="293" width="2.140625" style="103" customWidth="1"/>
    <col min="294" max="294" width="0.5703125" style="103" customWidth="1"/>
    <col min="295" max="295" width="2.28515625" style="103" customWidth="1"/>
    <col min="296" max="296" width="0.5703125" style="103" customWidth="1"/>
    <col min="297" max="297" width="2.140625" style="103" customWidth="1"/>
    <col min="298" max="298" width="0.5703125" style="103" customWidth="1"/>
    <col min="299" max="299" width="2.140625" style="103" customWidth="1"/>
    <col min="300" max="300" width="0.5703125" style="103" customWidth="1"/>
    <col min="301" max="301" width="2.28515625" style="103" customWidth="1"/>
    <col min="302" max="302" width="0.5703125" style="103" customWidth="1"/>
    <col min="303" max="303" width="2.140625" style="103" customWidth="1"/>
    <col min="304" max="304" width="0.5703125" style="103" customWidth="1"/>
    <col min="305" max="305" width="2.28515625" style="103" customWidth="1"/>
    <col min="306" max="306" width="0.5703125" style="103" customWidth="1"/>
    <col min="307" max="307" width="2.140625" style="103" customWidth="1"/>
    <col min="308" max="308" width="0.5703125" style="103" customWidth="1"/>
    <col min="309" max="309" width="2.28515625" style="103" customWidth="1"/>
    <col min="310" max="310" width="0.5703125" style="103" customWidth="1"/>
    <col min="311" max="311" width="2.140625" style="103" customWidth="1"/>
    <col min="312" max="312" width="0.5703125" style="103" customWidth="1"/>
    <col min="313" max="313" width="2.140625" style="103" customWidth="1"/>
    <col min="314" max="314" width="0.5703125" style="103" customWidth="1"/>
    <col min="315" max="315" width="2.28515625" style="103" customWidth="1"/>
    <col min="316" max="316" width="0.5703125" style="103" customWidth="1"/>
    <col min="317" max="317" width="2.140625" style="103" customWidth="1"/>
    <col min="318" max="318" width="0.5703125" style="103" customWidth="1"/>
    <col min="319" max="319" width="2.140625" style="103" customWidth="1"/>
    <col min="320" max="320" width="0.5703125" style="103" customWidth="1"/>
    <col min="321" max="321" width="2.140625" style="103" customWidth="1"/>
    <col min="322" max="322" width="0.5703125" style="103" customWidth="1"/>
    <col min="323" max="323" width="2.140625" style="103" customWidth="1"/>
    <col min="324" max="324" width="0.5703125" style="103" customWidth="1"/>
    <col min="325" max="325" width="2.28515625" style="103" customWidth="1"/>
    <col min="326" max="326" width="0.5703125" style="103" customWidth="1"/>
    <col min="327" max="327" width="2.140625" style="103" customWidth="1"/>
    <col min="328" max="328" width="0.5703125" style="103" customWidth="1"/>
    <col min="329" max="329" width="2.140625" style="103" customWidth="1"/>
    <col min="330" max="330" width="0.5703125" style="103" customWidth="1"/>
    <col min="331" max="331" width="2.140625" style="103" customWidth="1"/>
    <col min="332" max="332" width="0.42578125" style="103" customWidth="1"/>
    <col min="333" max="512" width="9.140625" style="103"/>
    <col min="513" max="513" width="0.7109375" style="103" customWidth="1"/>
    <col min="514" max="514" width="0.5703125" style="103" customWidth="1"/>
    <col min="515" max="515" width="2.140625" style="103" customWidth="1"/>
    <col min="516" max="516" width="0.5703125" style="103" customWidth="1"/>
    <col min="517" max="517" width="2.140625" style="103" customWidth="1"/>
    <col min="518" max="518" width="0.5703125" style="103" customWidth="1"/>
    <col min="519" max="519" width="2.140625" style="103" customWidth="1"/>
    <col min="520" max="520" width="0.5703125" style="103" customWidth="1"/>
    <col min="521" max="521" width="2.140625" style="103" customWidth="1"/>
    <col min="522" max="522" width="0.5703125" style="103" customWidth="1"/>
    <col min="523" max="523" width="2.140625" style="103" customWidth="1"/>
    <col min="524" max="524" width="0.5703125" style="103" customWidth="1"/>
    <col min="525" max="525" width="2.28515625" style="103" customWidth="1"/>
    <col min="526" max="526" width="0.5703125" style="103" customWidth="1"/>
    <col min="527" max="527" width="2.140625" style="103" customWidth="1"/>
    <col min="528" max="528" width="0.5703125" style="103" customWidth="1"/>
    <col min="529" max="529" width="2.140625" style="103" customWidth="1"/>
    <col min="530" max="530" width="0.5703125" style="103" customWidth="1"/>
    <col min="531" max="531" width="2.140625" style="103" customWidth="1"/>
    <col min="532" max="532" width="0.5703125" style="103" customWidth="1"/>
    <col min="533" max="533" width="2.140625" style="103" customWidth="1"/>
    <col min="534" max="534" width="0.5703125" style="103" customWidth="1"/>
    <col min="535" max="535" width="2.140625" style="103" customWidth="1"/>
    <col min="536" max="536" width="0.5703125" style="103" customWidth="1"/>
    <col min="537" max="537" width="2.140625" style="103" customWidth="1"/>
    <col min="538" max="538" width="0.5703125" style="103" customWidth="1"/>
    <col min="539" max="539" width="2.140625" style="103" customWidth="1"/>
    <col min="540" max="540" width="0.5703125" style="103" customWidth="1"/>
    <col min="541" max="541" width="2.28515625" style="103" customWidth="1"/>
    <col min="542" max="542" width="0.5703125" style="103" customWidth="1"/>
    <col min="543" max="543" width="2.28515625" style="103" customWidth="1"/>
    <col min="544" max="544" width="0.5703125" style="103" customWidth="1"/>
    <col min="545" max="545" width="2.28515625" style="103" customWidth="1"/>
    <col min="546" max="546" width="0.5703125" style="103" customWidth="1"/>
    <col min="547" max="547" width="2.140625" style="103" customWidth="1"/>
    <col min="548" max="548" width="0.5703125" style="103" customWidth="1"/>
    <col min="549" max="549" width="2.140625" style="103" customWidth="1"/>
    <col min="550" max="550" width="0.5703125" style="103" customWidth="1"/>
    <col min="551" max="551" width="2.28515625" style="103" customWidth="1"/>
    <col min="552" max="552" width="0.5703125" style="103" customWidth="1"/>
    <col min="553" max="553" width="2.140625" style="103" customWidth="1"/>
    <col min="554" max="554" width="0.5703125" style="103" customWidth="1"/>
    <col min="555" max="555" width="2.140625" style="103" customWidth="1"/>
    <col min="556" max="556" width="0.5703125" style="103" customWidth="1"/>
    <col min="557" max="557" width="2.28515625" style="103" customWidth="1"/>
    <col min="558" max="558" width="0.5703125" style="103" customWidth="1"/>
    <col min="559" max="559" width="2.140625" style="103" customWidth="1"/>
    <col min="560" max="560" width="0.5703125" style="103" customWidth="1"/>
    <col min="561" max="561" width="2.28515625" style="103" customWidth="1"/>
    <col min="562" max="562" width="0.5703125" style="103" customWidth="1"/>
    <col min="563" max="563" width="2.140625" style="103" customWidth="1"/>
    <col min="564" max="564" width="0.5703125" style="103" customWidth="1"/>
    <col min="565" max="565" width="2.28515625" style="103" customWidth="1"/>
    <col min="566" max="566" width="0.5703125" style="103" customWidth="1"/>
    <col min="567" max="567" width="2.140625" style="103" customWidth="1"/>
    <col min="568" max="568" width="0.5703125" style="103" customWidth="1"/>
    <col min="569" max="569" width="2.140625" style="103" customWidth="1"/>
    <col min="570" max="570" width="0.5703125" style="103" customWidth="1"/>
    <col min="571" max="571" width="2.28515625" style="103" customWidth="1"/>
    <col min="572" max="572" width="0.5703125" style="103" customWidth="1"/>
    <col min="573" max="573" width="2.140625" style="103" customWidth="1"/>
    <col min="574" max="574" width="0.5703125" style="103" customWidth="1"/>
    <col min="575" max="575" width="2.140625" style="103" customWidth="1"/>
    <col min="576" max="576" width="0.5703125" style="103" customWidth="1"/>
    <col min="577" max="577" width="2.140625" style="103" customWidth="1"/>
    <col min="578" max="578" width="0.5703125" style="103" customWidth="1"/>
    <col min="579" max="579" width="2.140625" style="103" customWidth="1"/>
    <col min="580" max="580" width="0.5703125" style="103" customWidth="1"/>
    <col min="581" max="581" width="2.28515625" style="103" customWidth="1"/>
    <col min="582" max="582" width="0.5703125" style="103" customWidth="1"/>
    <col min="583" max="583" width="2.140625" style="103" customWidth="1"/>
    <col min="584" max="584" width="0.5703125" style="103" customWidth="1"/>
    <col min="585" max="585" width="2.140625" style="103" customWidth="1"/>
    <col min="586" max="586" width="0.5703125" style="103" customWidth="1"/>
    <col min="587" max="587" width="2.140625" style="103" customWidth="1"/>
    <col min="588" max="588" width="0.42578125" style="103" customWidth="1"/>
    <col min="589" max="768" width="9.140625" style="103"/>
    <col min="769" max="769" width="0.7109375" style="103" customWidth="1"/>
    <col min="770" max="770" width="0.5703125" style="103" customWidth="1"/>
    <col min="771" max="771" width="2.140625" style="103" customWidth="1"/>
    <col min="772" max="772" width="0.5703125" style="103" customWidth="1"/>
    <col min="773" max="773" width="2.140625" style="103" customWidth="1"/>
    <col min="774" max="774" width="0.5703125" style="103" customWidth="1"/>
    <col min="775" max="775" width="2.140625" style="103" customWidth="1"/>
    <col min="776" max="776" width="0.5703125" style="103" customWidth="1"/>
    <col min="777" max="777" width="2.140625" style="103" customWidth="1"/>
    <col min="778" max="778" width="0.5703125" style="103" customWidth="1"/>
    <col min="779" max="779" width="2.140625" style="103" customWidth="1"/>
    <col min="780" max="780" width="0.5703125" style="103" customWidth="1"/>
    <col min="781" max="781" width="2.28515625" style="103" customWidth="1"/>
    <col min="782" max="782" width="0.5703125" style="103" customWidth="1"/>
    <col min="783" max="783" width="2.140625" style="103" customWidth="1"/>
    <col min="784" max="784" width="0.5703125" style="103" customWidth="1"/>
    <col min="785" max="785" width="2.140625" style="103" customWidth="1"/>
    <col min="786" max="786" width="0.5703125" style="103" customWidth="1"/>
    <col min="787" max="787" width="2.140625" style="103" customWidth="1"/>
    <col min="788" max="788" width="0.5703125" style="103" customWidth="1"/>
    <col min="789" max="789" width="2.140625" style="103" customWidth="1"/>
    <col min="790" max="790" width="0.5703125" style="103" customWidth="1"/>
    <col min="791" max="791" width="2.140625" style="103" customWidth="1"/>
    <col min="792" max="792" width="0.5703125" style="103" customWidth="1"/>
    <col min="793" max="793" width="2.140625" style="103" customWidth="1"/>
    <col min="794" max="794" width="0.5703125" style="103" customWidth="1"/>
    <col min="795" max="795" width="2.140625" style="103" customWidth="1"/>
    <col min="796" max="796" width="0.5703125" style="103" customWidth="1"/>
    <col min="797" max="797" width="2.28515625" style="103" customWidth="1"/>
    <col min="798" max="798" width="0.5703125" style="103" customWidth="1"/>
    <col min="799" max="799" width="2.28515625" style="103" customWidth="1"/>
    <col min="800" max="800" width="0.5703125" style="103" customWidth="1"/>
    <col min="801" max="801" width="2.28515625" style="103" customWidth="1"/>
    <col min="802" max="802" width="0.5703125" style="103" customWidth="1"/>
    <col min="803" max="803" width="2.140625" style="103" customWidth="1"/>
    <col min="804" max="804" width="0.5703125" style="103" customWidth="1"/>
    <col min="805" max="805" width="2.140625" style="103" customWidth="1"/>
    <col min="806" max="806" width="0.5703125" style="103" customWidth="1"/>
    <col min="807" max="807" width="2.28515625" style="103" customWidth="1"/>
    <col min="808" max="808" width="0.5703125" style="103" customWidth="1"/>
    <col min="809" max="809" width="2.140625" style="103" customWidth="1"/>
    <col min="810" max="810" width="0.5703125" style="103" customWidth="1"/>
    <col min="811" max="811" width="2.140625" style="103" customWidth="1"/>
    <col min="812" max="812" width="0.5703125" style="103" customWidth="1"/>
    <col min="813" max="813" width="2.28515625" style="103" customWidth="1"/>
    <col min="814" max="814" width="0.5703125" style="103" customWidth="1"/>
    <col min="815" max="815" width="2.140625" style="103" customWidth="1"/>
    <col min="816" max="816" width="0.5703125" style="103" customWidth="1"/>
    <col min="817" max="817" width="2.28515625" style="103" customWidth="1"/>
    <col min="818" max="818" width="0.5703125" style="103" customWidth="1"/>
    <col min="819" max="819" width="2.140625" style="103" customWidth="1"/>
    <col min="820" max="820" width="0.5703125" style="103" customWidth="1"/>
    <col min="821" max="821" width="2.28515625" style="103" customWidth="1"/>
    <col min="822" max="822" width="0.5703125" style="103" customWidth="1"/>
    <col min="823" max="823" width="2.140625" style="103" customWidth="1"/>
    <col min="824" max="824" width="0.5703125" style="103" customWidth="1"/>
    <col min="825" max="825" width="2.140625" style="103" customWidth="1"/>
    <col min="826" max="826" width="0.5703125" style="103" customWidth="1"/>
    <col min="827" max="827" width="2.28515625" style="103" customWidth="1"/>
    <col min="828" max="828" width="0.5703125" style="103" customWidth="1"/>
    <col min="829" max="829" width="2.140625" style="103" customWidth="1"/>
    <col min="830" max="830" width="0.5703125" style="103" customWidth="1"/>
    <col min="831" max="831" width="2.140625" style="103" customWidth="1"/>
    <col min="832" max="832" width="0.5703125" style="103" customWidth="1"/>
    <col min="833" max="833" width="2.140625" style="103" customWidth="1"/>
    <col min="834" max="834" width="0.5703125" style="103" customWidth="1"/>
    <col min="835" max="835" width="2.140625" style="103" customWidth="1"/>
    <col min="836" max="836" width="0.5703125" style="103" customWidth="1"/>
    <col min="837" max="837" width="2.28515625" style="103" customWidth="1"/>
    <col min="838" max="838" width="0.5703125" style="103" customWidth="1"/>
    <col min="839" max="839" width="2.140625" style="103" customWidth="1"/>
    <col min="840" max="840" width="0.5703125" style="103" customWidth="1"/>
    <col min="841" max="841" width="2.140625" style="103" customWidth="1"/>
    <col min="842" max="842" width="0.5703125" style="103" customWidth="1"/>
    <col min="843" max="843" width="2.140625" style="103" customWidth="1"/>
    <col min="844" max="844" width="0.42578125" style="103" customWidth="1"/>
    <col min="845" max="1024" width="9.140625" style="103"/>
    <col min="1025" max="1025" width="0.7109375" style="103" customWidth="1"/>
    <col min="1026" max="1026" width="0.5703125" style="103" customWidth="1"/>
    <col min="1027" max="1027" width="2.140625" style="103" customWidth="1"/>
    <col min="1028" max="1028" width="0.5703125" style="103" customWidth="1"/>
    <col min="1029" max="1029" width="2.140625" style="103" customWidth="1"/>
    <col min="1030" max="1030" width="0.5703125" style="103" customWidth="1"/>
    <col min="1031" max="1031" width="2.140625" style="103" customWidth="1"/>
    <col min="1032" max="1032" width="0.5703125" style="103" customWidth="1"/>
    <col min="1033" max="1033" width="2.140625" style="103" customWidth="1"/>
    <col min="1034" max="1034" width="0.5703125" style="103" customWidth="1"/>
    <col min="1035" max="1035" width="2.140625" style="103" customWidth="1"/>
    <col min="1036" max="1036" width="0.5703125" style="103" customWidth="1"/>
    <col min="1037" max="1037" width="2.28515625" style="103" customWidth="1"/>
    <col min="1038" max="1038" width="0.5703125" style="103" customWidth="1"/>
    <col min="1039" max="1039" width="2.140625" style="103" customWidth="1"/>
    <col min="1040" max="1040" width="0.5703125" style="103" customWidth="1"/>
    <col min="1041" max="1041" width="2.140625" style="103" customWidth="1"/>
    <col min="1042" max="1042" width="0.5703125" style="103" customWidth="1"/>
    <col min="1043" max="1043" width="2.140625" style="103" customWidth="1"/>
    <col min="1044" max="1044" width="0.5703125" style="103" customWidth="1"/>
    <col min="1045" max="1045" width="2.140625" style="103" customWidth="1"/>
    <col min="1046" max="1046" width="0.5703125" style="103" customWidth="1"/>
    <col min="1047" max="1047" width="2.140625" style="103" customWidth="1"/>
    <col min="1048" max="1048" width="0.5703125" style="103" customWidth="1"/>
    <col min="1049" max="1049" width="2.140625" style="103" customWidth="1"/>
    <col min="1050" max="1050" width="0.5703125" style="103" customWidth="1"/>
    <col min="1051" max="1051" width="2.140625" style="103" customWidth="1"/>
    <col min="1052" max="1052" width="0.5703125" style="103" customWidth="1"/>
    <col min="1053" max="1053" width="2.28515625" style="103" customWidth="1"/>
    <col min="1054" max="1054" width="0.5703125" style="103" customWidth="1"/>
    <col min="1055" max="1055" width="2.28515625" style="103" customWidth="1"/>
    <col min="1056" max="1056" width="0.5703125" style="103" customWidth="1"/>
    <col min="1057" max="1057" width="2.28515625" style="103" customWidth="1"/>
    <col min="1058" max="1058" width="0.5703125" style="103" customWidth="1"/>
    <col min="1059" max="1059" width="2.140625" style="103" customWidth="1"/>
    <col min="1060" max="1060" width="0.5703125" style="103" customWidth="1"/>
    <col min="1061" max="1061" width="2.140625" style="103" customWidth="1"/>
    <col min="1062" max="1062" width="0.5703125" style="103" customWidth="1"/>
    <col min="1063" max="1063" width="2.28515625" style="103" customWidth="1"/>
    <col min="1064" max="1064" width="0.5703125" style="103" customWidth="1"/>
    <col min="1065" max="1065" width="2.140625" style="103" customWidth="1"/>
    <col min="1066" max="1066" width="0.5703125" style="103" customWidth="1"/>
    <col min="1067" max="1067" width="2.140625" style="103" customWidth="1"/>
    <col min="1068" max="1068" width="0.5703125" style="103" customWidth="1"/>
    <col min="1069" max="1069" width="2.28515625" style="103" customWidth="1"/>
    <col min="1070" max="1070" width="0.5703125" style="103" customWidth="1"/>
    <col min="1071" max="1071" width="2.140625" style="103" customWidth="1"/>
    <col min="1072" max="1072" width="0.5703125" style="103" customWidth="1"/>
    <col min="1073" max="1073" width="2.28515625" style="103" customWidth="1"/>
    <col min="1074" max="1074" width="0.5703125" style="103" customWidth="1"/>
    <col min="1075" max="1075" width="2.140625" style="103" customWidth="1"/>
    <col min="1076" max="1076" width="0.5703125" style="103" customWidth="1"/>
    <col min="1077" max="1077" width="2.28515625" style="103" customWidth="1"/>
    <col min="1078" max="1078" width="0.5703125" style="103" customWidth="1"/>
    <col min="1079" max="1079" width="2.140625" style="103" customWidth="1"/>
    <col min="1080" max="1080" width="0.5703125" style="103" customWidth="1"/>
    <col min="1081" max="1081" width="2.140625" style="103" customWidth="1"/>
    <col min="1082" max="1082" width="0.5703125" style="103" customWidth="1"/>
    <col min="1083" max="1083" width="2.28515625" style="103" customWidth="1"/>
    <col min="1084" max="1084" width="0.5703125" style="103" customWidth="1"/>
    <col min="1085" max="1085" width="2.140625" style="103" customWidth="1"/>
    <col min="1086" max="1086" width="0.5703125" style="103" customWidth="1"/>
    <col min="1087" max="1087" width="2.140625" style="103" customWidth="1"/>
    <col min="1088" max="1088" width="0.5703125" style="103" customWidth="1"/>
    <col min="1089" max="1089" width="2.140625" style="103" customWidth="1"/>
    <col min="1090" max="1090" width="0.5703125" style="103" customWidth="1"/>
    <col min="1091" max="1091" width="2.140625" style="103" customWidth="1"/>
    <col min="1092" max="1092" width="0.5703125" style="103" customWidth="1"/>
    <col min="1093" max="1093" width="2.28515625" style="103" customWidth="1"/>
    <col min="1094" max="1094" width="0.5703125" style="103" customWidth="1"/>
    <col min="1095" max="1095" width="2.140625" style="103" customWidth="1"/>
    <col min="1096" max="1096" width="0.5703125" style="103" customWidth="1"/>
    <col min="1097" max="1097" width="2.140625" style="103" customWidth="1"/>
    <col min="1098" max="1098" width="0.5703125" style="103" customWidth="1"/>
    <col min="1099" max="1099" width="2.140625" style="103" customWidth="1"/>
    <col min="1100" max="1100" width="0.42578125" style="103" customWidth="1"/>
    <col min="1101" max="1280" width="9.140625" style="103"/>
    <col min="1281" max="1281" width="0.7109375" style="103" customWidth="1"/>
    <col min="1282" max="1282" width="0.5703125" style="103" customWidth="1"/>
    <col min="1283" max="1283" width="2.140625" style="103" customWidth="1"/>
    <col min="1284" max="1284" width="0.5703125" style="103" customWidth="1"/>
    <col min="1285" max="1285" width="2.140625" style="103" customWidth="1"/>
    <col min="1286" max="1286" width="0.5703125" style="103" customWidth="1"/>
    <col min="1287" max="1287" width="2.140625" style="103" customWidth="1"/>
    <col min="1288" max="1288" width="0.5703125" style="103" customWidth="1"/>
    <col min="1289" max="1289" width="2.140625" style="103" customWidth="1"/>
    <col min="1290" max="1290" width="0.5703125" style="103" customWidth="1"/>
    <col min="1291" max="1291" width="2.140625" style="103" customWidth="1"/>
    <col min="1292" max="1292" width="0.5703125" style="103" customWidth="1"/>
    <col min="1293" max="1293" width="2.28515625" style="103" customWidth="1"/>
    <col min="1294" max="1294" width="0.5703125" style="103" customWidth="1"/>
    <col min="1295" max="1295" width="2.140625" style="103" customWidth="1"/>
    <col min="1296" max="1296" width="0.5703125" style="103" customWidth="1"/>
    <col min="1297" max="1297" width="2.140625" style="103" customWidth="1"/>
    <col min="1298" max="1298" width="0.5703125" style="103" customWidth="1"/>
    <col min="1299" max="1299" width="2.140625" style="103" customWidth="1"/>
    <col min="1300" max="1300" width="0.5703125" style="103" customWidth="1"/>
    <col min="1301" max="1301" width="2.140625" style="103" customWidth="1"/>
    <col min="1302" max="1302" width="0.5703125" style="103" customWidth="1"/>
    <col min="1303" max="1303" width="2.140625" style="103" customWidth="1"/>
    <col min="1304" max="1304" width="0.5703125" style="103" customWidth="1"/>
    <col min="1305" max="1305" width="2.140625" style="103" customWidth="1"/>
    <col min="1306" max="1306" width="0.5703125" style="103" customWidth="1"/>
    <col min="1307" max="1307" width="2.140625" style="103" customWidth="1"/>
    <col min="1308" max="1308" width="0.5703125" style="103" customWidth="1"/>
    <col min="1309" max="1309" width="2.28515625" style="103" customWidth="1"/>
    <col min="1310" max="1310" width="0.5703125" style="103" customWidth="1"/>
    <col min="1311" max="1311" width="2.28515625" style="103" customWidth="1"/>
    <col min="1312" max="1312" width="0.5703125" style="103" customWidth="1"/>
    <col min="1313" max="1313" width="2.28515625" style="103" customWidth="1"/>
    <col min="1314" max="1314" width="0.5703125" style="103" customWidth="1"/>
    <col min="1315" max="1315" width="2.140625" style="103" customWidth="1"/>
    <col min="1316" max="1316" width="0.5703125" style="103" customWidth="1"/>
    <col min="1317" max="1317" width="2.140625" style="103" customWidth="1"/>
    <col min="1318" max="1318" width="0.5703125" style="103" customWidth="1"/>
    <col min="1319" max="1319" width="2.28515625" style="103" customWidth="1"/>
    <col min="1320" max="1320" width="0.5703125" style="103" customWidth="1"/>
    <col min="1321" max="1321" width="2.140625" style="103" customWidth="1"/>
    <col min="1322" max="1322" width="0.5703125" style="103" customWidth="1"/>
    <col min="1323" max="1323" width="2.140625" style="103" customWidth="1"/>
    <col min="1324" max="1324" width="0.5703125" style="103" customWidth="1"/>
    <col min="1325" max="1325" width="2.28515625" style="103" customWidth="1"/>
    <col min="1326" max="1326" width="0.5703125" style="103" customWidth="1"/>
    <col min="1327" max="1327" width="2.140625" style="103" customWidth="1"/>
    <col min="1328" max="1328" width="0.5703125" style="103" customWidth="1"/>
    <col min="1329" max="1329" width="2.28515625" style="103" customWidth="1"/>
    <col min="1330" max="1330" width="0.5703125" style="103" customWidth="1"/>
    <col min="1331" max="1331" width="2.140625" style="103" customWidth="1"/>
    <col min="1332" max="1332" width="0.5703125" style="103" customWidth="1"/>
    <col min="1333" max="1333" width="2.28515625" style="103" customWidth="1"/>
    <col min="1334" max="1334" width="0.5703125" style="103" customWidth="1"/>
    <col min="1335" max="1335" width="2.140625" style="103" customWidth="1"/>
    <col min="1336" max="1336" width="0.5703125" style="103" customWidth="1"/>
    <col min="1337" max="1337" width="2.140625" style="103" customWidth="1"/>
    <col min="1338" max="1338" width="0.5703125" style="103" customWidth="1"/>
    <col min="1339" max="1339" width="2.28515625" style="103" customWidth="1"/>
    <col min="1340" max="1340" width="0.5703125" style="103" customWidth="1"/>
    <col min="1341" max="1341" width="2.140625" style="103" customWidth="1"/>
    <col min="1342" max="1342" width="0.5703125" style="103" customWidth="1"/>
    <col min="1343" max="1343" width="2.140625" style="103" customWidth="1"/>
    <col min="1344" max="1344" width="0.5703125" style="103" customWidth="1"/>
    <col min="1345" max="1345" width="2.140625" style="103" customWidth="1"/>
    <col min="1346" max="1346" width="0.5703125" style="103" customWidth="1"/>
    <col min="1347" max="1347" width="2.140625" style="103" customWidth="1"/>
    <col min="1348" max="1348" width="0.5703125" style="103" customWidth="1"/>
    <col min="1349" max="1349" width="2.28515625" style="103" customWidth="1"/>
    <col min="1350" max="1350" width="0.5703125" style="103" customWidth="1"/>
    <col min="1351" max="1351" width="2.140625" style="103" customWidth="1"/>
    <col min="1352" max="1352" width="0.5703125" style="103" customWidth="1"/>
    <col min="1353" max="1353" width="2.140625" style="103" customWidth="1"/>
    <col min="1354" max="1354" width="0.5703125" style="103" customWidth="1"/>
    <col min="1355" max="1355" width="2.140625" style="103" customWidth="1"/>
    <col min="1356" max="1356" width="0.42578125" style="103" customWidth="1"/>
    <col min="1357" max="1536" width="9.140625" style="103"/>
    <col min="1537" max="1537" width="0.7109375" style="103" customWidth="1"/>
    <col min="1538" max="1538" width="0.5703125" style="103" customWidth="1"/>
    <col min="1539" max="1539" width="2.140625" style="103" customWidth="1"/>
    <col min="1540" max="1540" width="0.5703125" style="103" customWidth="1"/>
    <col min="1541" max="1541" width="2.140625" style="103" customWidth="1"/>
    <col min="1542" max="1542" width="0.5703125" style="103" customWidth="1"/>
    <col min="1543" max="1543" width="2.140625" style="103" customWidth="1"/>
    <col min="1544" max="1544" width="0.5703125" style="103" customWidth="1"/>
    <col min="1545" max="1545" width="2.140625" style="103" customWidth="1"/>
    <col min="1546" max="1546" width="0.5703125" style="103" customWidth="1"/>
    <col min="1547" max="1547" width="2.140625" style="103" customWidth="1"/>
    <col min="1548" max="1548" width="0.5703125" style="103" customWidth="1"/>
    <col min="1549" max="1549" width="2.28515625" style="103" customWidth="1"/>
    <col min="1550" max="1550" width="0.5703125" style="103" customWidth="1"/>
    <col min="1551" max="1551" width="2.140625" style="103" customWidth="1"/>
    <col min="1552" max="1552" width="0.5703125" style="103" customWidth="1"/>
    <col min="1553" max="1553" width="2.140625" style="103" customWidth="1"/>
    <col min="1554" max="1554" width="0.5703125" style="103" customWidth="1"/>
    <col min="1555" max="1555" width="2.140625" style="103" customWidth="1"/>
    <col min="1556" max="1556" width="0.5703125" style="103" customWidth="1"/>
    <col min="1557" max="1557" width="2.140625" style="103" customWidth="1"/>
    <col min="1558" max="1558" width="0.5703125" style="103" customWidth="1"/>
    <col min="1559" max="1559" width="2.140625" style="103" customWidth="1"/>
    <col min="1560" max="1560" width="0.5703125" style="103" customWidth="1"/>
    <col min="1561" max="1561" width="2.140625" style="103" customWidth="1"/>
    <col min="1562" max="1562" width="0.5703125" style="103" customWidth="1"/>
    <col min="1563" max="1563" width="2.140625" style="103" customWidth="1"/>
    <col min="1564" max="1564" width="0.5703125" style="103" customWidth="1"/>
    <col min="1565" max="1565" width="2.28515625" style="103" customWidth="1"/>
    <col min="1566" max="1566" width="0.5703125" style="103" customWidth="1"/>
    <col min="1567" max="1567" width="2.28515625" style="103" customWidth="1"/>
    <col min="1568" max="1568" width="0.5703125" style="103" customWidth="1"/>
    <col min="1569" max="1569" width="2.28515625" style="103" customWidth="1"/>
    <col min="1570" max="1570" width="0.5703125" style="103" customWidth="1"/>
    <col min="1571" max="1571" width="2.140625" style="103" customWidth="1"/>
    <col min="1572" max="1572" width="0.5703125" style="103" customWidth="1"/>
    <col min="1573" max="1573" width="2.140625" style="103" customWidth="1"/>
    <col min="1574" max="1574" width="0.5703125" style="103" customWidth="1"/>
    <col min="1575" max="1575" width="2.28515625" style="103" customWidth="1"/>
    <col min="1576" max="1576" width="0.5703125" style="103" customWidth="1"/>
    <col min="1577" max="1577" width="2.140625" style="103" customWidth="1"/>
    <col min="1578" max="1578" width="0.5703125" style="103" customWidth="1"/>
    <col min="1579" max="1579" width="2.140625" style="103" customWidth="1"/>
    <col min="1580" max="1580" width="0.5703125" style="103" customWidth="1"/>
    <col min="1581" max="1581" width="2.28515625" style="103" customWidth="1"/>
    <col min="1582" max="1582" width="0.5703125" style="103" customWidth="1"/>
    <col min="1583" max="1583" width="2.140625" style="103" customWidth="1"/>
    <col min="1584" max="1584" width="0.5703125" style="103" customWidth="1"/>
    <col min="1585" max="1585" width="2.28515625" style="103" customWidth="1"/>
    <col min="1586" max="1586" width="0.5703125" style="103" customWidth="1"/>
    <col min="1587" max="1587" width="2.140625" style="103" customWidth="1"/>
    <col min="1588" max="1588" width="0.5703125" style="103" customWidth="1"/>
    <col min="1589" max="1589" width="2.28515625" style="103" customWidth="1"/>
    <col min="1590" max="1590" width="0.5703125" style="103" customWidth="1"/>
    <col min="1591" max="1591" width="2.140625" style="103" customWidth="1"/>
    <col min="1592" max="1592" width="0.5703125" style="103" customWidth="1"/>
    <col min="1593" max="1593" width="2.140625" style="103" customWidth="1"/>
    <col min="1594" max="1594" width="0.5703125" style="103" customWidth="1"/>
    <col min="1595" max="1595" width="2.28515625" style="103" customWidth="1"/>
    <col min="1596" max="1596" width="0.5703125" style="103" customWidth="1"/>
    <col min="1597" max="1597" width="2.140625" style="103" customWidth="1"/>
    <col min="1598" max="1598" width="0.5703125" style="103" customWidth="1"/>
    <col min="1599" max="1599" width="2.140625" style="103" customWidth="1"/>
    <col min="1600" max="1600" width="0.5703125" style="103" customWidth="1"/>
    <col min="1601" max="1601" width="2.140625" style="103" customWidth="1"/>
    <col min="1602" max="1602" width="0.5703125" style="103" customWidth="1"/>
    <col min="1603" max="1603" width="2.140625" style="103" customWidth="1"/>
    <col min="1604" max="1604" width="0.5703125" style="103" customWidth="1"/>
    <col min="1605" max="1605" width="2.28515625" style="103" customWidth="1"/>
    <col min="1606" max="1606" width="0.5703125" style="103" customWidth="1"/>
    <col min="1607" max="1607" width="2.140625" style="103" customWidth="1"/>
    <col min="1608" max="1608" width="0.5703125" style="103" customWidth="1"/>
    <col min="1609" max="1609" width="2.140625" style="103" customWidth="1"/>
    <col min="1610" max="1610" width="0.5703125" style="103" customWidth="1"/>
    <col min="1611" max="1611" width="2.140625" style="103" customWidth="1"/>
    <col min="1612" max="1612" width="0.42578125" style="103" customWidth="1"/>
    <col min="1613" max="1792" width="9.140625" style="103"/>
    <col min="1793" max="1793" width="0.7109375" style="103" customWidth="1"/>
    <col min="1794" max="1794" width="0.5703125" style="103" customWidth="1"/>
    <col min="1795" max="1795" width="2.140625" style="103" customWidth="1"/>
    <col min="1796" max="1796" width="0.5703125" style="103" customWidth="1"/>
    <col min="1797" max="1797" width="2.140625" style="103" customWidth="1"/>
    <col min="1798" max="1798" width="0.5703125" style="103" customWidth="1"/>
    <col min="1799" max="1799" width="2.140625" style="103" customWidth="1"/>
    <col min="1800" max="1800" width="0.5703125" style="103" customWidth="1"/>
    <col min="1801" max="1801" width="2.140625" style="103" customWidth="1"/>
    <col min="1802" max="1802" width="0.5703125" style="103" customWidth="1"/>
    <col min="1803" max="1803" width="2.140625" style="103" customWidth="1"/>
    <col min="1804" max="1804" width="0.5703125" style="103" customWidth="1"/>
    <col min="1805" max="1805" width="2.28515625" style="103" customWidth="1"/>
    <col min="1806" max="1806" width="0.5703125" style="103" customWidth="1"/>
    <col min="1807" max="1807" width="2.140625" style="103" customWidth="1"/>
    <col min="1808" max="1808" width="0.5703125" style="103" customWidth="1"/>
    <col min="1809" max="1809" width="2.140625" style="103" customWidth="1"/>
    <col min="1810" max="1810" width="0.5703125" style="103" customWidth="1"/>
    <col min="1811" max="1811" width="2.140625" style="103" customWidth="1"/>
    <col min="1812" max="1812" width="0.5703125" style="103" customWidth="1"/>
    <col min="1813" max="1813" width="2.140625" style="103" customWidth="1"/>
    <col min="1814" max="1814" width="0.5703125" style="103" customWidth="1"/>
    <col min="1815" max="1815" width="2.140625" style="103" customWidth="1"/>
    <col min="1816" max="1816" width="0.5703125" style="103" customWidth="1"/>
    <col min="1817" max="1817" width="2.140625" style="103" customWidth="1"/>
    <col min="1818" max="1818" width="0.5703125" style="103" customWidth="1"/>
    <col min="1819" max="1819" width="2.140625" style="103" customWidth="1"/>
    <col min="1820" max="1820" width="0.5703125" style="103" customWidth="1"/>
    <col min="1821" max="1821" width="2.28515625" style="103" customWidth="1"/>
    <col min="1822" max="1822" width="0.5703125" style="103" customWidth="1"/>
    <col min="1823" max="1823" width="2.28515625" style="103" customWidth="1"/>
    <col min="1824" max="1824" width="0.5703125" style="103" customWidth="1"/>
    <col min="1825" max="1825" width="2.28515625" style="103" customWidth="1"/>
    <col min="1826" max="1826" width="0.5703125" style="103" customWidth="1"/>
    <col min="1827" max="1827" width="2.140625" style="103" customWidth="1"/>
    <col min="1828" max="1828" width="0.5703125" style="103" customWidth="1"/>
    <col min="1829" max="1829" width="2.140625" style="103" customWidth="1"/>
    <col min="1830" max="1830" width="0.5703125" style="103" customWidth="1"/>
    <col min="1831" max="1831" width="2.28515625" style="103" customWidth="1"/>
    <col min="1832" max="1832" width="0.5703125" style="103" customWidth="1"/>
    <col min="1833" max="1833" width="2.140625" style="103" customWidth="1"/>
    <col min="1834" max="1834" width="0.5703125" style="103" customWidth="1"/>
    <col min="1835" max="1835" width="2.140625" style="103" customWidth="1"/>
    <col min="1836" max="1836" width="0.5703125" style="103" customWidth="1"/>
    <col min="1837" max="1837" width="2.28515625" style="103" customWidth="1"/>
    <col min="1838" max="1838" width="0.5703125" style="103" customWidth="1"/>
    <col min="1839" max="1839" width="2.140625" style="103" customWidth="1"/>
    <col min="1840" max="1840" width="0.5703125" style="103" customWidth="1"/>
    <col min="1841" max="1841" width="2.28515625" style="103" customWidth="1"/>
    <col min="1842" max="1842" width="0.5703125" style="103" customWidth="1"/>
    <col min="1843" max="1843" width="2.140625" style="103" customWidth="1"/>
    <col min="1844" max="1844" width="0.5703125" style="103" customWidth="1"/>
    <col min="1845" max="1845" width="2.28515625" style="103" customWidth="1"/>
    <col min="1846" max="1846" width="0.5703125" style="103" customWidth="1"/>
    <col min="1847" max="1847" width="2.140625" style="103" customWidth="1"/>
    <col min="1848" max="1848" width="0.5703125" style="103" customWidth="1"/>
    <col min="1849" max="1849" width="2.140625" style="103" customWidth="1"/>
    <col min="1850" max="1850" width="0.5703125" style="103" customWidth="1"/>
    <col min="1851" max="1851" width="2.28515625" style="103" customWidth="1"/>
    <col min="1852" max="1852" width="0.5703125" style="103" customWidth="1"/>
    <col min="1853" max="1853" width="2.140625" style="103" customWidth="1"/>
    <col min="1854" max="1854" width="0.5703125" style="103" customWidth="1"/>
    <col min="1855" max="1855" width="2.140625" style="103" customWidth="1"/>
    <col min="1856" max="1856" width="0.5703125" style="103" customWidth="1"/>
    <col min="1857" max="1857" width="2.140625" style="103" customWidth="1"/>
    <col min="1858" max="1858" width="0.5703125" style="103" customWidth="1"/>
    <col min="1859" max="1859" width="2.140625" style="103" customWidth="1"/>
    <col min="1860" max="1860" width="0.5703125" style="103" customWidth="1"/>
    <col min="1861" max="1861" width="2.28515625" style="103" customWidth="1"/>
    <col min="1862" max="1862" width="0.5703125" style="103" customWidth="1"/>
    <col min="1863" max="1863" width="2.140625" style="103" customWidth="1"/>
    <col min="1864" max="1864" width="0.5703125" style="103" customWidth="1"/>
    <col min="1865" max="1865" width="2.140625" style="103" customWidth="1"/>
    <col min="1866" max="1866" width="0.5703125" style="103" customWidth="1"/>
    <col min="1867" max="1867" width="2.140625" style="103" customWidth="1"/>
    <col min="1868" max="1868" width="0.42578125" style="103" customWidth="1"/>
    <col min="1869" max="2048" width="9.140625" style="103"/>
    <col min="2049" max="2049" width="0.7109375" style="103" customWidth="1"/>
    <col min="2050" max="2050" width="0.5703125" style="103" customWidth="1"/>
    <col min="2051" max="2051" width="2.140625" style="103" customWidth="1"/>
    <col min="2052" max="2052" width="0.5703125" style="103" customWidth="1"/>
    <col min="2053" max="2053" width="2.140625" style="103" customWidth="1"/>
    <col min="2054" max="2054" width="0.5703125" style="103" customWidth="1"/>
    <col min="2055" max="2055" width="2.140625" style="103" customWidth="1"/>
    <col min="2056" max="2056" width="0.5703125" style="103" customWidth="1"/>
    <col min="2057" max="2057" width="2.140625" style="103" customWidth="1"/>
    <col min="2058" max="2058" width="0.5703125" style="103" customWidth="1"/>
    <col min="2059" max="2059" width="2.140625" style="103" customWidth="1"/>
    <col min="2060" max="2060" width="0.5703125" style="103" customWidth="1"/>
    <col min="2061" max="2061" width="2.28515625" style="103" customWidth="1"/>
    <col min="2062" max="2062" width="0.5703125" style="103" customWidth="1"/>
    <col min="2063" max="2063" width="2.140625" style="103" customWidth="1"/>
    <col min="2064" max="2064" width="0.5703125" style="103" customWidth="1"/>
    <col min="2065" max="2065" width="2.140625" style="103" customWidth="1"/>
    <col min="2066" max="2066" width="0.5703125" style="103" customWidth="1"/>
    <col min="2067" max="2067" width="2.140625" style="103" customWidth="1"/>
    <col min="2068" max="2068" width="0.5703125" style="103" customWidth="1"/>
    <col min="2069" max="2069" width="2.140625" style="103" customWidth="1"/>
    <col min="2070" max="2070" width="0.5703125" style="103" customWidth="1"/>
    <col min="2071" max="2071" width="2.140625" style="103" customWidth="1"/>
    <col min="2072" max="2072" width="0.5703125" style="103" customWidth="1"/>
    <col min="2073" max="2073" width="2.140625" style="103" customWidth="1"/>
    <col min="2074" max="2074" width="0.5703125" style="103" customWidth="1"/>
    <col min="2075" max="2075" width="2.140625" style="103" customWidth="1"/>
    <col min="2076" max="2076" width="0.5703125" style="103" customWidth="1"/>
    <col min="2077" max="2077" width="2.28515625" style="103" customWidth="1"/>
    <col min="2078" max="2078" width="0.5703125" style="103" customWidth="1"/>
    <col min="2079" max="2079" width="2.28515625" style="103" customWidth="1"/>
    <col min="2080" max="2080" width="0.5703125" style="103" customWidth="1"/>
    <col min="2081" max="2081" width="2.28515625" style="103" customWidth="1"/>
    <col min="2082" max="2082" width="0.5703125" style="103" customWidth="1"/>
    <col min="2083" max="2083" width="2.140625" style="103" customWidth="1"/>
    <col min="2084" max="2084" width="0.5703125" style="103" customWidth="1"/>
    <col min="2085" max="2085" width="2.140625" style="103" customWidth="1"/>
    <col min="2086" max="2086" width="0.5703125" style="103" customWidth="1"/>
    <col min="2087" max="2087" width="2.28515625" style="103" customWidth="1"/>
    <col min="2088" max="2088" width="0.5703125" style="103" customWidth="1"/>
    <col min="2089" max="2089" width="2.140625" style="103" customWidth="1"/>
    <col min="2090" max="2090" width="0.5703125" style="103" customWidth="1"/>
    <col min="2091" max="2091" width="2.140625" style="103" customWidth="1"/>
    <col min="2092" max="2092" width="0.5703125" style="103" customWidth="1"/>
    <col min="2093" max="2093" width="2.28515625" style="103" customWidth="1"/>
    <col min="2094" max="2094" width="0.5703125" style="103" customWidth="1"/>
    <col min="2095" max="2095" width="2.140625" style="103" customWidth="1"/>
    <col min="2096" max="2096" width="0.5703125" style="103" customWidth="1"/>
    <col min="2097" max="2097" width="2.28515625" style="103" customWidth="1"/>
    <col min="2098" max="2098" width="0.5703125" style="103" customWidth="1"/>
    <col min="2099" max="2099" width="2.140625" style="103" customWidth="1"/>
    <col min="2100" max="2100" width="0.5703125" style="103" customWidth="1"/>
    <col min="2101" max="2101" width="2.28515625" style="103" customWidth="1"/>
    <col min="2102" max="2102" width="0.5703125" style="103" customWidth="1"/>
    <col min="2103" max="2103" width="2.140625" style="103" customWidth="1"/>
    <col min="2104" max="2104" width="0.5703125" style="103" customWidth="1"/>
    <col min="2105" max="2105" width="2.140625" style="103" customWidth="1"/>
    <col min="2106" max="2106" width="0.5703125" style="103" customWidth="1"/>
    <col min="2107" max="2107" width="2.28515625" style="103" customWidth="1"/>
    <col min="2108" max="2108" width="0.5703125" style="103" customWidth="1"/>
    <col min="2109" max="2109" width="2.140625" style="103" customWidth="1"/>
    <col min="2110" max="2110" width="0.5703125" style="103" customWidth="1"/>
    <col min="2111" max="2111" width="2.140625" style="103" customWidth="1"/>
    <col min="2112" max="2112" width="0.5703125" style="103" customWidth="1"/>
    <col min="2113" max="2113" width="2.140625" style="103" customWidth="1"/>
    <col min="2114" max="2114" width="0.5703125" style="103" customWidth="1"/>
    <col min="2115" max="2115" width="2.140625" style="103" customWidth="1"/>
    <col min="2116" max="2116" width="0.5703125" style="103" customWidth="1"/>
    <col min="2117" max="2117" width="2.28515625" style="103" customWidth="1"/>
    <col min="2118" max="2118" width="0.5703125" style="103" customWidth="1"/>
    <col min="2119" max="2119" width="2.140625" style="103" customWidth="1"/>
    <col min="2120" max="2120" width="0.5703125" style="103" customWidth="1"/>
    <col min="2121" max="2121" width="2.140625" style="103" customWidth="1"/>
    <col min="2122" max="2122" width="0.5703125" style="103" customWidth="1"/>
    <col min="2123" max="2123" width="2.140625" style="103" customWidth="1"/>
    <col min="2124" max="2124" width="0.42578125" style="103" customWidth="1"/>
    <col min="2125" max="2304" width="9.140625" style="103"/>
    <col min="2305" max="2305" width="0.7109375" style="103" customWidth="1"/>
    <col min="2306" max="2306" width="0.5703125" style="103" customWidth="1"/>
    <col min="2307" max="2307" width="2.140625" style="103" customWidth="1"/>
    <col min="2308" max="2308" width="0.5703125" style="103" customWidth="1"/>
    <col min="2309" max="2309" width="2.140625" style="103" customWidth="1"/>
    <col min="2310" max="2310" width="0.5703125" style="103" customWidth="1"/>
    <col min="2311" max="2311" width="2.140625" style="103" customWidth="1"/>
    <col min="2312" max="2312" width="0.5703125" style="103" customWidth="1"/>
    <col min="2313" max="2313" width="2.140625" style="103" customWidth="1"/>
    <col min="2314" max="2314" width="0.5703125" style="103" customWidth="1"/>
    <col min="2315" max="2315" width="2.140625" style="103" customWidth="1"/>
    <col min="2316" max="2316" width="0.5703125" style="103" customWidth="1"/>
    <col min="2317" max="2317" width="2.28515625" style="103" customWidth="1"/>
    <col min="2318" max="2318" width="0.5703125" style="103" customWidth="1"/>
    <col min="2319" max="2319" width="2.140625" style="103" customWidth="1"/>
    <col min="2320" max="2320" width="0.5703125" style="103" customWidth="1"/>
    <col min="2321" max="2321" width="2.140625" style="103" customWidth="1"/>
    <col min="2322" max="2322" width="0.5703125" style="103" customWidth="1"/>
    <col min="2323" max="2323" width="2.140625" style="103" customWidth="1"/>
    <col min="2324" max="2324" width="0.5703125" style="103" customWidth="1"/>
    <col min="2325" max="2325" width="2.140625" style="103" customWidth="1"/>
    <col min="2326" max="2326" width="0.5703125" style="103" customWidth="1"/>
    <col min="2327" max="2327" width="2.140625" style="103" customWidth="1"/>
    <col min="2328" max="2328" width="0.5703125" style="103" customWidth="1"/>
    <col min="2329" max="2329" width="2.140625" style="103" customWidth="1"/>
    <col min="2330" max="2330" width="0.5703125" style="103" customWidth="1"/>
    <col min="2331" max="2331" width="2.140625" style="103" customWidth="1"/>
    <col min="2332" max="2332" width="0.5703125" style="103" customWidth="1"/>
    <col min="2333" max="2333" width="2.28515625" style="103" customWidth="1"/>
    <col min="2334" max="2334" width="0.5703125" style="103" customWidth="1"/>
    <col min="2335" max="2335" width="2.28515625" style="103" customWidth="1"/>
    <col min="2336" max="2336" width="0.5703125" style="103" customWidth="1"/>
    <col min="2337" max="2337" width="2.28515625" style="103" customWidth="1"/>
    <col min="2338" max="2338" width="0.5703125" style="103" customWidth="1"/>
    <col min="2339" max="2339" width="2.140625" style="103" customWidth="1"/>
    <col min="2340" max="2340" width="0.5703125" style="103" customWidth="1"/>
    <col min="2341" max="2341" width="2.140625" style="103" customWidth="1"/>
    <col min="2342" max="2342" width="0.5703125" style="103" customWidth="1"/>
    <col min="2343" max="2343" width="2.28515625" style="103" customWidth="1"/>
    <col min="2344" max="2344" width="0.5703125" style="103" customWidth="1"/>
    <col min="2345" max="2345" width="2.140625" style="103" customWidth="1"/>
    <col min="2346" max="2346" width="0.5703125" style="103" customWidth="1"/>
    <col min="2347" max="2347" width="2.140625" style="103" customWidth="1"/>
    <col min="2348" max="2348" width="0.5703125" style="103" customWidth="1"/>
    <col min="2349" max="2349" width="2.28515625" style="103" customWidth="1"/>
    <col min="2350" max="2350" width="0.5703125" style="103" customWidth="1"/>
    <col min="2351" max="2351" width="2.140625" style="103" customWidth="1"/>
    <col min="2352" max="2352" width="0.5703125" style="103" customWidth="1"/>
    <col min="2353" max="2353" width="2.28515625" style="103" customWidth="1"/>
    <col min="2354" max="2354" width="0.5703125" style="103" customWidth="1"/>
    <col min="2355" max="2355" width="2.140625" style="103" customWidth="1"/>
    <col min="2356" max="2356" width="0.5703125" style="103" customWidth="1"/>
    <col min="2357" max="2357" width="2.28515625" style="103" customWidth="1"/>
    <col min="2358" max="2358" width="0.5703125" style="103" customWidth="1"/>
    <col min="2359" max="2359" width="2.140625" style="103" customWidth="1"/>
    <col min="2360" max="2360" width="0.5703125" style="103" customWidth="1"/>
    <col min="2361" max="2361" width="2.140625" style="103" customWidth="1"/>
    <col min="2362" max="2362" width="0.5703125" style="103" customWidth="1"/>
    <col min="2363" max="2363" width="2.28515625" style="103" customWidth="1"/>
    <col min="2364" max="2364" width="0.5703125" style="103" customWidth="1"/>
    <col min="2365" max="2365" width="2.140625" style="103" customWidth="1"/>
    <col min="2366" max="2366" width="0.5703125" style="103" customWidth="1"/>
    <col min="2367" max="2367" width="2.140625" style="103" customWidth="1"/>
    <col min="2368" max="2368" width="0.5703125" style="103" customWidth="1"/>
    <col min="2369" max="2369" width="2.140625" style="103" customWidth="1"/>
    <col min="2370" max="2370" width="0.5703125" style="103" customWidth="1"/>
    <col min="2371" max="2371" width="2.140625" style="103" customWidth="1"/>
    <col min="2372" max="2372" width="0.5703125" style="103" customWidth="1"/>
    <col min="2373" max="2373" width="2.28515625" style="103" customWidth="1"/>
    <col min="2374" max="2374" width="0.5703125" style="103" customWidth="1"/>
    <col min="2375" max="2375" width="2.140625" style="103" customWidth="1"/>
    <col min="2376" max="2376" width="0.5703125" style="103" customWidth="1"/>
    <col min="2377" max="2377" width="2.140625" style="103" customWidth="1"/>
    <col min="2378" max="2378" width="0.5703125" style="103" customWidth="1"/>
    <col min="2379" max="2379" width="2.140625" style="103" customWidth="1"/>
    <col min="2380" max="2380" width="0.42578125" style="103" customWidth="1"/>
    <col min="2381" max="2560" width="9.140625" style="103"/>
    <col min="2561" max="2561" width="0.7109375" style="103" customWidth="1"/>
    <col min="2562" max="2562" width="0.5703125" style="103" customWidth="1"/>
    <col min="2563" max="2563" width="2.140625" style="103" customWidth="1"/>
    <col min="2564" max="2564" width="0.5703125" style="103" customWidth="1"/>
    <col min="2565" max="2565" width="2.140625" style="103" customWidth="1"/>
    <col min="2566" max="2566" width="0.5703125" style="103" customWidth="1"/>
    <col min="2567" max="2567" width="2.140625" style="103" customWidth="1"/>
    <col min="2568" max="2568" width="0.5703125" style="103" customWidth="1"/>
    <col min="2569" max="2569" width="2.140625" style="103" customWidth="1"/>
    <col min="2570" max="2570" width="0.5703125" style="103" customWidth="1"/>
    <col min="2571" max="2571" width="2.140625" style="103" customWidth="1"/>
    <col min="2572" max="2572" width="0.5703125" style="103" customWidth="1"/>
    <col min="2573" max="2573" width="2.28515625" style="103" customWidth="1"/>
    <col min="2574" max="2574" width="0.5703125" style="103" customWidth="1"/>
    <col min="2575" max="2575" width="2.140625" style="103" customWidth="1"/>
    <col min="2576" max="2576" width="0.5703125" style="103" customWidth="1"/>
    <col min="2577" max="2577" width="2.140625" style="103" customWidth="1"/>
    <col min="2578" max="2578" width="0.5703125" style="103" customWidth="1"/>
    <col min="2579" max="2579" width="2.140625" style="103" customWidth="1"/>
    <col min="2580" max="2580" width="0.5703125" style="103" customWidth="1"/>
    <col min="2581" max="2581" width="2.140625" style="103" customWidth="1"/>
    <col min="2582" max="2582" width="0.5703125" style="103" customWidth="1"/>
    <col min="2583" max="2583" width="2.140625" style="103" customWidth="1"/>
    <col min="2584" max="2584" width="0.5703125" style="103" customWidth="1"/>
    <col min="2585" max="2585" width="2.140625" style="103" customWidth="1"/>
    <col min="2586" max="2586" width="0.5703125" style="103" customWidth="1"/>
    <col min="2587" max="2587" width="2.140625" style="103" customWidth="1"/>
    <col min="2588" max="2588" width="0.5703125" style="103" customWidth="1"/>
    <col min="2589" max="2589" width="2.28515625" style="103" customWidth="1"/>
    <col min="2590" max="2590" width="0.5703125" style="103" customWidth="1"/>
    <col min="2591" max="2591" width="2.28515625" style="103" customWidth="1"/>
    <col min="2592" max="2592" width="0.5703125" style="103" customWidth="1"/>
    <col min="2593" max="2593" width="2.28515625" style="103" customWidth="1"/>
    <col min="2594" max="2594" width="0.5703125" style="103" customWidth="1"/>
    <col min="2595" max="2595" width="2.140625" style="103" customWidth="1"/>
    <col min="2596" max="2596" width="0.5703125" style="103" customWidth="1"/>
    <col min="2597" max="2597" width="2.140625" style="103" customWidth="1"/>
    <col min="2598" max="2598" width="0.5703125" style="103" customWidth="1"/>
    <col min="2599" max="2599" width="2.28515625" style="103" customWidth="1"/>
    <col min="2600" max="2600" width="0.5703125" style="103" customWidth="1"/>
    <col min="2601" max="2601" width="2.140625" style="103" customWidth="1"/>
    <col min="2602" max="2602" width="0.5703125" style="103" customWidth="1"/>
    <col min="2603" max="2603" width="2.140625" style="103" customWidth="1"/>
    <col min="2604" max="2604" width="0.5703125" style="103" customWidth="1"/>
    <col min="2605" max="2605" width="2.28515625" style="103" customWidth="1"/>
    <col min="2606" max="2606" width="0.5703125" style="103" customWidth="1"/>
    <col min="2607" max="2607" width="2.140625" style="103" customWidth="1"/>
    <col min="2608" max="2608" width="0.5703125" style="103" customWidth="1"/>
    <col min="2609" max="2609" width="2.28515625" style="103" customWidth="1"/>
    <col min="2610" max="2610" width="0.5703125" style="103" customWidth="1"/>
    <col min="2611" max="2611" width="2.140625" style="103" customWidth="1"/>
    <col min="2612" max="2612" width="0.5703125" style="103" customWidth="1"/>
    <col min="2613" max="2613" width="2.28515625" style="103" customWidth="1"/>
    <col min="2614" max="2614" width="0.5703125" style="103" customWidth="1"/>
    <col min="2615" max="2615" width="2.140625" style="103" customWidth="1"/>
    <col min="2616" max="2616" width="0.5703125" style="103" customWidth="1"/>
    <col min="2617" max="2617" width="2.140625" style="103" customWidth="1"/>
    <col min="2618" max="2618" width="0.5703125" style="103" customWidth="1"/>
    <col min="2619" max="2619" width="2.28515625" style="103" customWidth="1"/>
    <col min="2620" max="2620" width="0.5703125" style="103" customWidth="1"/>
    <col min="2621" max="2621" width="2.140625" style="103" customWidth="1"/>
    <col min="2622" max="2622" width="0.5703125" style="103" customWidth="1"/>
    <col min="2623" max="2623" width="2.140625" style="103" customWidth="1"/>
    <col min="2624" max="2624" width="0.5703125" style="103" customWidth="1"/>
    <col min="2625" max="2625" width="2.140625" style="103" customWidth="1"/>
    <col min="2626" max="2626" width="0.5703125" style="103" customWidth="1"/>
    <col min="2627" max="2627" width="2.140625" style="103" customWidth="1"/>
    <col min="2628" max="2628" width="0.5703125" style="103" customWidth="1"/>
    <col min="2629" max="2629" width="2.28515625" style="103" customWidth="1"/>
    <col min="2630" max="2630" width="0.5703125" style="103" customWidth="1"/>
    <col min="2631" max="2631" width="2.140625" style="103" customWidth="1"/>
    <col min="2632" max="2632" width="0.5703125" style="103" customWidth="1"/>
    <col min="2633" max="2633" width="2.140625" style="103" customWidth="1"/>
    <col min="2634" max="2634" width="0.5703125" style="103" customWidth="1"/>
    <col min="2635" max="2635" width="2.140625" style="103" customWidth="1"/>
    <col min="2636" max="2636" width="0.42578125" style="103" customWidth="1"/>
    <col min="2637" max="2816" width="9.140625" style="103"/>
    <col min="2817" max="2817" width="0.7109375" style="103" customWidth="1"/>
    <col min="2818" max="2818" width="0.5703125" style="103" customWidth="1"/>
    <col min="2819" max="2819" width="2.140625" style="103" customWidth="1"/>
    <col min="2820" max="2820" width="0.5703125" style="103" customWidth="1"/>
    <col min="2821" max="2821" width="2.140625" style="103" customWidth="1"/>
    <col min="2822" max="2822" width="0.5703125" style="103" customWidth="1"/>
    <col min="2823" max="2823" width="2.140625" style="103" customWidth="1"/>
    <col min="2824" max="2824" width="0.5703125" style="103" customWidth="1"/>
    <col min="2825" max="2825" width="2.140625" style="103" customWidth="1"/>
    <col min="2826" max="2826" width="0.5703125" style="103" customWidth="1"/>
    <col min="2827" max="2827" width="2.140625" style="103" customWidth="1"/>
    <col min="2828" max="2828" width="0.5703125" style="103" customWidth="1"/>
    <col min="2829" max="2829" width="2.28515625" style="103" customWidth="1"/>
    <col min="2830" max="2830" width="0.5703125" style="103" customWidth="1"/>
    <col min="2831" max="2831" width="2.140625" style="103" customWidth="1"/>
    <col min="2832" max="2832" width="0.5703125" style="103" customWidth="1"/>
    <col min="2833" max="2833" width="2.140625" style="103" customWidth="1"/>
    <col min="2834" max="2834" width="0.5703125" style="103" customWidth="1"/>
    <col min="2835" max="2835" width="2.140625" style="103" customWidth="1"/>
    <col min="2836" max="2836" width="0.5703125" style="103" customWidth="1"/>
    <col min="2837" max="2837" width="2.140625" style="103" customWidth="1"/>
    <col min="2838" max="2838" width="0.5703125" style="103" customWidth="1"/>
    <col min="2839" max="2839" width="2.140625" style="103" customWidth="1"/>
    <col min="2840" max="2840" width="0.5703125" style="103" customWidth="1"/>
    <col min="2841" max="2841" width="2.140625" style="103" customWidth="1"/>
    <col min="2842" max="2842" width="0.5703125" style="103" customWidth="1"/>
    <col min="2843" max="2843" width="2.140625" style="103" customWidth="1"/>
    <col min="2844" max="2844" width="0.5703125" style="103" customWidth="1"/>
    <col min="2845" max="2845" width="2.28515625" style="103" customWidth="1"/>
    <col min="2846" max="2846" width="0.5703125" style="103" customWidth="1"/>
    <col min="2847" max="2847" width="2.28515625" style="103" customWidth="1"/>
    <col min="2848" max="2848" width="0.5703125" style="103" customWidth="1"/>
    <col min="2849" max="2849" width="2.28515625" style="103" customWidth="1"/>
    <col min="2850" max="2850" width="0.5703125" style="103" customWidth="1"/>
    <col min="2851" max="2851" width="2.140625" style="103" customWidth="1"/>
    <col min="2852" max="2852" width="0.5703125" style="103" customWidth="1"/>
    <col min="2853" max="2853" width="2.140625" style="103" customWidth="1"/>
    <col min="2854" max="2854" width="0.5703125" style="103" customWidth="1"/>
    <col min="2855" max="2855" width="2.28515625" style="103" customWidth="1"/>
    <col min="2856" max="2856" width="0.5703125" style="103" customWidth="1"/>
    <col min="2857" max="2857" width="2.140625" style="103" customWidth="1"/>
    <col min="2858" max="2858" width="0.5703125" style="103" customWidth="1"/>
    <col min="2859" max="2859" width="2.140625" style="103" customWidth="1"/>
    <col min="2860" max="2860" width="0.5703125" style="103" customWidth="1"/>
    <col min="2861" max="2861" width="2.28515625" style="103" customWidth="1"/>
    <col min="2862" max="2862" width="0.5703125" style="103" customWidth="1"/>
    <col min="2863" max="2863" width="2.140625" style="103" customWidth="1"/>
    <col min="2864" max="2864" width="0.5703125" style="103" customWidth="1"/>
    <col min="2865" max="2865" width="2.28515625" style="103" customWidth="1"/>
    <col min="2866" max="2866" width="0.5703125" style="103" customWidth="1"/>
    <col min="2867" max="2867" width="2.140625" style="103" customWidth="1"/>
    <col min="2868" max="2868" width="0.5703125" style="103" customWidth="1"/>
    <col min="2869" max="2869" width="2.28515625" style="103" customWidth="1"/>
    <col min="2870" max="2870" width="0.5703125" style="103" customWidth="1"/>
    <col min="2871" max="2871" width="2.140625" style="103" customWidth="1"/>
    <col min="2872" max="2872" width="0.5703125" style="103" customWidth="1"/>
    <col min="2873" max="2873" width="2.140625" style="103" customWidth="1"/>
    <col min="2874" max="2874" width="0.5703125" style="103" customWidth="1"/>
    <col min="2875" max="2875" width="2.28515625" style="103" customWidth="1"/>
    <col min="2876" max="2876" width="0.5703125" style="103" customWidth="1"/>
    <col min="2877" max="2877" width="2.140625" style="103" customWidth="1"/>
    <col min="2878" max="2878" width="0.5703125" style="103" customWidth="1"/>
    <col min="2879" max="2879" width="2.140625" style="103" customWidth="1"/>
    <col min="2880" max="2880" width="0.5703125" style="103" customWidth="1"/>
    <col min="2881" max="2881" width="2.140625" style="103" customWidth="1"/>
    <col min="2882" max="2882" width="0.5703125" style="103" customWidth="1"/>
    <col min="2883" max="2883" width="2.140625" style="103" customWidth="1"/>
    <col min="2884" max="2884" width="0.5703125" style="103" customWidth="1"/>
    <col min="2885" max="2885" width="2.28515625" style="103" customWidth="1"/>
    <col min="2886" max="2886" width="0.5703125" style="103" customWidth="1"/>
    <col min="2887" max="2887" width="2.140625" style="103" customWidth="1"/>
    <col min="2888" max="2888" width="0.5703125" style="103" customWidth="1"/>
    <col min="2889" max="2889" width="2.140625" style="103" customWidth="1"/>
    <col min="2890" max="2890" width="0.5703125" style="103" customWidth="1"/>
    <col min="2891" max="2891" width="2.140625" style="103" customWidth="1"/>
    <col min="2892" max="2892" width="0.42578125" style="103" customWidth="1"/>
    <col min="2893" max="3072" width="9.140625" style="103"/>
    <col min="3073" max="3073" width="0.7109375" style="103" customWidth="1"/>
    <col min="3074" max="3074" width="0.5703125" style="103" customWidth="1"/>
    <col min="3075" max="3075" width="2.140625" style="103" customWidth="1"/>
    <col min="3076" max="3076" width="0.5703125" style="103" customWidth="1"/>
    <col min="3077" max="3077" width="2.140625" style="103" customWidth="1"/>
    <col min="3078" max="3078" width="0.5703125" style="103" customWidth="1"/>
    <col min="3079" max="3079" width="2.140625" style="103" customWidth="1"/>
    <col min="3080" max="3080" width="0.5703125" style="103" customWidth="1"/>
    <col min="3081" max="3081" width="2.140625" style="103" customWidth="1"/>
    <col min="3082" max="3082" width="0.5703125" style="103" customWidth="1"/>
    <col min="3083" max="3083" width="2.140625" style="103" customWidth="1"/>
    <col min="3084" max="3084" width="0.5703125" style="103" customWidth="1"/>
    <col min="3085" max="3085" width="2.28515625" style="103" customWidth="1"/>
    <col min="3086" max="3086" width="0.5703125" style="103" customWidth="1"/>
    <col min="3087" max="3087" width="2.140625" style="103" customWidth="1"/>
    <col min="3088" max="3088" width="0.5703125" style="103" customWidth="1"/>
    <col min="3089" max="3089" width="2.140625" style="103" customWidth="1"/>
    <col min="3090" max="3090" width="0.5703125" style="103" customWidth="1"/>
    <col min="3091" max="3091" width="2.140625" style="103" customWidth="1"/>
    <col min="3092" max="3092" width="0.5703125" style="103" customWidth="1"/>
    <col min="3093" max="3093" width="2.140625" style="103" customWidth="1"/>
    <col min="3094" max="3094" width="0.5703125" style="103" customWidth="1"/>
    <col min="3095" max="3095" width="2.140625" style="103" customWidth="1"/>
    <col min="3096" max="3096" width="0.5703125" style="103" customWidth="1"/>
    <col min="3097" max="3097" width="2.140625" style="103" customWidth="1"/>
    <col min="3098" max="3098" width="0.5703125" style="103" customWidth="1"/>
    <col min="3099" max="3099" width="2.140625" style="103" customWidth="1"/>
    <col min="3100" max="3100" width="0.5703125" style="103" customWidth="1"/>
    <col min="3101" max="3101" width="2.28515625" style="103" customWidth="1"/>
    <col min="3102" max="3102" width="0.5703125" style="103" customWidth="1"/>
    <col min="3103" max="3103" width="2.28515625" style="103" customWidth="1"/>
    <col min="3104" max="3104" width="0.5703125" style="103" customWidth="1"/>
    <col min="3105" max="3105" width="2.28515625" style="103" customWidth="1"/>
    <col min="3106" max="3106" width="0.5703125" style="103" customWidth="1"/>
    <col min="3107" max="3107" width="2.140625" style="103" customWidth="1"/>
    <col min="3108" max="3108" width="0.5703125" style="103" customWidth="1"/>
    <col min="3109" max="3109" width="2.140625" style="103" customWidth="1"/>
    <col min="3110" max="3110" width="0.5703125" style="103" customWidth="1"/>
    <col min="3111" max="3111" width="2.28515625" style="103" customWidth="1"/>
    <col min="3112" max="3112" width="0.5703125" style="103" customWidth="1"/>
    <col min="3113" max="3113" width="2.140625" style="103" customWidth="1"/>
    <col min="3114" max="3114" width="0.5703125" style="103" customWidth="1"/>
    <col min="3115" max="3115" width="2.140625" style="103" customWidth="1"/>
    <col min="3116" max="3116" width="0.5703125" style="103" customWidth="1"/>
    <col min="3117" max="3117" width="2.28515625" style="103" customWidth="1"/>
    <col min="3118" max="3118" width="0.5703125" style="103" customWidth="1"/>
    <col min="3119" max="3119" width="2.140625" style="103" customWidth="1"/>
    <col min="3120" max="3120" width="0.5703125" style="103" customWidth="1"/>
    <col min="3121" max="3121" width="2.28515625" style="103" customWidth="1"/>
    <col min="3122" max="3122" width="0.5703125" style="103" customWidth="1"/>
    <col min="3123" max="3123" width="2.140625" style="103" customWidth="1"/>
    <col min="3124" max="3124" width="0.5703125" style="103" customWidth="1"/>
    <col min="3125" max="3125" width="2.28515625" style="103" customWidth="1"/>
    <col min="3126" max="3126" width="0.5703125" style="103" customWidth="1"/>
    <col min="3127" max="3127" width="2.140625" style="103" customWidth="1"/>
    <col min="3128" max="3128" width="0.5703125" style="103" customWidth="1"/>
    <col min="3129" max="3129" width="2.140625" style="103" customWidth="1"/>
    <col min="3130" max="3130" width="0.5703125" style="103" customWidth="1"/>
    <col min="3131" max="3131" width="2.28515625" style="103" customWidth="1"/>
    <col min="3132" max="3132" width="0.5703125" style="103" customWidth="1"/>
    <col min="3133" max="3133" width="2.140625" style="103" customWidth="1"/>
    <col min="3134" max="3134" width="0.5703125" style="103" customWidth="1"/>
    <col min="3135" max="3135" width="2.140625" style="103" customWidth="1"/>
    <col min="3136" max="3136" width="0.5703125" style="103" customWidth="1"/>
    <col min="3137" max="3137" width="2.140625" style="103" customWidth="1"/>
    <col min="3138" max="3138" width="0.5703125" style="103" customWidth="1"/>
    <col min="3139" max="3139" width="2.140625" style="103" customWidth="1"/>
    <col min="3140" max="3140" width="0.5703125" style="103" customWidth="1"/>
    <col min="3141" max="3141" width="2.28515625" style="103" customWidth="1"/>
    <col min="3142" max="3142" width="0.5703125" style="103" customWidth="1"/>
    <col min="3143" max="3143" width="2.140625" style="103" customWidth="1"/>
    <col min="3144" max="3144" width="0.5703125" style="103" customWidth="1"/>
    <col min="3145" max="3145" width="2.140625" style="103" customWidth="1"/>
    <col min="3146" max="3146" width="0.5703125" style="103" customWidth="1"/>
    <col min="3147" max="3147" width="2.140625" style="103" customWidth="1"/>
    <col min="3148" max="3148" width="0.42578125" style="103" customWidth="1"/>
    <col min="3149" max="3328" width="9.140625" style="103"/>
    <col min="3329" max="3329" width="0.7109375" style="103" customWidth="1"/>
    <col min="3330" max="3330" width="0.5703125" style="103" customWidth="1"/>
    <col min="3331" max="3331" width="2.140625" style="103" customWidth="1"/>
    <col min="3332" max="3332" width="0.5703125" style="103" customWidth="1"/>
    <col min="3333" max="3333" width="2.140625" style="103" customWidth="1"/>
    <col min="3334" max="3334" width="0.5703125" style="103" customWidth="1"/>
    <col min="3335" max="3335" width="2.140625" style="103" customWidth="1"/>
    <col min="3336" max="3336" width="0.5703125" style="103" customWidth="1"/>
    <col min="3337" max="3337" width="2.140625" style="103" customWidth="1"/>
    <col min="3338" max="3338" width="0.5703125" style="103" customWidth="1"/>
    <col min="3339" max="3339" width="2.140625" style="103" customWidth="1"/>
    <col min="3340" max="3340" width="0.5703125" style="103" customWidth="1"/>
    <col min="3341" max="3341" width="2.28515625" style="103" customWidth="1"/>
    <col min="3342" max="3342" width="0.5703125" style="103" customWidth="1"/>
    <col min="3343" max="3343" width="2.140625" style="103" customWidth="1"/>
    <col min="3344" max="3344" width="0.5703125" style="103" customWidth="1"/>
    <col min="3345" max="3345" width="2.140625" style="103" customWidth="1"/>
    <col min="3346" max="3346" width="0.5703125" style="103" customWidth="1"/>
    <col min="3347" max="3347" width="2.140625" style="103" customWidth="1"/>
    <col min="3348" max="3348" width="0.5703125" style="103" customWidth="1"/>
    <col min="3349" max="3349" width="2.140625" style="103" customWidth="1"/>
    <col min="3350" max="3350" width="0.5703125" style="103" customWidth="1"/>
    <col min="3351" max="3351" width="2.140625" style="103" customWidth="1"/>
    <col min="3352" max="3352" width="0.5703125" style="103" customWidth="1"/>
    <col min="3353" max="3353" width="2.140625" style="103" customWidth="1"/>
    <col min="3354" max="3354" width="0.5703125" style="103" customWidth="1"/>
    <col min="3355" max="3355" width="2.140625" style="103" customWidth="1"/>
    <col min="3356" max="3356" width="0.5703125" style="103" customWidth="1"/>
    <col min="3357" max="3357" width="2.28515625" style="103" customWidth="1"/>
    <col min="3358" max="3358" width="0.5703125" style="103" customWidth="1"/>
    <col min="3359" max="3359" width="2.28515625" style="103" customWidth="1"/>
    <col min="3360" max="3360" width="0.5703125" style="103" customWidth="1"/>
    <col min="3361" max="3361" width="2.28515625" style="103" customWidth="1"/>
    <col min="3362" max="3362" width="0.5703125" style="103" customWidth="1"/>
    <col min="3363" max="3363" width="2.140625" style="103" customWidth="1"/>
    <col min="3364" max="3364" width="0.5703125" style="103" customWidth="1"/>
    <col min="3365" max="3365" width="2.140625" style="103" customWidth="1"/>
    <col min="3366" max="3366" width="0.5703125" style="103" customWidth="1"/>
    <col min="3367" max="3367" width="2.28515625" style="103" customWidth="1"/>
    <col min="3368" max="3368" width="0.5703125" style="103" customWidth="1"/>
    <col min="3369" max="3369" width="2.140625" style="103" customWidth="1"/>
    <col min="3370" max="3370" width="0.5703125" style="103" customWidth="1"/>
    <col min="3371" max="3371" width="2.140625" style="103" customWidth="1"/>
    <col min="3372" max="3372" width="0.5703125" style="103" customWidth="1"/>
    <col min="3373" max="3373" width="2.28515625" style="103" customWidth="1"/>
    <col min="3374" max="3374" width="0.5703125" style="103" customWidth="1"/>
    <col min="3375" max="3375" width="2.140625" style="103" customWidth="1"/>
    <col min="3376" max="3376" width="0.5703125" style="103" customWidth="1"/>
    <col min="3377" max="3377" width="2.28515625" style="103" customWidth="1"/>
    <col min="3378" max="3378" width="0.5703125" style="103" customWidth="1"/>
    <col min="3379" max="3379" width="2.140625" style="103" customWidth="1"/>
    <col min="3380" max="3380" width="0.5703125" style="103" customWidth="1"/>
    <col min="3381" max="3381" width="2.28515625" style="103" customWidth="1"/>
    <col min="3382" max="3382" width="0.5703125" style="103" customWidth="1"/>
    <col min="3383" max="3383" width="2.140625" style="103" customWidth="1"/>
    <col min="3384" max="3384" width="0.5703125" style="103" customWidth="1"/>
    <col min="3385" max="3385" width="2.140625" style="103" customWidth="1"/>
    <col min="3386" max="3386" width="0.5703125" style="103" customWidth="1"/>
    <col min="3387" max="3387" width="2.28515625" style="103" customWidth="1"/>
    <col min="3388" max="3388" width="0.5703125" style="103" customWidth="1"/>
    <col min="3389" max="3389" width="2.140625" style="103" customWidth="1"/>
    <col min="3390" max="3390" width="0.5703125" style="103" customWidth="1"/>
    <col min="3391" max="3391" width="2.140625" style="103" customWidth="1"/>
    <col min="3392" max="3392" width="0.5703125" style="103" customWidth="1"/>
    <col min="3393" max="3393" width="2.140625" style="103" customWidth="1"/>
    <col min="3394" max="3394" width="0.5703125" style="103" customWidth="1"/>
    <col min="3395" max="3395" width="2.140625" style="103" customWidth="1"/>
    <col min="3396" max="3396" width="0.5703125" style="103" customWidth="1"/>
    <col min="3397" max="3397" width="2.28515625" style="103" customWidth="1"/>
    <col min="3398" max="3398" width="0.5703125" style="103" customWidth="1"/>
    <col min="3399" max="3399" width="2.140625" style="103" customWidth="1"/>
    <col min="3400" max="3400" width="0.5703125" style="103" customWidth="1"/>
    <col min="3401" max="3401" width="2.140625" style="103" customWidth="1"/>
    <col min="3402" max="3402" width="0.5703125" style="103" customWidth="1"/>
    <col min="3403" max="3403" width="2.140625" style="103" customWidth="1"/>
    <col min="3404" max="3404" width="0.42578125" style="103" customWidth="1"/>
    <col min="3405" max="3584" width="9.140625" style="103"/>
    <col min="3585" max="3585" width="0.7109375" style="103" customWidth="1"/>
    <col min="3586" max="3586" width="0.5703125" style="103" customWidth="1"/>
    <col min="3587" max="3587" width="2.140625" style="103" customWidth="1"/>
    <col min="3588" max="3588" width="0.5703125" style="103" customWidth="1"/>
    <col min="3589" max="3589" width="2.140625" style="103" customWidth="1"/>
    <col min="3590" max="3590" width="0.5703125" style="103" customWidth="1"/>
    <col min="3591" max="3591" width="2.140625" style="103" customWidth="1"/>
    <col min="3592" max="3592" width="0.5703125" style="103" customWidth="1"/>
    <col min="3593" max="3593" width="2.140625" style="103" customWidth="1"/>
    <col min="3594" max="3594" width="0.5703125" style="103" customWidth="1"/>
    <col min="3595" max="3595" width="2.140625" style="103" customWidth="1"/>
    <col min="3596" max="3596" width="0.5703125" style="103" customWidth="1"/>
    <col min="3597" max="3597" width="2.28515625" style="103" customWidth="1"/>
    <col min="3598" max="3598" width="0.5703125" style="103" customWidth="1"/>
    <col min="3599" max="3599" width="2.140625" style="103" customWidth="1"/>
    <col min="3600" max="3600" width="0.5703125" style="103" customWidth="1"/>
    <col min="3601" max="3601" width="2.140625" style="103" customWidth="1"/>
    <col min="3602" max="3602" width="0.5703125" style="103" customWidth="1"/>
    <col min="3603" max="3603" width="2.140625" style="103" customWidth="1"/>
    <col min="3604" max="3604" width="0.5703125" style="103" customWidth="1"/>
    <col min="3605" max="3605" width="2.140625" style="103" customWidth="1"/>
    <col min="3606" max="3606" width="0.5703125" style="103" customWidth="1"/>
    <col min="3607" max="3607" width="2.140625" style="103" customWidth="1"/>
    <col min="3608" max="3608" width="0.5703125" style="103" customWidth="1"/>
    <col min="3609" max="3609" width="2.140625" style="103" customWidth="1"/>
    <col min="3610" max="3610" width="0.5703125" style="103" customWidth="1"/>
    <col min="3611" max="3611" width="2.140625" style="103" customWidth="1"/>
    <col min="3612" max="3612" width="0.5703125" style="103" customWidth="1"/>
    <col min="3613" max="3613" width="2.28515625" style="103" customWidth="1"/>
    <col min="3614" max="3614" width="0.5703125" style="103" customWidth="1"/>
    <col min="3615" max="3615" width="2.28515625" style="103" customWidth="1"/>
    <col min="3616" max="3616" width="0.5703125" style="103" customWidth="1"/>
    <col min="3617" max="3617" width="2.28515625" style="103" customWidth="1"/>
    <col min="3618" max="3618" width="0.5703125" style="103" customWidth="1"/>
    <col min="3619" max="3619" width="2.140625" style="103" customWidth="1"/>
    <col min="3620" max="3620" width="0.5703125" style="103" customWidth="1"/>
    <col min="3621" max="3621" width="2.140625" style="103" customWidth="1"/>
    <col min="3622" max="3622" width="0.5703125" style="103" customWidth="1"/>
    <col min="3623" max="3623" width="2.28515625" style="103" customWidth="1"/>
    <col min="3624" max="3624" width="0.5703125" style="103" customWidth="1"/>
    <col min="3625" max="3625" width="2.140625" style="103" customWidth="1"/>
    <col min="3626" max="3626" width="0.5703125" style="103" customWidth="1"/>
    <col min="3627" max="3627" width="2.140625" style="103" customWidth="1"/>
    <col min="3628" max="3628" width="0.5703125" style="103" customWidth="1"/>
    <col min="3629" max="3629" width="2.28515625" style="103" customWidth="1"/>
    <col min="3630" max="3630" width="0.5703125" style="103" customWidth="1"/>
    <col min="3631" max="3631" width="2.140625" style="103" customWidth="1"/>
    <col min="3632" max="3632" width="0.5703125" style="103" customWidth="1"/>
    <col min="3633" max="3633" width="2.28515625" style="103" customWidth="1"/>
    <col min="3634" max="3634" width="0.5703125" style="103" customWidth="1"/>
    <col min="3635" max="3635" width="2.140625" style="103" customWidth="1"/>
    <col min="3636" max="3636" width="0.5703125" style="103" customWidth="1"/>
    <col min="3637" max="3637" width="2.28515625" style="103" customWidth="1"/>
    <col min="3638" max="3638" width="0.5703125" style="103" customWidth="1"/>
    <col min="3639" max="3639" width="2.140625" style="103" customWidth="1"/>
    <col min="3640" max="3640" width="0.5703125" style="103" customWidth="1"/>
    <col min="3641" max="3641" width="2.140625" style="103" customWidth="1"/>
    <col min="3642" max="3642" width="0.5703125" style="103" customWidth="1"/>
    <col min="3643" max="3643" width="2.28515625" style="103" customWidth="1"/>
    <col min="3644" max="3644" width="0.5703125" style="103" customWidth="1"/>
    <col min="3645" max="3645" width="2.140625" style="103" customWidth="1"/>
    <col min="3646" max="3646" width="0.5703125" style="103" customWidth="1"/>
    <col min="3647" max="3647" width="2.140625" style="103" customWidth="1"/>
    <col min="3648" max="3648" width="0.5703125" style="103" customWidth="1"/>
    <col min="3649" max="3649" width="2.140625" style="103" customWidth="1"/>
    <col min="3650" max="3650" width="0.5703125" style="103" customWidth="1"/>
    <col min="3651" max="3651" width="2.140625" style="103" customWidth="1"/>
    <col min="3652" max="3652" width="0.5703125" style="103" customWidth="1"/>
    <col min="3653" max="3653" width="2.28515625" style="103" customWidth="1"/>
    <col min="3654" max="3654" width="0.5703125" style="103" customWidth="1"/>
    <col min="3655" max="3655" width="2.140625" style="103" customWidth="1"/>
    <col min="3656" max="3656" width="0.5703125" style="103" customWidth="1"/>
    <col min="3657" max="3657" width="2.140625" style="103" customWidth="1"/>
    <col min="3658" max="3658" width="0.5703125" style="103" customWidth="1"/>
    <col min="3659" max="3659" width="2.140625" style="103" customWidth="1"/>
    <col min="3660" max="3660" width="0.42578125" style="103" customWidth="1"/>
    <col min="3661" max="3840" width="9.140625" style="103"/>
    <col min="3841" max="3841" width="0.7109375" style="103" customWidth="1"/>
    <col min="3842" max="3842" width="0.5703125" style="103" customWidth="1"/>
    <col min="3843" max="3843" width="2.140625" style="103" customWidth="1"/>
    <col min="3844" max="3844" width="0.5703125" style="103" customWidth="1"/>
    <col min="3845" max="3845" width="2.140625" style="103" customWidth="1"/>
    <col min="3846" max="3846" width="0.5703125" style="103" customWidth="1"/>
    <col min="3847" max="3847" width="2.140625" style="103" customWidth="1"/>
    <col min="3848" max="3848" width="0.5703125" style="103" customWidth="1"/>
    <col min="3849" max="3849" width="2.140625" style="103" customWidth="1"/>
    <col min="3850" max="3850" width="0.5703125" style="103" customWidth="1"/>
    <col min="3851" max="3851" width="2.140625" style="103" customWidth="1"/>
    <col min="3852" max="3852" width="0.5703125" style="103" customWidth="1"/>
    <col min="3853" max="3853" width="2.28515625" style="103" customWidth="1"/>
    <col min="3854" max="3854" width="0.5703125" style="103" customWidth="1"/>
    <col min="3855" max="3855" width="2.140625" style="103" customWidth="1"/>
    <col min="3856" max="3856" width="0.5703125" style="103" customWidth="1"/>
    <col min="3857" max="3857" width="2.140625" style="103" customWidth="1"/>
    <col min="3858" max="3858" width="0.5703125" style="103" customWidth="1"/>
    <col min="3859" max="3859" width="2.140625" style="103" customWidth="1"/>
    <col min="3860" max="3860" width="0.5703125" style="103" customWidth="1"/>
    <col min="3861" max="3861" width="2.140625" style="103" customWidth="1"/>
    <col min="3862" max="3862" width="0.5703125" style="103" customWidth="1"/>
    <col min="3863" max="3863" width="2.140625" style="103" customWidth="1"/>
    <col min="3864" max="3864" width="0.5703125" style="103" customWidth="1"/>
    <col min="3865" max="3865" width="2.140625" style="103" customWidth="1"/>
    <col min="3866" max="3866" width="0.5703125" style="103" customWidth="1"/>
    <col min="3867" max="3867" width="2.140625" style="103" customWidth="1"/>
    <col min="3868" max="3868" width="0.5703125" style="103" customWidth="1"/>
    <col min="3869" max="3869" width="2.28515625" style="103" customWidth="1"/>
    <col min="3870" max="3870" width="0.5703125" style="103" customWidth="1"/>
    <col min="3871" max="3871" width="2.28515625" style="103" customWidth="1"/>
    <col min="3872" max="3872" width="0.5703125" style="103" customWidth="1"/>
    <col min="3873" max="3873" width="2.28515625" style="103" customWidth="1"/>
    <col min="3874" max="3874" width="0.5703125" style="103" customWidth="1"/>
    <col min="3875" max="3875" width="2.140625" style="103" customWidth="1"/>
    <col min="3876" max="3876" width="0.5703125" style="103" customWidth="1"/>
    <col min="3877" max="3877" width="2.140625" style="103" customWidth="1"/>
    <col min="3878" max="3878" width="0.5703125" style="103" customWidth="1"/>
    <col min="3879" max="3879" width="2.28515625" style="103" customWidth="1"/>
    <col min="3880" max="3880" width="0.5703125" style="103" customWidth="1"/>
    <col min="3881" max="3881" width="2.140625" style="103" customWidth="1"/>
    <col min="3882" max="3882" width="0.5703125" style="103" customWidth="1"/>
    <col min="3883" max="3883" width="2.140625" style="103" customWidth="1"/>
    <col min="3884" max="3884" width="0.5703125" style="103" customWidth="1"/>
    <col min="3885" max="3885" width="2.28515625" style="103" customWidth="1"/>
    <col min="3886" max="3886" width="0.5703125" style="103" customWidth="1"/>
    <col min="3887" max="3887" width="2.140625" style="103" customWidth="1"/>
    <col min="3888" max="3888" width="0.5703125" style="103" customWidth="1"/>
    <col min="3889" max="3889" width="2.28515625" style="103" customWidth="1"/>
    <col min="3890" max="3890" width="0.5703125" style="103" customWidth="1"/>
    <col min="3891" max="3891" width="2.140625" style="103" customWidth="1"/>
    <col min="3892" max="3892" width="0.5703125" style="103" customWidth="1"/>
    <col min="3893" max="3893" width="2.28515625" style="103" customWidth="1"/>
    <col min="3894" max="3894" width="0.5703125" style="103" customWidth="1"/>
    <col min="3895" max="3895" width="2.140625" style="103" customWidth="1"/>
    <col min="3896" max="3896" width="0.5703125" style="103" customWidth="1"/>
    <col min="3897" max="3897" width="2.140625" style="103" customWidth="1"/>
    <col min="3898" max="3898" width="0.5703125" style="103" customWidth="1"/>
    <col min="3899" max="3899" width="2.28515625" style="103" customWidth="1"/>
    <col min="3900" max="3900" width="0.5703125" style="103" customWidth="1"/>
    <col min="3901" max="3901" width="2.140625" style="103" customWidth="1"/>
    <col min="3902" max="3902" width="0.5703125" style="103" customWidth="1"/>
    <col min="3903" max="3903" width="2.140625" style="103" customWidth="1"/>
    <col min="3904" max="3904" width="0.5703125" style="103" customWidth="1"/>
    <col min="3905" max="3905" width="2.140625" style="103" customWidth="1"/>
    <col min="3906" max="3906" width="0.5703125" style="103" customWidth="1"/>
    <col min="3907" max="3907" width="2.140625" style="103" customWidth="1"/>
    <col min="3908" max="3908" width="0.5703125" style="103" customWidth="1"/>
    <col min="3909" max="3909" width="2.28515625" style="103" customWidth="1"/>
    <col min="3910" max="3910" width="0.5703125" style="103" customWidth="1"/>
    <col min="3911" max="3911" width="2.140625" style="103" customWidth="1"/>
    <col min="3912" max="3912" width="0.5703125" style="103" customWidth="1"/>
    <col min="3913" max="3913" width="2.140625" style="103" customWidth="1"/>
    <col min="3914" max="3914" width="0.5703125" style="103" customWidth="1"/>
    <col min="3915" max="3915" width="2.140625" style="103" customWidth="1"/>
    <col min="3916" max="3916" width="0.42578125" style="103" customWidth="1"/>
    <col min="3917" max="4096" width="9.140625" style="103"/>
    <col min="4097" max="4097" width="0.7109375" style="103" customWidth="1"/>
    <col min="4098" max="4098" width="0.5703125" style="103" customWidth="1"/>
    <col min="4099" max="4099" width="2.140625" style="103" customWidth="1"/>
    <col min="4100" max="4100" width="0.5703125" style="103" customWidth="1"/>
    <col min="4101" max="4101" width="2.140625" style="103" customWidth="1"/>
    <col min="4102" max="4102" width="0.5703125" style="103" customWidth="1"/>
    <col min="4103" max="4103" width="2.140625" style="103" customWidth="1"/>
    <col min="4104" max="4104" width="0.5703125" style="103" customWidth="1"/>
    <col min="4105" max="4105" width="2.140625" style="103" customWidth="1"/>
    <col min="4106" max="4106" width="0.5703125" style="103" customWidth="1"/>
    <col min="4107" max="4107" width="2.140625" style="103" customWidth="1"/>
    <col min="4108" max="4108" width="0.5703125" style="103" customWidth="1"/>
    <col min="4109" max="4109" width="2.28515625" style="103" customWidth="1"/>
    <col min="4110" max="4110" width="0.5703125" style="103" customWidth="1"/>
    <col min="4111" max="4111" width="2.140625" style="103" customWidth="1"/>
    <col min="4112" max="4112" width="0.5703125" style="103" customWidth="1"/>
    <col min="4113" max="4113" width="2.140625" style="103" customWidth="1"/>
    <col min="4114" max="4114" width="0.5703125" style="103" customWidth="1"/>
    <col min="4115" max="4115" width="2.140625" style="103" customWidth="1"/>
    <col min="4116" max="4116" width="0.5703125" style="103" customWidth="1"/>
    <col min="4117" max="4117" width="2.140625" style="103" customWidth="1"/>
    <col min="4118" max="4118" width="0.5703125" style="103" customWidth="1"/>
    <col min="4119" max="4119" width="2.140625" style="103" customWidth="1"/>
    <col min="4120" max="4120" width="0.5703125" style="103" customWidth="1"/>
    <col min="4121" max="4121" width="2.140625" style="103" customWidth="1"/>
    <col min="4122" max="4122" width="0.5703125" style="103" customWidth="1"/>
    <col min="4123" max="4123" width="2.140625" style="103" customWidth="1"/>
    <col min="4124" max="4124" width="0.5703125" style="103" customWidth="1"/>
    <col min="4125" max="4125" width="2.28515625" style="103" customWidth="1"/>
    <col min="4126" max="4126" width="0.5703125" style="103" customWidth="1"/>
    <col min="4127" max="4127" width="2.28515625" style="103" customWidth="1"/>
    <col min="4128" max="4128" width="0.5703125" style="103" customWidth="1"/>
    <col min="4129" max="4129" width="2.28515625" style="103" customWidth="1"/>
    <col min="4130" max="4130" width="0.5703125" style="103" customWidth="1"/>
    <col min="4131" max="4131" width="2.140625" style="103" customWidth="1"/>
    <col min="4132" max="4132" width="0.5703125" style="103" customWidth="1"/>
    <col min="4133" max="4133" width="2.140625" style="103" customWidth="1"/>
    <col min="4134" max="4134" width="0.5703125" style="103" customWidth="1"/>
    <col min="4135" max="4135" width="2.28515625" style="103" customWidth="1"/>
    <col min="4136" max="4136" width="0.5703125" style="103" customWidth="1"/>
    <col min="4137" max="4137" width="2.140625" style="103" customWidth="1"/>
    <col min="4138" max="4138" width="0.5703125" style="103" customWidth="1"/>
    <col min="4139" max="4139" width="2.140625" style="103" customWidth="1"/>
    <col min="4140" max="4140" width="0.5703125" style="103" customWidth="1"/>
    <col min="4141" max="4141" width="2.28515625" style="103" customWidth="1"/>
    <col min="4142" max="4142" width="0.5703125" style="103" customWidth="1"/>
    <col min="4143" max="4143" width="2.140625" style="103" customWidth="1"/>
    <col min="4144" max="4144" width="0.5703125" style="103" customWidth="1"/>
    <col min="4145" max="4145" width="2.28515625" style="103" customWidth="1"/>
    <col min="4146" max="4146" width="0.5703125" style="103" customWidth="1"/>
    <col min="4147" max="4147" width="2.140625" style="103" customWidth="1"/>
    <col min="4148" max="4148" width="0.5703125" style="103" customWidth="1"/>
    <col min="4149" max="4149" width="2.28515625" style="103" customWidth="1"/>
    <col min="4150" max="4150" width="0.5703125" style="103" customWidth="1"/>
    <col min="4151" max="4151" width="2.140625" style="103" customWidth="1"/>
    <col min="4152" max="4152" width="0.5703125" style="103" customWidth="1"/>
    <col min="4153" max="4153" width="2.140625" style="103" customWidth="1"/>
    <col min="4154" max="4154" width="0.5703125" style="103" customWidth="1"/>
    <col min="4155" max="4155" width="2.28515625" style="103" customWidth="1"/>
    <col min="4156" max="4156" width="0.5703125" style="103" customWidth="1"/>
    <col min="4157" max="4157" width="2.140625" style="103" customWidth="1"/>
    <col min="4158" max="4158" width="0.5703125" style="103" customWidth="1"/>
    <col min="4159" max="4159" width="2.140625" style="103" customWidth="1"/>
    <col min="4160" max="4160" width="0.5703125" style="103" customWidth="1"/>
    <col min="4161" max="4161" width="2.140625" style="103" customWidth="1"/>
    <col min="4162" max="4162" width="0.5703125" style="103" customWidth="1"/>
    <col min="4163" max="4163" width="2.140625" style="103" customWidth="1"/>
    <col min="4164" max="4164" width="0.5703125" style="103" customWidth="1"/>
    <col min="4165" max="4165" width="2.28515625" style="103" customWidth="1"/>
    <col min="4166" max="4166" width="0.5703125" style="103" customWidth="1"/>
    <col min="4167" max="4167" width="2.140625" style="103" customWidth="1"/>
    <col min="4168" max="4168" width="0.5703125" style="103" customWidth="1"/>
    <col min="4169" max="4169" width="2.140625" style="103" customWidth="1"/>
    <col min="4170" max="4170" width="0.5703125" style="103" customWidth="1"/>
    <col min="4171" max="4171" width="2.140625" style="103" customWidth="1"/>
    <col min="4172" max="4172" width="0.42578125" style="103" customWidth="1"/>
    <col min="4173" max="4352" width="9.140625" style="103"/>
    <col min="4353" max="4353" width="0.7109375" style="103" customWidth="1"/>
    <col min="4354" max="4354" width="0.5703125" style="103" customWidth="1"/>
    <col min="4355" max="4355" width="2.140625" style="103" customWidth="1"/>
    <col min="4356" max="4356" width="0.5703125" style="103" customWidth="1"/>
    <col min="4357" max="4357" width="2.140625" style="103" customWidth="1"/>
    <col min="4358" max="4358" width="0.5703125" style="103" customWidth="1"/>
    <col min="4359" max="4359" width="2.140625" style="103" customWidth="1"/>
    <col min="4360" max="4360" width="0.5703125" style="103" customWidth="1"/>
    <col min="4361" max="4361" width="2.140625" style="103" customWidth="1"/>
    <col min="4362" max="4362" width="0.5703125" style="103" customWidth="1"/>
    <col min="4363" max="4363" width="2.140625" style="103" customWidth="1"/>
    <col min="4364" max="4364" width="0.5703125" style="103" customWidth="1"/>
    <col min="4365" max="4365" width="2.28515625" style="103" customWidth="1"/>
    <col min="4366" max="4366" width="0.5703125" style="103" customWidth="1"/>
    <col min="4367" max="4367" width="2.140625" style="103" customWidth="1"/>
    <col min="4368" max="4368" width="0.5703125" style="103" customWidth="1"/>
    <col min="4369" max="4369" width="2.140625" style="103" customWidth="1"/>
    <col min="4370" max="4370" width="0.5703125" style="103" customWidth="1"/>
    <col min="4371" max="4371" width="2.140625" style="103" customWidth="1"/>
    <col min="4372" max="4372" width="0.5703125" style="103" customWidth="1"/>
    <col min="4373" max="4373" width="2.140625" style="103" customWidth="1"/>
    <col min="4374" max="4374" width="0.5703125" style="103" customWidth="1"/>
    <col min="4375" max="4375" width="2.140625" style="103" customWidth="1"/>
    <col min="4376" max="4376" width="0.5703125" style="103" customWidth="1"/>
    <col min="4377" max="4377" width="2.140625" style="103" customWidth="1"/>
    <col min="4378" max="4378" width="0.5703125" style="103" customWidth="1"/>
    <col min="4379" max="4379" width="2.140625" style="103" customWidth="1"/>
    <col min="4380" max="4380" width="0.5703125" style="103" customWidth="1"/>
    <col min="4381" max="4381" width="2.28515625" style="103" customWidth="1"/>
    <col min="4382" max="4382" width="0.5703125" style="103" customWidth="1"/>
    <col min="4383" max="4383" width="2.28515625" style="103" customWidth="1"/>
    <col min="4384" max="4384" width="0.5703125" style="103" customWidth="1"/>
    <col min="4385" max="4385" width="2.28515625" style="103" customWidth="1"/>
    <col min="4386" max="4386" width="0.5703125" style="103" customWidth="1"/>
    <col min="4387" max="4387" width="2.140625" style="103" customWidth="1"/>
    <col min="4388" max="4388" width="0.5703125" style="103" customWidth="1"/>
    <col min="4389" max="4389" width="2.140625" style="103" customWidth="1"/>
    <col min="4390" max="4390" width="0.5703125" style="103" customWidth="1"/>
    <col min="4391" max="4391" width="2.28515625" style="103" customWidth="1"/>
    <col min="4392" max="4392" width="0.5703125" style="103" customWidth="1"/>
    <col min="4393" max="4393" width="2.140625" style="103" customWidth="1"/>
    <col min="4394" max="4394" width="0.5703125" style="103" customWidth="1"/>
    <col min="4395" max="4395" width="2.140625" style="103" customWidth="1"/>
    <col min="4396" max="4396" width="0.5703125" style="103" customWidth="1"/>
    <col min="4397" max="4397" width="2.28515625" style="103" customWidth="1"/>
    <col min="4398" max="4398" width="0.5703125" style="103" customWidth="1"/>
    <col min="4399" max="4399" width="2.140625" style="103" customWidth="1"/>
    <col min="4400" max="4400" width="0.5703125" style="103" customWidth="1"/>
    <col min="4401" max="4401" width="2.28515625" style="103" customWidth="1"/>
    <col min="4402" max="4402" width="0.5703125" style="103" customWidth="1"/>
    <col min="4403" max="4403" width="2.140625" style="103" customWidth="1"/>
    <col min="4404" max="4404" width="0.5703125" style="103" customWidth="1"/>
    <col min="4405" max="4405" width="2.28515625" style="103" customWidth="1"/>
    <col min="4406" max="4406" width="0.5703125" style="103" customWidth="1"/>
    <col min="4407" max="4407" width="2.140625" style="103" customWidth="1"/>
    <col min="4408" max="4408" width="0.5703125" style="103" customWidth="1"/>
    <col min="4409" max="4409" width="2.140625" style="103" customWidth="1"/>
    <col min="4410" max="4410" width="0.5703125" style="103" customWidth="1"/>
    <col min="4411" max="4411" width="2.28515625" style="103" customWidth="1"/>
    <col min="4412" max="4412" width="0.5703125" style="103" customWidth="1"/>
    <col min="4413" max="4413" width="2.140625" style="103" customWidth="1"/>
    <col min="4414" max="4414" width="0.5703125" style="103" customWidth="1"/>
    <col min="4415" max="4415" width="2.140625" style="103" customWidth="1"/>
    <col min="4416" max="4416" width="0.5703125" style="103" customWidth="1"/>
    <col min="4417" max="4417" width="2.140625" style="103" customWidth="1"/>
    <col min="4418" max="4418" width="0.5703125" style="103" customWidth="1"/>
    <col min="4419" max="4419" width="2.140625" style="103" customWidth="1"/>
    <col min="4420" max="4420" width="0.5703125" style="103" customWidth="1"/>
    <col min="4421" max="4421" width="2.28515625" style="103" customWidth="1"/>
    <col min="4422" max="4422" width="0.5703125" style="103" customWidth="1"/>
    <col min="4423" max="4423" width="2.140625" style="103" customWidth="1"/>
    <col min="4424" max="4424" width="0.5703125" style="103" customWidth="1"/>
    <col min="4425" max="4425" width="2.140625" style="103" customWidth="1"/>
    <col min="4426" max="4426" width="0.5703125" style="103" customWidth="1"/>
    <col min="4427" max="4427" width="2.140625" style="103" customWidth="1"/>
    <col min="4428" max="4428" width="0.42578125" style="103" customWidth="1"/>
    <col min="4429" max="4608" width="9.140625" style="103"/>
    <col min="4609" max="4609" width="0.7109375" style="103" customWidth="1"/>
    <col min="4610" max="4610" width="0.5703125" style="103" customWidth="1"/>
    <col min="4611" max="4611" width="2.140625" style="103" customWidth="1"/>
    <col min="4612" max="4612" width="0.5703125" style="103" customWidth="1"/>
    <col min="4613" max="4613" width="2.140625" style="103" customWidth="1"/>
    <col min="4614" max="4614" width="0.5703125" style="103" customWidth="1"/>
    <col min="4615" max="4615" width="2.140625" style="103" customWidth="1"/>
    <col min="4616" max="4616" width="0.5703125" style="103" customWidth="1"/>
    <col min="4617" max="4617" width="2.140625" style="103" customWidth="1"/>
    <col min="4618" max="4618" width="0.5703125" style="103" customWidth="1"/>
    <col min="4619" max="4619" width="2.140625" style="103" customWidth="1"/>
    <col min="4620" max="4620" width="0.5703125" style="103" customWidth="1"/>
    <col min="4621" max="4621" width="2.28515625" style="103" customWidth="1"/>
    <col min="4622" max="4622" width="0.5703125" style="103" customWidth="1"/>
    <col min="4623" max="4623" width="2.140625" style="103" customWidth="1"/>
    <col min="4624" max="4624" width="0.5703125" style="103" customWidth="1"/>
    <col min="4625" max="4625" width="2.140625" style="103" customWidth="1"/>
    <col min="4626" max="4626" width="0.5703125" style="103" customWidth="1"/>
    <col min="4627" max="4627" width="2.140625" style="103" customWidth="1"/>
    <col min="4628" max="4628" width="0.5703125" style="103" customWidth="1"/>
    <col min="4629" max="4629" width="2.140625" style="103" customWidth="1"/>
    <col min="4630" max="4630" width="0.5703125" style="103" customWidth="1"/>
    <col min="4631" max="4631" width="2.140625" style="103" customWidth="1"/>
    <col min="4632" max="4632" width="0.5703125" style="103" customWidth="1"/>
    <col min="4633" max="4633" width="2.140625" style="103" customWidth="1"/>
    <col min="4634" max="4634" width="0.5703125" style="103" customWidth="1"/>
    <col min="4635" max="4635" width="2.140625" style="103" customWidth="1"/>
    <col min="4636" max="4636" width="0.5703125" style="103" customWidth="1"/>
    <col min="4637" max="4637" width="2.28515625" style="103" customWidth="1"/>
    <col min="4638" max="4638" width="0.5703125" style="103" customWidth="1"/>
    <col min="4639" max="4639" width="2.28515625" style="103" customWidth="1"/>
    <col min="4640" max="4640" width="0.5703125" style="103" customWidth="1"/>
    <col min="4641" max="4641" width="2.28515625" style="103" customWidth="1"/>
    <col min="4642" max="4642" width="0.5703125" style="103" customWidth="1"/>
    <col min="4643" max="4643" width="2.140625" style="103" customWidth="1"/>
    <col min="4644" max="4644" width="0.5703125" style="103" customWidth="1"/>
    <col min="4645" max="4645" width="2.140625" style="103" customWidth="1"/>
    <col min="4646" max="4646" width="0.5703125" style="103" customWidth="1"/>
    <col min="4647" max="4647" width="2.28515625" style="103" customWidth="1"/>
    <col min="4648" max="4648" width="0.5703125" style="103" customWidth="1"/>
    <col min="4649" max="4649" width="2.140625" style="103" customWidth="1"/>
    <col min="4650" max="4650" width="0.5703125" style="103" customWidth="1"/>
    <col min="4651" max="4651" width="2.140625" style="103" customWidth="1"/>
    <col min="4652" max="4652" width="0.5703125" style="103" customWidth="1"/>
    <col min="4653" max="4653" width="2.28515625" style="103" customWidth="1"/>
    <col min="4654" max="4654" width="0.5703125" style="103" customWidth="1"/>
    <col min="4655" max="4655" width="2.140625" style="103" customWidth="1"/>
    <col min="4656" max="4656" width="0.5703125" style="103" customWidth="1"/>
    <col min="4657" max="4657" width="2.28515625" style="103" customWidth="1"/>
    <col min="4658" max="4658" width="0.5703125" style="103" customWidth="1"/>
    <col min="4659" max="4659" width="2.140625" style="103" customWidth="1"/>
    <col min="4660" max="4660" width="0.5703125" style="103" customWidth="1"/>
    <col min="4661" max="4661" width="2.28515625" style="103" customWidth="1"/>
    <col min="4662" max="4662" width="0.5703125" style="103" customWidth="1"/>
    <col min="4663" max="4663" width="2.140625" style="103" customWidth="1"/>
    <col min="4664" max="4664" width="0.5703125" style="103" customWidth="1"/>
    <col min="4665" max="4665" width="2.140625" style="103" customWidth="1"/>
    <col min="4666" max="4666" width="0.5703125" style="103" customWidth="1"/>
    <col min="4667" max="4667" width="2.28515625" style="103" customWidth="1"/>
    <col min="4668" max="4668" width="0.5703125" style="103" customWidth="1"/>
    <col min="4669" max="4669" width="2.140625" style="103" customWidth="1"/>
    <col min="4670" max="4670" width="0.5703125" style="103" customWidth="1"/>
    <col min="4671" max="4671" width="2.140625" style="103" customWidth="1"/>
    <col min="4672" max="4672" width="0.5703125" style="103" customWidth="1"/>
    <col min="4673" max="4673" width="2.140625" style="103" customWidth="1"/>
    <col min="4674" max="4674" width="0.5703125" style="103" customWidth="1"/>
    <col min="4675" max="4675" width="2.140625" style="103" customWidth="1"/>
    <col min="4676" max="4676" width="0.5703125" style="103" customWidth="1"/>
    <col min="4677" max="4677" width="2.28515625" style="103" customWidth="1"/>
    <col min="4678" max="4678" width="0.5703125" style="103" customWidth="1"/>
    <col min="4679" max="4679" width="2.140625" style="103" customWidth="1"/>
    <col min="4680" max="4680" width="0.5703125" style="103" customWidth="1"/>
    <col min="4681" max="4681" width="2.140625" style="103" customWidth="1"/>
    <col min="4682" max="4682" width="0.5703125" style="103" customWidth="1"/>
    <col min="4683" max="4683" width="2.140625" style="103" customWidth="1"/>
    <col min="4684" max="4684" width="0.42578125" style="103" customWidth="1"/>
    <col min="4685" max="4864" width="9.140625" style="103"/>
    <col min="4865" max="4865" width="0.7109375" style="103" customWidth="1"/>
    <col min="4866" max="4866" width="0.5703125" style="103" customWidth="1"/>
    <col min="4867" max="4867" width="2.140625" style="103" customWidth="1"/>
    <col min="4868" max="4868" width="0.5703125" style="103" customWidth="1"/>
    <col min="4869" max="4869" width="2.140625" style="103" customWidth="1"/>
    <col min="4870" max="4870" width="0.5703125" style="103" customWidth="1"/>
    <col min="4871" max="4871" width="2.140625" style="103" customWidth="1"/>
    <col min="4872" max="4872" width="0.5703125" style="103" customWidth="1"/>
    <col min="4873" max="4873" width="2.140625" style="103" customWidth="1"/>
    <col min="4874" max="4874" width="0.5703125" style="103" customWidth="1"/>
    <col min="4875" max="4875" width="2.140625" style="103" customWidth="1"/>
    <col min="4876" max="4876" width="0.5703125" style="103" customWidth="1"/>
    <col min="4877" max="4877" width="2.28515625" style="103" customWidth="1"/>
    <col min="4878" max="4878" width="0.5703125" style="103" customWidth="1"/>
    <col min="4879" max="4879" width="2.140625" style="103" customWidth="1"/>
    <col min="4880" max="4880" width="0.5703125" style="103" customWidth="1"/>
    <col min="4881" max="4881" width="2.140625" style="103" customWidth="1"/>
    <col min="4882" max="4882" width="0.5703125" style="103" customWidth="1"/>
    <col min="4883" max="4883" width="2.140625" style="103" customWidth="1"/>
    <col min="4884" max="4884" width="0.5703125" style="103" customWidth="1"/>
    <col min="4885" max="4885" width="2.140625" style="103" customWidth="1"/>
    <col min="4886" max="4886" width="0.5703125" style="103" customWidth="1"/>
    <col min="4887" max="4887" width="2.140625" style="103" customWidth="1"/>
    <col min="4888" max="4888" width="0.5703125" style="103" customWidth="1"/>
    <col min="4889" max="4889" width="2.140625" style="103" customWidth="1"/>
    <col min="4890" max="4890" width="0.5703125" style="103" customWidth="1"/>
    <col min="4891" max="4891" width="2.140625" style="103" customWidth="1"/>
    <col min="4892" max="4892" width="0.5703125" style="103" customWidth="1"/>
    <col min="4893" max="4893" width="2.28515625" style="103" customWidth="1"/>
    <col min="4894" max="4894" width="0.5703125" style="103" customWidth="1"/>
    <col min="4895" max="4895" width="2.28515625" style="103" customWidth="1"/>
    <col min="4896" max="4896" width="0.5703125" style="103" customWidth="1"/>
    <col min="4897" max="4897" width="2.28515625" style="103" customWidth="1"/>
    <col min="4898" max="4898" width="0.5703125" style="103" customWidth="1"/>
    <col min="4899" max="4899" width="2.140625" style="103" customWidth="1"/>
    <col min="4900" max="4900" width="0.5703125" style="103" customWidth="1"/>
    <col min="4901" max="4901" width="2.140625" style="103" customWidth="1"/>
    <col min="4902" max="4902" width="0.5703125" style="103" customWidth="1"/>
    <col min="4903" max="4903" width="2.28515625" style="103" customWidth="1"/>
    <col min="4904" max="4904" width="0.5703125" style="103" customWidth="1"/>
    <col min="4905" max="4905" width="2.140625" style="103" customWidth="1"/>
    <col min="4906" max="4906" width="0.5703125" style="103" customWidth="1"/>
    <col min="4907" max="4907" width="2.140625" style="103" customWidth="1"/>
    <col min="4908" max="4908" width="0.5703125" style="103" customWidth="1"/>
    <col min="4909" max="4909" width="2.28515625" style="103" customWidth="1"/>
    <col min="4910" max="4910" width="0.5703125" style="103" customWidth="1"/>
    <col min="4911" max="4911" width="2.140625" style="103" customWidth="1"/>
    <col min="4912" max="4912" width="0.5703125" style="103" customWidth="1"/>
    <col min="4913" max="4913" width="2.28515625" style="103" customWidth="1"/>
    <col min="4914" max="4914" width="0.5703125" style="103" customWidth="1"/>
    <col min="4915" max="4915" width="2.140625" style="103" customWidth="1"/>
    <col min="4916" max="4916" width="0.5703125" style="103" customWidth="1"/>
    <col min="4917" max="4917" width="2.28515625" style="103" customWidth="1"/>
    <col min="4918" max="4918" width="0.5703125" style="103" customWidth="1"/>
    <col min="4919" max="4919" width="2.140625" style="103" customWidth="1"/>
    <col min="4920" max="4920" width="0.5703125" style="103" customWidth="1"/>
    <col min="4921" max="4921" width="2.140625" style="103" customWidth="1"/>
    <col min="4922" max="4922" width="0.5703125" style="103" customWidth="1"/>
    <col min="4923" max="4923" width="2.28515625" style="103" customWidth="1"/>
    <col min="4924" max="4924" width="0.5703125" style="103" customWidth="1"/>
    <col min="4925" max="4925" width="2.140625" style="103" customWidth="1"/>
    <col min="4926" max="4926" width="0.5703125" style="103" customWidth="1"/>
    <col min="4927" max="4927" width="2.140625" style="103" customWidth="1"/>
    <col min="4928" max="4928" width="0.5703125" style="103" customWidth="1"/>
    <col min="4929" max="4929" width="2.140625" style="103" customWidth="1"/>
    <col min="4930" max="4930" width="0.5703125" style="103" customWidth="1"/>
    <col min="4931" max="4931" width="2.140625" style="103" customWidth="1"/>
    <col min="4932" max="4932" width="0.5703125" style="103" customWidth="1"/>
    <col min="4933" max="4933" width="2.28515625" style="103" customWidth="1"/>
    <col min="4934" max="4934" width="0.5703125" style="103" customWidth="1"/>
    <col min="4935" max="4935" width="2.140625" style="103" customWidth="1"/>
    <col min="4936" max="4936" width="0.5703125" style="103" customWidth="1"/>
    <col min="4937" max="4937" width="2.140625" style="103" customWidth="1"/>
    <col min="4938" max="4938" width="0.5703125" style="103" customWidth="1"/>
    <col min="4939" max="4939" width="2.140625" style="103" customWidth="1"/>
    <col min="4940" max="4940" width="0.42578125" style="103" customWidth="1"/>
    <col min="4941" max="5120" width="9.140625" style="103"/>
    <col min="5121" max="5121" width="0.7109375" style="103" customWidth="1"/>
    <col min="5122" max="5122" width="0.5703125" style="103" customWidth="1"/>
    <col min="5123" max="5123" width="2.140625" style="103" customWidth="1"/>
    <col min="5124" max="5124" width="0.5703125" style="103" customWidth="1"/>
    <col min="5125" max="5125" width="2.140625" style="103" customWidth="1"/>
    <col min="5126" max="5126" width="0.5703125" style="103" customWidth="1"/>
    <col min="5127" max="5127" width="2.140625" style="103" customWidth="1"/>
    <col min="5128" max="5128" width="0.5703125" style="103" customWidth="1"/>
    <col min="5129" max="5129" width="2.140625" style="103" customWidth="1"/>
    <col min="5130" max="5130" width="0.5703125" style="103" customWidth="1"/>
    <col min="5131" max="5131" width="2.140625" style="103" customWidth="1"/>
    <col min="5132" max="5132" width="0.5703125" style="103" customWidth="1"/>
    <col min="5133" max="5133" width="2.28515625" style="103" customWidth="1"/>
    <col min="5134" max="5134" width="0.5703125" style="103" customWidth="1"/>
    <col min="5135" max="5135" width="2.140625" style="103" customWidth="1"/>
    <col min="5136" max="5136" width="0.5703125" style="103" customWidth="1"/>
    <col min="5137" max="5137" width="2.140625" style="103" customWidth="1"/>
    <col min="5138" max="5138" width="0.5703125" style="103" customWidth="1"/>
    <col min="5139" max="5139" width="2.140625" style="103" customWidth="1"/>
    <col min="5140" max="5140" width="0.5703125" style="103" customWidth="1"/>
    <col min="5141" max="5141" width="2.140625" style="103" customWidth="1"/>
    <col min="5142" max="5142" width="0.5703125" style="103" customWidth="1"/>
    <col min="5143" max="5143" width="2.140625" style="103" customWidth="1"/>
    <col min="5144" max="5144" width="0.5703125" style="103" customWidth="1"/>
    <col min="5145" max="5145" width="2.140625" style="103" customWidth="1"/>
    <col min="5146" max="5146" width="0.5703125" style="103" customWidth="1"/>
    <col min="5147" max="5147" width="2.140625" style="103" customWidth="1"/>
    <col min="5148" max="5148" width="0.5703125" style="103" customWidth="1"/>
    <col min="5149" max="5149" width="2.28515625" style="103" customWidth="1"/>
    <col min="5150" max="5150" width="0.5703125" style="103" customWidth="1"/>
    <col min="5151" max="5151" width="2.28515625" style="103" customWidth="1"/>
    <col min="5152" max="5152" width="0.5703125" style="103" customWidth="1"/>
    <col min="5153" max="5153" width="2.28515625" style="103" customWidth="1"/>
    <col min="5154" max="5154" width="0.5703125" style="103" customWidth="1"/>
    <col min="5155" max="5155" width="2.140625" style="103" customWidth="1"/>
    <col min="5156" max="5156" width="0.5703125" style="103" customWidth="1"/>
    <col min="5157" max="5157" width="2.140625" style="103" customWidth="1"/>
    <col min="5158" max="5158" width="0.5703125" style="103" customWidth="1"/>
    <col min="5159" max="5159" width="2.28515625" style="103" customWidth="1"/>
    <col min="5160" max="5160" width="0.5703125" style="103" customWidth="1"/>
    <col min="5161" max="5161" width="2.140625" style="103" customWidth="1"/>
    <col min="5162" max="5162" width="0.5703125" style="103" customWidth="1"/>
    <col min="5163" max="5163" width="2.140625" style="103" customWidth="1"/>
    <col min="5164" max="5164" width="0.5703125" style="103" customWidth="1"/>
    <col min="5165" max="5165" width="2.28515625" style="103" customWidth="1"/>
    <col min="5166" max="5166" width="0.5703125" style="103" customWidth="1"/>
    <col min="5167" max="5167" width="2.140625" style="103" customWidth="1"/>
    <col min="5168" max="5168" width="0.5703125" style="103" customWidth="1"/>
    <col min="5169" max="5169" width="2.28515625" style="103" customWidth="1"/>
    <col min="5170" max="5170" width="0.5703125" style="103" customWidth="1"/>
    <col min="5171" max="5171" width="2.140625" style="103" customWidth="1"/>
    <col min="5172" max="5172" width="0.5703125" style="103" customWidth="1"/>
    <col min="5173" max="5173" width="2.28515625" style="103" customWidth="1"/>
    <col min="5174" max="5174" width="0.5703125" style="103" customWidth="1"/>
    <col min="5175" max="5175" width="2.140625" style="103" customWidth="1"/>
    <col min="5176" max="5176" width="0.5703125" style="103" customWidth="1"/>
    <col min="5177" max="5177" width="2.140625" style="103" customWidth="1"/>
    <col min="5178" max="5178" width="0.5703125" style="103" customWidth="1"/>
    <col min="5179" max="5179" width="2.28515625" style="103" customWidth="1"/>
    <col min="5180" max="5180" width="0.5703125" style="103" customWidth="1"/>
    <col min="5181" max="5181" width="2.140625" style="103" customWidth="1"/>
    <col min="5182" max="5182" width="0.5703125" style="103" customWidth="1"/>
    <col min="5183" max="5183" width="2.140625" style="103" customWidth="1"/>
    <col min="5184" max="5184" width="0.5703125" style="103" customWidth="1"/>
    <col min="5185" max="5185" width="2.140625" style="103" customWidth="1"/>
    <col min="5186" max="5186" width="0.5703125" style="103" customWidth="1"/>
    <col min="5187" max="5187" width="2.140625" style="103" customWidth="1"/>
    <col min="5188" max="5188" width="0.5703125" style="103" customWidth="1"/>
    <col min="5189" max="5189" width="2.28515625" style="103" customWidth="1"/>
    <col min="5190" max="5190" width="0.5703125" style="103" customWidth="1"/>
    <col min="5191" max="5191" width="2.140625" style="103" customWidth="1"/>
    <col min="5192" max="5192" width="0.5703125" style="103" customWidth="1"/>
    <col min="5193" max="5193" width="2.140625" style="103" customWidth="1"/>
    <col min="5194" max="5194" width="0.5703125" style="103" customWidth="1"/>
    <col min="5195" max="5195" width="2.140625" style="103" customWidth="1"/>
    <col min="5196" max="5196" width="0.42578125" style="103" customWidth="1"/>
    <col min="5197" max="5376" width="9.140625" style="103"/>
    <col min="5377" max="5377" width="0.7109375" style="103" customWidth="1"/>
    <col min="5378" max="5378" width="0.5703125" style="103" customWidth="1"/>
    <col min="5379" max="5379" width="2.140625" style="103" customWidth="1"/>
    <col min="5380" max="5380" width="0.5703125" style="103" customWidth="1"/>
    <col min="5381" max="5381" width="2.140625" style="103" customWidth="1"/>
    <col min="5382" max="5382" width="0.5703125" style="103" customWidth="1"/>
    <col min="5383" max="5383" width="2.140625" style="103" customWidth="1"/>
    <col min="5384" max="5384" width="0.5703125" style="103" customWidth="1"/>
    <col min="5385" max="5385" width="2.140625" style="103" customWidth="1"/>
    <col min="5386" max="5386" width="0.5703125" style="103" customWidth="1"/>
    <col min="5387" max="5387" width="2.140625" style="103" customWidth="1"/>
    <col min="5388" max="5388" width="0.5703125" style="103" customWidth="1"/>
    <col min="5389" max="5389" width="2.28515625" style="103" customWidth="1"/>
    <col min="5390" max="5390" width="0.5703125" style="103" customWidth="1"/>
    <col min="5391" max="5391" width="2.140625" style="103" customWidth="1"/>
    <col min="5392" max="5392" width="0.5703125" style="103" customWidth="1"/>
    <col min="5393" max="5393" width="2.140625" style="103" customWidth="1"/>
    <col min="5394" max="5394" width="0.5703125" style="103" customWidth="1"/>
    <col min="5395" max="5395" width="2.140625" style="103" customWidth="1"/>
    <col min="5396" max="5396" width="0.5703125" style="103" customWidth="1"/>
    <col min="5397" max="5397" width="2.140625" style="103" customWidth="1"/>
    <col min="5398" max="5398" width="0.5703125" style="103" customWidth="1"/>
    <col min="5399" max="5399" width="2.140625" style="103" customWidth="1"/>
    <col min="5400" max="5400" width="0.5703125" style="103" customWidth="1"/>
    <col min="5401" max="5401" width="2.140625" style="103" customWidth="1"/>
    <col min="5402" max="5402" width="0.5703125" style="103" customWidth="1"/>
    <col min="5403" max="5403" width="2.140625" style="103" customWidth="1"/>
    <col min="5404" max="5404" width="0.5703125" style="103" customWidth="1"/>
    <col min="5405" max="5405" width="2.28515625" style="103" customWidth="1"/>
    <col min="5406" max="5406" width="0.5703125" style="103" customWidth="1"/>
    <col min="5407" max="5407" width="2.28515625" style="103" customWidth="1"/>
    <col min="5408" max="5408" width="0.5703125" style="103" customWidth="1"/>
    <col min="5409" max="5409" width="2.28515625" style="103" customWidth="1"/>
    <col min="5410" max="5410" width="0.5703125" style="103" customWidth="1"/>
    <col min="5411" max="5411" width="2.140625" style="103" customWidth="1"/>
    <col min="5412" max="5412" width="0.5703125" style="103" customWidth="1"/>
    <col min="5413" max="5413" width="2.140625" style="103" customWidth="1"/>
    <col min="5414" max="5414" width="0.5703125" style="103" customWidth="1"/>
    <col min="5415" max="5415" width="2.28515625" style="103" customWidth="1"/>
    <col min="5416" max="5416" width="0.5703125" style="103" customWidth="1"/>
    <col min="5417" max="5417" width="2.140625" style="103" customWidth="1"/>
    <col min="5418" max="5418" width="0.5703125" style="103" customWidth="1"/>
    <col min="5419" max="5419" width="2.140625" style="103" customWidth="1"/>
    <col min="5420" max="5420" width="0.5703125" style="103" customWidth="1"/>
    <col min="5421" max="5421" width="2.28515625" style="103" customWidth="1"/>
    <col min="5422" max="5422" width="0.5703125" style="103" customWidth="1"/>
    <col min="5423" max="5423" width="2.140625" style="103" customWidth="1"/>
    <col min="5424" max="5424" width="0.5703125" style="103" customWidth="1"/>
    <col min="5425" max="5425" width="2.28515625" style="103" customWidth="1"/>
    <col min="5426" max="5426" width="0.5703125" style="103" customWidth="1"/>
    <col min="5427" max="5427" width="2.140625" style="103" customWidth="1"/>
    <col min="5428" max="5428" width="0.5703125" style="103" customWidth="1"/>
    <col min="5429" max="5429" width="2.28515625" style="103" customWidth="1"/>
    <col min="5430" max="5430" width="0.5703125" style="103" customWidth="1"/>
    <col min="5431" max="5431" width="2.140625" style="103" customWidth="1"/>
    <col min="5432" max="5432" width="0.5703125" style="103" customWidth="1"/>
    <col min="5433" max="5433" width="2.140625" style="103" customWidth="1"/>
    <col min="5434" max="5434" width="0.5703125" style="103" customWidth="1"/>
    <col min="5435" max="5435" width="2.28515625" style="103" customWidth="1"/>
    <col min="5436" max="5436" width="0.5703125" style="103" customWidth="1"/>
    <col min="5437" max="5437" width="2.140625" style="103" customWidth="1"/>
    <col min="5438" max="5438" width="0.5703125" style="103" customWidth="1"/>
    <col min="5439" max="5439" width="2.140625" style="103" customWidth="1"/>
    <col min="5440" max="5440" width="0.5703125" style="103" customWidth="1"/>
    <col min="5441" max="5441" width="2.140625" style="103" customWidth="1"/>
    <col min="5442" max="5442" width="0.5703125" style="103" customWidth="1"/>
    <col min="5443" max="5443" width="2.140625" style="103" customWidth="1"/>
    <col min="5444" max="5444" width="0.5703125" style="103" customWidth="1"/>
    <col min="5445" max="5445" width="2.28515625" style="103" customWidth="1"/>
    <col min="5446" max="5446" width="0.5703125" style="103" customWidth="1"/>
    <col min="5447" max="5447" width="2.140625" style="103" customWidth="1"/>
    <col min="5448" max="5448" width="0.5703125" style="103" customWidth="1"/>
    <col min="5449" max="5449" width="2.140625" style="103" customWidth="1"/>
    <col min="5450" max="5450" width="0.5703125" style="103" customWidth="1"/>
    <col min="5451" max="5451" width="2.140625" style="103" customWidth="1"/>
    <col min="5452" max="5452" width="0.42578125" style="103" customWidth="1"/>
    <col min="5453" max="5632" width="9.140625" style="103"/>
    <col min="5633" max="5633" width="0.7109375" style="103" customWidth="1"/>
    <col min="5634" max="5634" width="0.5703125" style="103" customWidth="1"/>
    <col min="5635" max="5635" width="2.140625" style="103" customWidth="1"/>
    <col min="5636" max="5636" width="0.5703125" style="103" customWidth="1"/>
    <col min="5637" max="5637" width="2.140625" style="103" customWidth="1"/>
    <col min="5638" max="5638" width="0.5703125" style="103" customWidth="1"/>
    <col min="5639" max="5639" width="2.140625" style="103" customWidth="1"/>
    <col min="5640" max="5640" width="0.5703125" style="103" customWidth="1"/>
    <col min="5641" max="5641" width="2.140625" style="103" customWidth="1"/>
    <col min="5642" max="5642" width="0.5703125" style="103" customWidth="1"/>
    <col min="5643" max="5643" width="2.140625" style="103" customWidth="1"/>
    <col min="5644" max="5644" width="0.5703125" style="103" customWidth="1"/>
    <col min="5645" max="5645" width="2.28515625" style="103" customWidth="1"/>
    <col min="5646" max="5646" width="0.5703125" style="103" customWidth="1"/>
    <col min="5647" max="5647" width="2.140625" style="103" customWidth="1"/>
    <col min="5648" max="5648" width="0.5703125" style="103" customWidth="1"/>
    <col min="5649" max="5649" width="2.140625" style="103" customWidth="1"/>
    <col min="5650" max="5650" width="0.5703125" style="103" customWidth="1"/>
    <col min="5651" max="5651" width="2.140625" style="103" customWidth="1"/>
    <col min="5652" max="5652" width="0.5703125" style="103" customWidth="1"/>
    <col min="5653" max="5653" width="2.140625" style="103" customWidth="1"/>
    <col min="5654" max="5654" width="0.5703125" style="103" customWidth="1"/>
    <col min="5655" max="5655" width="2.140625" style="103" customWidth="1"/>
    <col min="5656" max="5656" width="0.5703125" style="103" customWidth="1"/>
    <col min="5657" max="5657" width="2.140625" style="103" customWidth="1"/>
    <col min="5658" max="5658" width="0.5703125" style="103" customWidth="1"/>
    <col min="5659" max="5659" width="2.140625" style="103" customWidth="1"/>
    <col min="5660" max="5660" width="0.5703125" style="103" customWidth="1"/>
    <col min="5661" max="5661" width="2.28515625" style="103" customWidth="1"/>
    <col min="5662" max="5662" width="0.5703125" style="103" customWidth="1"/>
    <col min="5663" max="5663" width="2.28515625" style="103" customWidth="1"/>
    <col min="5664" max="5664" width="0.5703125" style="103" customWidth="1"/>
    <col min="5665" max="5665" width="2.28515625" style="103" customWidth="1"/>
    <col min="5666" max="5666" width="0.5703125" style="103" customWidth="1"/>
    <col min="5667" max="5667" width="2.140625" style="103" customWidth="1"/>
    <col min="5668" max="5668" width="0.5703125" style="103" customWidth="1"/>
    <col min="5669" max="5669" width="2.140625" style="103" customWidth="1"/>
    <col min="5670" max="5670" width="0.5703125" style="103" customWidth="1"/>
    <col min="5671" max="5671" width="2.28515625" style="103" customWidth="1"/>
    <col min="5672" max="5672" width="0.5703125" style="103" customWidth="1"/>
    <col min="5673" max="5673" width="2.140625" style="103" customWidth="1"/>
    <col min="5674" max="5674" width="0.5703125" style="103" customWidth="1"/>
    <col min="5675" max="5675" width="2.140625" style="103" customWidth="1"/>
    <col min="5676" max="5676" width="0.5703125" style="103" customWidth="1"/>
    <col min="5677" max="5677" width="2.28515625" style="103" customWidth="1"/>
    <col min="5678" max="5678" width="0.5703125" style="103" customWidth="1"/>
    <col min="5679" max="5679" width="2.140625" style="103" customWidth="1"/>
    <col min="5680" max="5680" width="0.5703125" style="103" customWidth="1"/>
    <col min="5681" max="5681" width="2.28515625" style="103" customWidth="1"/>
    <col min="5682" max="5682" width="0.5703125" style="103" customWidth="1"/>
    <col min="5683" max="5683" width="2.140625" style="103" customWidth="1"/>
    <col min="5684" max="5684" width="0.5703125" style="103" customWidth="1"/>
    <col min="5685" max="5685" width="2.28515625" style="103" customWidth="1"/>
    <col min="5686" max="5686" width="0.5703125" style="103" customWidth="1"/>
    <col min="5687" max="5687" width="2.140625" style="103" customWidth="1"/>
    <col min="5688" max="5688" width="0.5703125" style="103" customWidth="1"/>
    <col min="5689" max="5689" width="2.140625" style="103" customWidth="1"/>
    <col min="5690" max="5690" width="0.5703125" style="103" customWidth="1"/>
    <col min="5691" max="5691" width="2.28515625" style="103" customWidth="1"/>
    <col min="5692" max="5692" width="0.5703125" style="103" customWidth="1"/>
    <col min="5693" max="5693" width="2.140625" style="103" customWidth="1"/>
    <col min="5694" max="5694" width="0.5703125" style="103" customWidth="1"/>
    <col min="5695" max="5695" width="2.140625" style="103" customWidth="1"/>
    <col min="5696" max="5696" width="0.5703125" style="103" customWidth="1"/>
    <col min="5697" max="5697" width="2.140625" style="103" customWidth="1"/>
    <col min="5698" max="5698" width="0.5703125" style="103" customWidth="1"/>
    <col min="5699" max="5699" width="2.140625" style="103" customWidth="1"/>
    <col min="5700" max="5700" width="0.5703125" style="103" customWidth="1"/>
    <col min="5701" max="5701" width="2.28515625" style="103" customWidth="1"/>
    <col min="5702" max="5702" width="0.5703125" style="103" customWidth="1"/>
    <col min="5703" max="5703" width="2.140625" style="103" customWidth="1"/>
    <col min="5704" max="5704" width="0.5703125" style="103" customWidth="1"/>
    <col min="5705" max="5705" width="2.140625" style="103" customWidth="1"/>
    <col min="5706" max="5706" width="0.5703125" style="103" customWidth="1"/>
    <col min="5707" max="5707" width="2.140625" style="103" customWidth="1"/>
    <col min="5708" max="5708" width="0.42578125" style="103" customWidth="1"/>
    <col min="5709" max="5888" width="9.140625" style="103"/>
    <col min="5889" max="5889" width="0.7109375" style="103" customWidth="1"/>
    <col min="5890" max="5890" width="0.5703125" style="103" customWidth="1"/>
    <col min="5891" max="5891" width="2.140625" style="103" customWidth="1"/>
    <col min="5892" max="5892" width="0.5703125" style="103" customWidth="1"/>
    <col min="5893" max="5893" width="2.140625" style="103" customWidth="1"/>
    <col min="5894" max="5894" width="0.5703125" style="103" customWidth="1"/>
    <col min="5895" max="5895" width="2.140625" style="103" customWidth="1"/>
    <col min="5896" max="5896" width="0.5703125" style="103" customWidth="1"/>
    <col min="5897" max="5897" width="2.140625" style="103" customWidth="1"/>
    <col min="5898" max="5898" width="0.5703125" style="103" customWidth="1"/>
    <col min="5899" max="5899" width="2.140625" style="103" customWidth="1"/>
    <col min="5900" max="5900" width="0.5703125" style="103" customWidth="1"/>
    <col min="5901" max="5901" width="2.28515625" style="103" customWidth="1"/>
    <col min="5902" max="5902" width="0.5703125" style="103" customWidth="1"/>
    <col min="5903" max="5903" width="2.140625" style="103" customWidth="1"/>
    <col min="5904" max="5904" width="0.5703125" style="103" customWidth="1"/>
    <col min="5905" max="5905" width="2.140625" style="103" customWidth="1"/>
    <col min="5906" max="5906" width="0.5703125" style="103" customWidth="1"/>
    <col min="5907" max="5907" width="2.140625" style="103" customWidth="1"/>
    <col min="5908" max="5908" width="0.5703125" style="103" customWidth="1"/>
    <col min="5909" max="5909" width="2.140625" style="103" customWidth="1"/>
    <col min="5910" max="5910" width="0.5703125" style="103" customWidth="1"/>
    <col min="5911" max="5911" width="2.140625" style="103" customWidth="1"/>
    <col min="5912" max="5912" width="0.5703125" style="103" customWidth="1"/>
    <col min="5913" max="5913" width="2.140625" style="103" customWidth="1"/>
    <col min="5914" max="5914" width="0.5703125" style="103" customWidth="1"/>
    <col min="5915" max="5915" width="2.140625" style="103" customWidth="1"/>
    <col min="5916" max="5916" width="0.5703125" style="103" customWidth="1"/>
    <col min="5917" max="5917" width="2.28515625" style="103" customWidth="1"/>
    <col min="5918" max="5918" width="0.5703125" style="103" customWidth="1"/>
    <col min="5919" max="5919" width="2.28515625" style="103" customWidth="1"/>
    <col min="5920" max="5920" width="0.5703125" style="103" customWidth="1"/>
    <col min="5921" max="5921" width="2.28515625" style="103" customWidth="1"/>
    <col min="5922" max="5922" width="0.5703125" style="103" customWidth="1"/>
    <col min="5923" max="5923" width="2.140625" style="103" customWidth="1"/>
    <col min="5924" max="5924" width="0.5703125" style="103" customWidth="1"/>
    <col min="5925" max="5925" width="2.140625" style="103" customWidth="1"/>
    <col min="5926" max="5926" width="0.5703125" style="103" customWidth="1"/>
    <col min="5927" max="5927" width="2.28515625" style="103" customWidth="1"/>
    <col min="5928" max="5928" width="0.5703125" style="103" customWidth="1"/>
    <col min="5929" max="5929" width="2.140625" style="103" customWidth="1"/>
    <col min="5930" max="5930" width="0.5703125" style="103" customWidth="1"/>
    <col min="5931" max="5931" width="2.140625" style="103" customWidth="1"/>
    <col min="5932" max="5932" width="0.5703125" style="103" customWidth="1"/>
    <col min="5933" max="5933" width="2.28515625" style="103" customWidth="1"/>
    <col min="5934" max="5934" width="0.5703125" style="103" customWidth="1"/>
    <col min="5935" max="5935" width="2.140625" style="103" customWidth="1"/>
    <col min="5936" max="5936" width="0.5703125" style="103" customWidth="1"/>
    <col min="5937" max="5937" width="2.28515625" style="103" customWidth="1"/>
    <col min="5938" max="5938" width="0.5703125" style="103" customWidth="1"/>
    <col min="5939" max="5939" width="2.140625" style="103" customWidth="1"/>
    <col min="5940" max="5940" width="0.5703125" style="103" customWidth="1"/>
    <col min="5941" max="5941" width="2.28515625" style="103" customWidth="1"/>
    <col min="5942" max="5942" width="0.5703125" style="103" customWidth="1"/>
    <col min="5943" max="5943" width="2.140625" style="103" customWidth="1"/>
    <col min="5944" max="5944" width="0.5703125" style="103" customWidth="1"/>
    <col min="5945" max="5945" width="2.140625" style="103" customWidth="1"/>
    <col min="5946" max="5946" width="0.5703125" style="103" customWidth="1"/>
    <col min="5947" max="5947" width="2.28515625" style="103" customWidth="1"/>
    <col min="5948" max="5948" width="0.5703125" style="103" customWidth="1"/>
    <col min="5949" max="5949" width="2.140625" style="103" customWidth="1"/>
    <col min="5950" max="5950" width="0.5703125" style="103" customWidth="1"/>
    <col min="5951" max="5951" width="2.140625" style="103" customWidth="1"/>
    <col min="5952" max="5952" width="0.5703125" style="103" customWidth="1"/>
    <col min="5953" max="5953" width="2.140625" style="103" customWidth="1"/>
    <col min="5954" max="5954" width="0.5703125" style="103" customWidth="1"/>
    <col min="5955" max="5955" width="2.140625" style="103" customWidth="1"/>
    <col min="5956" max="5956" width="0.5703125" style="103" customWidth="1"/>
    <col min="5957" max="5957" width="2.28515625" style="103" customWidth="1"/>
    <col min="5958" max="5958" width="0.5703125" style="103" customWidth="1"/>
    <col min="5959" max="5959" width="2.140625" style="103" customWidth="1"/>
    <col min="5960" max="5960" width="0.5703125" style="103" customWidth="1"/>
    <col min="5961" max="5961" width="2.140625" style="103" customWidth="1"/>
    <col min="5962" max="5962" width="0.5703125" style="103" customWidth="1"/>
    <col min="5963" max="5963" width="2.140625" style="103" customWidth="1"/>
    <col min="5964" max="5964" width="0.42578125" style="103" customWidth="1"/>
    <col min="5965" max="6144" width="9.140625" style="103"/>
    <col min="6145" max="6145" width="0.7109375" style="103" customWidth="1"/>
    <col min="6146" max="6146" width="0.5703125" style="103" customWidth="1"/>
    <col min="6147" max="6147" width="2.140625" style="103" customWidth="1"/>
    <col min="6148" max="6148" width="0.5703125" style="103" customWidth="1"/>
    <col min="6149" max="6149" width="2.140625" style="103" customWidth="1"/>
    <col min="6150" max="6150" width="0.5703125" style="103" customWidth="1"/>
    <col min="6151" max="6151" width="2.140625" style="103" customWidth="1"/>
    <col min="6152" max="6152" width="0.5703125" style="103" customWidth="1"/>
    <col min="6153" max="6153" width="2.140625" style="103" customWidth="1"/>
    <col min="6154" max="6154" width="0.5703125" style="103" customWidth="1"/>
    <col min="6155" max="6155" width="2.140625" style="103" customWidth="1"/>
    <col min="6156" max="6156" width="0.5703125" style="103" customWidth="1"/>
    <col min="6157" max="6157" width="2.28515625" style="103" customWidth="1"/>
    <col min="6158" max="6158" width="0.5703125" style="103" customWidth="1"/>
    <col min="6159" max="6159" width="2.140625" style="103" customWidth="1"/>
    <col min="6160" max="6160" width="0.5703125" style="103" customWidth="1"/>
    <col min="6161" max="6161" width="2.140625" style="103" customWidth="1"/>
    <col min="6162" max="6162" width="0.5703125" style="103" customWidth="1"/>
    <col min="6163" max="6163" width="2.140625" style="103" customWidth="1"/>
    <col min="6164" max="6164" width="0.5703125" style="103" customWidth="1"/>
    <col min="6165" max="6165" width="2.140625" style="103" customWidth="1"/>
    <col min="6166" max="6166" width="0.5703125" style="103" customWidth="1"/>
    <col min="6167" max="6167" width="2.140625" style="103" customWidth="1"/>
    <col min="6168" max="6168" width="0.5703125" style="103" customWidth="1"/>
    <col min="6169" max="6169" width="2.140625" style="103" customWidth="1"/>
    <col min="6170" max="6170" width="0.5703125" style="103" customWidth="1"/>
    <col min="6171" max="6171" width="2.140625" style="103" customWidth="1"/>
    <col min="6172" max="6172" width="0.5703125" style="103" customWidth="1"/>
    <col min="6173" max="6173" width="2.28515625" style="103" customWidth="1"/>
    <col min="6174" max="6174" width="0.5703125" style="103" customWidth="1"/>
    <col min="6175" max="6175" width="2.28515625" style="103" customWidth="1"/>
    <col min="6176" max="6176" width="0.5703125" style="103" customWidth="1"/>
    <col min="6177" max="6177" width="2.28515625" style="103" customWidth="1"/>
    <col min="6178" max="6178" width="0.5703125" style="103" customWidth="1"/>
    <col min="6179" max="6179" width="2.140625" style="103" customWidth="1"/>
    <col min="6180" max="6180" width="0.5703125" style="103" customWidth="1"/>
    <col min="6181" max="6181" width="2.140625" style="103" customWidth="1"/>
    <col min="6182" max="6182" width="0.5703125" style="103" customWidth="1"/>
    <col min="6183" max="6183" width="2.28515625" style="103" customWidth="1"/>
    <col min="6184" max="6184" width="0.5703125" style="103" customWidth="1"/>
    <col min="6185" max="6185" width="2.140625" style="103" customWidth="1"/>
    <col min="6186" max="6186" width="0.5703125" style="103" customWidth="1"/>
    <col min="6187" max="6187" width="2.140625" style="103" customWidth="1"/>
    <col min="6188" max="6188" width="0.5703125" style="103" customWidth="1"/>
    <col min="6189" max="6189" width="2.28515625" style="103" customWidth="1"/>
    <col min="6190" max="6190" width="0.5703125" style="103" customWidth="1"/>
    <col min="6191" max="6191" width="2.140625" style="103" customWidth="1"/>
    <col min="6192" max="6192" width="0.5703125" style="103" customWidth="1"/>
    <col min="6193" max="6193" width="2.28515625" style="103" customWidth="1"/>
    <col min="6194" max="6194" width="0.5703125" style="103" customWidth="1"/>
    <col min="6195" max="6195" width="2.140625" style="103" customWidth="1"/>
    <col min="6196" max="6196" width="0.5703125" style="103" customWidth="1"/>
    <col min="6197" max="6197" width="2.28515625" style="103" customWidth="1"/>
    <col min="6198" max="6198" width="0.5703125" style="103" customWidth="1"/>
    <col min="6199" max="6199" width="2.140625" style="103" customWidth="1"/>
    <col min="6200" max="6200" width="0.5703125" style="103" customWidth="1"/>
    <col min="6201" max="6201" width="2.140625" style="103" customWidth="1"/>
    <col min="6202" max="6202" width="0.5703125" style="103" customWidth="1"/>
    <col min="6203" max="6203" width="2.28515625" style="103" customWidth="1"/>
    <col min="6204" max="6204" width="0.5703125" style="103" customWidth="1"/>
    <col min="6205" max="6205" width="2.140625" style="103" customWidth="1"/>
    <col min="6206" max="6206" width="0.5703125" style="103" customWidth="1"/>
    <col min="6207" max="6207" width="2.140625" style="103" customWidth="1"/>
    <col min="6208" max="6208" width="0.5703125" style="103" customWidth="1"/>
    <col min="6209" max="6209" width="2.140625" style="103" customWidth="1"/>
    <col min="6210" max="6210" width="0.5703125" style="103" customWidth="1"/>
    <col min="6211" max="6211" width="2.140625" style="103" customWidth="1"/>
    <col min="6212" max="6212" width="0.5703125" style="103" customWidth="1"/>
    <col min="6213" max="6213" width="2.28515625" style="103" customWidth="1"/>
    <col min="6214" max="6214" width="0.5703125" style="103" customWidth="1"/>
    <col min="6215" max="6215" width="2.140625" style="103" customWidth="1"/>
    <col min="6216" max="6216" width="0.5703125" style="103" customWidth="1"/>
    <col min="6217" max="6217" width="2.140625" style="103" customWidth="1"/>
    <col min="6218" max="6218" width="0.5703125" style="103" customWidth="1"/>
    <col min="6219" max="6219" width="2.140625" style="103" customWidth="1"/>
    <col min="6220" max="6220" width="0.42578125" style="103" customWidth="1"/>
    <col min="6221" max="6400" width="9.140625" style="103"/>
    <col min="6401" max="6401" width="0.7109375" style="103" customWidth="1"/>
    <col min="6402" max="6402" width="0.5703125" style="103" customWidth="1"/>
    <col min="6403" max="6403" width="2.140625" style="103" customWidth="1"/>
    <col min="6404" max="6404" width="0.5703125" style="103" customWidth="1"/>
    <col min="6405" max="6405" width="2.140625" style="103" customWidth="1"/>
    <col min="6406" max="6406" width="0.5703125" style="103" customWidth="1"/>
    <col min="6407" max="6407" width="2.140625" style="103" customWidth="1"/>
    <col min="6408" max="6408" width="0.5703125" style="103" customWidth="1"/>
    <col min="6409" max="6409" width="2.140625" style="103" customWidth="1"/>
    <col min="6410" max="6410" width="0.5703125" style="103" customWidth="1"/>
    <col min="6411" max="6411" width="2.140625" style="103" customWidth="1"/>
    <col min="6412" max="6412" width="0.5703125" style="103" customWidth="1"/>
    <col min="6413" max="6413" width="2.28515625" style="103" customWidth="1"/>
    <col min="6414" max="6414" width="0.5703125" style="103" customWidth="1"/>
    <col min="6415" max="6415" width="2.140625" style="103" customWidth="1"/>
    <col min="6416" max="6416" width="0.5703125" style="103" customWidth="1"/>
    <col min="6417" max="6417" width="2.140625" style="103" customWidth="1"/>
    <col min="6418" max="6418" width="0.5703125" style="103" customWidth="1"/>
    <col min="6419" max="6419" width="2.140625" style="103" customWidth="1"/>
    <col min="6420" max="6420" width="0.5703125" style="103" customWidth="1"/>
    <col min="6421" max="6421" width="2.140625" style="103" customWidth="1"/>
    <col min="6422" max="6422" width="0.5703125" style="103" customWidth="1"/>
    <col min="6423" max="6423" width="2.140625" style="103" customWidth="1"/>
    <col min="6424" max="6424" width="0.5703125" style="103" customWidth="1"/>
    <col min="6425" max="6425" width="2.140625" style="103" customWidth="1"/>
    <col min="6426" max="6426" width="0.5703125" style="103" customWidth="1"/>
    <col min="6427" max="6427" width="2.140625" style="103" customWidth="1"/>
    <col min="6428" max="6428" width="0.5703125" style="103" customWidth="1"/>
    <col min="6429" max="6429" width="2.28515625" style="103" customWidth="1"/>
    <col min="6430" max="6430" width="0.5703125" style="103" customWidth="1"/>
    <col min="6431" max="6431" width="2.28515625" style="103" customWidth="1"/>
    <col min="6432" max="6432" width="0.5703125" style="103" customWidth="1"/>
    <col min="6433" max="6433" width="2.28515625" style="103" customWidth="1"/>
    <col min="6434" max="6434" width="0.5703125" style="103" customWidth="1"/>
    <col min="6435" max="6435" width="2.140625" style="103" customWidth="1"/>
    <col min="6436" max="6436" width="0.5703125" style="103" customWidth="1"/>
    <col min="6437" max="6437" width="2.140625" style="103" customWidth="1"/>
    <col min="6438" max="6438" width="0.5703125" style="103" customWidth="1"/>
    <col min="6439" max="6439" width="2.28515625" style="103" customWidth="1"/>
    <col min="6440" max="6440" width="0.5703125" style="103" customWidth="1"/>
    <col min="6441" max="6441" width="2.140625" style="103" customWidth="1"/>
    <col min="6442" max="6442" width="0.5703125" style="103" customWidth="1"/>
    <col min="6443" max="6443" width="2.140625" style="103" customWidth="1"/>
    <col min="6444" max="6444" width="0.5703125" style="103" customWidth="1"/>
    <col min="6445" max="6445" width="2.28515625" style="103" customWidth="1"/>
    <col min="6446" max="6446" width="0.5703125" style="103" customWidth="1"/>
    <col min="6447" max="6447" width="2.140625" style="103" customWidth="1"/>
    <col min="6448" max="6448" width="0.5703125" style="103" customWidth="1"/>
    <col min="6449" max="6449" width="2.28515625" style="103" customWidth="1"/>
    <col min="6450" max="6450" width="0.5703125" style="103" customWidth="1"/>
    <col min="6451" max="6451" width="2.140625" style="103" customWidth="1"/>
    <col min="6452" max="6452" width="0.5703125" style="103" customWidth="1"/>
    <col min="6453" max="6453" width="2.28515625" style="103" customWidth="1"/>
    <col min="6454" max="6454" width="0.5703125" style="103" customWidth="1"/>
    <col min="6455" max="6455" width="2.140625" style="103" customWidth="1"/>
    <col min="6456" max="6456" width="0.5703125" style="103" customWidth="1"/>
    <col min="6457" max="6457" width="2.140625" style="103" customWidth="1"/>
    <col min="6458" max="6458" width="0.5703125" style="103" customWidth="1"/>
    <col min="6459" max="6459" width="2.28515625" style="103" customWidth="1"/>
    <col min="6460" max="6460" width="0.5703125" style="103" customWidth="1"/>
    <col min="6461" max="6461" width="2.140625" style="103" customWidth="1"/>
    <col min="6462" max="6462" width="0.5703125" style="103" customWidth="1"/>
    <col min="6463" max="6463" width="2.140625" style="103" customWidth="1"/>
    <col min="6464" max="6464" width="0.5703125" style="103" customWidth="1"/>
    <col min="6465" max="6465" width="2.140625" style="103" customWidth="1"/>
    <col min="6466" max="6466" width="0.5703125" style="103" customWidth="1"/>
    <col min="6467" max="6467" width="2.140625" style="103" customWidth="1"/>
    <col min="6468" max="6468" width="0.5703125" style="103" customWidth="1"/>
    <col min="6469" max="6469" width="2.28515625" style="103" customWidth="1"/>
    <col min="6470" max="6470" width="0.5703125" style="103" customWidth="1"/>
    <col min="6471" max="6471" width="2.140625" style="103" customWidth="1"/>
    <col min="6472" max="6472" width="0.5703125" style="103" customWidth="1"/>
    <col min="6473" max="6473" width="2.140625" style="103" customWidth="1"/>
    <col min="6474" max="6474" width="0.5703125" style="103" customWidth="1"/>
    <col min="6475" max="6475" width="2.140625" style="103" customWidth="1"/>
    <col min="6476" max="6476" width="0.42578125" style="103" customWidth="1"/>
    <col min="6477" max="6656" width="9.140625" style="103"/>
    <col min="6657" max="6657" width="0.7109375" style="103" customWidth="1"/>
    <col min="6658" max="6658" width="0.5703125" style="103" customWidth="1"/>
    <col min="6659" max="6659" width="2.140625" style="103" customWidth="1"/>
    <col min="6660" max="6660" width="0.5703125" style="103" customWidth="1"/>
    <col min="6661" max="6661" width="2.140625" style="103" customWidth="1"/>
    <col min="6662" max="6662" width="0.5703125" style="103" customWidth="1"/>
    <col min="6663" max="6663" width="2.140625" style="103" customWidth="1"/>
    <col min="6664" max="6664" width="0.5703125" style="103" customWidth="1"/>
    <col min="6665" max="6665" width="2.140625" style="103" customWidth="1"/>
    <col min="6666" max="6666" width="0.5703125" style="103" customWidth="1"/>
    <col min="6667" max="6667" width="2.140625" style="103" customWidth="1"/>
    <col min="6668" max="6668" width="0.5703125" style="103" customWidth="1"/>
    <col min="6669" max="6669" width="2.28515625" style="103" customWidth="1"/>
    <col min="6670" max="6670" width="0.5703125" style="103" customWidth="1"/>
    <col min="6671" max="6671" width="2.140625" style="103" customWidth="1"/>
    <col min="6672" max="6672" width="0.5703125" style="103" customWidth="1"/>
    <col min="6673" max="6673" width="2.140625" style="103" customWidth="1"/>
    <col min="6674" max="6674" width="0.5703125" style="103" customWidth="1"/>
    <col min="6675" max="6675" width="2.140625" style="103" customWidth="1"/>
    <col min="6676" max="6676" width="0.5703125" style="103" customWidth="1"/>
    <col min="6677" max="6677" width="2.140625" style="103" customWidth="1"/>
    <col min="6678" max="6678" width="0.5703125" style="103" customWidth="1"/>
    <col min="6679" max="6679" width="2.140625" style="103" customWidth="1"/>
    <col min="6680" max="6680" width="0.5703125" style="103" customWidth="1"/>
    <col min="6681" max="6681" width="2.140625" style="103" customWidth="1"/>
    <col min="6682" max="6682" width="0.5703125" style="103" customWidth="1"/>
    <col min="6683" max="6683" width="2.140625" style="103" customWidth="1"/>
    <col min="6684" max="6684" width="0.5703125" style="103" customWidth="1"/>
    <col min="6685" max="6685" width="2.28515625" style="103" customWidth="1"/>
    <col min="6686" max="6686" width="0.5703125" style="103" customWidth="1"/>
    <col min="6687" max="6687" width="2.28515625" style="103" customWidth="1"/>
    <col min="6688" max="6688" width="0.5703125" style="103" customWidth="1"/>
    <col min="6689" max="6689" width="2.28515625" style="103" customWidth="1"/>
    <col min="6690" max="6690" width="0.5703125" style="103" customWidth="1"/>
    <col min="6691" max="6691" width="2.140625" style="103" customWidth="1"/>
    <col min="6692" max="6692" width="0.5703125" style="103" customWidth="1"/>
    <col min="6693" max="6693" width="2.140625" style="103" customWidth="1"/>
    <col min="6694" max="6694" width="0.5703125" style="103" customWidth="1"/>
    <col min="6695" max="6695" width="2.28515625" style="103" customWidth="1"/>
    <col min="6696" max="6696" width="0.5703125" style="103" customWidth="1"/>
    <col min="6697" max="6697" width="2.140625" style="103" customWidth="1"/>
    <col min="6698" max="6698" width="0.5703125" style="103" customWidth="1"/>
    <col min="6699" max="6699" width="2.140625" style="103" customWidth="1"/>
    <col min="6700" max="6700" width="0.5703125" style="103" customWidth="1"/>
    <col min="6701" max="6701" width="2.28515625" style="103" customWidth="1"/>
    <col min="6702" max="6702" width="0.5703125" style="103" customWidth="1"/>
    <col min="6703" max="6703" width="2.140625" style="103" customWidth="1"/>
    <col min="6704" max="6704" width="0.5703125" style="103" customWidth="1"/>
    <col min="6705" max="6705" width="2.28515625" style="103" customWidth="1"/>
    <col min="6706" max="6706" width="0.5703125" style="103" customWidth="1"/>
    <col min="6707" max="6707" width="2.140625" style="103" customWidth="1"/>
    <col min="6708" max="6708" width="0.5703125" style="103" customWidth="1"/>
    <col min="6709" max="6709" width="2.28515625" style="103" customWidth="1"/>
    <col min="6710" max="6710" width="0.5703125" style="103" customWidth="1"/>
    <col min="6711" max="6711" width="2.140625" style="103" customWidth="1"/>
    <col min="6712" max="6712" width="0.5703125" style="103" customWidth="1"/>
    <col min="6713" max="6713" width="2.140625" style="103" customWidth="1"/>
    <col min="6714" max="6714" width="0.5703125" style="103" customWidth="1"/>
    <col min="6715" max="6715" width="2.28515625" style="103" customWidth="1"/>
    <col min="6716" max="6716" width="0.5703125" style="103" customWidth="1"/>
    <col min="6717" max="6717" width="2.140625" style="103" customWidth="1"/>
    <col min="6718" max="6718" width="0.5703125" style="103" customWidth="1"/>
    <col min="6719" max="6719" width="2.140625" style="103" customWidth="1"/>
    <col min="6720" max="6720" width="0.5703125" style="103" customWidth="1"/>
    <col min="6721" max="6721" width="2.140625" style="103" customWidth="1"/>
    <col min="6722" max="6722" width="0.5703125" style="103" customWidth="1"/>
    <col min="6723" max="6723" width="2.140625" style="103" customWidth="1"/>
    <col min="6724" max="6724" width="0.5703125" style="103" customWidth="1"/>
    <col min="6725" max="6725" width="2.28515625" style="103" customWidth="1"/>
    <col min="6726" max="6726" width="0.5703125" style="103" customWidth="1"/>
    <col min="6727" max="6727" width="2.140625" style="103" customWidth="1"/>
    <col min="6728" max="6728" width="0.5703125" style="103" customWidth="1"/>
    <col min="6729" max="6729" width="2.140625" style="103" customWidth="1"/>
    <col min="6730" max="6730" width="0.5703125" style="103" customWidth="1"/>
    <col min="6731" max="6731" width="2.140625" style="103" customWidth="1"/>
    <col min="6732" max="6732" width="0.42578125" style="103" customWidth="1"/>
    <col min="6733" max="6912" width="9.140625" style="103"/>
    <col min="6913" max="6913" width="0.7109375" style="103" customWidth="1"/>
    <col min="6914" max="6914" width="0.5703125" style="103" customWidth="1"/>
    <col min="6915" max="6915" width="2.140625" style="103" customWidth="1"/>
    <col min="6916" max="6916" width="0.5703125" style="103" customWidth="1"/>
    <col min="6917" max="6917" width="2.140625" style="103" customWidth="1"/>
    <col min="6918" max="6918" width="0.5703125" style="103" customWidth="1"/>
    <col min="6919" max="6919" width="2.140625" style="103" customWidth="1"/>
    <col min="6920" max="6920" width="0.5703125" style="103" customWidth="1"/>
    <col min="6921" max="6921" width="2.140625" style="103" customWidth="1"/>
    <col min="6922" max="6922" width="0.5703125" style="103" customWidth="1"/>
    <col min="6923" max="6923" width="2.140625" style="103" customWidth="1"/>
    <col min="6924" max="6924" width="0.5703125" style="103" customWidth="1"/>
    <col min="6925" max="6925" width="2.28515625" style="103" customWidth="1"/>
    <col min="6926" max="6926" width="0.5703125" style="103" customWidth="1"/>
    <col min="6927" max="6927" width="2.140625" style="103" customWidth="1"/>
    <col min="6928" max="6928" width="0.5703125" style="103" customWidth="1"/>
    <col min="6929" max="6929" width="2.140625" style="103" customWidth="1"/>
    <col min="6930" max="6930" width="0.5703125" style="103" customWidth="1"/>
    <col min="6931" max="6931" width="2.140625" style="103" customWidth="1"/>
    <col min="6932" max="6932" width="0.5703125" style="103" customWidth="1"/>
    <col min="6933" max="6933" width="2.140625" style="103" customWidth="1"/>
    <col min="6934" max="6934" width="0.5703125" style="103" customWidth="1"/>
    <col min="6935" max="6935" width="2.140625" style="103" customWidth="1"/>
    <col min="6936" max="6936" width="0.5703125" style="103" customWidth="1"/>
    <col min="6937" max="6937" width="2.140625" style="103" customWidth="1"/>
    <col min="6938" max="6938" width="0.5703125" style="103" customWidth="1"/>
    <col min="6939" max="6939" width="2.140625" style="103" customWidth="1"/>
    <col min="6940" max="6940" width="0.5703125" style="103" customWidth="1"/>
    <col min="6941" max="6941" width="2.28515625" style="103" customWidth="1"/>
    <col min="6942" max="6942" width="0.5703125" style="103" customWidth="1"/>
    <col min="6943" max="6943" width="2.28515625" style="103" customWidth="1"/>
    <col min="6944" max="6944" width="0.5703125" style="103" customWidth="1"/>
    <col min="6945" max="6945" width="2.28515625" style="103" customWidth="1"/>
    <col min="6946" max="6946" width="0.5703125" style="103" customWidth="1"/>
    <col min="6947" max="6947" width="2.140625" style="103" customWidth="1"/>
    <col min="6948" max="6948" width="0.5703125" style="103" customWidth="1"/>
    <col min="6949" max="6949" width="2.140625" style="103" customWidth="1"/>
    <col min="6950" max="6950" width="0.5703125" style="103" customWidth="1"/>
    <col min="6951" max="6951" width="2.28515625" style="103" customWidth="1"/>
    <col min="6952" max="6952" width="0.5703125" style="103" customWidth="1"/>
    <col min="6953" max="6953" width="2.140625" style="103" customWidth="1"/>
    <col min="6954" max="6954" width="0.5703125" style="103" customWidth="1"/>
    <col min="6955" max="6955" width="2.140625" style="103" customWidth="1"/>
    <col min="6956" max="6956" width="0.5703125" style="103" customWidth="1"/>
    <col min="6957" max="6957" width="2.28515625" style="103" customWidth="1"/>
    <col min="6958" max="6958" width="0.5703125" style="103" customWidth="1"/>
    <col min="6959" max="6959" width="2.140625" style="103" customWidth="1"/>
    <col min="6960" max="6960" width="0.5703125" style="103" customWidth="1"/>
    <col min="6961" max="6961" width="2.28515625" style="103" customWidth="1"/>
    <col min="6962" max="6962" width="0.5703125" style="103" customWidth="1"/>
    <col min="6963" max="6963" width="2.140625" style="103" customWidth="1"/>
    <col min="6964" max="6964" width="0.5703125" style="103" customWidth="1"/>
    <col min="6965" max="6965" width="2.28515625" style="103" customWidth="1"/>
    <col min="6966" max="6966" width="0.5703125" style="103" customWidth="1"/>
    <col min="6967" max="6967" width="2.140625" style="103" customWidth="1"/>
    <col min="6968" max="6968" width="0.5703125" style="103" customWidth="1"/>
    <col min="6969" max="6969" width="2.140625" style="103" customWidth="1"/>
    <col min="6970" max="6970" width="0.5703125" style="103" customWidth="1"/>
    <col min="6971" max="6971" width="2.28515625" style="103" customWidth="1"/>
    <col min="6972" max="6972" width="0.5703125" style="103" customWidth="1"/>
    <col min="6973" max="6973" width="2.140625" style="103" customWidth="1"/>
    <col min="6974" max="6974" width="0.5703125" style="103" customWidth="1"/>
    <col min="6975" max="6975" width="2.140625" style="103" customWidth="1"/>
    <col min="6976" max="6976" width="0.5703125" style="103" customWidth="1"/>
    <col min="6977" max="6977" width="2.140625" style="103" customWidth="1"/>
    <col min="6978" max="6978" width="0.5703125" style="103" customWidth="1"/>
    <col min="6979" max="6979" width="2.140625" style="103" customWidth="1"/>
    <col min="6980" max="6980" width="0.5703125" style="103" customWidth="1"/>
    <col min="6981" max="6981" width="2.28515625" style="103" customWidth="1"/>
    <col min="6982" max="6982" width="0.5703125" style="103" customWidth="1"/>
    <col min="6983" max="6983" width="2.140625" style="103" customWidth="1"/>
    <col min="6984" max="6984" width="0.5703125" style="103" customWidth="1"/>
    <col min="6985" max="6985" width="2.140625" style="103" customWidth="1"/>
    <col min="6986" max="6986" width="0.5703125" style="103" customWidth="1"/>
    <col min="6987" max="6987" width="2.140625" style="103" customWidth="1"/>
    <col min="6988" max="6988" width="0.42578125" style="103" customWidth="1"/>
    <col min="6989" max="7168" width="9.140625" style="103"/>
    <col min="7169" max="7169" width="0.7109375" style="103" customWidth="1"/>
    <col min="7170" max="7170" width="0.5703125" style="103" customWidth="1"/>
    <col min="7171" max="7171" width="2.140625" style="103" customWidth="1"/>
    <col min="7172" max="7172" width="0.5703125" style="103" customWidth="1"/>
    <col min="7173" max="7173" width="2.140625" style="103" customWidth="1"/>
    <col min="7174" max="7174" width="0.5703125" style="103" customWidth="1"/>
    <col min="7175" max="7175" width="2.140625" style="103" customWidth="1"/>
    <col min="7176" max="7176" width="0.5703125" style="103" customWidth="1"/>
    <col min="7177" max="7177" width="2.140625" style="103" customWidth="1"/>
    <col min="7178" max="7178" width="0.5703125" style="103" customWidth="1"/>
    <col min="7179" max="7179" width="2.140625" style="103" customWidth="1"/>
    <col min="7180" max="7180" width="0.5703125" style="103" customWidth="1"/>
    <col min="7181" max="7181" width="2.28515625" style="103" customWidth="1"/>
    <col min="7182" max="7182" width="0.5703125" style="103" customWidth="1"/>
    <col min="7183" max="7183" width="2.140625" style="103" customWidth="1"/>
    <col min="7184" max="7184" width="0.5703125" style="103" customWidth="1"/>
    <col min="7185" max="7185" width="2.140625" style="103" customWidth="1"/>
    <col min="7186" max="7186" width="0.5703125" style="103" customWidth="1"/>
    <col min="7187" max="7187" width="2.140625" style="103" customWidth="1"/>
    <col min="7188" max="7188" width="0.5703125" style="103" customWidth="1"/>
    <col min="7189" max="7189" width="2.140625" style="103" customWidth="1"/>
    <col min="7190" max="7190" width="0.5703125" style="103" customWidth="1"/>
    <col min="7191" max="7191" width="2.140625" style="103" customWidth="1"/>
    <col min="7192" max="7192" width="0.5703125" style="103" customWidth="1"/>
    <col min="7193" max="7193" width="2.140625" style="103" customWidth="1"/>
    <col min="7194" max="7194" width="0.5703125" style="103" customWidth="1"/>
    <col min="7195" max="7195" width="2.140625" style="103" customWidth="1"/>
    <col min="7196" max="7196" width="0.5703125" style="103" customWidth="1"/>
    <col min="7197" max="7197" width="2.28515625" style="103" customWidth="1"/>
    <col min="7198" max="7198" width="0.5703125" style="103" customWidth="1"/>
    <col min="7199" max="7199" width="2.28515625" style="103" customWidth="1"/>
    <col min="7200" max="7200" width="0.5703125" style="103" customWidth="1"/>
    <col min="7201" max="7201" width="2.28515625" style="103" customWidth="1"/>
    <col min="7202" max="7202" width="0.5703125" style="103" customWidth="1"/>
    <col min="7203" max="7203" width="2.140625" style="103" customWidth="1"/>
    <col min="7204" max="7204" width="0.5703125" style="103" customWidth="1"/>
    <col min="7205" max="7205" width="2.140625" style="103" customWidth="1"/>
    <col min="7206" max="7206" width="0.5703125" style="103" customWidth="1"/>
    <col min="7207" max="7207" width="2.28515625" style="103" customWidth="1"/>
    <col min="7208" max="7208" width="0.5703125" style="103" customWidth="1"/>
    <col min="7209" max="7209" width="2.140625" style="103" customWidth="1"/>
    <col min="7210" max="7210" width="0.5703125" style="103" customWidth="1"/>
    <col min="7211" max="7211" width="2.140625" style="103" customWidth="1"/>
    <col min="7212" max="7212" width="0.5703125" style="103" customWidth="1"/>
    <col min="7213" max="7213" width="2.28515625" style="103" customWidth="1"/>
    <col min="7214" max="7214" width="0.5703125" style="103" customWidth="1"/>
    <col min="7215" max="7215" width="2.140625" style="103" customWidth="1"/>
    <col min="7216" max="7216" width="0.5703125" style="103" customWidth="1"/>
    <col min="7217" max="7217" width="2.28515625" style="103" customWidth="1"/>
    <col min="7218" max="7218" width="0.5703125" style="103" customWidth="1"/>
    <col min="7219" max="7219" width="2.140625" style="103" customWidth="1"/>
    <col min="7220" max="7220" width="0.5703125" style="103" customWidth="1"/>
    <col min="7221" max="7221" width="2.28515625" style="103" customWidth="1"/>
    <col min="7222" max="7222" width="0.5703125" style="103" customWidth="1"/>
    <col min="7223" max="7223" width="2.140625" style="103" customWidth="1"/>
    <col min="7224" max="7224" width="0.5703125" style="103" customWidth="1"/>
    <col min="7225" max="7225" width="2.140625" style="103" customWidth="1"/>
    <col min="7226" max="7226" width="0.5703125" style="103" customWidth="1"/>
    <col min="7227" max="7227" width="2.28515625" style="103" customWidth="1"/>
    <col min="7228" max="7228" width="0.5703125" style="103" customWidth="1"/>
    <col min="7229" max="7229" width="2.140625" style="103" customWidth="1"/>
    <col min="7230" max="7230" width="0.5703125" style="103" customWidth="1"/>
    <col min="7231" max="7231" width="2.140625" style="103" customWidth="1"/>
    <col min="7232" max="7232" width="0.5703125" style="103" customWidth="1"/>
    <col min="7233" max="7233" width="2.140625" style="103" customWidth="1"/>
    <col min="7234" max="7234" width="0.5703125" style="103" customWidth="1"/>
    <col min="7235" max="7235" width="2.140625" style="103" customWidth="1"/>
    <col min="7236" max="7236" width="0.5703125" style="103" customWidth="1"/>
    <col min="7237" max="7237" width="2.28515625" style="103" customWidth="1"/>
    <col min="7238" max="7238" width="0.5703125" style="103" customWidth="1"/>
    <col min="7239" max="7239" width="2.140625" style="103" customWidth="1"/>
    <col min="7240" max="7240" width="0.5703125" style="103" customWidth="1"/>
    <col min="7241" max="7241" width="2.140625" style="103" customWidth="1"/>
    <col min="7242" max="7242" width="0.5703125" style="103" customWidth="1"/>
    <col min="7243" max="7243" width="2.140625" style="103" customWidth="1"/>
    <col min="7244" max="7244" width="0.42578125" style="103" customWidth="1"/>
    <col min="7245" max="7424" width="9.140625" style="103"/>
    <col min="7425" max="7425" width="0.7109375" style="103" customWidth="1"/>
    <col min="7426" max="7426" width="0.5703125" style="103" customWidth="1"/>
    <col min="7427" max="7427" width="2.140625" style="103" customWidth="1"/>
    <col min="7428" max="7428" width="0.5703125" style="103" customWidth="1"/>
    <col min="7429" max="7429" width="2.140625" style="103" customWidth="1"/>
    <col min="7430" max="7430" width="0.5703125" style="103" customWidth="1"/>
    <col min="7431" max="7431" width="2.140625" style="103" customWidth="1"/>
    <col min="7432" max="7432" width="0.5703125" style="103" customWidth="1"/>
    <col min="7433" max="7433" width="2.140625" style="103" customWidth="1"/>
    <col min="7434" max="7434" width="0.5703125" style="103" customWidth="1"/>
    <col min="7435" max="7435" width="2.140625" style="103" customWidth="1"/>
    <col min="7436" max="7436" width="0.5703125" style="103" customWidth="1"/>
    <col min="7437" max="7437" width="2.28515625" style="103" customWidth="1"/>
    <col min="7438" max="7438" width="0.5703125" style="103" customWidth="1"/>
    <col min="7439" max="7439" width="2.140625" style="103" customWidth="1"/>
    <col min="7440" max="7440" width="0.5703125" style="103" customWidth="1"/>
    <col min="7441" max="7441" width="2.140625" style="103" customWidth="1"/>
    <col min="7442" max="7442" width="0.5703125" style="103" customWidth="1"/>
    <col min="7443" max="7443" width="2.140625" style="103" customWidth="1"/>
    <col min="7444" max="7444" width="0.5703125" style="103" customWidth="1"/>
    <col min="7445" max="7445" width="2.140625" style="103" customWidth="1"/>
    <col min="7446" max="7446" width="0.5703125" style="103" customWidth="1"/>
    <col min="7447" max="7447" width="2.140625" style="103" customWidth="1"/>
    <col min="7448" max="7448" width="0.5703125" style="103" customWidth="1"/>
    <col min="7449" max="7449" width="2.140625" style="103" customWidth="1"/>
    <col min="7450" max="7450" width="0.5703125" style="103" customWidth="1"/>
    <col min="7451" max="7451" width="2.140625" style="103" customWidth="1"/>
    <col min="7452" max="7452" width="0.5703125" style="103" customWidth="1"/>
    <col min="7453" max="7453" width="2.28515625" style="103" customWidth="1"/>
    <col min="7454" max="7454" width="0.5703125" style="103" customWidth="1"/>
    <col min="7455" max="7455" width="2.28515625" style="103" customWidth="1"/>
    <col min="7456" max="7456" width="0.5703125" style="103" customWidth="1"/>
    <col min="7457" max="7457" width="2.28515625" style="103" customWidth="1"/>
    <col min="7458" max="7458" width="0.5703125" style="103" customWidth="1"/>
    <col min="7459" max="7459" width="2.140625" style="103" customWidth="1"/>
    <col min="7460" max="7460" width="0.5703125" style="103" customWidth="1"/>
    <col min="7461" max="7461" width="2.140625" style="103" customWidth="1"/>
    <col min="7462" max="7462" width="0.5703125" style="103" customWidth="1"/>
    <col min="7463" max="7463" width="2.28515625" style="103" customWidth="1"/>
    <col min="7464" max="7464" width="0.5703125" style="103" customWidth="1"/>
    <col min="7465" max="7465" width="2.140625" style="103" customWidth="1"/>
    <col min="7466" max="7466" width="0.5703125" style="103" customWidth="1"/>
    <col min="7467" max="7467" width="2.140625" style="103" customWidth="1"/>
    <col min="7468" max="7468" width="0.5703125" style="103" customWidth="1"/>
    <col min="7469" max="7469" width="2.28515625" style="103" customWidth="1"/>
    <col min="7470" max="7470" width="0.5703125" style="103" customWidth="1"/>
    <col min="7471" max="7471" width="2.140625" style="103" customWidth="1"/>
    <col min="7472" max="7472" width="0.5703125" style="103" customWidth="1"/>
    <col min="7473" max="7473" width="2.28515625" style="103" customWidth="1"/>
    <col min="7474" max="7474" width="0.5703125" style="103" customWidth="1"/>
    <col min="7475" max="7475" width="2.140625" style="103" customWidth="1"/>
    <col min="7476" max="7476" width="0.5703125" style="103" customWidth="1"/>
    <col min="7477" max="7477" width="2.28515625" style="103" customWidth="1"/>
    <col min="7478" max="7478" width="0.5703125" style="103" customWidth="1"/>
    <col min="7479" max="7479" width="2.140625" style="103" customWidth="1"/>
    <col min="7480" max="7480" width="0.5703125" style="103" customWidth="1"/>
    <col min="7481" max="7481" width="2.140625" style="103" customWidth="1"/>
    <col min="7482" max="7482" width="0.5703125" style="103" customWidth="1"/>
    <col min="7483" max="7483" width="2.28515625" style="103" customWidth="1"/>
    <col min="7484" max="7484" width="0.5703125" style="103" customWidth="1"/>
    <col min="7485" max="7485" width="2.140625" style="103" customWidth="1"/>
    <col min="7486" max="7486" width="0.5703125" style="103" customWidth="1"/>
    <col min="7487" max="7487" width="2.140625" style="103" customWidth="1"/>
    <col min="7488" max="7488" width="0.5703125" style="103" customWidth="1"/>
    <col min="7489" max="7489" width="2.140625" style="103" customWidth="1"/>
    <col min="7490" max="7490" width="0.5703125" style="103" customWidth="1"/>
    <col min="7491" max="7491" width="2.140625" style="103" customWidth="1"/>
    <col min="7492" max="7492" width="0.5703125" style="103" customWidth="1"/>
    <col min="7493" max="7493" width="2.28515625" style="103" customWidth="1"/>
    <col min="7494" max="7494" width="0.5703125" style="103" customWidth="1"/>
    <col min="7495" max="7495" width="2.140625" style="103" customWidth="1"/>
    <col min="7496" max="7496" width="0.5703125" style="103" customWidth="1"/>
    <col min="7497" max="7497" width="2.140625" style="103" customWidth="1"/>
    <col min="7498" max="7498" width="0.5703125" style="103" customWidth="1"/>
    <col min="7499" max="7499" width="2.140625" style="103" customWidth="1"/>
    <col min="7500" max="7500" width="0.42578125" style="103" customWidth="1"/>
    <col min="7501" max="7680" width="9.140625" style="103"/>
    <col min="7681" max="7681" width="0.7109375" style="103" customWidth="1"/>
    <col min="7682" max="7682" width="0.5703125" style="103" customWidth="1"/>
    <col min="7683" max="7683" width="2.140625" style="103" customWidth="1"/>
    <col min="7684" max="7684" width="0.5703125" style="103" customWidth="1"/>
    <col min="7685" max="7685" width="2.140625" style="103" customWidth="1"/>
    <col min="7686" max="7686" width="0.5703125" style="103" customWidth="1"/>
    <col min="7687" max="7687" width="2.140625" style="103" customWidth="1"/>
    <col min="7688" max="7688" width="0.5703125" style="103" customWidth="1"/>
    <col min="7689" max="7689" width="2.140625" style="103" customWidth="1"/>
    <col min="7690" max="7690" width="0.5703125" style="103" customWidth="1"/>
    <col min="7691" max="7691" width="2.140625" style="103" customWidth="1"/>
    <col min="7692" max="7692" width="0.5703125" style="103" customWidth="1"/>
    <col min="7693" max="7693" width="2.28515625" style="103" customWidth="1"/>
    <col min="7694" max="7694" width="0.5703125" style="103" customWidth="1"/>
    <col min="7695" max="7695" width="2.140625" style="103" customWidth="1"/>
    <col min="7696" max="7696" width="0.5703125" style="103" customWidth="1"/>
    <col min="7697" max="7697" width="2.140625" style="103" customWidth="1"/>
    <col min="7698" max="7698" width="0.5703125" style="103" customWidth="1"/>
    <col min="7699" max="7699" width="2.140625" style="103" customWidth="1"/>
    <col min="7700" max="7700" width="0.5703125" style="103" customWidth="1"/>
    <col min="7701" max="7701" width="2.140625" style="103" customWidth="1"/>
    <col min="7702" max="7702" width="0.5703125" style="103" customWidth="1"/>
    <col min="7703" max="7703" width="2.140625" style="103" customWidth="1"/>
    <col min="7704" max="7704" width="0.5703125" style="103" customWidth="1"/>
    <col min="7705" max="7705" width="2.140625" style="103" customWidth="1"/>
    <col min="7706" max="7706" width="0.5703125" style="103" customWidth="1"/>
    <col min="7707" max="7707" width="2.140625" style="103" customWidth="1"/>
    <col min="7708" max="7708" width="0.5703125" style="103" customWidth="1"/>
    <col min="7709" max="7709" width="2.28515625" style="103" customWidth="1"/>
    <col min="7710" max="7710" width="0.5703125" style="103" customWidth="1"/>
    <col min="7711" max="7711" width="2.28515625" style="103" customWidth="1"/>
    <col min="7712" max="7712" width="0.5703125" style="103" customWidth="1"/>
    <col min="7713" max="7713" width="2.28515625" style="103" customWidth="1"/>
    <col min="7714" max="7714" width="0.5703125" style="103" customWidth="1"/>
    <col min="7715" max="7715" width="2.140625" style="103" customWidth="1"/>
    <col min="7716" max="7716" width="0.5703125" style="103" customWidth="1"/>
    <col min="7717" max="7717" width="2.140625" style="103" customWidth="1"/>
    <col min="7718" max="7718" width="0.5703125" style="103" customWidth="1"/>
    <col min="7719" max="7719" width="2.28515625" style="103" customWidth="1"/>
    <col min="7720" max="7720" width="0.5703125" style="103" customWidth="1"/>
    <col min="7721" max="7721" width="2.140625" style="103" customWidth="1"/>
    <col min="7722" max="7722" width="0.5703125" style="103" customWidth="1"/>
    <col min="7723" max="7723" width="2.140625" style="103" customWidth="1"/>
    <col min="7724" max="7724" width="0.5703125" style="103" customWidth="1"/>
    <col min="7725" max="7725" width="2.28515625" style="103" customWidth="1"/>
    <col min="7726" max="7726" width="0.5703125" style="103" customWidth="1"/>
    <col min="7727" max="7727" width="2.140625" style="103" customWidth="1"/>
    <col min="7728" max="7728" width="0.5703125" style="103" customWidth="1"/>
    <col min="7729" max="7729" width="2.28515625" style="103" customWidth="1"/>
    <col min="7730" max="7730" width="0.5703125" style="103" customWidth="1"/>
    <col min="7731" max="7731" width="2.140625" style="103" customWidth="1"/>
    <col min="7732" max="7732" width="0.5703125" style="103" customWidth="1"/>
    <col min="7733" max="7733" width="2.28515625" style="103" customWidth="1"/>
    <col min="7734" max="7734" width="0.5703125" style="103" customWidth="1"/>
    <col min="7735" max="7735" width="2.140625" style="103" customWidth="1"/>
    <col min="7736" max="7736" width="0.5703125" style="103" customWidth="1"/>
    <col min="7737" max="7737" width="2.140625" style="103" customWidth="1"/>
    <col min="7738" max="7738" width="0.5703125" style="103" customWidth="1"/>
    <col min="7739" max="7739" width="2.28515625" style="103" customWidth="1"/>
    <col min="7740" max="7740" width="0.5703125" style="103" customWidth="1"/>
    <col min="7741" max="7741" width="2.140625" style="103" customWidth="1"/>
    <col min="7742" max="7742" width="0.5703125" style="103" customWidth="1"/>
    <col min="7743" max="7743" width="2.140625" style="103" customWidth="1"/>
    <col min="7744" max="7744" width="0.5703125" style="103" customWidth="1"/>
    <col min="7745" max="7745" width="2.140625" style="103" customWidth="1"/>
    <col min="7746" max="7746" width="0.5703125" style="103" customWidth="1"/>
    <col min="7747" max="7747" width="2.140625" style="103" customWidth="1"/>
    <col min="7748" max="7748" width="0.5703125" style="103" customWidth="1"/>
    <col min="7749" max="7749" width="2.28515625" style="103" customWidth="1"/>
    <col min="7750" max="7750" width="0.5703125" style="103" customWidth="1"/>
    <col min="7751" max="7751" width="2.140625" style="103" customWidth="1"/>
    <col min="7752" max="7752" width="0.5703125" style="103" customWidth="1"/>
    <col min="7753" max="7753" width="2.140625" style="103" customWidth="1"/>
    <col min="7754" max="7754" width="0.5703125" style="103" customWidth="1"/>
    <col min="7755" max="7755" width="2.140625" style="103" customWidth="1"/>
    <col min="7756" max="7756" width="0.42578125" style="103" customWidth="1"/>
    <col min="7757" max="7936" width="9.140625" style="103"/>
    <col min="7937" max="7937" width="0.7109375" style="103" customWidth="1"/>
    <col min="7938" max="7938" width="0.5703125" style="103" customWidth="1"/>
    <col min="7939" max="7939" width="2.140625" style="103" customWidth="1"/>
    <col min="7940" max="7940" width="0.5703125" style="103" customWidth="1"/>
    <col min="7941" max="7941" width="2.140625" style="103" customWidth="1"/>
    <col min="7942" max="7942" width="0.5703125" style="103" customWidth="1"/>
    <col min="7943" max="7943" width="2.140625" style="103" customWidth="1"/>
    <col min="7944" max="7944" width="0.5703125" style="103" customWidth="1"/>
    <col min="7945" max="7945" width="2.140625" style="103" customWidth="1"/>
    <col min="7946" max="7946" width="0.5703125" style="103" customWidth="1"/>
    <col min="7947" max="7947" width="2.140625" style="103" customWidth="1"/>
    <col min="7948" max="7948" width="0.5703125" style="103" customWidth="1"/>
    <col min="7949" max="7949" width="2.28515625" style="103" customWidth="1"/>
    <col min="7950" max="7950" width="0.5703125" style="103" customWidth="1"/>
    <col min="7951" max="7951" width="2.140625" style="103" customWidth="1"/>
    <col min="7952" max="7952" width="0.5703125" style="103" customWidth="1"/>
    <col min="7953" max="7953" width="2.140625" style="103" customWidth="1"/>
    <col min="7954" max="7954" width="0.5703125" style="103" customWidth="1"/>
    <col min="7955" max="7955" width="2.140625" style="103" customWidth="1"/>
    <col min="7956" max="7956" width="0.5703125" style="103" customWidth="1"/>
    <col min="7957" max="7957" width="2.140625" style="103" customWidth="1"/>
    <col min="7958" max="7958" width="0.5703125" style="103" customWidth="1"/>
    <col min="7959" max="7959" width="2.140625" style="103" customWidth="1"/>
    <col min="7960" max="7960" width="0.5703125" style="103" customWidth="1"/>
    <col min="7961" max="7961" width="2.140625" style="103" customWidth="1"/>
    <col min="7962" max="7962" width="0.5703125" style="103" customWidth="1"/>
    <col min="7963" max="7963" width="2.140625" style="103" customWidth="1"/>
    <col min="7964" max="7964" width="0.5703125" style="103" customWidth="1"/>
    <col min="7965" max="7965" width="2.28515625" style="103" customWidth="1"/>
    <col min="7966" max="7966" width="0.5703125" style="103" customWidth="1"/>
    <col min="7967" max="7967" width="2.28515625" style="103" customWidth="1"/>
    <col min="7968" max="7968" width="0.5703125" style="103" customWidth="1"/>
    <col min="7969" max="7969" width="2.28515625" style="103" customWidth="1"/>
    <col min="7970" max="7970" width="0.5703125" style="103" customWidth="1"/>
    <col min="7971" max="7971" width="2.140625" style="103" customWidth="1"/>
    <col min="7972" max="7972" width="0.5703125" style="103" customWidth="1"/>
    <col min="7973" max="7973" width="2.140625" style="103" customWidth="1"/>
    <col min="7974" max="7974" width="0.5703125" style="103" customWidth="1"/>
    <col min="7975" max="7975" width="2.28515625" style="103" customWidth="1"/>
    <col min="7976" max="7976" width="0.5703125" style="103" customWidth="1"/>
    <col min="7977" max="7977" width="2.140625" style="103" customWidth="1"/>
    <col min="7978" max="7978" width="0.5703125" style="103" customWidth="1"/>
    <col min="7979" max="7979" width="2.140625" style="103" customWidth="1"/>
    <col min="7980" max="7980" width="0.5703125" style="103" customWidth="1"/>
    <col min="7981" max="7981" width="2.28515625" style="103" customWidth="1"/>
    <col min="7982" max="7982" width="0.5703125" style="103" customWidth="1"/>
    <col min="7983" max="7983" width="2.140625" style="103" customWidth="1"/>
    <col min="7984" max="7984" width="0.5703125" style="103" customWidth="1"/>
    <col min="7985" max="7985" width="2.28515625" style="103" customWidth="1"/>
    <col min="7986" max="7986" width="0.5703125" style="103" customWidth="1"/>
    <col min="7987" max="7987" width="2.140625" style="103" customWidth="1"/>
    <col min="7988" max="7988" width="0.5703125" style="103" customWidth="1"/>
    <col min="7989" max="7989" width="2.28515625" style="103" customWidth="1"/>
    <col min="7990" max="7990" width="0.5703125" style="103" customWidth="1"/>
    <col min="7991" max="7991" width="2.140625" style="103" customWidth="1"/>
    <col min="7992" max="7992" width="0.5703125" style="103" customWidth="1"/>
    <col min="7993" max="7993" width="2.140625" style="103" customWidth="1"/>
    <col min="7994" max="7994" width="0.5703125" style="103" customWidth="1"/>
    <col min="7995" max="7995" width="2.28515625" style="103" customWidth="1"/>
    <col min="7996" max="7996" width="0.5703125" style="103" customWidth="1"/>
    <col min="7997" max="7997" width="2.140625" style="103" customWidth="1"/>
    <col min="7998" max="7998" width="0.5703125" style="103" customWidth="1"/>
    <col min="7999" max="7999" width="2.140625" style="103" customWidth="1"/>
    <col min="8000" max="8000" width="0.5703125" style="103" customWidth="1"/>
    <col min="8001" max="8001" width="2.140625" style="103" customWidth="1"/>
    <col min="8002" max="8002" width="0.5703125" style="103" customWidth="1"/>
    <col min="8003" max="8003" width="2.140625" style="103" customWidth="1"/>
    <col min="8004" max="8004" width="0.5703125" style="103" customWidth="1"/>
    <col min="8005" max="8005" width="2.28515625" style="103" customWidth="1"/>
    <col min="8006" max="8006" width="0.5703125" style="103" customWidth="1"/>
    <col min="8007" max="8007" width="2.140625" style="103" customWidth="1"/>
    <col min="8008" max="8008" width="0.5703125" style="103" customWidth="1"/>
    <col min="8009" max="8009" width="2.140625" style="103" customWidth="1"/>
    <col min="8010" max="8010" width="0.5703125" style="103" customWidth="1"/>
    <col min="8011" max="8011" width="2.140625" style="103" customWidth="1"/>
    <col min="8012" max="8012" width="0.42578125" style="103" customWidth="1"/>
    <col min="8013" max="8192" width="9.140625" style="103"/>
    <col min="8193" max="8193" width="0.7109375" style="103" customWidth="1"/>
    <col min="8194" max="8194" width="0.5703125" style="103" customWidth="1"/>
    <col min="8195" max="8195" width="2.140625" style="103" customWidth="1"/>
    <col min="8196" max="8196" width="0.5703125" style="103" customWidth="1"/>
    <col min="8197" max="8197" width="2.140625" style="103" customWidth="1"/>
    <col min="8198" max="8198" width="0.5703125" style="103" customWidth="1"/>
    <col min="8199" max="8199" width="2.140625" style="103" customWidth="1"/>
    <col min="8200" max="8200" width="0.5703125" style="103" customWidth="1"/>
    <col min="8201" max="8201" width="2.140625" style="103" customWidth="1"/>
    <col min="8202" max="8202" width="0.5703125" style="103" customWidth="1"/>
    <col min="8203" max="8203" width="2.140625" style="103" customWidth="1"/>
    <col min="8204" max="8204" width="0.5703125" style="103" customWidth="1"/>
    <col min="8205" max="8205" width="2.28515625" style="103" customWidth="1"/>
    <col min="8206" max="8206" width="0.5703125" style="103" customWidth="1"/>
    <col min="8207" max="8207" width="2.140625" style="103" customWidth="1"/>
    <col min="8208" max="8208" width="0.5703125" style="103" customWidth="1"/>
    <col min="8209" max="8209" width="2.140625" style="103" customWidth="1"/>
    <col min="8210" max="8210" width="0.5703125" style="103" customWidth="1"/>
    <col min="8211" max="8211" width="2.140625" style="103" customWidth="1"/>
    <col min="8212" max="8212" width="0.5703125" style="103" customWidth="1"/>
    <col min="8213" max="8213" width="2.140625" style="103" customWidth="1"/>
    <col min="8214" max="8214" width="0.5703125" style="103" customWidth="1"/>
    <col min="8215" max="8215" width="2.140625" style="103" customWidth="1"/>
    <col min="8216" max="8216" width="0.5703125" style="103" customWidth="1"/>
    <col min="8217" max="8217" width="2.140625" style="103" customWidth="1"/>
    <col min="8218" max="8218" width="0.5703125" style="103" customWidth="1"/>
    <col min="8219" max="8219" width="2.140625" style="103" customWidth="1"/>
    <col min="8220" max="8220" width="0.5703125" style="103" customWidth="1"/>
    <col min="8221" max="8221" width="2.28515625" style="103" customWidth="1"/>
    <col min="8222" max="8222" width="0.5703125" style="103" customWidth="1"/>
    <col min="8223" max="8223" width="2.28515625" style="103" customWidth="1"/>
    <col min="8224" max="8224" width="0.5703125" style="103" customWidth="1"/>
    <col min="8225" max="8225" width="2.28515625" style="103" customWidth="1"/>
    <col min="8226" max="8226" width="0.5703125" style="103" customWidth="1"/>
    <col min="8227" max="8227" width="2.140625" style="103" customWidth="1"/>
    <col min="8228" max="8228" width="0.5703125" style="103" customWidth="1"/>
    <col min="8229" max="8229" width="2.140625" style="103" customWidth="1"/>
    <col min="8230" max="8230" width="0.5703125" style="103" customWidth="1"/>
    <col min="8231" max="8231" width="2.28515625" style="103" customWidth="1"/>
    <col min="8232" max="8232" width="0.5703125" style="103" customWidth="1"/>
    <col min="8233" max="8233" width="2.140625" style="103" customWidth="1"/>
    <col min="8234" max="8234" width="0.5703125" style="103" customWidth="1"/>
    <col min="8235" max="8235" width="2.140625" style="103" customWidth="1"/>
    <col min="8236" max="8236" width="0.5703125" style="103" customWidth="1"/>
    <col min="8237" max="8237" width="2.28515625" style="103" customWidth="1"/>
    <col min="8238" max="8238" width="0.5703125" style="103" customWidth="1"/>
    <col min="8239" max="8239" width="2.140625" style="103" customWidth="1"/>
    <col min="8240" max="8240" width="0.5703125" style="103" customWidth="1"/>
    <col min="8241" max="8241" width="2.28515625" style="103" customWidth="1"/>
    <col min="8242" max="8242" width="0.5703125" style="103" customWidth="1"/>
    <col min="8243" max="8243" width="2.140625" style="103" customWidth="1"/>
    <col min="8244" max="8244" width="0.5703125" style="103" customWidth="1"/>
    <col min="8245" max="8245" width="2.28515625" style="103" customWidth="1"/>
    <col min="8246" max="8246" width="0.5703125" style="103" customWidth="1"/>
    <col min="8247" max="8247" width="2.140625" style="103" customWidth="1"/>
    <col min="8248" max="8248" width="0.5703125" style="103" customWidth="1"/>
    <col min="8249" max="8249" width="2.140625" style="103" customWidth="1"/>
    <col min="8250" max="8250" width="0.5703125" style="103" customWidth="1"/>
    <col min="8251" max="8251" width="2.28515625" style="103" customWidth="1"/>
    <col min="8252" max="8252" width="0.5703125" style="103" customWidth="1"/>
    <col min="8253" max="8253" width="2.140625" style="103" customWidth="1"/>
    <col min="8254" max="8254" width="0.5703125" style="103" customWidth="1"/>
    <col min="8255" max="8255" width="2.140625" style="103" customWidth="1"/>
    <col min="8256" max="8256" width="0.5703125" style="103" customWidth="1"/>
    <col min="8257" max="8257" width="2.140625" style="103" customWidth="1"/>
    <col min="8258" max="8258" width="0.5703125" style="103" customWidth="1"/>
    <col min="8259" max="8259" width="2.140625" style="103" customWidth="1"/>
    <col min="8260" max="8260" width="0.5703125" style="103" customWidth="1"/>
    <col min="8261" max="8261" width="2.28515625" style="103" customWidth="1"/>
    <col min="8262" max="8262" width="0.5703125" style="103" customWidth="1"/>
    <col min="8263" max="8263" width="2.140625" style="103" customWidth="1"/>
    <col min="8264" max="8264" width="0.5703125" style="103" customWidth="1"/>
    <col min="8265" max="8265" width="2.140625" style="103" customWidth="1"/>
    <col min="8266" max="8266" width="0.5703125" style="103" customWidth="1"/>
    <col min="8267" max="8267" width="2.140625" style="103" customWidth="1"/>
    <col min="8268" max="8268" width="0.42578125" style="103" customWidth="1"/>
    <col min="8269" max="8448" width="9.140625" style="103"/>
    <col min="8449" max="8449" width="0.7109375" style="103" customWidth="1"/>
    <col min="8450" max="8450" width="0.5703125" style="103" customWidth="1"/>
    <col min="8451" max="8451" width="2.140625" style="103" customWidth="1"/>
    <col min="8452" max="8452" width="0.5703125" style="103" customWidth="1"/>
    <col min="8453" max="8453" width="2.140625" style="103" customWidth="1"/>
    <col min="8454" max="8454" width="0.5703125" style="103" customWidth="1"/>
    <col min="8455" max="8455" width="2.140625" style="103" customWidth="1"/>
    <col min="8456" max="8456" width="0.5703125" style="103" customWidth="1"/>
    <col min="8457" max="8457" width="2.140625" style="103" customWidth="1"/>
    <col min="8458" max="8458" width="0.5703125" style="103" customWidth="1"/>
    <col min="8459" max="8459" width="2.140625" style="103" customWidth="1"/>
    <col min="8460" max="8460" width="0.5703125" style="103" customWidth="1"/>
    <col min="8461" max="8461" width="2.28515625" style="103" customWidth="1"/>
    <col min="8462" max="8462" width="0.5703125" style="103" customWidth="1"/>
    <col min="8463" max="8463" width="2.140625" style="103" customWidth="1"/>
    <col min="8464" max="8464" width="0.5703125" style="103" customWidth="1"/>
    <col min="8465" max="8465" width="2.140625" style="103" customWidth="1"/>
    <col min="8466" max="8466" width="0.5703125" style="103" customWidth="1"/>
    <col min="8467" max="8467" width="2.140625" style="103" customWidth="1"/>
    <col min="8468" max="8468" width="0.5703125" style="103" customWidth="1"/>
    <col min="8469" max="8469" width="2.140625" style="103" customWidth="1"/>
    <col min="8470" max="8470" width="0.5703125" style="103" customWidth="1"/>
    <col min="8471" max="8471" width="2.140625" style="103" customWidth="1"/>
    <col min="8472" max="8472" width="0.5703125" style="103" customWidth="1"/>
    <col min="8473" max="8473" width="2.140625" style="103" customWidth="1"/>
    <col min="8474" max="8474" width="0.5703125" style="103" customWidth="1"/>
    <col min="8475" max="8475" width="2.140625" style="103" customWidth="1"/>
    <col min="8476" max="8476" width="0.5703125" style="103" customWidth="1"/>
    <col min="8477" max="8477" width="2.28515625" style="103" customWidth="1"/>
    <col min="8478" max="8478" width="0.5703125" style="103" customWidth="1"/>
    <col min="8479" max="8479" width="2.28515625" style="103" customWidth="1"/>
    <col min="8480" max="8480" width="0.5703125" style="103" customWidth="1"/>
    <col min="8481" max="8481" width="2.28515625" style="103" customWidth="1"/>
    <col min="8482" max="8482" width="0.5703125" style="103" customWidth="1"/>
    <col min="8483" max="8483" width="2.140625" style="103" customWidth="1"/>
    <col min="8484" max="8484" width="0.5703125" style="103" customWidth="1"/>
    <col min="8485" max="8485" width="2.140625" style="103" customWidth="1"/>
    <col min="8486" max="8486" width="0.5703125" style="103" customWidth="1"/>
    <col min="8487" max="8487" width="2.28515625" style="103" customWidth="1"/>
    <col min="8488" max="8488" width="0.5703125" style="103" customWidth="1"/>
    <col min="8489" max="8489" width="2.140625" style="103" customWidth="1"/>
    <col min="8490" max="8490" width="0.5703125" style="103" customWidth="1"/>
    <col min="8491" max="8491" width="2.140625" style="103" customWidth="1"/>
    <col min="8492" max="8492" width="0.5703125" style="103" customWidth="1"/>
    <col min="8493" max="8493" width="2.28515625" style="103" customWidth="1"/>
    <col min="8494" max="8494" width="0.5703125" style="103" customWidth="1"/>
    <col min="8495" max="8495" width="2.140625" style="103" customWidth="1"/>
    <col min="8496" max="8496" width="0.5703125" style="103" customWidth="1"/>
    <col min="8497" max="8497" width="2.28515625" style="103" customWidth="1"/>
    <col min="8498" max="8498" width="0.5703125" style="103" customWidth="1"/>
    <col min="8499" max="8499" width="2.140625" style="103" customWidth="1"/>
    <col min="8500" max="8500" width="0.5703125" style="103" customWidth="1"/>
    <col min="8501" max="8501" width="2.28515625" style="103" customWidth="1"/>
    <col min="8502" max="8502" width="0.5703125" style="103" customWidth="1"/>
    <col min="8503" max="8503" width="2.140625" style="103" customWidth="1"/>
    <col min="8504" max="8504" width="0.5703125" style="103" customWidth="1"/>
    <col min="8505" max="8505" width="2.140625" style="103" customWidth="1"/>
    <col min="8506" max="8506" width="0.5703125" style="103" customWidth="1"/>
    <col min="8507" max="8507" width="2.28515625" style="103" customWidth="1"/>
    <col min="8508" max="8508" width="0.5703125" style="103" customWidth="1"/>
    <col min="8509" max="8509" width="2.140625" style="103" customWidth="1"/>
    <col min="8510" max="8510" width="0.5703125" style="103" customWidth="1"/>
    <col min="8511" max="8511" width="2.140625" style="103" customWidth="1"/>
    <col min="8512" max="8512" width="0.5703125" style="103" customWidth="1"/>
    <col min="8513" max="8513" width="2.140625" style="103" customWidth="1"/>
    <col min="8514" max="8514" width="0.5703125" style="103" customWidth="1"/>
    <col min="8515" max="8515" width="2.140625" style="103" customWidth="1"/>
    <col min="8516" max="8516" width="0.5703125" style="103" customWidth="1"/>
    <col min="8517" max="8517" width="2.28515625" style="103" customWidth="1"/>
    <col min="8518" max="8518" width="0.5703125" style="103" customWidth="1"/>
    <col min="8519" max="8519" width="2.140625" style="103" customWidth="1"/>
    <col min="8520" max="8520" width="0.5703125" style="103" customWidth="1"/>
    <col min="8521" max="8521" width="2.140625" style="103" customWidth="1"/>
    <col min="8522" max="8522" width="0.5703125" style="103" customWidth="1"/>
    <col min="8523" max="8523" width="2.140625" style="103" customWidth="1"/>
    <col min="8524" max="8524" width="0.42578125" style="103" customWidth="1"/>
    <col min="8525" max="8704" width="9.140625" style="103"/>
    <col min="8705" max="8705" width="0.7109375" style="103" customWidth="1"/>
    <col min="8706" max="8706" width="0.5703125" style="103" customWidth="1"/>
    <col min="8707" max="8707" width="2.140625" style="103" customWidth="1"/>
    <col min="8708" max="8708" width="0.5703125" style="103" customWidth="1"/>
    <col min="8709" max="8709" width="2.140625" style="103" customWidth="1"/>
    <col min="8710" max="8710" width="0.5703125" style="103" customWidth="1"/>
    <col min="8711" max="8711" width="2.140625" style="103" customWidth="1"/>
    <col min="8712" max="8712" width="0.5703125" style="103" customWidth="1"/>
    <col min="8713" max="8713" width="2.140625" style="103" customWidth="1"/>
    <col min="8714" max="8714" width="0.5703125" style="103" customWidth="1"/>
    <col min="8715" max="8715" width="2.140625" style="103" customWidth="1"/>
    <col min="8716" max="8716" width="0.5703125" style="103" customWidth="1"/>
    <col min="8717" max="8717" width="2.28515625" style="103" customWidth="1"/>
    <col min="8718" max="8718" width="0.5703125" style="103" customWidth="1"/>
    <col min="8719" max="8719" width="2.140625" style="103" customWidth="1"/>
    <col min="8720" max="8720" width="0.5703125" style="103" customWidth="1"/>
    <col min="8721" max="8721" width="2.140625" style="103" customWidth="1"/>
    <col min="8722" max="8722" width="0.5703125" style="103" customWidth="1"/>
    <col min="8723" max="8723" width="2.140625" style="103" customWidth="1"/>
    <col min="8724" max="8724" width="0.5703125" style="103" customWidth="1"/>
    <col min="8725" max="8725" width="2.140625" style="103" customWidth="1"/>
    <col min="8726" max="8726" width="0.5703125" style="103" customWidth="1"/>
    <col min="8727" max="8727" width="2.140625" style="103" customWidth="1"/>
    <col min="8728" max="8728" width="0.5703125" style="103" customWidth="1"/>
    <col min="8729" max="8729" width="2.140625" style="103" customWidth="1"/>
    <col min="8730" max="8730" width="0.5703125" style="103" customWidth="1"/>
    <col min="8731" max="8731" width="2.140625" style="103" customWidth="1"/>
    <col min="8732" max="8732" width="0.5703125" style="103" customWidth="1"/>
    <col min="8733" max="8733" width="2.28515625" style="103" customWidth="1"/>
    <col min="8734" max="8734" width="0.5703125" style="103" customWidth="1"/>
    <col min="8735" max="8735" width="2.28515625" style="103" customWidth="1"/>
    <col min="8736" max="8736" width="0.5703125" style="103" customWidth="1"/>
    <col min="8737" max="8737" width="2.28515625" style="103" customWidth="1"/>
    <col min="8738" max="8738" width="0.5703125" style="103" customWidth="1"/>
    <col min="8739" max="8739" width="2.140625" style="103" customWidth="1"/>
    <col min="8740" max="8740" width="0.5703125" style="103" customWidth="1"/>
    <col min="8741" max="8741" width="2.140625" style="103" customWidth="1"/>
    <col min="8742" max="8742" width="0.5703125" style="103" customWidth="1"/>
    <col min="8743" max="8743" width="2.28515625" style="103" customWidth="1"/>
    <col min="8744" max="8744" width="0.5703125" style="103" customWidth="1"/>
    <col min="8745" max="8745" width="2.140625" style="103" customWidth="1"/>
    <col min="8746" max="8746" width="0.5703125" style="103" customWidth="1"/>
    <col min="8747" max="8747" width="2.140625" style="103" customWidth="1"/>
    <col min="8748" max="8748" width="0.5703125" style="103" customWidth="1"/>
    <col min="8749" max="8749" width="2.28515625" style="103" customWidth="1"/>
    <col min="8750" max="8750" width="0.5703125" style="103" customWidth="1"/>
    <col min="8751" max="8751" width="2.140625" style="103" customWidth="1"/>
    <col min="8752" max="8752" width="0.5703125" style="103" customWidth="1"/>
    <col min="8753" max="8753" width="2.28515625" style="103" customWidth="1"/>
    <col min="8754" max="8754" width="0.5703125" style="103" customWidth="1"/>
    <col min="8755" max="8755" width="2.140625" style="103" customWidth="1"/>
    <col min="8756" max="8756" width="0.5703125" style="103" customWidth="1"/>
    <col min="8757" max="8757" width="2.28515625" style="103" customWidth="1"/>
    <col min="8758" max="8758" width="0.5703125" style="103" customWidth="1"/>
    <col min="8759" max="8759" width="2.140625" style="103" customWidth="1"/>
    <col min="8760" max="8760" width="0.5703125" style="103" customWidth="1"/>
    <col min="8761" max="8761" width="2.140625" style="103" customWidth="1"/>
    <col min="8762" max="8762" width="0.5703125" style="103" customWidth="1"/>
    <col min="8763" max="8763" width="2.28515625" style="103" customWidth="1"/>
    <col min="8764" max="8764" width="0.5703125" style="103" customWidth="1"/>
    <col min="8765" max="8765" width="2.140625" style="103" customWidth="1"/>
    <col min="8766" max="8766" width="0.5703125" style="103" customWidth="1"/>
    <col min="8767" max="8767" width="2.140625" style="103" customWidth="1"/>
    <col min="8768" max="8768" width="0.5703125" style="103" customWidth="1"/>
    <col min="8769" max="8769" width="2.140625" style="103" customWidth="1"/>
    <col min="8770" max="8770" width="0.5703125" style="103" customWidth="1"/>
    <col min="8771" max="8771" width="2.140625" style="103" customWidth="1"/>
    <col min="8772" max="8772" width="0.5703125" style="103" customWidth="1"/>
    <col min="8773" max="8773" width="2.28515625" style="103" customWidth="1"/>
    <col min="8774" max="8774" width="0.5703125" style="103" customWidth="1"/>
    <col min="8775" max="8775" width="2.140625" style="103" customWidth="1"/>
    <col min="8776" max="8776" width="0.5703125" style="103" customWidth="1"/>
    <col min="8777" max="8777" width="2.140625" style="103" customWidth="1"/>
    <col min="8778" max="8778" width="0.5703125" style="103" customWidth="1"/>
    <col min="8779" max="8779" width="2.140625" style="103" customWidth="1"/>
    <col min="8780" max="8780" width="0.42578125" style="103" customWidth="1"/>
    <col min="8781" max="8960" width="9.140625" style="103"/>
    <col min="8961" max="8961" width="0.7109375" style="103" customWidth="1"/>
    <col min="8962" max="8962" width="0.5703125" style="103" customWidth="1"/>
    <col min="8963" max="8963" width="2.140625" style="103" customWidth="1"/>
    <col min="8964" max="8964" width="0.5703125" style="103" customWidth="1"/>
    <col min="8965" max="8965" width="2.140625" style="103" customWidth="1"/>
    <col min="8966" max="8966" width="0.5703125" style="103" customWidth="1"/>
    <col min="8967" max="8967" width="2.140625" style="103" customWidth="1"/>
    <col min="8968" max="8968" width="0.5703125" style="103" customWidth="1"/>
    <col min="8969" max="8969" width="2.140625" style="103" customWidth="1"/>
    <col min="8970" max="8970" width="0.5703125" style="103" customWidth="1"/>
    <col min="8971" max="8971" width="2.140625" style="103" customWidth="1"/>
    <col min="8972" max="8972" width="0.5703125" style="103" customWidth="1"/>
    <col min="8973" max="8973" width="2.28515625" style="103" customWidth="1"/>
    <col min="8974" max="8974" width="0.5703125" style="103" customWidth="1"/>
    <col min="8975" max="8975" width="2.140625" style="103" customWidth="1"/>
    <col min="8976" max="8976" width="0.5703125" style="103" customWidth="1"/>
    <col min="8977" max="8977" width="2.140625" style="103" customWidth="1"/>
    <col min="8978" max="8978" width="0.5703125" style="103" customWidth="1"/>
    <col min="8979" max="8979" width="2.140625" style="103" customWidth="1"/>
    <col min="8980" max="8980" width="0.5703125" style="103" customWidth="1"/>
    <col min="8981" max="8981" width="2.140625" style="103" customWidth="1"/>
    <col min="8982" max="8982" width="0.5703125" style="103" customWidth="1"/>
    <col min="8983" max="8983" width="2.140625" style="103" customWidth="1"/>
    <col min="8984" max="8984" width="0.5703125" style="103" customWidth="1"/>
    <col min="8985" max="8985" width="2.140625" style="103" customWidth="1"/>
    <col min="8986" max="8986" width="0.5703125" style="103" customWidth="1"/>
    <col min="8987" max="8987" width="2.140625" style="103" customWidth="1"/>
    <col min="8988" max="8988" width="0.5703125" style="103" customWidth="1"/>
    <col min="8989" max="8989" width="2.28515625" style="103" customWidth="1"/>
    <col min="8990" max="8990" width="0.5703125" style="103" customWidth="1"/>
    <col min="8991" max="8991" width="2.28515625" style="103" customWidth="1"/>
    <col min="8992" max="8992" width="0.5703125" style="103" customWidth="1"/>
    <col min="8993" max="8993" width="2.28515625" style="103" customWidth="1"/>
    <col min="8994" max="8994" width="0.5703125" style="103" customWidth="1"/>
    <col min="8995" max="8995" width="2.140625" style="103" customWidth="1"/>
    <col min="8996" max="8996" width="0.5703125" style="103" customWidth="1"/>
    <col min="8997" max="8997" width="2.140625" style="103" customWidth="1"/>
    <col min="8998" max="8998" width="0.5703125" style="103" customWidth="1"/>
    <col min="8999" max="8999" width="2.28515625" style="103" customWidth="1"/>
    <col min="9000" max="9000" width="0.5703125" style="103" customWidth="1"/>
    <col min="9001" max="9001" width="2.140625" style="103" customWidth="1"/>
    <col min="9002" max="9002" width="0.5703125" style="103" customWidth="1"/>
    <col min="9003" max="9003" width="2.140625" style="103" customWidth="1"/>
    <col min="9004" max="9004" width="0.5703125" style="103" customWidth="1"/>
    <col min="9005" max="9005" width="2.28515625" style="103" customWidth="1"/>
    <col min="9006" max="9006" width="0.5703125" style="103" customWidth="1"/>
    <col min="9007" max="9007" width="2.140625" style="103" customWidth="1"/>
    <col min="9008" max="9008" width="0.5703125" style="103" customWidth="1"/>
    <col min="9009" max="9009" width="2.28515625" style="103" customWidth="1"/>
    <col min="9010" max="9010" width="0.5703125" style="103" customWidth="1"/>
    <col min="9011" max="9011" width="2.140625" style="103" customWidth="1"/>
    <col min="9012" max="9012" width="0.5703125" style="103" customWidth="1"/>
    <col min="9013" max="9013" width="2.28515625" style="103" customWidth="1"/>
    <col min="9014" max="9014" width="0.5703125" style="103" customWidth="1"/>
    <col min="9015" max="9015" width="2.140625" style="103" customWidth="1"/>
    <col min="9016" max="9016" width="0.5703125" style="103" customWidth="1"/>
    <col min="9017" max="9017" width="2.140625" style="103" customWidth="1"/>
    <col min="9018" max="9018" width="0.5703125" style="103" customWidth="1"/>
    <col min="9019" max="9019" width="2.28515625" style="103" customWidth="1"/>
    <col min="9020" max="9020" width="0.5703125" style="103" customWidth="1"/>
    <col min="9021" max="9021" width="2.140625" style="103" customWidth="1"/>
    <col min="9022" max="9022" width="0.5703125" style="103" customWidth="1"/>
    <col min="9023" max="9023" width="2.140625" style="103" customWidth="1"/>
    <col min="9024" max="9024" width="0.5703125" style="103" customWidth="1"/>
    <col min="9025" max="9025" width="2.140625" style="103" customWidth="1"/>
    <col min="9026" max="9026" width="0.5703125" style="103" customWidth="1"/>
    <col min="9027" max="9027" width="2.140625" style="103" customWidth="1"/>
    <col min="9028" max="9028" width="0.5703125" style="103" customWidth="1"/>
    <col min="9029" max="9029" width="2.28515625" style="103" customWidth="1"/>
    <col min="9030" max="9030" width="0.5703125" style="103" customWidth="1"/>
    <col min="9031" max="9031" width="2.140625" style="103" customWidth="1"/>
    <col min="9032" max="9032" width="0.5703125" style="103" customWidth="1"/>
    <col min="9033" max="9033" width="2.140625" style="103" customWidth="1"/>
    <col min="9034" max="9034" width="0.5703125" style="103" customWidth="1"/>
    <col min="9035" max="9035" width="2.140625" style="103" customWidth="1"/>
    <col min="9036" max="9036" width="0.42578125" style="103" customWidth="1"/>
    <col min="9037" max="9216" width="9.140625" style="103"/>
    <col min="9217" max="9217" width="0.7109375" style="103" customWidth="1"/>
    <col min="9218" max="9218" width="0.5703125" style="103" customWidth="1"/>
    <col min="9219" max="9219" width="2.140625" style="103" customWidth="1"/>
    <col min="9220" max="9220" width="0.5703125" style="103" customWidth="1"/>
    <col min="9221" max="9221" width="2.140625" style="103" customWidth="1"/>
    <col min="9222" max="9222" width="0.5703125" style="103" customWidth="1"/>
    <col min="9223" max="9223" width="2.140625" style="103" customWidth="1"/>
    <col min="9224" max="9224" width="0.5703125" style="103" customWidth="1"/>
    <col min="9225" max="9225" width="2.140625" style="103" customWidth="1"/>
    <col min="9226" max="9226" width="0.5703125" style="103" customWidth="1"/>
    <col min="9227" max="9227" width="2.140625" style="103" customWidth="1"/>
    <col min="9228" max="9228" width="0.5703125" style="103" customWidth="1"/>
    <col min="9229" max="9229" width="2.28515625" style="103" customWidth="1"/>
    <col min="9230" max="9230" width="0.5703125" style="103" customWidth="1"/>
    <col min="9231" max="9231" width="2.140625" style="103" customWidth="1"/>
    <col min="9232" max="9232" width="0.5703125" style="103" customWidth="1"/>
    <col min="9233" max="9233" width="2.140625" style="103" customWidth="1"/>
    <col min="9234" max="9234" width="0.5703125" style="103" customWidth="1"/>
    <col min="9235" max="9235" width="2.140625" style="103" customWidth="1"/>
    <col min="9236" max="9236" width="0.5703125" style="103" customWidth="1"/>
    <col min="9237" max="9237" width="2.140625" style="103" customWidth="1"/>
    <col min="9238" max="9238" width="0.5703125" style="103" customWidth="1"/>
    <col min="9239" max="9239" width="2.140625" style="103" customWidth="1"/>
    <col min="9240" max="9240" width="0.5703125" style="103" customWidth="1"/>
    <col min="9241" max="9241" width="2.140625" style="103" customWidth="1"/>
    <col min="9242" max="9242" width="0.5703125" style="103" customWidth="1"/>
    <col min="9243" max="9243" width="2.140625" style="103" customWidth="1"/>
    <col min="9244" max="9244" width="0.5703125" style="103" customWidth="1"/>
    <col min="9245" max="9245" width="2.28515625" style="103" customWidth="1"/>
    <col min="9246" max="9246" width="0.5703125" style="103" customWidth="1"/>
    <col min="9247" max="9247" width="2.28515625" style="103" customWidth="1"/>
    <col min="9248" max="9248" width="0.5703125" style="103" customWidth="1"/>
    <col min="9249" max="9249" width="2.28515625" style="103" customWidth="1"/>
    <col min="9250" max="9250" width="0.5703125" style="103" customWidth="1"/>
    <col min="9251" max="9251" width="2.140625" style="103" customWidth="1"/>
    <col min="9252" max="9252" width="0.5703125" style="103" customWidth="1"/>
    <col min="9253" max="9253" width="2.140625" style="103" customWidth="1"/>
    <col min="9254" max="9254" width="0.5703125" style="103" customWidth="1"/>
    <col min="9255" max="9255" width="2.28515625" style="103" customWidth="1"/>
    <col min="9256" max="9256" width="0.5703125" style="103" customWidth="1"/>
    <col min="9257" max="9257" width="2.140625" style="103" customWidth="1"/>
    <col min="9258" max="9258" width="0.5703125" style="103" customWidth="1"/>
    <col min="9259" max="9259" width="2.140625" style="103" customWidth="1"/>
    <col min="9260" max="9260" width="0.5703125" style="103" customWidth="1"/>
    <col min="9261" max="9261" width="2.28515625" style="103" customWidth="1"/>
    <col min="9262" max="9262" width="0.5703125" style="103" customWidth="1"/>
    <col min="9263" max="9263" width="2.140625" style="103" customWidth="1"/>
    <col min="9264" max="9264" width="0.5703125" style="103" customWidth="1"/>
    <col min="9265" max="9265" width="2.28515625" style="103" customWidth="1"/>
    <col min="9266" max="9266" width="0.5703125" style="103" customWidth="1"/>
    <col min="9267" max="9267" width="2.140625" style="103" customWidth="1"/>
    <col min="9268" max="9268" width="0.5703125" style="103" customWidth="1"/>
    <col min="9269" max="9269" width="2.28515625" style="103" customWidth="1"/>
    <col min="9270" max="9270" width="0.5703125" style="103" customWidth="1"/>
    <col min="9271" max="9271" width="2.140625" style="103" customWidth="1"/>
    <col min="9272" max="9272" width="0.5703125" style="103" customWidth="1"/>
    <col min="9273" max="9273" width="2.140625" style="103" customWidth="1"/>
    <col min="9274" max="9274" width="0.5703125" style="103" customWidth="1"/>
    <col min="9275" max="9275" width="2.28515625" style="103" customWidth="1"/>
    <col min="9276" max="9276" width="0.5703125" style="103" customWidth="1"/>
    <col min="9277" max="9277" width="2.140625" style="103" customWidth="1"/>
    <col min="9278" max="9278" width="0.5703125" style="103" customWidth="1"/>
    <col min="9279" max="9279" width="2.140625" style="103" customWidth="1"/>
    <col min="9280" max="9280" width="0.5703125" style="103" customWidth="1"/>
    <col min="9281" max="9281" width="2.140625" style="103" customWidth="1"/>
    <col min="9282" max="9282" width="0.5703125" style="103" customWidth="1"/>
    <col min="9283" max="9283" width="2.140625" style="103" customWidth="1"/>
    <col min="9284" max="9284" width="0.5703125" style="103" customWidth="1"/>
    <col min="9285" max="9285" width="2.28515625" style="103" customWidth="1"/>
    <col min="9286" max="9286" width="0.5703125" style="103" customWidth="1"/>
    <col min="9287" max="9287" width="2.140625" style="103" customWidth="1"/>
    <col min="9288" max="9288" width="0.5703125" style="103" customWidth="1"/>
    <col min="9289" max="9289" width="2.140625" style="103" customWidth="1"/>
    <col min="9290" max="9290" width="0.5703125" style="103" customWidth="1"/>
    <col min="9291" max="9291" width="2.140625" style="103" customWidth="1"/>
    <col min="9292" max="9292" width="0.42578125" style="103" customWidth="1"/>
    <col min="9293" max="9472" width="9.140625" style="103"/>
    <col min="9473" max="9473" width="0.7109375" style="103" customWidth="1"/>
    <col min="9474" max="9474" width="0.5703125" style="103" customWidth="1"/>
    <col min="9475" max="9475" width="2.140625" style="103" customWidth="1"/>
    <col min="9476" max="9476" width="0.5703125" style="103" customWidth="1"/>
    <col min="9477" max="9477" width="2.140625" style="103" customWidth="1"/>
    <col min="9478" max="9478" width="0.5703125" style="103" customWidth="1"/>
    <col min="9479" max="9479" width="2.140625" style="103" customWidth="1"/>
    <col min="9480" max="9480" width="0.5703125" style="103" customWidth="1"/>
    <col min="9481" max="9481" width="2.140625" style="103" customWidth="1"/>
    <col min="9482" max="9482" width="0.5703125" style="103" customWidth="1"/>
    <col min="9483" max="9483" width="2.140625" style="103" customWidth="1"/>
    <col min="9484" max="9484" width="0.5703125" style="103" customWidth="1"/>
    <col min="9485" max="9485" width="2.28515625" style="103" customWidth="1"/>
    <col min="9486" max="9486" width="0.5703125" style="103" customWidth="1"/>
    <col min="9487" max="9487" width="2.140625" style="103" customWidth="1"/>
    <col min="9488" max="9488" width="0.5703125" style="103" customWidth="1"/>
    <col min="9489" max="9489" width="2.140625" style="103" customWidth="1"/>
    <col min="9490" max="9490" width="0.5703125" style="103" customWidth="1"/>
    <col min="9491" max="9491" width="2.140625" style="103" customWidth="1"/>
    <col min="9492" max="9492" width="0.5703125" style="103" customWidth="1"/>
    <col min="9493" max="9493" width="2.140625" style="103" customWidth="1"/>
    <col min="9494" max="9494" width="0.5703125" style="103" customWidth="1"/>
    <col min="9495" max="9495" width="2.140625" style="103" customWidth="1"/>
    <col min="9496" max="9496" width="0.5703125" style="103" customWidth="1"/>
    <col min="9497" max="9497" width="2.140625" style="103" customWidth="1"/>
    <col min="9498" max="9498" width="0.5703125" style="103" customWidth="1"/>
    <col min="9499" max="9499" width="2.140625" style="103" customWidth="1"/>
    <col min="9500" max="9500" width="0.5703125" style="103" customWidth="1"/>
    <col min="9501" max="9501" width="2.28515625" style="103" customWidth="1"/>
    <col min="9502" max="9502" width="0.5703125" style="103" customWidth="1"/>
    <col min="9503" max="9503" width="2.28515625" style="103" customWidth="1"/>
    <col min="9504" max="9504" width="0.5703125" style="103" customWidth="1"/>
    <col min="9505" max="9505" width="2.28515625" style="103" customWidth="1"/>
    <col min="9506" max="9506" width="0.5703125" style="103" customWidth="1"/>
    <col min="9507" max="9507" width="2.140625" style="103" customWidth="1"/>
    <col min="9508" max="9508" width="0.5703125" style="103" customWidth="1"/>
    <col min="9509" max="9509" width="2.140625" style="103" customWidth="1"/>
    <col min="9510" max="9510" width="0.5703125" style="103" customWidth="1"/>
    <col min="9511" max="9511" width="2.28515625" style="103" customWidth="1"/>
    <col min="9512" max="9512" width="0.5703125" style="103" customWidth="1"/>
    <col min="9513" max="9513" width="2.140625" style="103" customWidth="1"/>
    <col min="9514" max="9514" width="0.5703125" style="103" customWidth="1"/>
    <col min="9515" max="9515" width="2.140625" style="103" customWidth="1"/>
    <col min="9516" max="9516" width="0.5703125" style="103" customWidth="1"/>
    <col min="9517" max="9517" width="2.28515625" style="103" customWidth="1"/>
    <col min="9518" max="9518" width="0.5703125" style="103" customWidth="1"/>
    <col min="9519" max="9519" width="2.140625" style="103" customWidth="1"/>
    <col min="9520" max="9520" width="0.5703125" style="103" customWidth="1"/>
    <col min="9521" max="9521" width="2.28515625" style="103" customWidth="1"/>
    <col min="9522" max="9522" width="0.5703125" style="103" customWidth="1"/>
    <col min="9523" max="9523" width="2.140625" style="103" customWidth="1"/>
    <col min="9524" max="9524" width="0.5703125" style="103" customWidth="1"/>
    <col min="9525" max="9525" width="2.28515625" style="103" customWidth="1"/>
    <col min="9526" max="9526" width="0.5703125" style="103" customWidth="1"/>
    <col min="9527" max="9527" width="2.140625" style="103" customWidth="1"/>
    <col min="9528" max="9528" width="0.5703125" style="103" customWidth="1"/>
    <col min="9529" max="9529" width="2.140625" style="103" customWidth="1"/>
    <col min="9530" max="9530" width="0.5703125" style="103" customWidth="1"/>
    <col min="9531" max="9531" width="2.28515625" style="103" customWidth="1"/>
    <col min="9532" max="9532" width="0.5703125" style="103" customWidth="1"/>
    <col min="9533" max="9533" width="2.140625" style="103" customWidth="1"/>
    <col min="9534" max="9534" width="0.5703125" style="103" customWidth="1"/>
    <col min="9535" max="9535" width="2.140625" style="103" customWidth="1"/>
    <col min="9536" max="9536" width="0.5703125" style="103" customWidth="1"/>
    <col min="9537" max="9537" width="2.140625" style="103" customWidth="1"/>
    <col min="9538" max="9538" width="0.5703125" style="103" customWidth="1"/>
    <col min="9539" max="9539" width="2.140625" style="103" customWidth="1"/>
    <col min="9540" max="9540" width="0.5703125" style="103" customWidth="1"/>
    <col min="9541" max="9541" width="2.28515625" style="103" customWidth="1"/>
    <col min="9542" max="9542" width="0.5703125" style="103" customWidth="1"/>
    <col min="9543" max="9543" width="2.140625" style="103" customWidth="1"/>
    <col min="9544" max="9544" width="0.5703125" style="103" customWidth="1"/>
    <col min="9545" max="9545" width="2.140625" style="103" customWidth="1"/>
    <col min="9546" max="9546" width="0.5703125" style="103" customWidth="1"/>
    <col min="9547" max="9547" width="2.140625" style="103" customWidth="1"/>
    <col min="9548" max="9548" width="0.42578125" style="103" customWidth="1"/>
    <col min="9549" max="9728" width="9.140625" style="103"/>
    <col min="9729" max="9729" width="0.7109375" style="103" customWidth="1"/>
    <col min="9730" max="9730" width="0.5703125" style="103" customWidth="1"/>
    <col min="9731" max="9731" width="2.140625" style="103" customWidth="1"/>
    <col min="9732" max="9732" width="0.5703125" style="103" customWidth="1"/>
    <col min="9733" max="9733" width="2.140625" style="103" customWidth="1"/>
    <col min="9734" max="9734" width="0.5703125" style="103" customWidth="1"/>
    <col min="9735" max="9735" width="2.140625" style="103" customWidth="1"/>
    <col min="9736" max="9736" width="0.5703125" style="103" customWidth="1"/>
    <col min="9737" max="9737" width="2.140625" style="103" customWidth="1"/>
    <col min="9738" max="9738" width="0.5703125" style="103" customWidth="1"/>
    <col min="9739" max="9739" width="2.140625" style="103" customWidth="1"/>
    <col min="9740" max="9740" width="0.5703125" style="103" customWidth="1"/>
    <col min="9741" max="9741" width="2.28515625" style="103" customWidth="1"/>
    <col min="9742" max="9742" width="0.5703125" style="103" customWidth="1"/>
    <col min="9743" max="9743" width="2.140625" style="103" customWidth="1"/>
    <col min="9744" max="9744" width="0.5703125" style="103" customWidth="1"/>
    <col min="9745" max="9745" width="2.140625" style="103" customWidth="1"/>
    <col min="9746" max="9746" width="0.5703125" style="103" customWidth="1"/>
    <col min="9747" max="9747" width="2.140625" style="103" customWidth="1"/>
    <col min="9748" max="9748" width="0.5703125" style="103" customWidth="1"/>
    <col min="9749" max="9749" width="2.140625" style="103" customWidth="1"/>
    <col min="9750" max="9750" width="0.5703125" style="103" customWidth="1"/>
    <col min="9751" max="9751" width="2.140625" style="103" customWidth="1"/>
    <col min="9752" max="9752" width="0.5703125" style="103" customWidth="1"/>
    <col min="9753" max="9753" width="2.140625" style="103" customWidth="1"/>
    <col min="9754" max="9754" width="0.5703125" style="103" customWidth="1"/>
    <col min="9755" max="9755" width="2.140625" style="103" customWidth="1"/>
    <col min="9756" max="9756" width="0.5703125" style="103" customWidth="1"/>
    <col min="9757" max="9757" width="2.28515625" style="103" customWidth="1"/>
    <col min="9758" max="9758" width="0.5703125" style="103" customWidth="1"/>
    <col min="9759" max="9759" width="2.28515625" style="103" customWidth="1"/>
    <col min="9760" max="9760" width="0.5703125" style="103" customWidth="1"/>
    <col min="9761" max="9761" width="2.28515625" style="103" customWidth="1"/>
    <col min="9762" max="9762" width="0.5703125" style="103" customWidth="1"/>
    <col min="9763" max="9763" width="2.140625" style="103" customWidth="1"/>
    <col min="9764" max="9764" width="0.5703125" style="103" customWidth="1"/>
    <col min="9765" max="9765" width="2.140625" style="103" customWidth="1"/>
    <col min="9766" max="9766" width="0.5703125" style="103" customWidth="1"/>
    <col min="9767" max="9767" width="2.28515625" style="103" customWidth="1"/>
    <col min="9768" max="9768" width="0.5703125" style="103" customWidth="1"/>
    <col min="9769" max="9769" width="2.140625" style="103" customWidth="1"/>
    <col min="9770" max="9770" width="0.5703125" style="103" customWidth="1"/>
    <col min="9771" max="9771" width="2.140625" style="103" customWidth="1"/>
    <col min="9772" max="9772" width="0.5703125" style="103" customWidth="1"/>
    <col min="9773" max="9773" width="2.28515625" style="103" customWidth="1"/>
    <col min="9774" max="9774" width="0.5703125" style="103" customWidth="1"/>
    <col min="9775" max="9775" width="2.140625" style="103" customWidth="1"/>
    <col min="9776" max="9776" width="0.5703125" style="103" customWidth="1"/>
    <col min="9777" max="9777" width="2.28515625" style="103" customWidth="1"/>
    <col min="9778" max="9778" width="0.5703125" style="103" customWidth="1"/>
    <col min="9779" max="9779" width="2.140625" style="103" customWidth="1"/>
    <col min="9780" max="9780" width="0.5703125" style="103" customWidth="1"/>
    <col min="9781" max="9781" width="2.28515625" style="103" customWidth="1"/>
    <col min="9782" max="9782" width="0.5703125" style="103" customWidth="1"/>
    <col min="9783" max="9783" width="2.140625" style="103" customWidth="1"/>
    <col min="9784" max="9784" width="0.5703125" style="103" customWidth="1"/>
    <col min="9785" max="9785" width="2.140625" style="103" customWidth="1"/>
    <col min="9786" max="9786" width="0.5703125" style="103" customWidth="1"/>
    <col min="9787" max="9787" width="2.28515625" style="103" customWidth="1"/>
    <col min="9788" max="9788" width="0.5703125" style="103" customWidth="1"/>
    <col min="9789" max="9789" width="2.140625" style="103" customWidth="1"/>
    <col min="9790" max="9790" width="0.5703125" style="103" customWidth="1"/>
    <col min="9791" max="9791" width="2.140625" style="103" customWidth="1"/>
    <col min="9792" max="9792" width="0.5703125" style="103" customWidth="1"/>
    <col min="9793" max="9793" width="2.140625" style="103" customWidth="1"/>
    <col min="9794" max="9794" width="0.5703125" style="103" customWidth="1"/>
    <col min="9795" max="9795" width="2.140625" style="103" customWidth="1"/>
    <col min="9796" max="9796" width="0.5703125" style="103" customWidth="1"/>
    <col min="9797" max="9797" width="2.28515625" style="103" customWidth="1"/>
    <col min="9798" max="9798" width="0.5703125" style="103" customWidth="1"/>
    <col min="9799" max="9799" width="2.140625" style="103" customWidth="1"/>
    <col min="9800" max="9800" width="0.5703125" style="103" customWidth="1"/>
    <col min="9801" max="9801" width="2.140625" style="103" customWidth="1"/>
    <col min="9802" max="9802" width="0.5703125" style="103" customWidth="1"/>
    <col min="9803" max="9803" width="2.140625" style="103" customWidth="1"/>
    <col min="9804" max="9804" width="0.42578125" style="103" customWidth="1"/>
    <col min="9805" max="9984" width="9.140625" style="103"/>
    <col min="9985" max="9985" width="0.7109375" style="103" customWidth="1"/>
    <col min="9986" max="9986" width="0.5703125" style="103" customWidth="1"/>
    <col min="9987" max="9987" width="2.140625" style="103" customWidth="1"/>
    <col min="9988" max="9988" width="0.5703125" style="103" customWidth="1"/>
    <col min="9989" max="9989" width="2.140625" style="103" customWidth="1"/>
    <col min="9990" max="9990" width="0.5703125" style="103" customWidth="1"/>
    <col min="9991" max="9991" width="2.140625" style="103" customWidth="1"/>
    <col min="9992" max="9992" width="0.5703125" style="103" customWidth="1"/>
    <col min="9993" max="9993" width="2.140625" style="103" customWidth="1"/>
    <col min="9994" max="9994" width="0.5703125" style="103" customWidth="1"/>
    <col min="9995" max="9995" width="2.140625" style="103" customWidth="1"/>
    <col min="9996" max="9996" width="0.5703125" style="103" customWidth="1"/>
    <col min="9997" max="9997" width="2.28515625" style="103" customWidth="1"/>
    <col min="9998" max="9998" width="0.5703125" style="103" customWidth="1"/>
    <col min="9999" max="9999" width="2.140625" style="103" customWidth="1"/>
    <col min="10000" max="10000" width="0.5703125" style="103" customWidth="1"/>
    <col min="10001" max="10001" width="2.140625" style="103" customWidth="1"/>
    <col min="10002" max="10002" width="0.5703125" style="103" customWidth="1"/>
    <col min="10003" max="10003" width="2.140625" style="103" customWidth="1"/>
    <col min="10004" max="10004" width="0.5703125" style="103" customWidth="1"/>
    <col min="10005" max="10005" width="2.140625" style="103" customWidth="1"/>
    <col min="10006" max="10006" width="0.5703125" style="103" customWidth="1"/>
    <col min="10007" max="10007" width="2.140625" style="103" customWidth="1"/>
    <col min="10008" max="10008" width="0.5703125" style="103" customWidth="1"/>
    <col min="10009" max="10009" width="2.140625" style="103" customWidth="1"/>
    <col min="10010" max="10010" width="0.5703125" style="103" customWidth="1"/>
    <col min="10011" max="10011" width="2.140625" style="103" customWidth="1"/>
    <col min="10012" max="10012" width="0.5703125" style="103" customWidth="1"/>
    <col min="10013" max="10013" width="2.28515625" style="103" customWidth="1"/>
    <col min="10014" max="10014" width="0.5703125" style="103" customWidth="1"/>
    <col min="10015" max="10015" width="2.28515625" style="103" customWidth="1"/>
    <col min="10016" max="10016" width="0.5703125" style="103" customWidth="1"/>
    <col min="10017" max="10017" width="2.28515625" style="103" customWidth="1"/>
    <col min="10018" max="10018" width="0.5703125" style="103" customWidth="1"/>
    <col min="10019" max="10019" width="2.140625" style="103" customWidth="1"/>
    <col min="10020" max="10020" width="0.5703125" style="103" customWidth="1"/>
    <col min="10021" max="10021" width="2.140625" style="103" customWidth="1"/>
    <col min="10022" max="10022" width="0.5703125" style="103" customWidth="1"/>
    <col min="10023" max="10023" width="2.28515625" style="103" customWidth="1"/>
    <col min="10024" max="10024" width="0.5703125" style="103" customWidth="1"/>
    <col min="10025" max="10025" width="2.140625" style="103" customWidth="1"/>
    <col min="10026" max="10026" width="0.5703125" style="103" customWidth="1"/>
    <col min="10027" max="10027" width="2.140625" style="103" customWidth="1"/>
    <col min="10028" max="10028" width="0.5703125" style="103" customWidth="1"/>
    <col min="10029" max="10029" width="2.28515625" style="103" customWidth="1"/>
    <col min="10030" max="10030" width="0.5703125" style="103" customWidth="1"/>
    <col min="10031" max="10031" width="2.140625" style="103" customWidth="1"/>
    <col min="10032" max="10032" width="0.5703125" style="103" customWidth="1"/>
    <col min="10033" max="10033" width="2.28515625" style="103" customWidth="1"/>
    <col min="10034" max="10034" width="0.5703125" style="103" customWidth="1"/>
    <col min="10035" max="10035" width="2.140625" style="103" customWidth="1"/>
    <col min="10036" max="10036" width="0.5703125" style="103" customWidth="1"/>
    <col min="10037" max="10037" width="2.28515625" style="103" customWidth="1"/>
    <col min="10038" max="10038" width="0.5703125" style="103" customWidth="1"/>
    <col min="10039" max="10039" width="2.140625" style="103" customWidth="1"/>
    <col min="10040" max="10040" width="0.5703125" style="103" customWidth="1"/>
    <col min="10041" max="10041" width="2.140625" style="103" customWidth="1"/>
    <col min="10042" max="10042" width="0.5703125" style="103" customWidth="1"/>
    <col min="10043" max="10043" width="2.28515625" style="103" customWidth="1"/>
    <col min="10044" max="10044" width="0.5703125" style="103" customWidth="1"/>
    <col min="10045" max="10045" width="2.140625" style="103" customWidth="1"/>
    <col min="10046" max="10046" width="0.5703125" style="103" customWidth="1"/>
    <col min="10047" max="10047" width="2.140625" style="103" customWidth="1"/>
    <col min="10048" max="10048" width="0.5703125" style="103" customWidth="1"/>
    <col min="10049" max="10049" width="2.140625" style="103" customWidth="1"/>
    <col min="10050" max="10050" width="0.5703125" style="103" customWidth="1"/>
    <col min="10051" max="10051" width="2.140625" style="103" customWidth="1"/>
    <col min="10052" max="10052" width="0.5703125" style="103" customWidth="1"/>
    <col min="10053" max="10053" width="2.28515625" style="103" customWidth="1"/>
    <col min="10054" max="10054" width="0.5703125" style="103" customWidth="1"/>
    <col min="10055" max="10055" width="2.140625" style="103" customWidth="1"/>
    <col min="10056" max="10056" width="0.5703125" style="103" customWidth="1"/>
    <col min="10057" max="10057" width="2.140625" style="103" customWidth="1"/>
    <col min="10058" max="10058" width="0.5703125" style="103" customWidth="1"/>
    <col min="10059" max="10059" width="2.140625" style="103" customWidth="1"/>
    <col min="10060" max="10060" width="0.42578125" style="103" customWidth="1"/>
    <col min="10061" max="10240" width="9.140625" style="103"/>
    <col min="10241" max="10241" width="0.7109375" style="103" customWidth="1"/>
    <col min="10242" max="10242" width="0.5703125" style="103" customWidth="1"/>
    <col min="10243" max="10243" width="2.140625" style="103" customWidth="1"/>
    <col min="10244" max="10244" width="0.5703125" style="103" customWidth="1"/>
    <col min="10245" max="10245" width="2.140625" style="103" customWidth="1"/>
    <col min="10246" max="10246" width="0.5703125" style="103" customWidth="1"/>
    <col min="10247" max="10247" width="2.140625" style="103" customWidth="1"/>
    <col min="10248" max="10248" width="0.5703125" style="103" customWidth="1"/>
    <col min="10249" max="10249" width="2.140625" style="103" customWidth="1"/>
    <col min="10250" max="10250" width="0.5703125" style="103" customWidth="1"/>
    <col min="10251" max="10251" width="2.140625" style="103" customWidth="1"/>
    <col min="10252" max="10252" width="0.5703125" style="103" customWidth="1"/>
    <col min="10253" max="10253" width="2.28515625" style="103" customWidth="1"/>
    <col min="10254" max="10254" width="0.5703125" style="103" customWidth="1"/>
    <col min="10255" max="10255" width="2.140625" style="103" customWidth="1"/>
    <col min="10256" max="10256" width="0.5703125" style="103" customWidth="1"/>
    <col min="10257" max="10257" width="2.140625" style="103" customWidth="1"/>
    <col min="10258" max="10258" width="0.5703125" style="103" customWidth="1"/>
    <col min="10259" max="10259" width="2.140625" style="103" customWidth="1"/>
    <col min="10260" max="10260" width="0.5703125" style="103" customWidth="1"/>
    <col min="10261" max="10261" width="2.140625" style="103" customWidth="1"/>
    <col min="10262" max="10262" width="0.5703125" style="103" customWidth="1"/>
    <col min="10263" max="10263" width="2.140625" style="103" customWidth="1"/>
    <col min="10264" max="10264" width="0.5703125" style="103" customWidth="1"/>
    <col min="10265" max="10265" width="2.140625" style="103" customWidth="1"/>
    <col min="10266" max="10266" width="0.5703125" style="103" customWidth="1"/>
    <col min="10267" max="10267" width="2.140625" style="103" customWidth="1"/>
    <col min="10268" max="10268" width="0.5703125" style="103" customWidth="1"/>
    <col min="10269" max="10269" width="2.28515625" style="103" customWidth="1"/>
    <col min="10270" max="10270" width="0.5703125" style="103" customWidth="1"/>
    <col min="10271" max="10271" width="2.28515625" style="103" customWidth="1"/>
    <col min="10272" max="10272" width="0.5703125" style="103" customWidth="1"/>
    <col min="10273" max="10273" width="2.28515625" style="103" customWidth="1"/>
    <col min="10274" max="10274" width="0.5703125" style="103" customWidth="1"/>
    <col min="10275" max="10275" width="2.140625" style="103" customWidth="1"/>
    <col min="10276" max="10276" width="0.5703125" style="103" customWidth="1"/>
    <col min="10277" max="10277" width="2.140625" style="103" customWidth="1"/>
    <col min="10278" max="10278" width="0.5703125" style="103" customWidth="1"/>
    <col min="10279" max="10279" width="2.28515625" style="103" customWidth="1"/>
    <col min="10280" max="10280" width="0.5703125" style="103" customWidth="1"/>
    <col min="10281" max="10281" width="2.140625" style="103" customWidth="1"/>
    <col min="10282" max="10282" width="0.5703125" style="103" customWidth="1"/>
    <col min="10283" max="10283" width="2.140625" style="103" customWidth="1"/>
    <col min="10284" max="10284" width="0.5703125" style="103" customWidth="1"/>
    <col min="10285" max="10285" width="2.28515625" style="103" customWidth="1"/>
    <col min="10286" max="10286" width="0.5703125" style="103" customWidth="1"/>
    <col min="10287" max="10287" width="2.140625" style="103" customWidth="1"/>
    <col min="10288" max="10288" width="0.5703125" style="103" customWidth="1"/>
    <col min="10289" max="10289" width="2.28515625" style="103" customWidth="1"/>
    <col min="10290" max="10290" width="0.5703125" style="103" customWidth="1"/>
    <col min="10291" max="10291" width="2.140625" style="103" customWidth="1"/>
    <col min="10292" max="10292" width="0.5703125" style="103" customWidth="1"/>
    <col min="10293" max="10293" width="2.28515625" style="103" customWidth="1"/>
    <col min="10294" max="10294" width="0.5703125" style="103" customWidth="1"/>
    <col min="10295" max="10295" width="2.140625" style="103" customWidth="1"/>
    <col min="10296" max="10296" width="0.5703125" style="103" customWidth="1"/>
    <col min="10297" max="10297" width="2.140625" style="103" customWidth="1"/>
    <col min="10298" max="10298" width="0.5703125" style="103" customWidth="1"/>
    <col min="10299" max="10299" width="2.28515625" style="103" customWidth="1"/>
    <col min="10300" max="10300" width="0.5703125" style="103" customWidth="1"/>
    <col min="10301" max="10301" width="2.140625" style="103" customWidth="1"/>
    <col min="10302" max="10302" width="0.5703125" style="103" customWidth="1"/>
    <col min="10303" max="10303" width="2.140625" style="103" customWidth="1"/>
    <col min="10304" max="10304" width="0.5703125" style="103" customWidth="1"/>
    <col min="10305" max="10305" width="2.140625" style="103" customWidth="1"/>
    <col min="10306" max="10306" width="0.5703125" style="103" customWidth="1"/>
    <col min="10307" max="10307" width="2.140625" style="103" customWidth="1"/>
    <col min="10308" max="10308" width="0.5703125" style="103" customWidth="1"/>
    <col min="10309" max="10309" width="2.28515625" style="103" customWidth="1"/>
    <col min="10310" max="10310" width="0.5703125" style="103" customWidth="1"/>
    <col min="10311" max="10311" width="2.140625" style="103" customWidth="1"/>
    <col min="10312" max="10312" width="0.5703125" style="103" customWidth="1"/>
    <col min="10313" max="10313" width="2.140625" style="103" customWidth="1"/>
    <col min="10314" max="10314" width="0.5703125" style="103" customWidth="1"/>
    <col min="10315" max="10315" width="2.140625" style="103" customWidth="1"/>
    <col min="10316" max="10316" width="0.42578125" style="103" customWidth="1"/>
    <col min="10317" max="10496" width="9.140625" style="103"/>
    <col min="10497" max="10497" width="0.7109375" style="103" customWidth="1"/>
    <col min="10498" max="10498" width="0.5703125" style="103" customWidth="1"/>
    <col min="10499" max="10499" width="2.140625" style="103" customWidth="1"/>
    <col min="10500" max="10500" width="0.5703125" style="103" customWidth="1"/>
    <col min="10501" max="10501" width="2.140625" style="103" customWidth="1"/>
    <col min="10502" max="10502" width="0.5703125" style="103" customWidth="1"/>
    <col min="10503" max="10503" width="2.140625" style="103" customWidth="1"/>
    <col min="10504" max="10504" width="0.5703125" style="103" customWidth="1"/>
    <col min="10505" max="10505" width="2.140625" style="103" customWidth="1"/>
    <col min="10506" max="10506" width="0.5703125" style="103" customWidth="1"/>
    <col min="10507" max="10507" width="2.140625" style="103" customWidth="1"/>
    <col min="10508" max="10508" width="0.5703125" style="103" customWidth="1"/>
    <col min="10509" max="10509" width="2.28515625" style="103" customWidth="1"/>
    <col min="10510" max="10510" width="0.5703125" style="103" customWidth="1"/>
    <col min="10511" max="10511" width="2.140625" style="103" customWidth="1"/>
    <col min="10512" max="10512" width="0.5703125" style="103" customWidth="1"/>
    <col min="10513" max="10513" width="2.140625" style="103" customWidth="1"/>
    <col min="10514" max="10514" width="0.5703125" style="103" customWidth="1"/>
    <col min="10515" max="10515" width="2.140625" style="103" customWidth="1"/>
    <col min="10516" max="10516" width="0.5703125" style="103" customWidth="1"/>
    <col min="10517" max="10517" width="2.140625" style="103" customWidth="1"/>
    <col min="10518" max="10518" width="0.5703125" style="103" customWidth="1"/>
    <col min="10519" max="10519" width="2.140625" style="103" customWidth="1"/>
    <col min="10520" max="10520" width="0.5703125" style="103" customWidth="1"/>
    <col min="10521" max="10521" width="2.140625" style="103" customWidth="1"/>
    <col min="10522" max="10522" width="0.5703125" style="103" customWidth="1"/>
    <col min="10523" max="10523" width="2.140625" style="103" customWidth="1"/>
    <col min="10524" max="10524" width="0.5703125" style="103" customWidth="1"/>
    <col min="10525" max="10525" width="2.28515625" style="103" customWidth="1"/>
    <col min="10526" max="10526" width="0.5703125" style="103" customWidth="1"/>
    <col min="10527" max="10527" width="2.28515625" style="103" customWidth="1"/>
    <col min="10528" max="10528" width="0.5703125" style="103" customWidth="1"/>
    <col min="10529" max="10529" width="2.28515625" style="103" customWidth="1"/>
    <col min="10530" max="10530" width="0.5703125" style="103" customWidth="1"/>
    <col min="10531" max="10531" width="2.140625" style="103" customWidth="1"/>
    <col min="10532" max="10532" width="0.5703125" style="103" customWidth="1"/>
    <col min="10533" max="10533" width="2.140625" style="103" customWidth="1"/>
    <col min="10534" max="10534" width="0.5703125" style="103" customWidth="1"/>
    <col min="10535" max="10535" width="2.28515625" style="103" customWidth="1"/>
    <col min="10536" max="10536" width="0.5703125" style="103" customWidth="1"/>
    <col min="10537" max="10537" width="2.140625" style="103" customWidth="1"/>
    <col min="10538" max="10538" width="0.5703125" style="103" customWidth="1"/>
    <col min="10539" max="10539" width="2.140625" style="103" customWidth="1"/>
    <col min="10540" max="10540" width="0.5703125" style="103" customWidth="1"/>
    <col min="10541" max="10541" width="2.28515625" style="103" customWidth="1"/>
    <col min="10542" max="10542" width="0.5703125" style="103" customWidth="1"/>
    <col min="10543" max="10543" width="2.140625" style="103" customWidth="1"/>
    <col min="10544" max="10544" width="0.5703125" style="103" customWidth="1"/>
    <col min="10545" max="10545" width="2.28515625" style="103" customWidth="1"/>
    <col min="10546" max="10546" width="0.5703125" style="103" customWidth="1"/>
    <col min="10547" max="10547" width="2.140625" style="103" customWidth="1"/>
    <col min="10548" max="10548" width="0.5703125" style="103" customWidth="1"/>
    <col min="10549" max="10549" width="2.28515625" style="103" customWidth="1"/>
    <col min="10550" max="10550" width="0.5703125" style="103" customWidth="1"/>
    <col min="10551" max="10551" width="2.140625" style="103" customWidth="1"/>
    <col min="10552" max="10552" width="0.5703125" style="103" customWidth="1"/>
    <col min="10553" max="10553" width="2.140625" style="103" customWidth="1"/>
    <col min="10554" max="10554" width="0.5703125" style="103" customWidth="1"/>
    <col min="10555" max="10555" width="2.28515625" style="103" customWidth="1"/>
    <col min="10556" max="10556" width="0.5703125" style="103" customWidth="1"/>
    <col min="10557" max="10557" width="2.140625" style="103" customWidth="1"/>
    <col min="10558" max="10558" width="0.5703125" style="103" customWidth="1"/>
    <col min="10559" max="10559" width="2.140625" style="103" customWidth="1"/>
    <col min="10560" max="10560" width="0.5703125" style="103" customWidth="1"/>
    <col min="10561" max="10561" width="2.140625" style="103" customWidth="1"/>
    <col min="10562" max="10562" width="0.5703125" style="103" customWidth="1"/>
    <col min="10563" max="10563" width="2.140625" style="103" customWidth="1"/>
    <col min="10564" max="10564" width="0.5703125" style="103" customWidth="1"/>
    <col min="10565" max="10565" width="2.28515625" style="103" customWidth="1"/>
    <col min="10566" max="10566" width="0.5703125" style="103" customWidth="1"/>
    <col min="10567" max="10567" width="2.140625" style="103" customWidth="1"/>
    <col min="10568" max="10568" width="0.5703125" style="103" customWidth="1"/>
    <col min="10569" max="10569" width="2.140625" style="103" customWidth="1"/>
    <col min="10570" max="10570" width="0.5703125" style="103" customWidth="1"/>
    <col min="10571" max="10571" width="2.140625" style="103" customWidth="1"/>
    <col min="10572" max="10572" width="0.42578125" style="103" customWidth="1"/>
    <col min="10573" max="10752" width="9.140625" style="103"/>
    <col min="10753" max="10753" width="0.7109375" style="103" customWidth="1"/>
    <col min="10754" max="10754" width="0.5703125" style="103" customWidth="1"/>
    <col min="10755" max="10755" width="2.140625" style="103" customWidth="1"/>
    <col min="10756" max="10756" width="0.5703125" style="103" customWidth="1"/>
    <col min="10757" max="10757" width="2.140625" style="103" customWidth="1"/>
    <col min="10758" max="10758" width="0.5703125" style="103" customWidth="1"/>
    <col min="10759" max="10759" width="2.140625" style="103" customWidth="1"/>
    <col min="10760" max="10760" width="0.5703125" style="103" customWidth="1"/>
    <col min="10761" max="10761" width="2.140625" style="103" customWidth="1"/>
    <col min="10762" max="10762" width="0.5703125" style="103" customWidth="1"/>
    <col min="10763" max="10763" width="2.140625" style="103" customWidth="1"/>
    <col min="10764" max="10764" width="0.5703125" style="103" customWidth="1"/>
    <col min="10765" max="10765" width="2.28515625" style="103" customWidth="1"/>
    <col min="10766" max="10766" width="0.5703125" style="103" customWidth="1"/>
    <col min="10767" max="10767" width="2.140625" style="103" customWidth="1"/>
    <col min="10768" max="10768" width="0.5703125" style="103" customWidth="1"/>
    <col min="10769" max="10769" width="2.140625" style="103" customWidth="1"/>
    <col min="10770" max="10770" width="0.5703125" style="103" customWidth="1"/>
    <col min="10771" max="10771" width="2.140625" style="103" customWidth="1"/>
    <col min="10772" max="10772" width="0.5703125" style="103" customWidth="1"/>
    <col min="10773" max="10773" width="2.140625" style="103" customWidth="1"/>
    <col min="10774" max="10774" width="0.5703125" style="103" customWidth="1"/>
    <col min="10775" max="10775" width="2.140625" style="103" customWidth="1"/>
    <col min="10776" max="10776" width="0.5703125" style="103" customWidth="1"/>
    <col min="10777" max="10777" width="2.140625" style="103" customWidth="1"/>
    <col min="10778" max="10778" width="0.5703125" style="103" customWidth="1"/>
    <col min="10779" max="10779" width="2.140625" style="103" customWidth="1"/>
    <col min="10780" max="10780" width="0.5703125" style="103" customWidth="1"/>
    <col min="10781" max="10781" width="2.28515625" style="103" customWidth="1"/>
    <col min="10782" max="10782" width="0.5703125" style="103" customWidth="1"/>
    <col min="10783" max="10783" width="2.28515625" style="103" customWidth="1"/>
    <col min="10784" max="10784" width="0.5703125" style="103" customWidth="1"/>
    <col min="10785" max="10785" width="2.28515625" style="103" customWidth="1"/>
    <col min="10786" max="10786" width="0.5703125" style="103" customWidth="1"/>
    <col min="10787" max="10787" width="2.140625" style="103" customWidth="1"/>
    <col min="10788" max="10788" width="0.5703125" style="103" customWidth="1"/>
    <col min="10789" max="10789" width="2.140625" style="103" customWidth="1"/>
    <col min="10790" max="10790" width="0.5703125" style="103" customWidth="1"/>
    <col min="10791" max="10791" width="2.28515625" style="103" customWidth="1"/>
    <col min="10792" max="10792" width="0.5703125" style="103" customWidth="1"/>
    <col min="10793" max="10793" width="2.140625" style="103" customWidth="1"/>
    <col min="10794" max="10794" width="0.5703125" style="103" customWidth="1"/>
    <col min="10795" max="10795" width="2.140625" style="103" customWidth="1"/>
    <col min="10796" max="10796" width="0.5703125" style="103" customWidth="1"/>
    <col min="10797" max="10797" width="2.28515625" style="103" customWidth="1"/>
    <col min="10798" max="10798" width="0.5703125" style="103" customWidth="1"/>
    <col min="10799" max="10799" width="2.140625" style="103" customWidth="1"/>
    <col min="10800" max="10800" width="0.5703125" style="103" customWidth="1"/>
    <col min="10801" max="10801" width="2.28515625" style="103" customWidth="1"/>
    <col min="10802" max="10802" width="0.5703125" style="103" customWidth="1"/>
    <col min="10803" max="10803" width="2.140625" style="103" customWidth="1"/>
    <col min="10804" max="10804" width="0.5703125" style="103" customWidth="1"/>
    <col min="10805" max="10805" width="2.28515625" style="103" customWidth="1"/>
    <col min="10806" max="10806" width="0.5703125" style="103" customWidth="1"/>
    <col min="10807" max="10807" width="2.140625" style="103" customWidth="1"/>
    <col min="10808" max="10808" width="0.5703125" style="103" customWidth="1"/>
    <col min="10809" max="10809" width="2.140625" style="103" customWidth="1"/>
    <col min="10810" max="10810" width="0.5703125" style="103" customWidth="1"/>
    <col min="10811" max="10811" width="2.28515625" style="103" customWidth="1"/>
    <col min="10812" max="10812" width="0.5703125" style="103" customWidth="1"/>
    <col min="10813" max="10813" width="2.140625" style="103" customWidth="1"/>
    <col min="10814" max="10814" width="0.5703125" style="103" customWidth="1"/>
    <col min="10815" max="10815" width="2.140625" style="103" customWidth="1"/>
    <col min="10816" max="10816" width="0.5703125" style="103" customWidth="1"/>
    <col min="10817" max="10817" width="2.140625" style="103" customWidth="1"/>
    <col min="10818" max="10818" width="0.5703125" style="103" customWidth="1"/>
    <col min="10819" max="10819" width="2.140625" style="103" customWidth="1"/>
    <col min="10820" max="10820" width="0.5703125" style="103" customWidth="1"/>
    <col min="10821" max="10821" width="2.28515625" style="103" customWidth="1"/>
    <col min="10822" max="10822" width="0.5703125" style="103" customWidth="1"/>
    <col min="10823" max="10823" width="2.140625" style="103" customWidth="1"/>
    <col min="10824" max="10824" width="0.5703125" style="103" customWidth="1"/>
    <col min="10825" max="10825" width="2.140625" style="103" customWidth="1"/>
    <col min="10826" max="10826" width="0.5703125" style="103" customWidth="1"/>
    <col min="10827" max="10827" width="2.140625" style="103" customWidth="1"/>
    <col min="10828" max="10828" width="0.42578125" style="103" customWidth="1"/>
    <col min="10829" max="11008" width="9.140625" style="103"/>
    <col min="11009" max="11009" width="0.7109375" style="103" customWidth="1"/>
    <col min="11010" max="11010" width="0.5703125" style="103" customWidth="1"/>
    <col min="11011" max="11011" width="2.140625" style="103" customWidth="1"/>
    <col min="11012" max="11012" width="0.5703125" style="103" customWidth="1"/>
    <col min="11013" max="11013" width="2.140625" style="103" customWidth="1"/>
    <col min="11014" max="11014" width="0.5703125" style="103" customWidth="1"/>
    <col min="11015" max="11015" width="2.140625" style="103" customWidth="1"/>
    <col min="11016" max="11016" width="0.5703125" style="103" customWidth="1"/>
    <col min="11017" max="11017" width="2.140625" style="103" customWidth="1"/>
    <col min="11018" max="11018" width="0.5703125" style="103" customWidth="1"/>
    <col min="11019" max="11019" width="2.140625" style="103" customWidth="1"/>
    <col min="11020" max="11020" width="0.5703125" style="103" customWidth="1"/>
    <col min="11021" max="11021" width="2.28515625" style="103" customWidth="1"/>
    <col min="11022" max="11022" width="0.5703125" style="103" customWidth="1"/>
    <col min="11023" max="11023" width="2.140625" style="103" customWidth="1"/>
    <col min="11024" max="11024" width="0.5703125" style="103" customWidth="1"/>
    <col min="11025" max="11025" width="2.140625" style="103" customWidth="1"/>
    <col min="11026" max="11026" width="0.5703125" style="103" customWidth="1"/>
    <col min="11027" max="11027" width="2.140625" style="103" customWidth="1"/>
    <col min="11028" max="11028" width="0.5703125" style="103" customWidth="1"/>
    <col min="11029" max="11029" width="2.140625" style="103" customWidth="1"/>
    <col min="11030" max="11030" width="0.5703125" style="103" customWidth="1"/>
    <col min="11031" max="11031" width="2.140625" style="103" customWidth="1"/>
    <col min="11032" max="11032" width="0.5703125" style="103" customWidth="1"/>
    <col min="11033" max="11033" width="2.140625" style="103" customWidth="1"/>
    <col min="11034" max="11034" width="0.5703125" style="103" customWidth="1"/>
    <col min="11035" max="11035" width="2.140625" style="103" customWidth="1"/>
    <col min="11036" max="11036" width="0.5703125" style="103" customWidth="1"/>
    <col min="11037" max="11037" width="2.28515625" style="103" customWidth="1"/>
    <col min="11038" max="11038" width="0.5703125" style="103" customWidth="1"/>
    <col min="11039" max="11039" width="2.28515625" style="103" customWidth="1"/>
    <col min="11040" max="11040" width="0.5703125" style="103" customWidth="1"/>
    <col min="11041" max="11041" width="2.28515625" style="103" customWidth="1"/>
    <col min="11042" max="11042" width="0.5703125" style="103" customWidth="1"/>
    <col min="11043" max="11043" width="2.140625" style="103" customWidth="1"/>
    <col min="11044" max="11044" width="0.5703125" style="103" customWidth="1"/>
    <col min="11045" max="11045" width="2.140625" style="103" customWidth="1"/>
    <col min="11046" max="11046" width="0.5703125" style="103" customWidth="1"/>
    <col min="11047" max="11047" width="2.28515625" style="103" customWidth="1"/>
    <col min="11048" max="11048" width="0.5703125" style="103" customWidth="1"/>
    <col min="11049" max="11049" width="2.140625" style="103" customWidth="1"/>
    <col min="11050" max="11050" width="0.5703125" style="103" customWidth="1"/>
    <col min="11051" max="11051" width="2.140625" style="103" customWidth="1"/>
    <col min="11052" max="11052" width="0.5703125" style="103" customWidth="1"/>
    <col min="11053" max="11053" width="2.28515625" style="103" customWidth="1"/>
    <col min="11054" max="11054" width="0.5703125" style="103" customWidth="1"/>
    <col min="11055" max="11055" width="2.140625" style="103" customWidth="1"/>
    <col min="11056" max="11056" width="0.5703125" style="103" customWidth="1"/>
    <col min="11057" max="11057" width="2.28515625" style="103" customWidth="1"/>
    <col min="11058" max="11058" width="0.5703125" style="103" customWidth="1"/>
    <col min="11059" max="11059" width="2.140625" style="103" customWidth="1"/>
    <col min="11060" max="11060" width="0.5703125" style="103" customWidth="1"/>
    <col min="11061" max="11061" width="2.28515625" style="103" customWidth="1"/>
    <col min="11062" max="11062" width="0.5703125" style="103" customWidth="1"/>
    <col min="11063" max="11063" width="2.140625" style="103" customWidth="1"/>
    <col min="11064" max="11064" width="0.5703125" style="103" customWidth="1"/>
    <col min="11065" max="11065" width="2.140625" style="103" customWidth="1"/>
    <col min="11066" max="11066" width="0.5703125" style="103" customWidth="1"/>
    <col min="11067" max="11067" width="2.28515625" style="103" customWidth="1"/>
    <col min="11068" max="11068" width="0.5703125" style="103" customWidth="1"/>
    <col min="11069" max="11069" width="2.140625" style="103" customWidth="1"/>
    <col min="11070" max="11070" width="0.5703125" style="103" customWidth="1"/>
    <col min="11071" max="11071" width="2.140625" style="103" customWidth="1"/>
    <col min="11072" max="11072" width="0.5703125" style="103" customWidth="1"/>
    <col min="11073" max="11073" width="2.140625" style="103" customWidth="1"/>
    <col min="11074" max="11074" width="0.5703125" style="103" customWidth="1"/>
    <col min="11075" max="11075" width="2.140625" style="103" customWidth="1"/>
    <col min="11076" max="11076" width="0.5703125" style="103" customWidth="1"/>
    <col min="11077" max="11077" width="2.28515625" style="103" customWidth="1"/>
    <col min="11078" max="11078" width="0.5703125" style="103" customWidth="1"/>
    <col min="11079" max="11079" width="2.140625" style="103" customWidth="1"/>
    <col min="11080" max="11080" width="0.5703125" style="103" customWidth="1"/>
    <col min="11081" max="11081" width="2.140625" style="103" customWidth="1"/>
    <col min="11082" max="11082" width="0.5703125" style="103" customWidth="1"/>
    <col min="11083" max="11083" width="2.140625" style="103" customWidth="1"/>
    <col min="11084" max="11084" width="0.42578125" style="103" customWidth="1"/>
    <col min="11085" max="11264" width="9.140625" style="103"/>
    <col min="11265" max="11265" width="0.7109375" style="103" customWidth="1"/>
    <col min="11266" max="11266" width="0.5703125" style="103" customWidth="1"/>
    <col min="11267" max="11267" width="2.140625" style="103" customWidth="1"/>
    <col min="11268" max="11268" width="0.5703125" style="103" customWidth="1"/>
    <col min="11269" max="11269" width="2.140625" style="103" customWidth="1"/>
    <col min="11270" max="11270" width="0.5703125" style="103" customWidth="1"/>
    <col min="11271" max="11271" width="2.140625" style="103" customWidth="1"/>
    <col min="11272" max="11272" width="0.5703125" style="103" customWidth="1"/>
    <col min="11273" max="11273" width="2.140625" style="103" customWidth="1"/>
    <col min="11274" max="11274" width="0.5703125" style="103" customWidth="1"/>
    <col min="11275" max="11275" width="2.140625" style="103" customWidth="1"/>
    <col min="11276" max="11276" width="0.5703125" style="103" customWidth="1"/>
    <col min="11277" max="11277" width="2.28515625" style="103" customWidth="1"/>
    <col min="11278" max="11278" width="0.5703125" style="103" customWidth="1"/>
    <col min="11279" max="11279" width="2.140625" style="103" customWidth="1"/>
    <col min="11280" max="11280" width="0.5703125" style="103" customWidth="1"/>
    <col min="11281" max="11281" width="2.140625" style="103" customWidth="1"/>
    <col min="11282" max="11282" width="0.5703125" style="103" customWidth="1"/>
    <col min="11283" max="11283" width="2.140625" style="103" customWidth="1"/>
    <col min="11284" max="11284" width="0.5703125" style="103" customWidth="1"/>
    <col min="11285" max="11285" width="2.140625" style="103" customWidth="1"/>
    <col min="11286" max="11286" width="0.5703125" style="103" customWidth="1"/>
    <col min="11287" max="11287" width="2.140625" style="103" customWidth="1"/>
    <col min="11288" max="11288" width="0.5703125" style="103" customWidth="1"/>
    <col min="11289" max="11289" width="2.140625" style="103" customWidth="1"/>
    <col min="11290" max="11290" width="0.5703125" style="103" customWidth="1"/>
    <col min="11291" max="11291" width="2.140625" style="103" customWidth="1"/>
    <col min="11292" max="11292" width="0.5703125" style="103" customWidth="1"/>
    <col min="11293" max="11293" width="2.28515625" style="103" customWidth="1"/>
    <col min="11294" max="11294" width="0.5703125" style="103" customWidth="1"/>
    <col min="11295" max="11295" width="2.28515625" style="103" customWidth="1"/>
    <col min="11296" max="11296" width="0.5703125" style="103" customWidth="1"/>
    <col min="11297" max="11297" width="2.28515625" style="103" customWidth="1"/>
    <col min="11298" max="11298" width="0.5703125" style="103" customWidth="1"/>
    <col min="11299" max="11299" width="2.140625" style="103" customWidth="1"/>
    <col min="11300" max="11300" width="0.5703125" style="103" customWidth="1"/>
    <col min="11301" max="11301" width="2.140625" style="103" customWidth="1"/>
    <col min="11302" max="11302" width="0.5703125" style="103" customWidth="1"/>
    <col min="11303" max="11303" width="2.28515625" style="103" customWidth="1"/>
    <col min="11304" max="11304" width="0.5703125" style="103" customWidth="1"/>
    <col min="11305" max="11305" width="2.140625" style="103" customWidth="1"/>
    <col min="11306" max="11306" width="0.5703125" style="103" customWidth="1"/>
    <col min="11307" max="11307" width="2.140625" style="103" customWidth="1"/>
    <col min="11308" max="11308" width="0.5703125" style="103" customWidth="1"/>
    <col min="11309" max="11309" width="2.28515625" style="103" customWidth="1"/>
    <col min="11310" max="11310" width="0.5703125" style="103" customWidth="1"/>
    <col min="11311" max="11311" width="2.140625" style="103" customWidth="1"/>
    <col min="11312" max="11312" width="0.5703125" style="103" customWidth="1"/>
    <col min="11313" max="11313" width="2.28515625" style="103" customWidth="1"/>
    <col min="11314" max="11314" width="0.5703125" style="103" customWidth="1"/>
    <col min="11315" max="11315" width="2.140625" style="103" customWidth="1"/>
    <col min="11316" max="11316" width="0.5703125" style="103" customWidth="1"/>
    <col min="11317" max="11317" width="2.28515625" style="103" customWidth="1"/>
    <col min="11318" max="11318" width="0.5703125" style="103" customWidth="1"/>
    <col min="11319" max="11319" width="2.140625" style="103" customWidth="1"/>
    <col min="11320" max="11320" width="0.5703125" style="103" customWidth="1"/>
    <col min="11321" max="11321" width="2.140625" style="103" customWidth="1"/>
    <col min="11322" max="11322" width="0.5703125" style="103" customWidth="1"/>
    <col min="11323" max="11323" width="2.28515625" style="103" customWidth="1"/>
    <col min="11324" max="11324" width="0.5703125" style="103" customWidth="1"/>
    <col min="11325" max="11325" width="2.140625" style="103" customWidth="1"/>
    <col min="11326" max="11326" width="0.5703125" style="103" customWidth="1"/>
    <col min="11327" max="11327" width="2.140625" style="103" customWidth="1"/>
    <col min="11328" max="11328" width="0.5703125" style="103" customWidth="1"/>
    <col min="11329" max="11329" width="2.140625" style="103" customWidth="1"/>
    <col min="11330" max="11330" width="0.5703125" style="103" customWidth="1"/>
    <col min="11331" max="11331" width="2.140625" style="103" customWidth="1"/>
    <col min="11332" max="11332" width="0.5703125" style="103" customWidth="1"/>
    <col min="11333" max="11333" width="2.28515625" style="103" customWidth="1"/>
    <col min="11334" max="11334" width="0.5703125" style="103" customWidth="1"/>
    <col min="11335" max="11335" width="2.140625" style="103" customWidth="1"/>
    <col min="11336" max="11336" width="0.5703125" style="103" customWidth="1"/>
    <col min="11337" max="11337" width="2.140625" style="103" customWidth="1"/>
    <col min="11338" max="11338" width="0.5703125" style="103" customWidth="1"/>
    <col min="11339" max="11339" width="2.140625" style="103" customWidth="1"/>
    <col min="11340" max="11340" width="0.42578125" style="103" customWidth="1"/>
    <col min="11341" max="11520" width="9.140625" style="103"/>
    <col min="11521" max="11521" width="0.7109375" style="103" customWidth="1"/>
    <col min="11522" max="11522" width="0.5703125" style="103" customWidth="1"/>
    <col min="11523" max="11523" width="2.140625" style="103" customWidth="1"/>
    <col min="11524" max="11524" width="0.5703125" style="103" customWidth="1"/>
    <col min="11525" max="11525" width="2.140625" style="103" customWidth="1"/>
    <col min="11526" max="11526" width="0.5703125" style="103" customWidth="1"/>
    <col min="11527" max="11527" width="2.140625" style="103" customWidth="1"/>
    <col min="11528" max="11528" width="0.5703125" style="103" customWidth="1"/>
    <col min="11529" max="11529" width="2.140625" style="103" customWidth="1"/>
    <col min="11530" max="11530" width="0.5703125" style="103" customWidth="1"/>
    <col min="11531" max="11531" width="2.140625" style="103" customWidth="1"/>
    <col min="11532" max="11532" width="0.5703125" style="103" customWidth="1"/>
    <col min="11533" max="11533" width="2.28515625" style="103" customWidth="1"/>
    <col min="11534" max="11534" width="0.5703125" style="103" customWidth="1"/>
    <col min="11535" max="11535" width="2.140625" style="103" customWidth="1"/>
    <col min="11536" max="11536" width="0.5703125" style="103" customWidth="1"/>
    <col min="11537" max="11537" width="2.140625" style="103" customWidth="1"/>
    <col min="11538" max="11538" width="0.5703125" style="103" customWidth="1"/>
    <col min="11539" max="11539" width="2.140625" style="103" customWidth="1"/>
    <col min="11540" max="11540" width="0.5703125" style="103" customWidth="1"/>
    <col min="11541" max="11541" width="2.140625" style="103" customWidth="1"/>
    <col min="11542" max="11542" width="0.5703125" style="103" customWidth="1"/>
    <col min="11543" max="11543" width="2.140625" style="103" customWidth="1"/>
    <col min="11544" max="11544" width="0.5703125" style="103" customWidth="1"/>
    <col min="11545" max="11545" width="2.140625" style="103" customWidth="1"/>
    <col min="11546" max="11546" width="0.5703125" style="103" customWidth="1"/>
    <col min="11547" max="11547" width="2.140625" style="103" customWidth="1"/>
    <col min="11548" max="11548" width="0.5703125" style="103" customWidth="1"/>
    <col min="11549" max="11549" width="2.28515625" style="103" customWidth="1"/>
    <col min="11550" max="11550" width="0.5703125" style="103" customWidth="1"/>
    <col min="11551" max="11551" width="2.28515625" style="103" customWidth="1"/>
    <col min="11552" max="11552" width="0.5703125" style="103" customWidth="1"/>
    <col min="11553" max="11553" width="2.28515625" style="103" customWidth="1"/>
    <col min="11554" max="11554" width="0.5703125" style="103" customWidth="1"/>
    <col min="11555" max="11555" width="2.140625" style="103" customWidth="1"/>
    <col min="11556" max="11556" width="0.5703125" style="103" customWidth="1"/>
    <col min="11557" max="11557" width="2.140625" style="103" customWidth="1"/>
    <col min="11558" max="11558" width="0.5703125" style="103" customWidth="1"/>
    <col min="11559" max="11559" width="2.28515625" style="103" customWidth="1"/>
    <col min="11560" max="11560" width="0.5703125" style="103" customWidth="1"/>
    <col min="11561" max="11561" width="2.140625" style="103" customWidth="1"/>
    <col min="11562" max="11562" width="0.5703125" style="103" customWidth="1"/>
    <col min="11563" max="11563" width="2.140625" style="103" customWidth="1"/>
    <col min="11564" max="11564" width="0.5703125" style="103" customWidth="1"/>
    <col min="11565" max="11565" width="2.28515625" style="103" customWidth="1"/>
    <col min="11566" max="11566" width="0.5703125" style="103" customWidth="1"/>
    <col min="11567" max="11567" width="2.140625" style="103" customWidth="1"/>
    <col min="11568" max="11568" width="0.5703125" style="103" customWidth="1"/>
    <col min="11569" max="11569" width="2.28515625" style="103" customWidth="1"/>
    <col min="11570" max="11570" width="0.5703125" style="103" customWidth="1"/>
    <col min="11571" max="11571" width="2.140625" style="103" customWidth="1"/>
    <col min="11572" max="11572" width="0.5703125" style="103" customWidth="1"/>
    <col min="11573" max="11573" width="2.28515625" style="103" customWidth="1"/>
    <col min="11574" max="11574" width="0.5703125" style="103" customWidth="1"/>
    <col min="11575" max="11575" width="2.140625" style="103" customWidth="1"/>
    <col min="11576" max="11576" width="0.5703125" style="103" customWidth="1"/>
    <col min="11577" max="11577" width="2.140625" style="103" customWidth="1"/>
    <col min="11578" max="11578" width="0.5703125" style="103" customWidth="1"/>
    <col min="11579" max="11579" width="2.28515625" style="103" customWidth="1"/>
    <col min="11580" max="11580" width="0.5703125" style="103" customWidth="1"/>
    <col min="11581" max="11581" width="2.140625" style="103" customWidth="1"/>
    <col min="11582" max="11582" width="0.5703125" style="103" customWidth="1"/>
    <col min="11583" max="11583" width="2.140625" style="103" customWidth="1"/>
    <col min="11584" max="11584" width="0.5703125" style="103" customWidth="1"/>
    <col min="11585" max="11585" width="2.140625" style="103" customWidth="1"/>
    <col min="11586" max="11586" width="0.5703125" style="103" customWidth="1"/>
    <col min="11587" max="11587" width="2.140625" style="103" customWidth="1"/>
    <col min="11588" max="11588" width="0.5703125" style="103" customWidth="1"/>
    <col min="11589" max="11589" width="2.28515625" style="103" customWidth="1"/>
    <col min="11590" max="11590" width="0.5703125" style="103" customWidth="1"/>
    <col min="11591" max="11591" width="2.140625" style="103" customWidth="1"/>
    <col min="11592" max="11592" width="0.5703125" style="103" customWidth="1"/>
    <col min="11593" max="11593" width="2.140625" style="103" customWidth="1"/>
    <col min="11594" max="11594" width="0.5703125" style="103" customWidth="1"/>
    <col min="11595" max="11595" width="2.140625" style="103" customWidth="1"/>
    <col min="11596" max="11596" width="0.42578125" style="103" customWidth="1"/>
    <col min="11597" max="11776" width="9.140625" style="103"/>
    <col min="11777" max="11777" width="0.7109375" style="103" customWidth="1"/>
    <col min="11778" max="11778" width="0.5703125" style="103" customWidth="1"/>
    <col min="11779" max="11779" width="2.140625" style="103" customWidth="1"/>
    <col min="11780" max="11780" width="0.5703125" style="103" customWidth="1"/>
    <col min="11781" max="11781" width="2.140625" style="103" customWidth="1"/>
    <col min="11782" max="11782" width="0.5703125" style="103" customWidth="1"/>
    <col min="11783" max="11783" width="2.140625" style="103" customWidth="1"/>
    <col min="11784" max="11784" width="0.5703125" style="103" customWidth="1"/>
    <col min="11785" max="11785" width="2.140625" style="103" customWidth="1"/>
    <col min="11786" max="11786" width="0.5703125" style="103" customWidth="1"/>
    <col min="11787" max="11787" width="2.140625" style="103" customWidth="1"/>
    <col min="11788" max="11788" width="0.5703125" style="103" customWidth="1"/>
    <col min="11789" max="11789" width="2.28515625" style="103" customWidth="1"/>
    <col min="11790" max="11790" width="0.5703125" style="103" customWidth="1"/>
    <col min="11791" max="11791" width="2.140625" style="103" customWidth="1"/>
    <col min="11792" max="11792" width="0.5703125" style="103" customWidth="1"/>
    <col min="11793" max="11793" width="2.140625" style="103" customWidth="1"/>
    <col min="11794" max="11794" width="0.5703125" style="103" customWidth="1"/>
    <col min="11795" max="11795" width="2.140625" style="103" customWidth="1"/>
    <col min="11796" max="11796" width="0.5703125" style="103" customWidth="1"/>
    <col min="11797" max="11797" width="2.140625" style="103" customWidth="1"/>
    <col min="11798" max="11798" width="0.5703125" style="103" customWidth="1"/>
    <col min="11799" max="11799" width="2.140625" style="103" customWidth="1"/>
    <col min="11800" max="11800" width="0.5703125" style="103" customWidth="1"/>
    <col min="11801" max="11801" width="2.140625" style="103" customWidth="1"/>
    <col min="11802" max="11802" width="0.5703125" style="103" customWidth="1"/>
    <col min="11803" max="11803" width="2.140625" style="103" customWidth="1"/>
    <col min="11804" max="11804" width="0.5703125" style="103" customWidth="1"/>
    <col min="11805" max="11805" width="2.28515625" style="103" customWidth="1"/>
    <col min="11806" max="11806" width="0.5703125" style="103" customWidth="1"/>
    <col min="11807" max="11807" width="2.28515625" style="103" customWidth="1"/>
    <col min="11808" max="11808" width="0.5703125" style="103" customWidth="1"/>
    <col min="11809" max="11809" width="2.28515625" style="103" customWidth="1"/>
    <col min="11810" max="11810" width="0.5703125" style="103" customWidth="1"/>
    <col min="11811" max="11811" width="2.140625" style="103" customWidth="1"/>
    <col min="11812" max="11812" width="0.5703125" style="103" customWidth="1"/>
    <col min="11813" max="11813" width="2.140625" style="103" customWidth="1"/>
    <col min="11814" max="11814" width="0.5703125" style="103" customWidth="1"/>
    <col min="11815" max="11815" width="2.28515625" style="103" customWidth="1"/>
    <col min="11816" max="11816" width="0.5703125" style="103" customWidth="1"/>
    <col min="11817" max="11817" width="2.140625" style="103" customWidth="1"/>
    <col min="11818" max="11818" width="0.5703125" style="103" customWidth="1"/>
    <col min="11819" max="11819" width="2.140625" style="103" customWidth="1"/>
    <col min="11820" max="11820" width="0.5703125" style="103" customWidth="1"/>
    <col min="11821" max="11821" width="2.28515625" style="103" customWidth="1"/>
    <col min="11822" max="11822" width="0.5703125" style="103" customWidth="1"/>
    <col min="11823" max="11823" width="2.140625" style="103" customWidth="1"/>
    <col min="11824" max="11824" width="0.5703125" style="103" customWidth="1"/>
    <col min="11825" max="11825" width="2.28515625" style="103" customWidth="1"/>
    <col min="11826" max="11826" width="0.5703125" style="103" customWidth="1"/>
    <col min="11827" max="11827" width="2.140625" style="103" customWidth="1"/>
    <col min="11828" max="11828" width="0.5703125" style="103" customWidth="1"/>
    <col min="11829" max="11829" width="2.28515625" style="103" customWidth="1"/>
    <col min="11830" max="11830" width="0.5703125" style="103" customWidth="1"/>
    <col min="11831" max="11831" width="2.140625" style="103" customWidth="1"/>
    <col min="11832" max="11832" width="0.5703125" style="103" customWidth="1"/>
    <col min="11833" max="11833" width="2.140625" style="103" customWidth="1"/>
    <col min="11834" max="11834" width="0.5703125" style="103" customWidth="1"/>
    <col min="11835" max="11835" width="2.28515625" style="103" customWidth="1"/>
    <col min="11836" max="11836" width="0.5703125" style="103" customWidth="1"/>
    <col min="11837" max="11837" width="2.140625" style="103" customWidth="1"/>
    <col min="11838" max="11838" width="0.5703125" style="103" customWidth="1"/>
    <col min="11839" max="11839" width="2.140625" style="103" customWidth="1"/>
    <col min="11840" max="11840" width="0.5703125" style="103" customWidth="1"/>
    <col min="11841" max="11841" width="2.140625" style="103" customWidth="1"/>
    <col min="11842" max="11842" width="0.5703125" style="103" customWidth="1"/>
    <col min="11843" max="11843" width="2.140625" style="103" customWidth="1"/>
    <col min="11844" max="11844" width="0.5703125" style="103" customWidth="1"/>
    <col min="11845" max="11845" width="2.28515625" style="103" customWidth="1"/>
    <col min="11846" max="11846" width="0.5703125" style="103" customWidth="1"/>
    <col min="11847" max="11847" width="2.140625" style="103" customWidth="1"/>
    <col min="11848" max="11848" width="0.5703125" style="103" customWidth="1"/>
    <col min="11849" max="11849" width="2.140625" style="103" customWidth="1"/>
    <col min="11850" max="11850" width="0.5703125" style="103" customWidth="1"/>
    <col min="11851" max="11851" width="2.140625" style="103" customWidth="1"/>
    <col min="11852" max="11852" width="0.42578125" style="103" customWidth="1"/>
    <col min="11853" max="12032" width="9.140625" style="103"/>
    <col min="12033" max="12033" width="0.7109375" style="103" customWidth="1"/>
    <col min="12034" max="12034" width="0.5703125" style="103" customWidth="1"/>
    <col min="12035" max="12035" width="2.140625" style="103" customWidth="1"/>
    <col min="12036" max="12036" width="0.5703125" style="103" customWidth="1"/>
    <col min="12037" max="12037" width="2.140625" style="103" customWidth="1"/>
    <col min="12038" max="12038" width="0.5703125" style="103" customWidth="1"/>
    <col min="12039" max="12039" width="2.140625" style="103" customWidth="1"/>
    <col min="12040" max="12040" width="0.5703125" style="103" customWidth="1"/>
    <col min="12041" max="12041" width="2.140625" style="103" customWidth="1"/>
    <col min="12042" max="12042" width="0.5703125" style="103" customWidth="1"/>
    <col min="12043" max="12043" width="2.140625" style="103" customWidth="1"/>
    <col min="12044" max="12044" width="0.5703125" style="103" customWidth="1"/>
    <col min="12045" max="12045" width="2.28515625" style="103" customWidth="1"/>
    <col min="12046" max="12046" width="0.5703125" style="103" customWidth="1"/>
    <col min="12047" max="12047" width="2.140625" style="103" customWidth="1"/>
    <col min="12048" max="12048" width="0.5703125" style="103" customWidth="1"/>
    <col min="12049" max="12049" width="2.140625" style="103" customWidth="1"/>
    <col min="12050" max="12050" width="0.5703125" style="103" customWidth="1"/>
    <col min="12051" max="12051" width="2.140625" style="103" customWidth="1"/>
    <col min="12052" max="12052" width="0.5703125" style="103" customWidth="1"/>
    <col min="12053" max="12053" width="2.140625" style="103" customWidth="1"/>
    <col min="12054" max="12054" width="0.5703125" style="103" customWidth="1"/>
    <col min="12055" max="12055" width="2.140625" style="103" customWidth="1"/>
    <col min="12056" max="12056" width="0.5703125" style="103" customWidth="1"/>
    <col min="12057" max="12057" width="2.140625" style="103" customWidth="1"/>
    <col min="12058" max="12058" width="0.5703125" style="103" customWidth="1"/>
    <col min="12059" max="12059" width="2.140625" style="103" customWidth="1"/>
    <col min="12060" max="12060" width="0.5703125" style="103" customWidth="1"/>
    <col min="12061" max="12061" width="2.28515625" style="103" customWidth="1"/>
    <col min="12062" max="12062" width="0.5703125" style="103" customWidth="1"/>
    <col min="12063" max="12063" width="2.28515625" style="103" customWidth="1"/>
    <col min="12064" max="12064" width="0.5703125" style="103" customWidth="1"/>
    <col min="12065" max="12065" width="2.28515625" style="103" customWidth="1"/>
    <col min="12066" max="12066" width="0.5703125" style="103" customWidth="1"/>
    <col min="12067" max="12067" width="2.140625" style="103" customWidth="1"/>
    <col min="12068" max="12068" width="0.5703125" style="103" customWidth="1"/>
    <col min="12069" max="12069" width="2.140625" style="103" customWidth="1"/>
    <col min="12070" max="12070" width="0.5703125" style="103" customWidth="1"/>
    <col min="12071" max="12071" width="2.28515625" style="103" customWidth="1"/>
    <col min="12072" max="12072" width="0.5703125" style="103" customWidth="1"/>
    <col min="12073" max="12073" width="2.140625" style="103" customWidth="1"/>
    <col min="12074" max="12074" width="0.5703125" style="103" customWidth="1"/>
    <col min="12075" max="12075" width="2.140625" style="103" customWidth="1"/>
    <col min="12076" max="12076" width="0.5703125" style="103" customWidth="1"/>
    <col min="12077" max="12077" width="2.28515625" style="103" customWidth="1"/>
    <col min="12078" max="12078" width="0.5703125" style="103" customWidth="1"/>
    <col min="12079" max="12079" width="2.140625" style="103" customWidth="1"/>
    <col min="12080" max="12080" width="0.5703125" style="103" customWidth="1"/>
    <col min="12081" max="12081" width="2.28515625" style="103" customWidth="1"/>
    <col min="12082" max="12082" width="0.5703125" style="103" customWidth="1"/>
    <col min="12083" max="12083" width="2.140625" style="103" customWidth="1"/>
    <col min="12084" max="12084" width="0.5703125" style="103" customWidth="1"/>
    <col min="12085" max="12085" width="2.28515625" style="103" customWidth="1"/>
    <col min="12086" max="12086" width="0.5703125" style="103" customWidth="1"/>
    <col min="12087" max="12087" width="2.140625" style="103" customWidth="1"/>
    <col min="12088" max="12088" width="0.5703125" style="103" customWidth="1"/>
    <col min="12089" max="12089" width="2.140625" style="103" customWidth="1"/>
    <col min="12090" max="12090" width="0.5703125" style="103" customWidth="1"/>
    <col min="12091" max="12091" width="2.28515625" style="103" customWidth="1"/>
    <col min="12092" max="12092" width="0.5703125" style="103" customWidth="1"/>
    <col min="12093" max="12093" width="2.140625" style="103" customWidth="1"/>
    <col min="12094" max="12094" width="0.5703125" style="103" customWidth="1"/>
    <col min="12095" max="12095" width="2.140625" style="103" customWidth="1"/>
    <col min="12096" max="12096" width="0.5703125" style="103" customWidth="1"/>
    <col min="12097" max="12097" width="2.140625" style="103" customWidth="1"/>
    <col min="12098" max="12098" width="0.5703125" style="103" customWidth="1"/>
    <col min="12099" max="12099" width="2.140625" style="103" customWidth="1"/>
    <col min="12100" max="12100" width="0.5703125" style="103" customWidth="1"/>
    <col min="12101" max="12101" width="2.28515625" style="103" customWidth="1"/>
    <col min="12102" max="12102" width="0.5703125" style="103" customWidth="1"/>
    <col min="12103" max="12103" width="2.140625" style="103" customWidth="1"/>
    <col min="12104" max="12104" width="0.5703125" style="103" customWidth="1"/>
    <col min="12105" max="12105" width="2.140625" style="103" customWidth="1"/>
    <col min="12106" max="12106" width="0.5703125" style="103" customWidth="1"/>
    <col min="12107" max="12107" width="2.140625" style="103" customWidth="1"/>
    <col min="12108" max="12108" width="0.42578125" style="103" customWidth="1"/>
    <col min="12109" max="12288" width="9.140625" style="103"/>
    <col min="12289" max="12289" width="0.7109375" style="103" customWidth="1"/>
    <col min="12290" max="12290" width="0.5703125" style="103" customWidth="1"/>
    <col min="12291" max="12291" width="2.140625" style="103" customWidth="1"/>
    <col min="12292" max="12292" width="0.5703125" style="103" customWidth="1"/>
    <col min="12293" max="12293" width="2.140625" style="103" customWidth="1"/>
    <col min="12294" max="12294" width="0.5703125" style="103" customWidth="1"/>
    <col min="12295" max="12295" width="2.140625" style="103" customWidth="1"/>
    <col min="12296" max="12296" width="0.5703125" style="103" customWidth="1"/>
    <col min="12297" max="12297" width="2.140625" style="103" customWidth="1"/>
    <col min="12298" max="12298" width="0.5703125" style="103" customWidth="1"/>
    <col min="12299" max="12299" width="2.140625" style="103" customWidth="1"/>
    <col min="12300" max="12300" width="0.5703125" style="103" customWidth="1"/>
    <col min="12301" max="12301" width="2.28515625" style="103" customWidth="1"/>
    <col min="12302" max="12302" width="0.5703125" style="103" customWidth="1"/>
    <col min="12303" max="12303" width="2.140625" style="103" customWidth="1"/>
    <col min="12304" max="12304" width="0.5703125" style="103" customWidth="1"/>
    <col min="12305" max="12305" width="2.140625" style="103" customWidth="1"/>
    <col min="12306" max="12306" width="0.5703125" style="103" customWidth="1"/>
    <col min="12307" max="12307" width="2.140625" style="103" customWidth="1"/>
    <col min="12308" max="12308" width="0.5703125" style="103" customWidth="1"/>
    <col min="12309" max="12309" width="2.140625" style="103" customWidth="1"/>
    <col min="12310" max="12310" width="0.5703125" style="103" customWidth="1"/>
    <col min="12311" max="12311" width="2.140625" style="103" customWidth="1"/>
    <col min="12312" max="12312" width="0.5703125" style="103" customWidth="1"/>
    <col min="12313" max="12313" width="2.140625" style="103" customWidth="1"/>
    <col min="12314" max="12314" width="0.5703125" style="103" customWidth="1"/>
    <col min="12315" max="12315" width="2.140625" style="103" customWidth="1"/>
    <col min="12316" max="12316" width="0.5703125" style="103" customWidth="1"/>
    <col min="12317" max="12317" width="2.28515625" style="103" customWidth="1"/>
    <col min="12318" max="12318" width="0.5703125" style="103" customWidth="1"/>
    <col min="12319" max="12319" width="2.28515625" style="103" customWidth="1"/>
    <col min="12320" max="12320" width="0.5703125" style="103" customWidth="1"/>
    <col min="12321" max="12321" width="2.28515625" style="103" customWidth="1"/>
    <col min="12322" max="12322" width="0.5703125" style="103" customWidth="1"/>
    <col min="12323" max="12323" width="2.140625" style="103" customWidth="1"/>
    <col min="12324" max="12324" width="0.5703125" style="103" customWidth="1"/>
    <col min="12325" max="12325" width="2.140625" style="103" customWidth="1"/>
    <col min="12326" max="12326" width="0.5703125" style="103" customWidth="1"/>
    <col min="12327" max="12327" width="2.28515625" style="103" customWidth="1"/>
    <col min="12328" max="12328" width="0.5703125" style="103" customWidth="1"/>
    <col min="12329" max="12329" width="2.140625" style="103" customWidth="1"/>
    <col min="12330" max="12330" width="0.5703125" style="103" customWidth="1"/>
    <col min="12331" max="12331" width="2.140625" style="103" customWidth="1"/>
    <col min="12332" max="12332" width="0.5703125" style="103" customWidth="1"/>
    <col min="12333" max="12333" width="2.28515625" style="103" customWidth="1"/>
    <col min="12334" max="12334" width="0.5703125" style="103" customWidth="1"/>
    <col min="12335" max="12335" width="2.140625" style="103" customWidth="1"/>
    <col min="12336" max="12336" width="0.5703125" style="103" customWidth="1"/>
    <col min="12337" max="12337" width="2.28515625" style="103" customWidth="1"/>
    <col min="12338" max="12338" width="0.5703125" style="103" customWidth="1"/>
    <col min="12339" max="12339" width="2.140625" style="103" customWidth="1"/>
    <col min="12340" max="12340" width="0.5703125" style="103" customWidth="1"/>
    <col min="12341" max="12341" width="2.28515625" style="103" customWidth="1"/>
    <col min="12342" max="12342" width="0.5703125" style="103" customWidth="1"/>
    <col min="12343" max="12343" width="2.140625" style="103" customWidth="1"/>
    <col min="12344" max="12344" width="0.5703125" style="103" customWidth="1"/>
    <col min="12345" max="12345" width="2.140625" style="103" customWidth="1"/>
    <col min="12346" max="12346" width="0.5703125" style="103" customWidth="1"/>
    <col min="12347" max="12347" width="2.28515625" style="103" customWidth="1"/>
    <col min="12348" max="12348" width="0.5703125" style="103" customWidth="1"/>
    <col min="12349" max="12349" width="2.140625" style="103" customWidth="1"/>
    <col min="12350" max="12350" width="0.5703125" style="103" customWidth="1"/>
    <col min="12351" max="12351" width="2.140625" style="103" customWidth="1"/>
    <col min="12352" max="12352" width="0.5703125" style="103" customWidth="1"/>
    <col min="12353" max="12353" width="2.140625" style="103" customWidth="1"/>
    <col min="12354" max="12354" width="0.5703125" style="103" customWidth="1"/>
    <col min="12355" max="12355" width="2.140625" style="103" customWidth="1"/>
    <col min="12356" max="12356" width="0.5703125" style="103" customWidth="1"/>
    <col min="12357" max="12357" width="2.28515625" style="103" customWidth="1"/>
    <col min="12358" max="12358" width="0.5703125" style="103" customWidth="1"/>
    <col min="12359" max="12359" width="2.140625" style="103" customWidth="1"/>
    <col min="12360" max="12360" width="0.5703125" style="103" customWidth="1"/>
    <col min="12361" max="12361" width="2.140625" style="103" customWidth="1"/>
    <col min="12362" max="12362" width="0.5703125" style="103" customWidth="1"/>
    <col min="12363" max="12363" width="2.140625" style="103" customWidth="1"/>
    <col min="12364" max="12364" width="0.42578125" style="103" customWidth="1"/>
    <col min="12365" max="12544" width="9.140625" style="103"/>
    <col min="12545" max="12545" width="0.7109375" style="103" customWidth="1"/>
    <col min="12546" max="12546" width="0.5703125" style="103" customWidth="1"/>
    <col min="12547" max="12547" width="2.140625" style="103" customWidth="1"/>
    <col min="12548" max="12548" width="0.5703125" style="103" customWidth="1"/>
    <col min="12549" max="12549" width="2.140625" style="103" customWidth="1"/>
    <col min="12550" max="12550" width="0.5703125" style="103" customWidth="1"/>
    <col min="12551" max="12551" width="2.140625" style="103" customWidth="1"/>
    <col min="12552" max="12552" width="0.5703125" style="103" customWidth="1"/>
    <col min="12553" max="12553" width="2.140625" style="103" customWidth="1"/>
    <col min="12554" max="12554" width="0.5703125" style="103" customWidth="1"/>
    <col min="12555" max="12555" width="2.140625" style="103" customWidth="1"/>
    <col min="12556" max="12556" width="0.5703125" style="103" customWidth="1"/>
    <col min="12557" max="12557" width="2.28515625" style="103" customWidth="1"/>
    <col min="12558" max="12558" width="0.5703125" style="103" customWidth="1"/>
    <col min="12559" max="12559" width="2.140625" style="103" customWidth="1"/>
    <col min="12560" max="12560" width="0.5703125" style="103" customWidth="1"/>
    <col min="12561" max="12561" width="2.140625" style="103" customWidth="1"/>
    <col min="12562" max="12562" width="0.5703125" style="103" customWidth="1"/>
    <col min="12563" max="12563" width="2.140625" style="103" customWidth="1"/>
    <col min="12564" max="12564" width="0.5703125" style="103" customWidth="1"/>
    <col min="12565" max="12565" width="2.140625" style="103" customWidth="1"/>
    <col min="12566" max="12566" width="0.5703125" style="103" customWidth="1"/>
    <col min="12567" max="12567" width="2.140625" style="103" customWidth="1"/>
    <col min="12568" max="12568" width="0.5703125" style="103" customWidth="1"/>
    <col min="12569" max="12569" width="2.140625" style="103" customWidth="1"/>
    <col min="12570" max="12570" width="0.5703125" style="103" customWidth="1"/>
    <col min="12571" max="12571" width="2.140625" style="103" customWidth="1"/>
    <col min="12572" max="12572" width="0.5703125" style="103" customWidth="1"/>
    <col min="12573" max="12573" width="2.28515625" style="103" customWidth="1"/>
    <col min="12574" max="12574" width="0.5703125" style="103" customWidth="1"/>
    <col min="12575" max="12575" width="2.28515625" style="103" customWidth="1"/>
    <col min="12576" max="12576" width="0.5703125" style="103" customWidth="1"/>
    <col min="12577" max="12577" width="2.28515625" style="103" customWidth="1"/>
    <col min="12578" max="12578" width="0.5703125" style="103" customWidth="1"/>
    <col min="12579" max="12579" width="2.140625" style="103" customWidth="1"/>
    <col min="12580" max="12580" width="0.5703125" style="103" customWidth="1"/>
    <col min="12581" max="12581" width="2.140625" style="103" customWidth="1"/>
    <col min="12582" max="12582" width="0.5703125" style="103" customWidth="1"/>
    <col min="12583" max="12583" width="2.28515625" style="103" customWidth="1"/>
    <col min="12584" max="12584" width="0.5703125" style="103" customWidth="1"/>
    <col min="12585" max="12585" width="2.140625" style="103" customWidth="1"/>
    <col min="12586" max="12586" width="0.5703125" style="103" customWidth="1"/>
    <col min="12587" max="12587" width="2.140625" style="103" customWidth="1"/>
    <col min="12588" max="12588" width="0.5703125" style="103" customWidth="1"/>
    <col min="12589" max="12589" width="2.28515625" style="103" customWidth="1"/>
    <col min="12590" max="12590" width="0.5703125" style="103" customWidth="1"/>
    <col min="12591" max="12591" width="2.140625" style="103" customWidth="1"/>
    <col min="12592" max="12592" width="0.5703125" style="103" customWidth="1"/>
    <col min="12593" max="12593" width="2.28515625" style="103" customWidth="1"/>
    <col min="12594" max="12594" width="0.5703125" style="103" customWidth="1"/>
    <col min="12595" max="12595" width="2.140625" style="103" customWidth="1"/>
    <col min="12596" max="12596" width="0.5703125" style="103" customWidth="1"/>
    <col min="12597" max="12597" width="2.28515625" style="103" customWidth="1"/>
    <col min="12598" max="12598" width="0.5703125" style="103" customWidth="1"/>
    <col min="12599" max="12599" width="2.140625" style="103" customWidth="1"/>
    <col min="12600" max="12600" width="0.5703125" style="103" customWidth="1"/>
    <col min="12601" max="12601" width="2.140625" style="103" customWidth="1"/>
    <col min="12602" max="12602" width="0.5703125" style="103" customWidth="1"/>
    <col min="12603" max="12603" width="2.28515625" style="103" customWidth="1"/>
    <col min="12604" max="12604" width="0.5703125" style="103" customWidth="1"/>
    <col min="12605" max="12605" width="2.140625" style="103" customWidth="1"/>
    <col min="12606" max="12606" width="0.5703125" style="103" customWidth="1"/>
    <col min="12607" max="12607" width="2.140625" style="103" customWidth="1"/>
    <col min="12608" max="12608" width="0.5703125" style="103" customWidth="1"/>
    <col min="12609" max="12609" width="2.140625" style="103" customWidth="1"/>
    <col min="12610" max="12610" width="0.5703125" style="103" customWidth="1"/>
    <col min="12611" max="12611" width="2.140625" style="103" customWidth="1"/>
    <col min="12612" max="12612" width="0.5703125" style="103" customWidth="1"/>
    <col min="12613" max="12613" width="2.28515625" style="103" customWidth="1"/>
    <col min="12614" max="12614" width="0.5703125" style="103" customWidth="1"/>
    <col min="12615" max="12615" width="2.140625" style="103" customWidth="1"/>
    <col min="12616" max="12616" width="0.5703125" style="103" customWidth="1"/>
    <col min="12617" max="12617" width="2.140625" style="103" customWidth="1"/>
    <col min="12618" max="12618" width="0.5703125" style="103" customWidth="1"/>
    <col min="12619" max="12619" width="2.140625" style="103" customWidth="1"/>
    <col min="12620" max="12620" width="0.42578125" style="103" customWidth="1"/>
    <col min="12621" max="12800" width="9.140625" style="103"/>
    <col min="12801" max="12801" width="0.7109375" style="103" customWidth="1"/>
    <col min="12802" max="12802" width="0.5703125" style="103" customWidth="1"/>
    <col min="12803" max="12803" width="2.140625" style="103" customWidth="1"/>
    <col min="12804" max="12804" width="0.5703125" style="103" customWidth="1"/>
    <col min="12805" max="12805" width="2.140625" style="103" customWidth="1"/>
    <col min="12806" max="12806" width="0.5703125" style="103" customWidth="1"/>
    <col min="12807" max="12807" width="2.140625" style="103" customWidth="1"/>
    <col min="12808" max="12808" width="0.5703125" style="103" customWidth="1"/>
    <col min="12809" max="12809" width="2.140625" style="103" customWidth="1"/>
    <col min="12810" max="12810" width="0.5703125" style="103" customWidth="1"/>
    <col min="12811" max="12811" width="2.140625" style="103" customWidth="1"/>
    <col min="12812" max="12812" width="0.5703125" style="103" customWidth="1"/>
    <col min="12813" max="12813" width="2.28515625" style="103" customWidth="1"/>
    <col min="12814" max="12814" width="0.5703125" style="103" customWidth="1"/>
    <col min="12815" max="12815" width="2.140625" style="103" customWidth="1"/>
    <col min="12816" max="12816" width="0.5703125" style="103" customWidth="1"/>
    <col min="12817" max="12817" width="2.140625" style="103" customWidth="1"/>
    <col min="12818" max="12818" width="0.5703125" style="103" customWidth="1"/>
    <col min="12819" max="12819" width="2.140625" style="103" customWidth="1"/>
    <col min="12820" max="12820" width="0.5703125" style="103" customWidth="1"/>
    <col min="12821" max="12821" width="2.140625" style="103" customWidth="1"/>
    <col min="12822" max="12822" width="0.5703125" style="103" customWidth="1"/>
    <col min="12823" max="12823" width="2.140625" style="103" customWidth="1"/>
    <col min="12824" max="12824" width="0.5703125" style="103" customWidth="1"/>
    <col min="12825" max="12825" width="2.140625" style="103" customWidth="1"/>
    <col min="12826" max="12826" width="0.5703125" style="103" customWidth="1"/>
    <col min="12827" max="12827" width="2.140625" style="103" customWidth="1"/>
    <col min="12828" max="12828" width="0.5703125" style="103" customWidth="1"/>
    <col min="12829" max="12829" width="2.28515625" style="103" customWidth="1"/>
    <col min="12830" max="12830" width="0.5703125" style="103" customWidth="1"/>
    <col min="12831" max="12831" width="2.28515625" style="103" customWidth="1"/>
    <col min="12832" max="12832" width="0.5703125" style="103" customWidth="1"/>
    <col min="12833" max="12833" width="2.28515625" style="103" customWidth="1"/>
    <col min="12834" max="12834" width="0.5703125" style="103" customWidth="1"/>
    <col min="12835" max="12835" width="2.140625" style="103" customWidth="1"/>
    <col min="12836" max="12836" width="0.5703125" style="103" customWidth="1"/>
    <col min="12837" max="12837" width="2.140625" style="103" customWidth="1"/>
    <col min="12838" max="12838" width="0.5703125" style="103" customWidth="1"/>
    <col min="12839" max="12839" width="2.28515625" style="103" customWidth="1"/>
    <col min="12840" max="12840" width="0.5703125" style="103" customWidth="1"/>
    <col min="12841" max="12841" width="2.140625" style="103" customWidth="1"/>
    <col min="12842" max="12842" width="0.5703125" style="103" customWidth="1"/>
    <col min="12843" max="12843" width="2.140625" style="103" customWidth="1"/>
    <col min="12844" max="12844" width="0.5703125" style="103" customWidth="1"/>
    <col min="12845" max="12845" width="2.28515625" style="103" customWidth="1"/>
    <col min="12846" max="12846" width="0.5703125" style="103" customWidth="1"/>
    <col min="12847" max="12847" width="2.140625" style="103" customWidth="1"/>
    <col min="12848" max="12848" width="0.5703125" style="103" customWidth="1"/>
    <col min="12849" max="12849" width="2.28515625" style="103" customWidth="1"/>
    <col min="12850" max="12850" width="0.5703125" style="103" customWidth="1"/>
    <col min="12851" max="12851" width="2.140625" style="103" customWidth="1"/>
    <col min="12852" max="12852" width="0.5703125" style="103" customWidth="1"/>
    <col min="12853" max="12853" width="2.28515625" style="103" customWidth="1"/>
    <col min="12854" max="12854" width="0.5703125" style="103" customWidth="1"/>
    <col min="12855" max="12855" width="2.140625" style="103" customWidth="1"/>
    <col min="12856" max="12856" width="0.5703125" style="103" customWidth="1"/>
    <col min="12857" max="12857" width="2.140625" style="103" customWidth="1"/>
    <col min="12858" max="12858" width="0.5703125" style="103" customWidth="1"/>
    <col min="12859" max="12859" width="2.28515625" style="103" customWidth="1"/>
    <col min="12860" max="12860" width="0.5703125" style="103" customWidth="1"/>
    <col min="12861" max="12861" width="2.140625" style="103" customWidth="1"/>
    <col min="12862" max="12862" width="0.5703125" style="103" customWidth="1"/>
    <col min="12863" max="12863" width="2.140625" style="103" customWidth="1"/>
    <col min="12864" max="12864" width="0.5703125" style="103" customWidth="1"/>
    <col min="12865" max="12865" width="2.140625" style="103" customWidth="1"/>
    <col min="12866" max="12866" width="0.5703125" style="103" customWidth="1"/>
    <col min="12867" max="12867" width="2.140625" style="103" customWidth="1"/>
    <col min="12868" max="12868" width="0.5703125" style="103" customWidth="1"/>
    <col min="12869" max="12869" width="2.28515625" style="103" customWidth="1"/>
    <col min="12870" max="12870" width="0.5703125" style="103" customWidth="1"/>
    <col min="12871" max="12871" width="2.140625" style="103" customWidth="1"/>
    <col min="12872" max="12872" width="0.5703125" style="103" customWidth="1"/>
    <col min="12873" max="12873" width="2.140625" style="103" customWidth="1"/>
    <col min="12874" max="12874" width="0.5703125" style="103" customWidth="1"/>
    <col min="12875" max="12875" width="2.140625" style="103" customWidth="1"/>
    <col min="12876" max="12876" width="0.42578125" style="103" customWidth="1"/>
    <col min="12877" max="13056" width="9.140625" style="103"/>
    <col min="13057" max="13057" width="0.7109375" style="103" customWidth="1"/>
    <col min="13058" max="13058" width="0.5703125" style="103" customWidth="1"/>
    <col min="13059" max="13059" width="2.140625" style="103" customWidth="1"/>
    <col min="13060" max="13060" width="0.5703125" style="103" customWidth="1"/>
    <col min="13061" max="13061" width="2.140625" style="103" customWidth="1"/>
    <col min="13062" max="13062" width="0.5703125" style="103" customWidth="1"/>
    <col min="13063" max="13063" width="2.140625" style="103" customWidth="1"/>
    <col min="13064" max="13064" width="0.5703125" style="103" customWidth="1"/>
    <col min="13065" max="13065" width="2.140625" style="103" customWidth="1"/>
    <col min="13066" max="13066" width="0.5703125" style="103" customWidth="1"/>
    <col min="13067" max="13067" width="2.140625" style="103" customWidth="1"/>
    <col min="13068" max="13068" width="0.5703125" style="103" customWidth="1"/>
    <col min="13069" max="13069" width="2.28515625" style="103" customWidth="1"/>
    <col min="13070" max="13070" width="0.5703125" style="103" customWidth="1"/>
    <col min="13071" max="13071" width="2.140625" style="103" customWidth="1"/>
    <col min="13072" max="13072" width="0.5703125" style="103" customWidth="1"/>
    <col min="13073" max="13073" width="2.140625" style="103" customWidth="1"/>
    <col min="13074" max="13074" width="0.5703125" style="103" customWidth="1"/>
    <col min="13075" max="13075" width="2.140625" style="103" customWidth="1"/>
    <col min="13076" max="13076" width="0.5703125" style="103" customWidth="1"/>
    <col min="13077" max="13077" width="2.140625" style="103" customWidth="1"/>
    <col min="13078" max="13078" width="0.5703125" style="103" customWidth="1"/>
    <col min="13079" max="13079" width="2.140625" style="103" customWidth="1"/>
    <col min="13080" max="13080" width="0.5703125" style="103" customWidth="1"/>
    <col min="13081" max="13081" width="2.140625" style="103" customWidth="1"/>
    <col min="13082" max="13082" width="0.5703125" style="103" customWidth="1"/>
    <col min="13083" max="13083" width="2.140625" style="103" customWidth="1"/>
    <col min="13084" max="13084" width="0.5703125" style="103" customWidth="1"/>
    <col min="13085" max="13085" width="2.28515625" style="103" customWidth="1"/>
    <col min="13086" max="13086" width="0.5703125" style="103" customWidth="1"/>
    <col min="13087" max="13087" width="2.28515625" style="103" customWidth="1"/>
    <col min="13088" max="13088" width="0.5703125" style="103" customWidth="1"/>
    <col min="13089" max="13089" width="2.28515625" style="103" customWidth="1"/>
    <col min="13090" max="13090" width="0.5703125" style="103" customWidth="1"/>
    <col min="13091" max="13091" width="2.140625" style="103" customWidth="1"/>
    <col min="13092" max="13092" width="0.5703125" style="103" customWidth="1"/>
    <col min="13093" max="13093" width="2.140625" style="103" customWidth="1"/>
    <col min="13094" max="13094" width="0.5703125" style="103" customWidth="1"/>
    <col min="13095" max="13095" width="2.28515625" style="103" customWidth="1"/>
    <col min="13096" max="13096" width="0.5703125" style="103" customWidth="1"/>
    <col min="13097" max="13097" width="2.140625" style="103" customWidth="1"/>
    <col min="13098" max="13098" width="0.5703125" style="103" customWidth="1"/>
    <col min="13099" max="13099" width="2.140625" style="103" customWidth="1"/>
    <col min="13100" max="13100" width="0.5703125" style="103" customWidth="1"/>
    <col min="13101" max="13101" width="2.28515625" style="103" customWidth="1"/>
    <col min="13102" max="13102" width="0.5703125" style="103" customWidth="1"/>
    <col min="13103" max="13103" width="2.140625" style="103" customWidth="1"/>
    <col min="13104" max="13104" width="0.5703125" style="103" customWidth="1"/>
    <col min="13105" max="13105" width="2.28515625" style="103" customWidth="1"/>
    <col min="13106" max="13106" width="0.5703125" style="103" customWidth="1"/>
    <col min="13107" max="13107" width="2.140625" style="103" customWidth="1"/>
    <col min="13108" max="13108" width="0.5703125" style="103" customWidth="1"/>
    <col min="13109" max="13109" width="2.28515625" style="103" customWidth="1"/>
    <col min="13110" max="13110" width="0.5703125" style="103" customWidth="1"/>
    <col min="13111" max="13111" width="2.140625" style="103" customWidth="1"/>
    <col min="13112" max="13112" width="0.5703125" style="103" customWidth="1"/>
    <col min="13113" max="13113" width="2.140625" style="103" customWidth="1"/>
    <col min="13114" max="13114" width="0.5703125" style="103" customWidth="1"/>
    <col min="13115" max="13115" width="2.28515625" style="103" customWidth="1"/>
    <col min="13116" max="13116" width="0.5703125" style="103" customWidth="1"/>
    <col min="13117" max="13117" width="2.140625" style="103" customWidth="1"/>
    <col min="13118" max="13118" width="0.5703125" style="103" customWidth="1"/>
    <col min="13119" max="13119" width="2.140625" style="103" customWidth="1"/>
    <col min="13120" max="13120" width="0.5703125" style="103" customWidth="1"/>
    <col min="13121" max="13121" width="2.140625" style="103" customWidth="1"/>
    <col min="13122" max="13122" width="0.5703125" style="103" customWidth="1"/>
    <col min="13123" max="13123" width="2.140625" style="103" customWidth="1"/>
    <col min="13124" max="13124" width="0.5703125" style="103" customWidth="1"/>
    <col min="13125" max="13125" width="2.28515625" style="103" customWidth="1"/>
    <col min="13126" max="13126" width="0.5703125" style="103" customWidth="1"/>
    <col min="13127" max="13127" width="2.140625" style="103" customWidth="1"/>
    <col min="13128" max="13128" width="0.5703125" style="103" customWidth="1"/>
    <col min="13129" max="13129" width="2.140625" style="103" customWidth="1"/>
    <col min="13130" max="13130" width="0.5703125" style="103" customWidth="1"/>
    <col min="13131" max="13131" width="2.140625" style="103" customWidth="1"/>
    <col min="13132" max="13132" width="0.42578125" style="103" customWidth="1"/>
    <col min="13133" max="13312" width="9.140625" style="103"/>
    <col min="13313" max="13313" width="0.7109375" style="103" customWidth="1"/>
    <col min="13314" max="13314" width="0.5703125" style="103" customWidth="1"/>
    <col min="13315" max="13315" width="2.140625" style="103" customWidth="1"/>
    <col min="13316" max="13316" width="0.5703125" style="103" customWidth="1"/>
    <col min="13317" max="13317" width="2.140625" style="103" customWidth="1"/>
    <col min="13318" max="13318" width="0.5703125" style="103" customWidth="1"/>
    <col min="13319" max="13319" width="2.140625" style="103" customWidth="1"/>
    <col min="13320" max="13320" width="0.5703125" style="103" customWidth="1"/>
    <col min="13321" max="13321" width="2.140625" style="103" customWidth="1"/>
    <col min="13322" max="13322" width="0.5703125" style="103" customWidth="1"/>
    <col min="13323" max="13323" width="2.140625" style="103" customWidth="1"/>
    <col min="13324" max="13324" width="0.5703125" style="103" customWidth="1"/>
    <col min="13325" max="13325" width="2.28515625" style="103" customWidth="1"/>
    <col min="13326" max="13326" width="0.5703125" style="103" customWidth="1"/>
    <col min="13327" max="13327" width="2.140625" style="103" customWidth="1"/>
    <col min="13328" max="13328" width="0.5703125" style="103" customWidth="1"/>
    <col min="13329" max="13329" width="2.140625" style="103" customWidth="1"/>
    <col min="13330" max="13330" width="0.5703125" style="103" customWidth="1"/>
    <col min="13331" max="13331" width="2.140625" style="103" customWidth="1"/>
    <col min="13332" max="13332" width="0.5703125" style="103" customWidth="1"/>
    <col min="13333" max="13333" width="2.140625" style="103" customWidth="1"/>
    <col min="13334" max="13334" width="0.5703125" style="103" customWidth="1"/>
    <col min="13335" max="13335" width="2.140625" style="103" customWidth="1"/>
    <col min="13336" max="13336" width="0.5703125" style="103" customWidth="1"/>
    <col min="13337" max="13337" width="2.140625" style="103" customWidth="1"/>
    <col min="13338" max="13338" width="0.5703125" style="103" customWidth="1"/>
    <col min="13339" max="13339" width="2.140625" style="103" customWidth="1"/>
    <col min="13340" max="13340" width="0.5703125" style="103" customWidth="1"/>
    <col min="13341" max="13341" width="2.28515625" style="103" customWidth="1"/>
    <col min="13342" max="13342" width="0.5703125" style="103" customWidth="1"/>
    <col min="13343" max="13343" width="2.28515625" style="103" customWidth="1"/>
    <col min="13344" max="13344" width="0.5703125" style="103" customWidth="1"/>
    <col min="13345" max="13345" width="2.28515625" style="103" customWidth="1"/>
    <col min="13346" max="13346" width="0.5703125" style="103" customWidth="1"/>
    <col min="13347" max="13347" width="2.140625" style="103" customWidth="1"/>
    <col min="13348" max="13348" width="0.5703125" style="103" customWidth="1"/>
    <col min="13349" max="13349" width="2.140625" style="103" customWidth="1"/>
    <col min="13350" max="13350" width="0.5703125" style="103" customWidth="1"/>
    <col min="13351" max="13351" width="2.28515625" style="103" customWidth="1"/>
    <col min="13352" max="13352" width="0.5703125" style="103" customWidth="1"/>
    <col min="13353" max="13353" width="2.140625" style="103" customWidth="1"/>
    <col min="13354" max="13354" width="0.5703125" style="103" customWidth="1"/>
    <col min="13355" max="13355" width="2.140625" style="103" customWidth="1"/>
    <col min="13356" max="13356" width="0.5703125" style="103" customWidth="1"/>
    <col min="13357" max="13357" width="2.28515625" style="103" customWidth="1"/>
    <col min="13358" max="13358" width="0.5703125" style="103" customWidth="1"/>
    <col min="13359" max="13359" width="2.140625" style="103" customWidth="1"/>
    <col min="13360" max="13360" width="0.5703125" style="103" customWidth="1"/>
    <col min="13361" max="13361" width="2.28515625" style="103" customWidth="1"/>
    <col min="13362" max="13362" width="0.5703125" style="103" customWidth="1"/>
    <col min="13363" max="13363" width="2.140625" style="103" customWidth="1"/>
    <col min="13364" max="13364" width="0.5703125" style="103" customWidth="1"/>
    <col min="13365" max="13365" width="2.28515625" style="103" customWidth="1"/>
    <col min="13366" max="13366" width="0.5703125" style="103" customWidth="1"/>
    <col min="13367" max="13367" width="2.140625" style="103" customWidth="1"/>
    <col min="13368" max="13368" width="0.5703125" style="103" customWidth="1"/>
    <col min="13369" max="13369" width="2.140625" style="103" customWidth="1"/>
    <col min="13370" max="13370" width="0.5703125" style="103" customWidth="1"/>
    <col min="13371" max="13371" width="2.28515625" style="103" customWidth="1"/>
    <col min="13372" max="13372" width="0.5703125" style="103" customWidth="1"/>
    <col min="13373" max="13373" width="2.140625" style="103" customWidth="1"/>
    <col min="13374" max="13374" width="0.5703125" style="103" customWidth="1"/>
    <col min="13375" max="13375" width="2.140625" style="103" customWidth="1"/>
    <col min="13376" max="13376" width="0.5703125" style="103" customWidth="1"/>
    <col min="13377" max="13377" width="2.140625" style="103" customWidth="1"/>
    <col min="13378" max="13378" width="0.5703125" style="103" customWidth="1"/>
    <col min="13379" max="13379" width="2.140625" style="103" customWidth="1"/>
    <col min="13380" max="13380" width="0.5703125" style="103" customWidth="1"/>
    <col min="13381" max="13381" width="2.28515625" style="103" customWidth="1"/>
    <col min="13382" max="13382" width="0.5703125" style="103" customWidth="1"/>
    <col min="13383" max="13383" width="2.140625" style="103" customWidth="1"/>
    <col min="13384" max="13384" width="0.5703125" style="103" customWidth="1"/>
    <col min="13385" max="13385" width="2.140625" style="103" customWidth="1"/>
    <col min="13386" max="13386" width="0.5703125" style="103" customWidth="1"/>
    <col min="13387" max="13387" width="2.140625" style="103" customWidth="1"/>
    <col min="13388" max="13388" width="0.42578125" style="103" customWidth="1"/>
    <col min="13389" max="13568" width="9.140625" style="103"/>
    <col min="13569" max="13569" width="0.7109375" style="103" customWidth="1"/>
    <col min="13570" max="13570" width="0.5703125" style="103" customWidth="1"/>
    <col min="13571" max="13571" width="2.140625" style="103" customWidth="1"/>
    <col min="13572" max="13572" width="0.5703125" style="103" customWidth="1"/>
    <col min="13573" max="13573" width="2.140625" style="103" customWidth="1"/>
    <col min="13574" max="13574" width="0.5703125" style="103" customWidth="1"/>
    <col min="13575" max="13575" width="2.140625" style="103" customWidth="1"/>
    <col min="13576" max="13576" width="0.5703125" style="103" customWidth="1"/>
    <col min="13577" max="13577" width="2.140625" style="103" customWidth="1"/>
    <col min="13578" max="13578" width="0.5703125" style="103" customWidth="1"/>
    <col min="13579" max="13579" width="2.140625" style="103" customWidth="1"/>
    <col min="13580" max="13580" width="0.5703125" style="103" customWidth="1"/>
    <col min="13581" max="13581" width="2.28515625" style="103" customWidth="1"/>
    <col min="13582" max="13582" width="0.5703125" style="103" customWidth="1"/>
    <col min="13583" max="13583" width="2.140625" style="103" customWidth="1"/>
    <col min="13584" max="13584" width="0.5703125" style="103" customWidth="1"/>
    <col min="13585" max="13585" width="2.140625" style="103" customWidth="1"/>
    <col min="13586" max="13586" width="0.5703125" style="103" customWidth="1"/>
    <col min="13587" max="13587" width="2.140625" style="103" customWidth="1"/>
    <col min="13588" max="13588" width="0.5703125" style="103" customWidth="1"/>
    <col min="13589" max="13589" width="2.140625" style="103" customWidth="1"/>
    <col min="13590" max="13590" width="0.5703125" style="103" customWidth="1"/>
    <col min="13591" max="13591" width="2.140625" style="103" customWidth="1"/>
    <col min="13592" max="13592" width="0.5703125" style="103" customWidth="1"/>
    <col min="13593" max="13593" width="2.140625" style="103" customWidth="1"/>
    <col min="13594" max="13594" width="0.5703125" style="103" customWidth="1"/>
    <col min="13595" max="13595" width="2.140625" style="103" customWidth="1"/>
    <col min="13596" max="13596" width="0.5703125" style="103" customWidth="1"/>
    <col min="13597" max="13597" width="2.28515625" style="103" customWidth="1"/>
    <col min="13598" max="13598" width="0.5703125" style="103" customWidth="1"/>
    <col min="13599" max="13599" width="2.28515625" style="103" customWidth="1"/>
    <col min="13600" max="13600" width="0.5703125" style="103" customWidth="1"/>
    <col min="13601" max="13601" width="2.28515625" style="103" customWidth="1"/>
    <col min="13602" max="13602" width="0.5703125" style="103" customWidth="1"/>
    <col min="13603" max="13603" width="2.140625" style="103" customWidth="1"/>
    <col min="13604" max="13604" width="0.5703125" style="103" customWidth="1"/>
    <col min="13605" max="13605" width="2.140625" style="103" customWidth="1"/>
    <col min="13606" max="13606" width="0.5703125" style="103" customWidth="1"/>
    <col min="13607" max="13607" width="2.28515625" style="103" customWidth="1"/>
    <col min="13608" max="13608" width="0.5703125" style="103" customWidth="1"/>
    <col min="13609" max="13609" width="2.140625" style="103" customWidth="1"/>
    <col min="13610" max="13610" width="0.5703125" style="103" customWidth="1"/>
    <col min="13611" max="13611" width="2.140625" style="103" customWidth="1"/>
    <col min="13612" max="13612" width="0.5703125" style="103" customWidth="1"/>
    <col min="13613" max="13613" width="2.28515625" style="103" customWidth="1"/>
    <col min="13614" max="13614" width="0.5703125" style="103" customWidth="1"/>
    <col min="13615" max="13615" width="2.140625" style="103" customWidth="1"/>
    <col min="13616" max="13616" width="0.5703125" style="103" customWidth="1"/>
    <col min="13617" max="13617" width="2.28515625" style="103" customWidth="1"/>
    <col min="13618" max="13618" width="0.5703125" style="103" customWidth="1"/>
    <col min="13619" max="13619" width="2.140625" style="103" customWidth="1"/>
    <col min="13620" max="13620" width="0.5703125" style="103" customWidth="1"/>
    <col min="13621" max="13621" width="2.28515625" style="103" customWidth="1"/>
    <col min="13622" max="13622" width="0.5703125" style="103" customWidth="1"/>
    <col min="13623" max="13623" width="2.140625" style="103" customWidth="1"/>
    <col min="13624" max="13624" width="0.5703125" style="103" customWidth="1"/>
    <col min="13625" max="13625" width="2.140625" style="103" customWidth="1"/>
    <col min="13626" max="13626" width="0.5703125" style="103" customWidth="1"/>
    <col min="13627" max="13627" width="2.28515625" style="103" customWidth="1"/>
    <col min="13628" max="13628" width="0.5703125" style="103" customWidth="1"/>
    <col min="13629" max="13629" width="2.140625" style="103" customWidth="1"/>
    <col min="13630" max="13630" width="0.5703125" style="103" customWidth="1"/>
    <col min="13631" max="13631" width="2.140625" style="103" customWidth="1"/>
    <col min="13632" max="13632" width="0.5703125" style="103" customWidth="1"/>
    <col min="13633" max="13633" width="2.140625" style="103" customWidth="1"/>
    <col min="13634" max="13634" width="0.5703125" style="103" customWidth="1"/>
    <col min="13635" max="13635" width="2.140625" style="103" customWidth="1"/>
    <col min="13636" max="13636" width="0.5703125" style="103" customWidth="1"/>
    <col min="13637" max="13637" width="2.28515625" style="103" customWidth="1"/>
    <col min="13638" max="13638" width="0.5703125" style="103" customWidth="1"/>
    <col min="13639" max="13639" width="2.140625" style="103" customWidth="1"/>
    <col min="13640" max="13640" width="0.5703125" style="103" customWidth="1"/>
    <col min="13641" max="13641" width="2.140625" style="103" customWidth="1"/>
    <col min="13642" max="13642" width="0.5703125" style="103" customWidth="1"/>
    <col min="13643" max="13643" width="2.140625" style="103" customWidth="1"/>
    <col min="13644" max="13644" width="0.42578125" style="103" customWidth="1"/>
    <col min="13645" max="13824" width="9.140625" style="103"/>
    <col min="13825" max="13825" width="0.7109375" style="103" customWidth="1"/>
    <col min="13826" max="13826" width="0.5703125" style="103" customWidth="1"/>
    <col min="13827" max="13827" width="2.140625" style="103" customWidth="1"/>
    <col min="13828" max="13828" width="0.5703125" style="103" customWidth="1"/>
    <col min="13829" max="13829" width="2.140625" style="103" customWidth="1"/>
    <col min="13830" max="13830" width="0.5703125" style="103" customWidth="1"/>
    <col min="13831" max="13831" width="2.140625" style="103" customWidth="1"/>
    <col min="13832" max="13832" width="0.5703125" style="103" customWidth="1"/>
    <col min="13833" max="13833" width="2.140625" style="103" customWidth="1"/>
    <col min="13834" max="13834" width="0.5703125" style="103" customWidth="1"/>
    <col min="13835" max="13835" width="2.140625" style="103" customWidth="1"/>
    <col min="13836" max="13836" width="0.5703125" style="103" customWidth="1"/>
    <col min="13837" max="13837" width="2.28515625" style="103" customWidth="1"/>
    <col min="13838" max="13838" width="0.5703125" style="103" customWidth="1"/>
    <col min="13839" max="13839" width="2.140625" style="103" customWidth="1"/>
    <col min="13840" max="13840" width="0.5703125" style="103" customWidth="1"/>
    <col min="13841" max="13841" width="2.140625" style="103" customWidth="1"/>
    <col min="13842" max="13842" width="0.5703125" style="103" customWidth="1"/>
    <col min="13843" max="13843" width="2.140625" style="103" customWidth="1"/>
    <col min="13844" max="13844" width="0.5703125" style="103" customWidth="1"/>
    <col min="13845" max="13845" width="2.140625" style="103" customWidth="1"/>
    <col min="13846" max="13846" width="0.5703125" style="103" customWidth="1"/>
    <col min="13847" max="13847" width="2.140625" style="103" customWidth="1"/>
    <col min="13848" max="13848" width="0.5703125" style="103" customWidth="1"/>
    <col min="13849" max="13849" width="2.140625" style="103" customWidth="1"/>
    <col min="13850" max="13850" width="0.5703125" style="103" customWidth="1"/>
    <col min="13851" max="13851" width="2.140625" style="103" customWidth="1"/>
    <col min="13852" max="13852" width="0.5703125" style="103" customWidth="1"/>
    <col min="13853" max="13853" width="2.28515625" style="103" customWidth="1"/>
    <col min="13854" max="13854" width="0.5703125" style="103" customWidth="1"/>
    <col min="13855" max="13855" width="2.28515625" style="103" customWidth="1"/>
    <col min="13856" max="13856" width="0.5703125" style="103" customWidth="1"/>
    <col min="13857" max="13857" width="2.28515625" style="103" customWidth="1"/>
    <col min="13858" max="13858" width="0.5703125" style="103" customWidth="1"/>
    <col min="13859" max="13859" width="2.140625" style="103" customWidth="1"/>
    <col min="13860" max="13860" width="0.5703125" style="103" customWidth="1"/>
    <col min="13861" max="13861" width="2.140625" style="103" customWidth="1"/>
    <col min="13862" max="13862" width="0.5703125" style="103" customWidth="1"/>
    <col min="13863" max="13863" width="2.28515625" style="103" customWidth="1"/>
    <col min="13864" max="13864" width="0.5703125" style="103" customWidth="1"/>
    <col min="13865" max="13865" width="2.140625" style="103" customWidth="1"/>
    <col min="13866" max="13866" width="0.5703125" style="103" customWidth="1"/>
    <col min="13867" max="13867" width="2.140625" style="103" customWidth="1"/>
    <col min="13868" max="13868" width="0.5703125" style="103" customWidth="1"/>
    <col min="13869" max="13869" width="2.28515625" style="103" customWidth="1"/>
    <col min="13870" max="13870" width="0.5703125" style="103" customWidth="1"/>
    <col min="13871" max="13871" width="2.140625" style="103" customWidth="1"/>
    <col min="13872" max="13872" width="0.5703125" style="103" customWidth="1"/>
    <col min="13873" max="13873" width="2.28515625" style="103" customWidth="1"/>
    <col min="13874" max="13874" width="0.5703125" style="103" customWidth="1"/>
    <col min="13875" max="13875" width="2.140625" style="103" customWidth="1"/>
    <col min="13876" max="13876" width="0.5703125" style="103" customWidth="1"/>
    <col min="13877" max="13877" width="2.28515625" style="103" customWidth="1"/>
    <col min="13878" max="13878" width="0.5703125" style="103" customWidth="1"/>
    <col min="13879" max="13879" width="2.140625" style="103" customWidth="1"/>
    <col min="13880" max="13880" width="0.5703125" style="103" customWidth="1"/>
    <col min="13881" max="13881" width="2.140625" style="103" customWidth="1"/>
    <col min="13882" max="13882" width="0.5703125" style="103" customWidth="1"/>
    <col min="13883" max="13883" width="2.28515625" style="103" customWidth="1"/>
    <col min="13884" max="13884" width="0.5703125" style="103" customWidth="1"/>
    <col min="13885" max="13885" width="2.140625" style="103" customWidth="1"/>
    <col min="13886" max="13886" width="0.5703125" style="103" customWidth="1"/>
    <col min="13887" max="13887" width="2.140625" style="103" customWidth="1"/>
    <col min="13888" max="13888" width="0.5703125" style="103" customWidth="1"/>
    <col min="13889" max="13889" width="2.140625" style="103" customWidth="1"/>
    <col min="13890" max="13890" width="0.5703125" style="103" customWidth="1"/>
    <col min="13891" max="13891" width="2.140625" style="103" customWidth="1"/>
    <col min="13892" max="13892" width="0.5703125" style="103" customWidth="1"/>
    <col min="13893" max="13893" width="2.28515625" style="103" customWidth="1"/>
    <col min="13894" max="13894" width="0.5703125" style="103" customWidth="1"/>
    <col min="13895" max="13895" width="2.140625" style="103" customWidth="1"/>
    <col min="13896" max="13896" width="0.5703125" style="103" customWidth="1"/>
    <col min="13897" max="13897" width="2.140625" style="103" customWidth="1"/>
    <col min="13898" max="13898" width="0.5703125" style="103" customWidth="1"/>
    <col min="13899" max="13899" width="2.140625" style="103" customWidth="1"/>
    <col min="13900" max="13900" width="0.42578125" style="103" customWidth="1"/>
    <col min="13901" max="14080" width="9.140625" style="103"/>
    <col min="14081" max="14081" width="0.7109375" style="103" customWidth="1"/>
    <col min="14082" max="14082" width="0.5703125" style="103" customWidth="1"/>
    <col min="14083" max="14083" width="2.140625" style="103" customWidth="1"/>
    <col min="14084" max="14084" width="0.5703125" style="103" customWidth="1"/>
    <col min="14085" max="14085" width="2.140625" style="103" customWidth="1"/>
    <col min="14086" max="14086" width="0.5703125" style="103" customWidth="1"/>
    <col min="14087" max="14087" width="2.140625" style="103" customWidth="1"/>
    <col min="14088" max="14088" width="0.5703125" style="103" customWidth="1"/>
    <col min="14089" max="14089" width="2.140625" style="103" customWidth="1"/>
    <col min="14090" max="14090" width="0.5703125" style="103" customWidth="1"/>
    <col min="14091" max="14091" width="2.140625" style="103" customWidth="1"/>
    <col min="14092" max="14092" width="0.5703125" style="103" customWidth="1"/>
    <col min="14093" max="14093" width="2.28515625" style="103" customWidth="1"/>
    <col min="14094" max="14094" width="0.5703125" style="103" customWidth="1"/>
    <col min="14095" max="14095" width="2.140625" style="103" customWidth="1"/>
    <col min="14096" max="14096" width="0.5703125" style="103" customWidth="1"/>
    <col min="14097" max="14097" width="2.140625" style="103" customWidth="1"/>
    <col min="14098" max="14098" width="0.5703125" style="103" customWidth="1"/>
    <col min="14099" max="14099" width="2.140625" style="103" customWidth="1"/>
    <col min="14100" max="14100" width="0.5703125" style="103" customWidth="1"/>
    <col min="14101" max="14101" width="2.140625" style="103" customWidth="1"/>
    <col min="14102" max="14102" width="0.5703125" style="103" customWidth="1"/>
    <col min="14103" max="14103" width="2.140625" style="103" customWidth="1"/>
    <col min="14104" max="14104" width="0.5703125" style="103" customWidth="1"/>
    <col min="14105" max="14105" width="2.140625" style="103" customWidth="1"/>
    <col min="14106" max="14106" width="0.5703125" style="103" customWidth="1"/>
    <col min="14107" max="14107" width="2.140625" style="103" customWidth="1"/>
    <col min="14108" max="14108" width="0.5703125" style="103" customWidth="1"/>
    <col min="14109" max="14109" width="2.28515625" style="103" customWidth="1"/>
    <col min="14110" max="14110" width="0.5703125" style="103" customWidth="1"/>
    <col min="14111" max="14111" width="2.28515625" style="103" customWidth="1"/>
    <col min="14112" max="14112" width="0.5703125" style="103" customWidth="1"/>
    <col min="14113" max="14113" width="2.28515625" style="103" customWidth="1"/>
    <col min="14114" max="14114" width="0.5703125" style="103" customWidth="1"/>
    <col min="14115" max="14115" width="2.140625" style="103" customWidth="1"/>
    <col min="14116" max="14116" width="0.5703125" style="103" customWidth="1"/>
    <col min="14117" max="14117" width="2.140625" style="103" customWidth="1"/>
    <col min="14118" max="14118" width="0.5703125" style="103" customWidth="1"/>
    <col min="14119" max="14119" width="2.28515625" style="103" customWidth="1"/>
    <col min="14120" max="14120" width="0.5703125" style="103" customWidth="1"/>
    <col min="14121" max="14121" width="2.140625" style="103" customWidth="1"/>
    <col min="14122" max="14122" width="0.5703125" style="103" customWidth="1"/>
    <col min="14123" max="14123" width="2.140625" style="103" customWidth="1"/>
    <col min="14124" max="14124" width="0.5703125" style="103" customWidth="1"/>
    <col min="14125" max="14125" width="2.28515625" style="103" customWidth="1"/>
    <col min="14126" max="14126" width="0.5703125" style="103" customWidth="1"/>
    <col min="14127" max="14127" width="2.140625" style="103" customWidth="1"/>
    <col min="14128" max="14128" width="0.5703125" style="103" customWidth="1"/>
    <col min="14129" max="14129" width="2.28515625" style="103" customWidth="1"/>
    <col min="14130" max="14130" width="0.5703125" style="103" customWidth="1"/>
    <col min="14131" max="14131" width="2.140625" style="103" customWidth="1"/>
    <col min="14132" max="14132" width="0.5703125" style="103" customWidth="1"/>
    <col min="14133" max="14133" width="2.28515625" style="103" customWidth="1"/>
    <col min="14134" max="14134" width="0.5703125" style="103" customWidth="1"/>
    <col min="14135" max="14135" width="2.140625" style="103" customWidth="1"/>
    <col min="14136" max="14136" width="0.5703125" style="103" customWidth="1"/>
    <col min="14137" max="14137" width="2.140625" style="103" customWidth="1"/>
    <col min="14138" max="14138" width="0.5703125" style="103" customWidth="1"/>
    <col min="14139" max="14139" width="2.28515625" style="103" customWidth="1"/>
    <col min="14140" max="14140" width="0.5703125" style="103" customWidth="1"/>
    <col min="14141" max="14141" width="2.140625" style="103" customWidth="1"/>
    <col min="14142" max="14142" width="0.5703125" style="103" customWidth="1"/>
    <col min="14143" max="14143" width="2.140625" style="103" customWidth="1"/>
    <col min="14144" max="14144" width="0.5703125" style="103" customWidth="1"/>
    <col min="14145" max="14145" width="2.140625" style="103" customWidth="1"/>
    <col min="14146" max="14146" width="0.5703125" style="103" customWidth="1"/>
    <col min="14147" max="14147" width="2.140625" style="103" customWidth="1"/>
    <col min="14148" max="14148" width="0.5703125" style="103" customWidth="1"/>
    <col min="14149" max="14149" width="2.28515625" style="103" customWidth="1"/>
    <col min="14150" max="14150" width="0.5703125" style="103" customWidth="1"/>
    <col min="14151" max="14151" width="2.140625" style="103" customWidth="1"/>
    <col min="14152" max="14152" width="0.5703125" style="103" customWidth="1"/>
    <col min="14153" max="14153" width="2.140625" style="103" customWidth="1"/>
    <col min="14154" max="14154" width="0.5703125" style="103" customWidth="1"/>
    <col min="14155" max="14155" width="2.140625" style="103" customWidth="1"/>
    <col min="14156" max="14156" width="0.42578125" style="103" customWidth="1"/>
    <col min="14157" max="14336" width="9.140625" style="103"/>
    <col min="14337" max="14337" width="0.7109375" style="103" customWidth="1"/>
    <col min="14338" max="14338" width="0.5703125" style="103" customWidth="1"/>
    <col min="14339" max="14339" width="2.140625" style="103" customWidth="1"/>
    <col min="14340" max="14340" width="0.5703125" style="103" customWidth="1"/>
    <col min="14341" max="14341" width="2.140625" style="103" customWidth="1"/>
    <col min="14342" max="14342" width="0.5703125" style="103" customWidth="1"/>
    <col min="14343" max="14343" width="2.140625" style="103" customWidth="1"/>
    <col min="14344" max="14344" width="0.5703125" style="103" customWidth="1"/>
    <col min="14345" max="14345" width="2.140625" style="103" customWidth="1"/>
    <col min="14346" max="14346" width="0.5703125" style="103" customWidth="1"/>
    <col min="14347" max="14347" width="2.140625" style="103" customWidth="1"/>
    <col min="14348" max="14348" width="0.5703125" style="103" customWidth="1"/>
    <col min="14349" max="14349" width="2.28515625" style="103" customWidth="1"/>
    <col min="14350" max="14350" width="0.5703125" style="103" customWidth="1"/>
    <col min="14351" max="14351" width="2.140625" style="103" customWidth="1"/>
    <col min="14352" max="14352" width="0.5703125" style="103" customWidth="1"/>
    <col min="14353" max="14353" width="2.140625" style="103" customWidth="1"/>
    <col min="14354" max="14354" width="0.5703125" style="103" customWidth="1"/>
    <col min="14355" max="14355" width="2.140625" style="103" customWidth="1"/>
    <col min="14356" max="14356" width="0.5703125" style="103" customWidth="1"/>
    <col min="14357" max="14357" width="2.140625" style="103" customWidth="1"/>
    <col min="14358" max="14358" width="0.5703125" style="103" customWidth="1"/>
    <col min="14359" max="14359" width="2.140625" style="103" customWidth="1"/>
    <col min="14360" max="14360" width="0.5703125" style="103" customWidth="1"/>
    <col min="14361" max="14361" width="2.140625" style="103" customWidth="1"/>
    <col min="14362" max="14362" width="0.5703125" style="103" customWidth="1"/>
    <col min="14363" max="14363" width="2.140625" style="103" customWidth="1"/>
    <col min="14364" max="14364" width="0.5703125" style="103" customWidth="1"/>
    <col min="14365" max="14365" width="2.28515625" style="103" customWidth="1"/>
    <col min="14366" max="14366" width="0.5703125" style="103" customWidth="1"/>
    <col min="14367" max="14367" width="2.28515625" style="103" customWidth="1"/>
    <col min="14368" max="14368" width="0.5703125" style="103" customWidth="1"/>
    <col min="14369" max="14369" width="2.28515625" style="103" customWidth="1"/>
    <col min="14370" max="14370" width="0.5703125" style="103" customWidth="1"/>
    <col min="14371" max="14371" width="2.140625" style="103" customWidth="1"/>
    <col min="14372" max="14372" width="0.5703125" style="103" customWidth="1"/>
    <col min="14373" max="14373" width="2.140625" style="103" customWidth="1"/>
    <col min="14374" max="14374" width="0.5703125" style="103" customWidth="1"/>
    <col min="14375" max="14375" width="2.28515625" style="103" customWidth="1"/>
    <col min="14376" max="14376" width="0.5703125" style="103" customWidth="1"/>
    <col min="14377" max="14377" width="2.140625" style="103" customWidth="1"/>
    <col min="14378" max="14378" width="0.5703125" style="103" customWidth="1"/>
    <col min="14379" max="14379" width="2.140625" style="103" customWidth="1"/>
    <col min="14380" max="14380" width="0.5703125" style="103" customWidth="1"/>
    <col min="14381" max="14381" width="2.28515625" style="103" customWidth="1"/>
    <col min="14382" max="14382" width="0.5703125" style="103" customWidth="1"/>
    <col min="14383" max="14383" width="2.140625" style="103" customWidth="1"/>
    <col min="14384" max="14384" width="0.5703125" style="103" customWidth="1"/>
    <col min="14385" max="14385" width="2.28515625" style="103" customWidth="1"/>
    <col min="14386" max="14386" width="0.5703125" style="103" customWidth="1"/>
    <col min="14387" max="14387" width="2.140625" style="103" customWidth="1"/>
    <col min="14388" max="14388" width="0.5703125" style="103" customWidth="1"/>
    <col min="14389" max="14389" width="2.28515625" style="103" customWidth="1"/>
    <col min="14390" max="14390" width="0.5703125" style="103" customWidth="1"/>
    <col min="14391" max="14391" width="2.140625" style="103" customWidth="1"/>
    <col min="14392" max="14392" width="0.5703125" style="103" customWidth="1"/>
    <col min="14393" max="14393" width="2.140625" style="103" customWidth="1"/>
    <col min="14394" max="14394" width="0.5703125" style="103" customWidth="1"/>
    <col min="14395" max="14395" width="2.28515625" style="103" customWidth="1"/>
    <col min="14396" max="14396" width="0.5703125" style="103" customWidth="1"/>
    <col min="14397" max="14397" width="2.140625" style="103" customWidth="1"/>
    <col min="14398" max="14398" width="0.5703125" style="103" customWidth="1"/>
    <col min="14399" max="14399" width="2.140625" style="103" customWidth="1"/>
    <col min="14400" max="14400" width="0.5703125" style="103" customWidth="1"/>
    <col min="14401" max="14401" width="2.140625" style="103" customWidth="1"/>
    <col min="14402" max="14402" width="0.5703125" style="103" customWidth="1"/>
    <col min="14403" max="14403" width="2.140625" style="103" customWidth="1"/>
    <col min="14404" max="14404" width="0.5703125" style="103" customWidth="1"/>
    <col min="14405" max="14405" width="2.28515625" style="103" customWidth="1"/>
    <col min="14406" max="14406" width="0.5703125" style="103" customWidth="1"/>
    <col min="14407" max="14407" width="2.140625" style="103" customWidth="1"/>
    <col min="14408" max="14408" width="0.5703125" style="103" customWidth="1"/>
    <col min="14409" max="14409" width="2.140625" style="103" customWidth="1"/>
    <col min="14410" max="14410" width="0.5703125" style="103" customWidth="1"/>
    <col min="14411" max="14411" width="2.140625" style="103" customWidth="1"/>
    <col min="14412" max="14412" width="0.42578125" style="103" customWidth="1"/>
    <col min="14413" max="14592" width="9.140625" style="103"/>
    <col min="14593" max="14593" width="0.7109375" style="103" customWidth="1"/>
    <col min="14594" max="14594" width="0.5703125" style="103" customWidth="1"/>
    <col min="14595" max="14595" width="2.140625" style="103" customWidth="1"/>
    <col min="14596" max="14596" width="0.5703125" style="103" customWidth="1"/>
    <col min="14597" max="14597" width="2.140625" style="103" customWidth="1"/>
    <col min="14598" max="14598" width="0.5703125" style="103" customWidth="1"/>
    <col min="14599" max="14599" width="2.140625" style="103" customWidth="1"/>
    <col min="14600" max="14600" width="0.5703125" style="103" customWidth="1"/>
    <col min="14601" max="14601" width="2.140625" style="103" customWidth="1"/>
    <col min="14602" max="14602" width="0.5703125" style="103" customWidth="1"/>
    <col min="14603" max="14603" width="2.140625" style="103" customWidth="1"/>
    <col min="14604" max="14604" width="0.5703125" style="103" customWidth="1"/>
    <col min="14605" max="14605" width="2.28515625" style="103" customWidth="1"/>
    <col min="14606" max="14606" width="0.5703125" style="103" customWidth="1"/>
    <col min="14607" max="14607" width="2.140625" style="103" customWidth="1"/>
    <col min="14608" max="14608" width="0.5703125" style="103" customWidth="1"/>
    <col min="14609" max="14609" width="2.140625" style="103" customWidth="1"/>
    <col min="14610" max="14610" width="0.5703125" style="103" customWidth="1"/>
    <col min="14611" max="14611" width="2.140625" style="103" customWidth="1"/>
    <col min="14612" max="14612" width="0.5703125" style="103" customWidth="1"/>
    <col min="14613" max="14613" width="2.140625" style="103" customWidth="1"/>
    <col min="14614" max="14614" width="0.5703125" style="103" customWidth="1"/>
    <col min="14615" max="14615" width="2.140625" style="103" customWidth="1"/>
    <col min="14616" max="14616" width="0.5703125" style="103" customWidth="1"/>
    <col min="14617" max="14617" width="2.140625" style="103" customWidth="1"/>
    <col min="14618" max="14618" width="0.5703125" style="103" customWidth="1"/>
    <col min="14619" max="14619" width="2.140625" style="103" customWidth="1"/>
    <col min="14620" max="14620" width="0.5703125" style="103" customWidth="1"/>
    <col min="14621" max="14621" width="2.28515625" style="103" customWidth="1"/>
    <col min="14622" max="14622" width="0.5703125" style="103" customWidth="1"/>
    <col min="14623" max="14623" width="2.28515625" style="103" customWidth="1"/>
    <col min="14624" max="14624" width="0.5703125" style="103" customWidth="1"/>
    <col min="14625" max="14625" width="2.28515625" style="103" customWidth="1"/>
    <col min="14626" max="14626" width="0.5703125" style="103" customWidth="1"/>
    <col min="14627" max="14627" width="2.140625" style="103" customWidth="1"/>
    <col min="14628" max="14628" width="0.5703125" style="103" customWidth="1"/>
    <col min="14629" max="14629" width="2.140625" style="103" customWidth="1"/>
    <col min="14630" max="14630" width="0.5703125" style="103" customWidth="1"/>
    <col min="14631" max="14631" width="2.28515625" style="103" customWidth="1"/>
    <col min="14632" max="14632" width="0.5703125" style="103" customWidth="1"/>
    <col min="14633" max="14633" width="2.140625" style="103" customWidth="1"/>
    <col min="14634" max="14634" width="0.5703125" style="103" customWidth="1"/>
    <col min="14635" max="14635" width="2.140625" style="103" customWidth="1"/>
    <col min="14636" max="14636" width="0.5703125" style="103" customWidth="1"/>
    <col min="14637" max="14637" width="2.28515625" style="103" customWidth="1"/>
    <col min="14638" max="14638" width="0.5703125" style="103" customWidth="1"/>
    <col min="14639" max="14639" width="2.140625" style="103" customWidth="1"/>
    <col min="14640" max="14640" width="0.5703125" style="103" customWidth="1"/>
    <col min="14641" max="14641" width="2.28515625" style="103" customWidth="1"/>
    <col min="14642" max="14642" width="0.5703125" style="103" customWidth="1"/>
    <col min="14643" max="14643" width="2.140625" style="103" customWidth="1"/>
    <col min="14644" max="14644" width="0.5703125" style="103" customWidth="1"/>
    <col min="14645" max="14645" width="2.28515625" style="103" customWidth="1"/>
    <col min="14646" max="14646" width="0.5703125" style="103" customWidth="1"/>
    <col min="14647" max="14647" width="2.140625" style="103" customWidth="1"/>
    <col min="14648" max="14648" width="0.5703125" style="103" customWidth="1"/>
    <col min="14649" max="14649" width="2.140625" style="103" customWidth="1"/>
    <col min="14650" max="14650" width="0.5703125" style="103" customWidth="1"/>
    <col min="14651" max="14651" width="2.28515625" style="103" customWidth="1"/>
    <col min="14652" max="14652" width="0.5703125" style="103" customWidth="1"/>
    <col min="14653" max="14653" width="2.140625" style="103" customWidth="1"/>
    <col min="14654" max="14654" width="0.5703125" style="103" customWidth="1"/>
    <col min="14655" max="14655" width="2.140625" style="103" customWidth="1"/>
    <col min="14656" max="14656" width="0.5703125" style="103" customWidth="1"/>
    <col min="14657" max="14657" width="2.140625" style="103" customWidth="1"/>
    <col min="14658" max="14658" width="0.5703125" style="103" customWidth="1"/>
    <col min="14659" max="14659" width="2.140625" style="103" customWidth="1"/>
    <col min="14660" max="14660" width="0.5703125" style="103" customWidth="1"/>
    <col min="14661" max="14661" width="2.28515625" style="103" customWidth="1"/>
    <col min="14662" max="14662" width="0.5703125" style="103" customWidth="1"/>
    <col min="14663" max="14663" width="2.140625" style="103" customWidth="1"/>
    <col min="14664" max="14664" width="0.5703125" style="103" customWidth="1"/>
    <col min="14665" max="14665" width="2.140625" style="103" customWidth="1"/>
    <col min="14666" max="14666" width="0.5703125" style="103" customWidth="1"/>
    <col min="14667" max="14667" width="2.140625" style="103" customWidth="1"/>
    <col min="14668" max="14668" width="0.42578125" style="103" customWidth="1"/>
    <col min="14669" max="14848" width="9.140625" style="103"/>
    <col min="14849" max="14849" width="0.7109375" style="103" customWidth="1"/>
    <col min="14850" max="14850" width="0.5703125" style="103" customWidth="1"/>
    <col min="14851" max="14851" width="2.140625" style="103" customWidth="1"/>
    <col min="14852" max="14852" width="0.5703125" style="103" customWidth="1"/>
    <col min="14853" max="14853" width="2.140625" style="103" customWidth="1"/>
    <col min="14854" max="14854" width="0.5703125" style="103" customWidth="1"/>
    <col min="14855" max="14855" width="2.140625" style="103" customWidth="1"/>
    <col min="14856" max="14856" width="0.5703125" style="103" customWidth="1"/>
    <col min="14857" max="14857" width="2.140625" style="103" customWidth="1"/>
    <col min="14858" max="14858" width="0.5703125" style="103" customWidth="1"/>
    <col min="14859" max="14859" width="2.140625" style="103" customWidth="1"/>
    <col min="14860" max="14860" width="0.5703125" style="103" customWidth="1"/>
    <col min="14861" max="14861" width="2.28515625" style="103" customWidth="1"/>
    <col min="14862" max="14862" width="0.5703125" style="103" customWidth="1"/>
    <col min="14863" max="14863" width="2.140625" style="103" customWidth="1"/>
    <col min="14864" max="14864" width="0.5703125" style="103" customWidth="1"/>
    <col min="14865" max="14865" width="2.140625" style="103" customWidth="1"/>
    <col min="14866" max="14866" width="0.5703125" style="103" customWidth="1"/>
    <col min="14867" max="14867" width="2.140625" style="103" customWidth="1"/>
    <col min="14868" max="14868" width="0.5703125" style="103" customWidth="1"/>
    <col min="14869" max="14869" width="2.140625" style="103" customWidth="1"/>
    <col min="14870" max="14870" width="0.5703125" style="103" customWidth="1"/>
    <col min="14871" max="14871" width="2.140625" style="103" customWidth="1"/>
    <col min="14872" max="14872" width="0.5703125" style="103" customWidth="1"/>
    <col min="14873" max="14873" width="2.140625" style="103" customWidth="1"/>
    <col min="14874" max="14874" width="0.5703125" style="103" customWidth="1"/>
    <col min="14875" max="14875" width="2.140625" style="103" customWidth="1"/>
    <col min="14876" max="14876" width="0.5703125" style="103" customWidth="1"/>
    <col min="14877" max="14877" width="2.28515625" style="103" customWidth="1"/>
    <col min="14878" max="14878" width="0.5703125" style="103" customWidth="1"/>
    <col min="14879" max="14879" width="2.28515625" style="103" customWidth="1"/>
    <col min="14880" max="14880" width="0.5703125" style="103" customWidth="1"/>
    <col min="14881" max="14881" width="2.28515625" style="103" customWidth="1"/>
    <col min="14882" max="14882" width="0.5703125" style="103" customWidth="1"/>
    <col min="14883" max="14883" width="2.140625" style="103" customWidth="1"/>
    <col min="14884" max="14884" width="0.5703125" style="103" customWidth="1"/>
    <col min="14885" max="14885" width="2.140625" style="103" customWidth="1"/>
    <col min="14886" max="14886" width="0.5703125" style="103" customWidth="1"/>
    <col min="14887" max="14887" width="2.28515625" style="103" customWidth="1"/>
    <col min="14888" max="14888" width="0.5703125" style="103" customWidth="1"/>
    <col min="14889" max="14889" width="2.140625" style="103" customWidth="1"/>
    <col min="14890" max="14890" width="0.5703125" style="103" customWidth="1"/>
    <col min="14891" max="14891" width="2.140625" style="103" customWidth="1"/>
    <col min="14892" max="14892" width="0.5703125" style="103" customWidth="1"/>
    <col min="14893" max="14893" width="2.28515625" style="103" customWidth="1"/>
    <col min="14894" max="14894" width="0.5703125" style="103" customWidth="1"/>
    <col min="14895" max="14895" width="2.140625" style="103" customWidth="1"/>
    <col min="14896" max="14896" width="0.5703125" style="103" customWidth="1"/>
    <col min="14897" max="14897" width="2.28515625" style="103" customWidth="1"/>
    <col min="14898" max="14898" width="0.5703125" style="103" customWidth="1"/>
    <col min="14899" max="14899" width="2.140625" style="103" customWidth="1"/>
    <col min="14900" max="14900" width="0.5703125" style="103" customWidth="1"/>
    <col min="14901" max="14901" width="2.28515625" style="103" customWidth="1"/>
    <col min="14902" max="14902" width="0.5703125" style="103" customWidth="1"/>
    <col min="14903" max="14903" width="2.140625" style="103" customWidth="1"/>
    <col min="14904" max="14904" width="0.5703125" style="103" customWidth="1"/>
    <col min="14905" max="14905" width="2.140625" style="103" customWidth="1"/>
    <col min="14906" max="14906" width="0.5703125" style="103" customWidth="1"/>
    <col min="14907" max="14907" width="2.28515625" style="103" customWidth="1"/>
    <col min="14908" max="14908" width="0.5703125" style="103" customWidth="1"/>
    <col min="14909" max="14909" width="2.140625" style="103" customWidth="1"/>
    <col min="14910" max="14910" width="0.5703125" style="103" customWidth="1"/>
    <col min="14911" max="14911" width="2.140625" style="103" customWidth="1"/>
    <col min="14912" max="14912" width="0.5703125" style="103" customWidth="1"/>
    <col min="14913" max="14913" width="2.140625" style="103" customWidth="1"/>
    <col min="14914" max="14914" width="0.5703125" style="103" customWidth="1"/>
    <col min="14915" max="14915" width="2.140625" style="103" customWidth="1"/>
    <col min="14916" max="14916" width="0.5703125" style="103" customWidth="1"/>
    <col min="14917" max="14917" width="2.28515625" style="103" customWidth="1"/>
    <col min="14918" max="14918" width="0.5703125" style="103" customWidth="1"/>
    <col min="14919" max="14919" width="2.140625" style="103" customWidth="1"/>
    <col min="14920" max="14920" width="0.5703125" style="103" customWidth="1"/>
    <col min="14921" max="14921" width="2.140625" style="103" customWidth="1"/>
    <col min="14922" max="14922" width="0.5703125" style="103" customWidth="1"/>
    <col min="14923" max="14923" width="2.140625" style="103" customWidth="1"/>
    <col min="14924" max="14924" width="0.42578125" style="103" customWidth="1"/>
    <col min="14925" max="15104" width="9.140625" style="103"/>
    <col min="15105" max="15105" width="0.7109375" style="103" customWidth="1"/>
    <col min="15106" max="15106" width="0.5703125" style="103" customWidth="1"/>
    <col min="15107" max="15107" width="2.140625" style="103" customWidth="1"/>
    <col min="15108" max="15108" width="0.5703125" style="103" customWidth="1"/>
    <col min="15109" max="15109" width="2.140625" style="103" customWidth="1"/>
    <col min="15110" max="15110" width="0.5703125" style="103" customWidth="1"/>
    <col min="15111" max="15111" width="2.140625" style="103" customWidth="1"/>
    <col min="15112" max="15112" width="0.5703125" style="103" customWidth="1"/>
    <col min="15113" max="15113" width="2.140625" style="103" customWidth="1"/>
    <col min="15114" max="15114" width="0.5703125" style="103" customWidth="1"/>
    <col min="15115" max="15115" width="2.140625" style="103" customWidth="1"/>
    <col min="15116" max="15116" width="0.5703125" style="103" customWidth="1"/>
    <col min="15117" max="15117" width="2.28515625" style="103" customWidth="1"/>
    <col min="15118" max="15118" width="0.5703125" style="103" customWidth="1"/>
    <col min="15119" max="15119" width="2.140625" style="103" customWidth="1"/>
    <col min="15120" max="15120" width="0.5703125" style="103" customWidth="1"/>
    <col min="15121" max="15121" width="2.140625" style="103" customWidth="1"/>
    <col min="15122" max="15122" width="0.5703125" style="103" customWidth="1"/>
    <col min="15123" max="15123" width="2.140625" style="103" customWidth="1"/>
    <col min="15124" max="15124" width="0.5703125" style="103" customWidth="1"/>
    <col min="15125" max="15125" width="2.140625" style="103" customWidth="1"/>
    <col min="15126" max="15126" width="0.5703125" style="103" customWidth="1"/>
    <col min="15127" max="15127" width="2.140625" style="103" customWidth="1"/>
    <col min="15128" max="15128" width="0.5703125" style="103" customWidth="1"/>
    <col min="15129" max="15129" width="2.140625" style="103" customWidth="1"/>
    <col min="15130" max="15130" width="0.5703125" style="103" customWidth="1"/>
    <col min="15131" max="15131" width="2.140625" style="103" customWidth="1"/>
    <col min="15132" max="15132" width="0.5703125" style="103" customWidth="1"/>
    <col min="15133" max="15133" width="2.28515625" style="103" customWidth="1"/>
    <col min="15134" max="15134" width="0.5703125" style="103" customWidth="1"/>
    <col min="15135" max="15135" width="2.28515625" style="103" customWidth="1"/>
    <col min="15136" max="15136" width="0.5703125" style="103" customWidth="1"/>
    <col min="15137" max="15137" width="2.28515625" style="103" customWidth="1"/>
    <col min="15138" max="15138" width="0.5703125" style="103" customWidth="1"/>
    <col min="15139" max="15139" width="2.140625" style="103" customWidth="1"/>
    <col min="15140" max="15140" width="0.5703125" style="103" customWidth="1"/>
    <col min="15141" max="15141" width="2.140625" style="103" customWidth="1"/>
    <col min="15142" max="15142" width="0.5703125" style="103" customWidth="1"/>
    <col min="15143" max="15143" width="2.28515625" style="103" customWidth="1"/>
    <col min="15144" max="15144" width="0.5703125" style="103" customWidth="1"/>
    <col min="15145" max="15145" width="2.140625" style="103" customWidth="1"/>
    <col min="15146" max="15146" width="0.5703125" style="103" customWidth="1"/>
    <col min="15147" max="15147" width="2.140625" style="103" customWidth="1"/>
    <col min="15148" max="15148" width="0.5703125" style="103" customWidth="1"/>
    <col min="15149" max="15149" width="2.28515625" style="103" customWidth="1"/>
    <col min="15150" max="15150" width="0.5703125" style="103" customWidth="1"/>
    <col min="15151" max="15151" width="2.140625" style="103" customWidth="1"/>
    <col min="15152" max="15152" width="0.5703125" style="103" customWidth="1"/>
    <col min="15153" max="15153" width="2.28515625" style="103" customWidth="1"/>
    <col min="15154" max="15154" width="0.5703125" style="103" customWidth="1"/>
    <col min="15155" max="15155" width="2.140625" style="103" customWidth="1"/>
    <col min="15156" max="15156" width="0.5703125" style="103" customWidth="1"/>
    <col min="15157" max="15157" width="2.28515625" style="103" customWidth="1"/>
    <col min="15158" max="15158" width="0.5703125" style="103" customWidth="1"/>
    <col min="15159" max="15159" width="2.140625" style="103" customWidth="1"/>
    <col min="15160" max="15160" width="0.5703125" style="103" customWidth="1"/>
    <col min="15161" max="15161" width="2.140625" style="103" customWidth="1"/>
    <col min="15162" max="15162" width="0.5703125" style="103" customWidth="1"/>
    <col min="15163" max="15163" width="2.28515625" style="103" customWidth="1"/>
    <col min="15164" max="15164" width="0.5703125" style="103" customWidth="1"/>
    <col min="15165" max="15165" width="2.140625" style="103" customWidth="1"/>
    <col min="15166" max="15166" width="0.5703125" style="103" customWidth="1"/>
    <col min="15167" max="15167" width="2.140625" style="103" customWidth="1"/>
    <col min="15168" max="15168" width="0.5703125" style="103" customWidth="1"/>
    <col min="15169" max="15169" width="2.140625" style="103" customWidth="1"/>
    <col min="15170" max="15170" width="0.5703125" style="103" customWidth="1"/>
    <col min="15171" max="15171" width="2.140625" style="103" customWidth="1"/>
    <col min="15172" max="15172" width="0.5703125" style="103" customWidth="1"/>
    <col min="15173" max="15173" width="2.28515625" style="103" customWidth="1"/>
    <col min="15174" max="15174" width="0.5703125" style="103" customWidth="1"/>
    <col min="15175" max="15175" width="2.140625" style="103" customWidth="1"/>
    <col min="15176" max="15176" width="0.5703125" style="103" customWidth="1"/>
    <col min="15177" max="15177" width="2.140625" style="103" customWidth="1"/>
    <col min="15178" max="15178" width="0.5703125" style="103" customWidth="1"/>
    <col min="15179" max="15179" width="2.140625" style="103" customWidth="1"/>
    <col min="15180" max="15180" width="0.42578125" style="103" customWidth="1"/>
    <col min="15181" max="15360" width="9.140625" style="103"/>
    <col min="15361" max="15361" width="0.7109375" style="103" customWidth="1"/>
    <col min="15362" max="15362" width="0.5703125" style="103" customWidth="1"/>
    <col min="15363" max="15363" width="2.140625" style="103" customWidth="1"/>
    <col min="15364" max="15364" width="0.5703125" style="103" customWidth="1"/>
    <col min="15365" max="15365" width="2.140625" style="103" customWidth="1"/>
    <col min="15366" max="15366" width="0.5703125" style="103" customWidth="1"/>
    <col min="15367" max="15367" width="2.140625" style="103" customWidth="1"/>
    <col min="15368" max="15368" width="0.5703125" style="103" customWidth="1"/>
    <col min="15369" max="15369" width="2.140625" style="103" customWidth="1"/>
    <col min="15370" max="15370" width="0.5703125" style="103" customWidth="1"/>
    <col min="15371" max="15371" width="2.140625" style="103" customWidth="1"/>
    <col min="15372" max="15372" width="0.5703125" style="103" customWidth="1"/>
    <col min="15373" max="15373" width="2.28515625" style="103" customWidth="1"/>
    <col min="15374" max="15374" width="0.5703125" style="103" customWidth="1"/>
    <col min="15375" max="15375" width="2.140625" style="103" customWidth="1"/>
    <col min="15376" max="15376" width="0.5703125" style="103" customWidth="1"/>
    <col min="15377" max="15377" width="2.140625" style="103" customWidth="1"/>
    <col min="15378" max="15378" width="0.5703125" style="103" customWidth="1"/>
    <col min="15379" max="15379" width="2.140625" style="103" customWidth="1"/>
    <col min="15380" max="15380" width="0.5703125" style="103" customWidth="1"/>
    <col min="15381" max="15381" width="2.140625" style="103" customWidth="1"/>
    <col min="15382" max="15382" width="0.5703125" style="103" customWidth="1"/>
    <col min="15383" max="15383" width="2.140625" style="103" customWidth="1"/>
    <col min="15384" max="15384" width="0.5703125" style="103" customWidth="1"/>
    <col min="15385" max="15385" width="2.140625" style="103" customWidth="1"/>
    <col min="15386" max="15386" width="0.5703125" style="103" customWidth="1"/>
    <col min="15387" max="15387" width="2.140625" style="103" customWidth="1"/>
    <col min="15388" max="15388" width="0.5703125" style="103" customWidth="1"/>
    <col min="15389" max="15389" width="2.28515625" style="103" customWidth="1"/>
    <col min="15390" max="15390" width="0.5703125" style="103" customWidth="1"/>
    <col min="15391" max="15391" width="2.28515625" style="103" customWidth="1"/>
    <col min="15392" max="15392" width="0.5703125" style="103" customWidth="1"/>
    <col min="15393" max="15393" width="2.28515625" style="103" customWidth="1"/>
    <col min="15394" max="15394" width="0.5703125" style="103" customWidth="1"/>
    <col min="15395" max="15395" width="2.140625" style="103" customWidth="1"/>
    <col min="15396" max="15396" width="0.5703125" style="103" customWidth="1"/>
    <col min="15397" max="15397" width="2.140625" style="103" customWidth="1"/>
    <col min="15398" max="15398" width="0.5703125" style="103" customWidth="1"/>
    <col min="15399" max="15399" width="2.28515625" style="103" customWidth="1"/>
    <col min="15400" max="15400" width="0.5703125" style="103" customWidth="1"/>
    <col min="15401" max="15401" width="2.140625" style="103" customWidth="1"/>
    <col min="15402" max="15402" width="0.5703125" style="103" customWidth="1"/>
    <col min="15403" max="15403" width="2.140625" style="103" customWidth="1"/>
    <col min="15404" max="15404" width="0.5703125" style="103" customWidth="1"/>
    <col min="15405" max="15405" width="2.28515625" style="103" customWidth="1"/>
    <col min="15406" max="15406" width="0.5703125" style="103" customWidth="1"/>
    <col min="15407" max="15407" width="2.140625" style="103" customWidth="1"/>
    <col min="15408" max="15408" width="0.5703125" style="103" customWidth="1"/>
    <col min="15409" max="15409" width="2.28515625" style="103" customWidth="1"/>
    <col min="15410" max="15410" width="0.5703125" style="103" customWidth="1"/>
    <col min="15411" max="15411" width="2.140625" style="103" customWidth="1"/>
    <col min="15412" max="15412" width="0.5703125" style="103" customWidth="1"/>
    <col min="15413" max="15413" width="2.28515625" style="103" customWidth="1"/>
    <col min="15414" max="15414" width="0.5703125" style="103" customWidth="1"/>
    <col min="15415" max="15415" width="2.140625" style="103" customWidth="1"/>
    <col min="15416" max="15416" width="0.5703125" style="103" customWidth="1"/>
    <col min="15417" max="15417" width="2.140625" style="103" customWidth="1"/>
    <col min="15418" max="15418" width="0.5703125" style="103" customWidth="1"/>
    <col min="15419" max="15419" width="2.28515625" style="103" customWidth="1"/>
    <col min="15420" max="15420" width="0.5703125" style="103" customWidth="1"/>
    <col min="15421" max="15421" width="2.140625" style="103" customWidth="1"/>
    <col min="15422" max="15422" width="0.5703125" style="103" customWidth="1"/>
    <col min="15423" max="15423" width="2.140625" style="103" customWidth="1"/>
    <col min="15424" max="15424" width="0.5703125" style="103" customWidth="1"/>
    <col min="15425" max="15425" width="2.140625" style="103" customWidth="1"/>
    <col min="15426" max="15426" width="0.5703125" style="103" customWidth="1"/>
    <col min="15427" max="15427" width="2.140625" style="103" customWidth="1"/>
    <col min="15428" max="15428" width="0.5703125" style="103" customWidth="1"/>
    <col min="15429" max="15429" width="2.28515625" style="103" customWidth="1"/>
    <col min="15430" max="15430" width="0.5703125" style="103" customWidth="1"/>
    <col min="15431" max="15431" width="2.140625" style="103" customWidth="1"/>
    <col min="15432" max="15432" width="0.5703125" style="103" customWidth="1"/>
    <col min="15433" max="15433" width="2.140625" style="103" customWidth="1"/>
    <col min="15434" max="15434" width="0.5703125" style="103" customWidth="1"/>
    <col min="15435" max="15435" width="2.140625" style="103" customWidth="1"/>
    <col min="15436" max="15436" width="0.42578125" style="103" customWidth="1"/>
    <col min="15437" max="15616" width="9.140625" style="103"/>
    <col min="15617" max="15617" width="0.7109375" style="103" customWidth="1"/>
    <col min="15618" max="15618" width="0.5703125" style="103" customWidth="1"/>
    <col min="15619" max="15619" width="2.140625" style="103" customWidth="1"/>
    <col min="15620" max="15620" width="0.5703125" style="103" customWidth="1"/>
    <col min="15621" max="15621" width="2.140625" style="103" customWidth="1"/>
    <col min="15622" max="15622" width="0.5703125" style="103" customWidth="1"/>
    <col min="15623" max="15623" width="2.140625" style="103" customWidth="1"/>
    <col min="15624" max="15624" width="0.5703125" style="103" customWidth="1"/>
    <col min="15625" max="15625" width="2.140625" style="103" customWidth="1"/>
    <col min="15626" max="15626" width="0.5703125" style="103" customWidth="1"/>
    <col min="15627" max="15627" width="2.140625" style="103" customWidth="1"/>
    <col min="15628" max="15628" width="0.5703125" style="103" customWidth="1"/>
    <col min="15629" max="15629" width="2.28515625" style="103" customWidth="1"/>
    <col min="15630" max="15630" width="0.5703125" style="103" customWidth="1"/>
    <col min="15631" max="15631" width="2.140625" style="103" customWidth="1"/>
    <col min="15632" max="15632" width="0.5703125" style="103" customWidth="1"/>
    <col min="15633" max="15633" width="2.140625" style="103" customWidth="1"/>
    <col min="15634" max="15634" width="0.5703125" style="103" customWidth="1"/>
    <col min="15635" max="15635" width="2.140625" style="103" customWidth="1"/>
    <col min="15636" max="15636" width="0.5703125" style="103" customWidth="1"/>
    <col min="15637" max="15637" width="2.140625" style="103" customWidth="1"/>
    <col min="15638" max="15638" width="0.5703125" style="103" customWidth="1"/>
    <col min="15639" max="15639" width="2.140625" style="103" customWidth="1"/>
    <col min="15640" max="15640" width="0.5703125" style="103" customWidth="1"/>
    <col min="15641" max="15641" width="2.140625" style="103" customWidth="1"/>
    <col min="15642" max="15642" width="0.5703125" style="103" customWidth="1"/>
    <col min="15643" max="15643" width="2.140625" style="103" customWidth="1"/>
    <col min="15644" max="15644" width="0.5703125" style="103" customWidth="1"/>
    <col min="15645" max="15645" width="2.28515625" style="103" customWidth="1"/>
    <col min="15646" max="15646" width="0.5703125" style="103" customWidth="1"/>
    <col min="15647" max="15647" width="2.28515625" style="103" customWidth="1"/>
    <col min="15648" max="15648" width="0.5703125" style="103" customWidth="1"/>
    <col min="15649" max="15649" width="2.28515625" style="103" customWidth="1"/>
    <col min="15650" max="15650" width="0.5703125" style="103" customWidth="1"/>
    <col min="15651" max="15651" width="2.140625" style="103" customWidth="1"/>
    <col min="15652" max="15652" width="0.5703125" style="103" customWidth="1"/>
    <col min="15653" max="15653" width="2.140625" style="103" customWidth="1"/>
    <col min="15654" max="15654" width="0.5703125" style="103" customWidth="1"/>
    <col min="15655" max="15655" width="2.28515625" style="103" customWidth="1"/>
    <col min="15656" max="15656" width="0.5703125" style="103" customWidth="1"/>
    <col min="15657" max="15657" width="2.140625" style="103" customWidth="1"/>
    <col min="15658" max="15658" width="0.5703125" style="103" customWidth="1"/>
    <col min="15659" max="15659" width="2.140625" style="103" customWidth="1"/>
    <col min="15660" max="15660" width="0.5703125" style="103" customWidth="1"/>
    <col min="15661" max="15661" width="2.28515625" style="103" customWidth="1"/>
    <col min="15662" max="15662" width="0.5703125" style="103" customWidth="1"/>
    <col min="15663" max="15663" width="2.140625" style="103" customWidth="1"/>
    <col min="15664" max="15664" width="0.5703125" style="103" customWidth="1"/>
    <col min="15665" max="15665" width="2.28515625" style="103" customWidth="1"/>
    <col min="15666" max="15666" width="0.5703125" style="103" customWidth="1"/>
    <col min="15667" max="15667" width="2.140625" style="103" customWidth="1"/>
    <col min="15668" max="15668" width="0.5703125" style="103" customWidth="1"/>
    <col min="15669" max="15669" width="2.28515625" style="103" customWidth="1"/>
    <col min="15670" max="15670" width="0.5703125" style="103" customWidth="1"/>
    <col min="15671" max="15671" width="2.140625" style="103" customWidth="1"/>
    <col min="15672" max="15672" width="0.5703125" style="103" customWidth="1"/>
    <col min="15673" max="15673" width="2.140625" style="103" customWidth="1"/>
    <col min="15674" max="15674" width="0.5703125" style="103" customWidth="1"/>
    <col min="15675" max="15675" width="2.28515625" style="103" customWidth="1"/>
    <col min="15676" max="15676" width="0.5703125" style="103" customWidth="1"/>
    <col min="15677" max="15677" width="2.140625" style="103" customWidth="1"/>
    <col min="15678" max="15678" width="0.5703125" style="103" customWidth="1"/>
    <col min="15679" max="15679" width="2.140625" style="103" customWidth="1"/>
    <col min="15680" max="15680" width="0.5703125" style="103" customWidth="1"/>
    <col min="15681" max="15681" width="2.140625" style="103" customWidth="1"/>
    <col min="15682" max="15682" width="0.5703125" style="103" customWidth="1"/>
    <col min="15683" max="15683" width="2.140625" style="103" customWidth="1"/>
    <col min="15684" max="15684" width="0.5703125" style="103" customWidth="1"/>
    <col min="15685" max="15685" width="2.28515625" style="103" customWidth="1"/>
    <col min="15686" max="15686" width="0.5703125" style="103" customWidth="1"/>
    <col min="15687" max="15687" width="2.140625" style="103" customWidth="1"/>
    <col min="15688" max="15688" width="0.5703125" style="103" customWidth="1"/>
    <col min="15689" max="15689" width="2.140625" style="103" customWidth="1"/>
    <col min="15690" max="15690" width="0.5703125" style="103" customWidth="1"/>
    <col min="15691" max="15691" width="2.140625" style="103" customWidth="1"/>
    <col min="15692" max="15692" width="0.42578125" style="103" customWidth="1"/>
    <col min="15693" max="15872" width="9.140625" style="103"/>
    <col min="15873" max="15873" width="0.7109375" style="103" customWidth="1"/>
    <col min="15874" max="15874" width="0.5703125" style="103" customWidth="1"/>
    <col min="15875" max="15875" width="2.140625" style="103" customWidth="1"/>
    <col min="15876" max="15876" width="0.5703125" style="103" customWidth="1"/>
    <col min="15877" max="15877" width="2.140625" style="103" customWidth="1"/>
    <col min="15878" max="15878" width="0.5703125" style="103" customWidth="1"/>
    <col min="15879" max="15879" width="2.140625" style="103" customWidth="1"/>
    <col min="15880" max="15880" width="0.5703125" style="103" customWidth="1"/>
    <col min="15881" max="15881" width="2.140625" style="103" customWidth="1"/>
    <col min="15882" max="15882" width="0.5703125" style="103" customWidth="1"/>
    <col min="15883" max="15883" width="2.140625" style="103" customWidth="1"/>
    <col min="15884" max="15884" width="0.5703125" style="103" customWidth="1"/>
    <col min="15885" max="15885" width="2.28515625" style="103" customWidth="1"/>
    <col min="15886" max="15886" width="0.5703125" style="103" customWidth="1"/>
    <col min="15887" max="15887" width="2.140625" style="103" customWidth="1"/>
    <col min="15888" max="15888" width="0.5703125" style="103" customWidth="1"/>
    <col min="15889" max="15889" width="2.140625" style="103" customWidth="1"/>
    <col min="15890" max="15890" width="0.5703125" style="103" customWidth="1"/>
    <col min="15891" max="15891" width="2.140625" style="103" customWidth="1"/>
    <col min="15892" max="15892" width="0.5703125" style="103" customWidth="1"/>
    <col min="15893" max="15893" width="2.140625" style="103" customWidth="1"/>
    <col min="15894" max="15894" width="0.5703125" style="103" customWidth="1"/>
    <col min="15895" max="15895" width="2.140625" style="103" customWidth="1"/>
    <col min="15896" max="15896" width="0.5703125" style="103" customWidth="1"/>
    <col min="15897" max="15897" width="2.140625" style="103" customWidth="1"/>
    <col min="15898" max="15898" width="0.5703125" style="103" customWidth="1"/>
    <col min="15899" max="15899" width="2.140625" style="103" customWidth="1"/>
    <col min="15900" max="15900" width="0.5703125" style="103" customWidth="1"/>
    <col min="15901" max="15901" width="2.28515625" style="103" customWidth="1"/>
    <col min="15902" max="15902" width="0.5703125" style="103" customWidth="1"/>
    <col min="15903" max="15903" width="2.28515625" style="103" customWidth="1"/>
    <col min="15904" max="15904" width="0.5703125" style="103" customWidth="1"/>
    <col min="15905" max="15905" width="2.28515625" style="103" customWidth="1"/>
    <col min="15906" max="15906" width="0.5703125" style="103" customWidth="1"/>
    <col min="15907" max="15907" width="2.140625" style="103" customWidth="1"/>
    <col min="15908" max="15908" width="0.5703125" style="103" customWidth="1"/>
    <col min="15909" max="15909" width="2.140625" style="103" customWidth="1"/>
    <col min="15910" max="15910" width="0.5703125" style="103" customWidth="1"/>
    <col min="15911" max="15911" width="2.28515625" style="103" customWidth="1"/>
    <col min="15912" max="15912" width="0.5703125" style="103" customWidth="1"/>
    <col min="15913" max="15913" width="2.140625" style="103" customWidth="1"/>
    <col min="15914" max="15914" width="0.5703125" style="103" customWidth="1"/>
    <col min="15915" max="15915" width="2.140625" style="103" customWidth="1"/>
    <col min="15916" max="15916" width="0.5703125" style="103" customWidth="1"/>
    <col min="15917" max="15917" width="2.28515625" style="103" customWidth="1"/>
    <col min="15918" max="15918" width="0.5703125" style="103" customWidth="1"/>
    <col min="15919" max="15919" width="2.140625" style="103" customWidth="1"/>
    <col min="15920" max="15920" width="0.5703125" style="103" customWidth="1"/>
    <col min="15921" max="15921" width="2.28515625" style="103" customWidth="1"/>
    <col min="15922" max="15922" width="0.5703125" style="103" customWidth="1"/>
    <col min="15923" max="15923" width="2.140625" style="103" customWidth="1"/>
    <col min="15924" max="15924" width="0.5703125" style="103" customWidth="1"/>
    <col min="15925" max="15925" width="2.28515625" style="103" customWidth="1"/>
    <col min="15926" max="15926" width="0.5703125" style="103" customWidth="1"/>
    <col min="15927" max="15927" width="2.140625" style="103" customWidth="1"/>
    <col min="15928" max="15928" width="0.5703125" style="103" customWidth="1"/>
    <col min="15929" max="15929" width="2.140625" style="103" customWidth="1"/>
    <col min="15930" max="15930" width="0.5703125" style="103" customWidth="1"/>
    <col min="15931" max="15931" width="2.28515625" style="103" customWidth="1"/>
    <col min="15932" max="15932" width="0.5703125" style="103" customWidth="1"/>
    <col min="15933" max="15933" width="2.140625" style="103" customWidth="1"/>
    <col min="15934" max="15934" width="0.5703125" style="103" customWidth="1"/>
    <col min="15935" max="15935" width="2.140625" style="103" customWidth="1"/>
    <col min="15936" max="15936" width="0.5703125" style="103" customWidth="1"/>
    <col min="15937" max="15937" width="2.140625" style="103" customWidth="1"/>
    <col min="15938" max="15938" width="0.5703125" style="103" customWidth="1"/>
    <col min="15939" max="15939" width="2.140625" style="103" customWidth="1"/>
    <col min="15940" max="15940" width="0.5703125" style="103" customWidth="1"/>
    <col min="15941" max="15941" width="2.28515625" style="103" customWidth="1"/>
    <col min="15942" max="15942" width="0.5703125" style="103" customWidth="1"/>
    <col min="15943" max="15943" width="2.140625" style="103" customWidth="1"/>
    <col min="15944" max="15944" width="0.5703125" style="103" customWidth="1"/>
    <col min="15945" max="15945" width="2.140625" style="103" customWidth="1"/>
    <col min="15946" max="15946" width="0.5703125" style="103" customWidth="1"/>
    <col min="15947" max="15947" width="2.140625" style="103" customWidth="1"/>
    <col min="15948" max="15948" width="0.42578125" style="103" customWidth="1"/>
    <col min="15949" max="16128" width="9.140625" style="103"/>
    <col min="16129" max="16129" width="0.7109375" style="103" customWidth="1"/>
    <col min="16130" max="16130" width="0.5703125" style="103" customWidth="1"/>
    <col min="16131" max="16131" width="2.140625" style="103" customWidth="1"/>
    <col min="16132" max="16132" width="0.5703125" style="103" customWidth="1"/>
    <col min="16133" max="16133" width="2.140625" style="103" customWidth="1"/>
    <col min="16134" max="16134" width="0.5703125" style="103" customWidth="1"/>
    <col min="16135" max="16135" width="2.140625" style="103" customWidth="1"/>
    <col min="16136" max="16136" width="0.5703125" style="103" customWidth="1"/>
    <col min="16137" max="16137" width="2.140625" style="103" customWidth="1"/>
    <col min="16138" max="16138" width="0.5703125" style="103" customWidth="1"/>
    <col min="16139" max="16139" width="2.140625" style="103" customWidth="1"/>
    <col min="16140" max="16140" width="0.5703125" style="103" customWidth="1"/>
    <col min="16141" max="16141" width="2.28515625" style="103" customWidth="1"/>
    <col min="16142" max="16142" width="0.5703125" style="103" customWidth="1"/>
    <col min="16143" max="16143" width="2.140625" style="103" customWidth="1"/>
    <col min="16144" max="16144" width="0.5703125" style="103" customWidth="1"/>
    <col min="16145" max="16145" width="2.140625" style="103" customWidth="1"/>
    <col min="16146" max="16146" width="0.5703125" style="103" customWidth="1"/>
    <col min="16147" max="16147" width="2.140625" style="103" customWidth="1"/>
    <col min="16148" max="16148" width="0.5703125" style="103" customWidth="1"/>
    <col min="16149" max="16149" width="2.140625" style="103" customWidth="1"/>
    <col min="16150" max="16150" width="0.5703125" style="103" customWidth="1"/>
    <col min="16151" max="16151" width="2.140625" style="103" customWidth="1"/>
    <col min="16152" max="16152" width="0.5703125" style="103" customWidth="1"/>
    <col min="16153" max="16153" width="2.140625" style="103" customWidth="1"/>
    <col min="16154" max="16154" width="0.5703125" style="103" customWidth="1"/>
    <col min="16155" max="16155" width="2.140625" style="103" customWidth="1"/>
    <col min="16156" max="16156" width="0.5703125" style="103" customWidth="1"/>
    <col min="16157" max="16157" width="2.28515625" style="103" customWidth="1"/>
    <col min="16158" max="16158" width="0.5703125" style="103" customWidth="1"/>
    <col min="16159" max="16159" width="2.28515625" style="103" customWidth="1"/>
    <col min="16160" max="16160" width="0.5703125" style="103" customWidth="1"/>
    <col min="16161" max="16161" width="2.28515625" style="103" customWidth="1"/>
    <col min="16162" max="16162" width="0.5703125" style="103" customWidth="1"/>
    <col min="16163" max="16163" width="2.140625" style="103" customWidth="1"/>
    <col min="16164" max="16164" width="0.5703125" style="103" customWidth="1"/>
    <col min="16165" max="16165" width="2.140625" style="103" customWidth="1"/>
    <col min="16166" max="16166" width="0.5703125" style="103" customWidth="1"/>
    <col min="16167" max="16167" width="2.28515625" style="103" customWidth="1"/>
    <col min="16168" max="16168" width="0.5703125" style="103" customWidth="1"/>
    <col min="16169" max="16169" width="2.140625" style="103" customWidth="1"/>
    <col min="16170" max="16170" width="0.5703125" style="103" customWidth="1"/>
    <col min="16171" max="16171" width="2.140625" style="103" customWidth="1"/>
    <col min="16172" max="16172" width="0.5703125" style="103" customWidth="1"/>
    <col min="16173" max="16173" width="2.28515625" style="103" customWidth="1"/>
    <col min="16174" max="16174" width="0.5703125" style="103" customWidth="1"/>
    <col min="16175" max="16175" width="2.140625" style="103" customWidth="1"/>
    <col min="16176" max="16176" width="0.5703125" style="103" customWidth="1"/>
    <col min="16177" max="16177" width="2.28515625" style="103" customWidth="1"/>
    <col min="16178" max="16178" width="0.5703125" style="103" customWidth="1"/>
    <col min="16179" max="16179" width="2.140625" style="103" customWidth="1"/>
    <col min="16180" max="16180" width="0.5703125" style="103" customWidth="1"/>
    <col min="16181" max="16181" width="2.28515625" style="103" customWidth="1"/>
    <col min="16182" max="16182" width="0.5703125" style="103" customWidth="1"/>
    <col min="16183" max="16183" width="2.140625" style="103" customWidth="1"/>
    <col min="16184" max="16184" width="0.5703125" style="103" customWidth="1"/>
    <col min="16185" max="16185" width="2.140625" style="103" customWidth="1"/>
    <col min="16186" max="16186" width="0.5703125" style="103" customWidth="1"/>
    <col min="16187" max="16187" width="2.28515625" style="103" customWidth="1"/>
    <col min="16188" max="16188" width="0.5703125" style="103" customWidth="1"/>
    <col min="16189" max="16189" width="2.140625" style="103" customWidth="1"/>
    <col min="16190" max="16190" width="0.5703125" style="103" customWidth="1"/>
    <col min="16191" max="16191" width="2.140625" style="103" customWidth="1"/>
    <col min="16192" max="16192" width="0.5703125" style="103" customWidth="1"/>
    <col min="16193" max="16193" width="2.140625" style="103" customWidth="1"/>
    <col min="16194" max="16194" width="0.5703125" style="103" customWidth="1"/>
    <col min="16195" max="16195" width="2.140625" style="103" customWidth="1"/>
    <col min="16196" max="16196" width="0.5703125" style="103" customWidth="1"/>
    <col min="16197" max="16197" width="2.28515625" style="103" customWidth="1"/>
    <col min="16198" max="16198" width="0.5703125" style="103" customWidth="1"/>
    <col min="16199" max="16199" width="2.140625" style="103" customWidth="1"/>
    <col min="16200" max="16200" width="0.5703125" style="103" customWidth="1"/>
    <col min="16201" max="16201" width="2.140625" style="103" customWidth="1"/>
    <col min="16202" max="16202" width="0.5703125" style="103" customWidth="1"/>
    <col min="16203" max="16203" width="2.140625" style="103" customWidth="1"/>
    <col min="16204" max="16204" width="0.42578125" style="103" customWidth="1"/>
    <col min="16205" max="16384" width="9.140625" style="103"/>
  </cols>
  <sheetData>
    <row r="1" spans="1:76" s="97" customFormat="1" ht="14.25" customHeight="1" thickBot="1">
      <c r="F1" s="98" t="s">
        <v>1471</v>
      </c>
      <c r="G1" s="99"/>
      <c r="Q1" s="100"/>
      <c r="R1" s="100"/>
      <c r="S1" s="100"/>
      <c r="T1" s="100"/>
      <c r="U1" s="100"/>
      <c r="V1" s="100"/>
      <c r="W1" s="100"/>
      <c r="X1" s="100"/>
      <c r="Y1" s="402" t="str">
        <f>Index!C367</f>
        <v>Príloha č.1 k opatreniu č. 4455/2003-92</v>
      </c>
      <c r="Z1" s="100"/>
      <c r="AA1" s="100"/>
      <c r="AB1" s="100"/>
      <c r="AC1" s="100"/>
      <c r="AD1" s="100"/>
      <c r="AE1" s="100"/>
      <c r="AF1" s="100"/>
      <c r="AG1" s="100"/>
      <c r="AW1" s="402" t="str">
        <f>Index!C407</f>
        <v>Príloha č. 1 k opatreniu č. MF/18009/2014-74</v>
      </c>
      <c r="AY1" s="100"/>
    </row>
    <row r="2" spans="1:76" ht="19.5" customHeight="1" thickTop="1" thickBot="1">
      <c r="A2" s="792"/>
      <c r="B2" s="101"/>
      <c r="C2" s="102"/>
      <c r="D2" s="102"/>
      <c r="F2" s="104"/>
      <c r="G2" s="105" t="s">
        <v>1474</v>
      </c>
      <c r="H2" s="106"/>
      <c r="I2" s="106"/>
      <c r="J2" s="106"/>
      <c r="K2" s="107"/>
      <c r="L2" s="108"/>
      <c r="M2" s="108"/>
      <c r="N2" s="108"/>
      <c r="O2" s="108"/>
      <c r="P2" s="108"/>
      <c r="Q2" s="108"/>
      <c r="R2" s="108"/>
      <c r="S2" s="108"/>
      <c r="T2" s="108"/>
      <c r="U2" s="802" t="str">
        <f>Index!C366</f>
        <v>ÚČTOVNÁ ZÁVIERKA</v>
      </c>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c r="AT2" s="802"/>
      <c r="AU2" s="802"/>
      <c r="AV2" s="802"/>
      <c r="AW2" s="802"/>
      <c r="AX2" s="109"/>
      <c r="AY2" s="109"/>
      <c r="AZ2" s="109"/>
      <c r="BA2" s="109"/>
      <c r="BB2" s="109"/>
      <c r="BC2" s="109"/>
      <c r="BD2" s="109"/>
      <c r="BE2" s="109"/>
      <c r="BF2" s="109"/>
      <c r="BG2" s="109"/>
      <c r="BH2" s="109"/>
      <c r="BI2" s="109"/>
      <c r="BJ2" s="109"/>
      <c r="BK2" s="109"/>
      <c r="BL2" s="109"/>
      <c r="BM2" s="109"/>
      <c r="BN2" s="109"/>
      <c r="BO2" s="109"/>
      <c r="BP2" s="109"/>
      <c r="BQ2" s="109"/>
      <c r="BR2" s="109"/>
      <c r="BS2" s="109"/>
      <c r="BT2" s="109"/>
      <c r="BU2" s="109"/>
      <c r="BV2" s="102"/>
      <c r="BW2" s="102"/>
      <c r="BX2" s="110"/>
    </row>
    <row r="3" spans="1:76" ht="4.5" customHeight="1">
      <c r="A3" s="792"/>
      <c r="B3" s="111"/>
      <c r="C3" s="111"/>
      <c r="D3" s="111"/>
      <c r="E3" s="111"/>
      <c r="F3" s="111"/>
      <c r="G3" s="111"/>
      <c r="H3" s="111"/>
      <c r="I3" s="111"/>
      <c r="J3" s="111"/>
      <c r="K3" s="111"/>
      <c r="L3" s="111"/>
      <c r="M3" s="111"/>
      <c r="N3" s="111"/>
      <c r="O3" s="111"/>
      <c r="P3" s="111"/>
      <c r="Q3" s="111"/>
      <c r="R3" s="111"/>
      <c r="S3" s="111"/>
      <c r="T3" s="111"/>
      <c r="U3" s="802"/>
      <c r="V3" s="802"/>
      <c r="W3" s="802"/>
      <c r="X3" s="802"/>
      <c r="Y3" s="802"/>
      <c r="Z3" s="802"/>
      <c r="AA3" s="802"/>
      <c r="AB3" s="802"/>
      <c r="AC3" s="802"/>
      <c r="AD3" s="802"/>
      <c r="AE3" s="802"/>
      <c r="AF3" s="802"/>
      <c r="AG3" s="802"/>
      <c r="AH3" s="802"/>
      <c r="AI3" s="802"/>
      <c r="AJ3" s="802"/>
      <c r="AK3" s="802"/>
      <c r="AL3" s="802"/>
      <c r="AM3" s="802"/>
      <c r="AN3" s="802"/>
      <c r="AO3" s="802"/>
      <c r="AP3" s="802"/>
      <c r="AQ3" s="802"/>
      <c r="AR3" s="802"/>
      <c r="AS3" s="802"/>
      <c r="AT3" s="802"/>
      <c r="AU3" s="802"/>
      <c r="AV3" s="802"/>
      <c r="AW3" s="802"/>
      <c r="AX3" s="109"/>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row>
    <row r="4" spans="1:76" ht="7.5" hidden="1" customHeight="1">
      <c r="A4" s="792"/>
      <c r="B4" s="111"/>
      <c r="C4" s="111"/>
      <c r="D4" s="111"/>
      <c r="E4" s="111"/>
      <c r="F4" s="111"/>
      <c r="G4" s="111"/>
      <c r="H4" s="111"/>
      <c r="I4" s="111"/>
      <c r="J4" s="111"/>
      <c r="K4" s="111"/>
      <c r="L4" s="111"/>
      <c r="M4" s="111"/>
      <c r="N4" s="111"/>
      <c r="O4" s="111"/>
      <c r="P4" s="111"/>
      <c r="Q4" s="111"/>
      <c r="R4" s="111"/>
      <c r="S4" s="111"/>
      <c r="T4" s="111"/>
      <c r="U4" s="111"/>
      <c r="V4" s="111"/>
      <c r="W4" s="111"/>
      <c r="X4" s="111"/>
      <c r="Y4" s="111"/>
      <c r="Z4" s="111"/>
      <c r="AA4" s="111"/>
      <c r="AB4" s="111"/>
      <c r="AC4" s="113"/>
      <c r="AD4" s="113"/>
      <c r="AE4" s="113"/>
      <c r="AF4" s="113"/>
      <c r="AG4" s="113"/>
      <c r="AH4" s="113"/>
      <c r="AI4" s="113"/>
      <c r="AJ4" s="113"/>
      <c r="AK4" s="113"/>
      <c r="AL4" s="113"/>
      <c r="AM4" s="113"/>
      <c r="AN4" s="113"/>
      <c r="AO4" s="113"/>
      <c r="AP4" s="113"/>
      <c r="AQ4" s="113"/>
      <c r="AR4" s="113"/>
      <c r="AS4" s="113"/>
      <c r="AT4" s="113"/>
      <c r="AU4" s="113"/>
      <c r="AV4" s="113"/>
      <c r="AW4" s="113"/>
      <c r="AX4" s="109"/>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row>
    <row r="5" spans="1:76" s="115" customFormat="1">
      <c r="A5" s="792"/>
      <c r="B5" s="114"/>
      <c r="C5" s="114"/>
      <c r="D5" s="114"/>
      <c r="E5" s="114"/>
      <c r="F5" s="114"/>
      <c r="G5" s="114"/>
      <c r="H5" s="114"/>
      <c r="I5" s="114"/>
      <c r="J5" s="114"/>
      <c r="K5" s="114"/>
      <c r="L5" s="114"/>
      <c r="M5" s="114"/>
      <c r="N5" s="114"/>
      <c r="O5" s="114"/>
      <c r="P5" s="114"/>
      <c r="Q5" s="114"/>
      <c r="R5" s="114"/>
      <c r="S5" s="114"/>
      <c r="T5" s="114"/>
      <c r="U5" s="114"/>
      <c r="V5" s="114"/>
      <c r="W5" s="114"/>
      <c r="X5" s="403" t="str">
        <f>Index!C368</f>
        <v>podnikateľov v podvojnom účtovníctve</v>
      </c>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row>
    <row r="6" spans="1:76" ht="3.95" customHeight="1">
      <c r="A6" s="792"/>
      <c r="B6" s="97"/>
      <c r="C6" s="97"/>
      <c r="D6" s="97"/>
      <c r="E6" s="97"/>
      <c r="F6" s="97"/>
      <c r="G6" s="97"/>
      <c r="H6" s="97"/>
      <c r="I6" s="97"/>
      <c r="J6" s="97"/>
      <c r="K6" s="97"/>
      <c r="L6" s="97"/>
      <c r="M6" s="97"/>
      <c r="N6" s="97"/>
      <c r="O6" s="97"/>
      <c r="P6" s="116"/>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8"/>
      <c r="BD6" s="803"/>
      <c r="BE6" s="792"/>
      <c r="BF6" s="792"/>
      <c r="BG6" s="792"/>
      <c r="BH6" s="792"/>
      <c r="BI6" s="792"/>
      <c r="BJ6" s="792"/>
      <c r="BK6" s="792"/>
      <c r="BL6" s="792"/>
      <c r="BM6" s="792"/>
      <c r="BN6" s="792"/>
      <c r="BO6" s="792"/>
      <c r="BP6" s="792"/>
      <c r="BQ6" s="792"/>
      <c r="BR6" s="792"/>
      <c r="BS6" s="792"/>
      <c r="BT6" s="792"/>
      <c r="BU6" s="792"/>
      <c r="BV6" s="792"/>
      <c r="BW6" s="792"/>
      <c r="BX6" s="792"/>
    </row>
    <row r="7" spans="1:76" ht="3.95" customHeight="1">
      <c r="A7" s="792"/>
      <c r="B7" s="97"/>
      <c r="C7" s="97"/>
      <c r="D7" s="97"/>
      <c r="E7" s="97"/>
      <c r="F7" s="97"/>
      <c r="G7" s="97"/>
      <c r="H7" s="97"/>
      <c r="I7" s="97"/>
      <c r="J7" s="97"/>
      <c r="K7" s="97"/>
      <c r="L7" s="97"/>
      <c r="M7" s="97"/>
      <c r="N7" s="97"/>
      <c r="O7" s="97"/>
      <c r="P7" s="119"/>
      <c r="Q7" s="120"/>
      <c r="R7" s="120"/>
      <c r="S7" s="120"/>
      <c r="T7" s="120"/>
      <c r="U7" s="120"/>
      <c r="V7" s="120"/>
      <c r="W7" s="120"/>
      <c r="X7" s="121"/>
      <c r="Y7" s="121"/>
      <c r="Z7" s="121"/>
      <c r="AA7" s="111"/>
      <c r="AB7" s="111"/>
      <c r="AC7" s="111"/>
      <c r="AD7" s="121"/>
      <c r="AE7" s="121"/>
      <c r="AF7" s="121"/>
      <c r="AG7" s="111"/>
      <c r="AH7" s="111"/>
      <c r="AI7" s="111"/>
      <c r="AJ7" s="121"/>
      <c r="AK7" s="121"/>
      <c r="AL7" s="121"/>
      <c r="AM7" s="111"/>
      <c r="AN7" s="111"/>
      <c r="AO7" s="111"/>
      <c r="AP7" s="111"/>
      <c r="AQ7" s="111"/>
      <c r="AR7" s="111"/>
      <c r="AS7" s="111"/>
      <c r="AT7" s="121"/>
      <c r="AU7" s="121"/>
      <c r="AV7" s="121"/>
      <c r="AW7" s="121"/>
      <c r="AX7" s="121"/>
      <c r="AY7" s="121"/>
      <c r="AZ7" s="121"/>
      <c r="BA7" s="121"/>
      <c r="BB7" s="121"/>
      <c r="BC7" s="122"/>
      <c r="BD7" s="803"/>
      <c r="BE7" s="792"/>
      <c r="BF7" s="792"/>
      <c r="BG7" s="792"/>
      <c r="BH7" s="792"/>
      <c r="BI7" s="792"/>
      <c r="BJ7" s="792"/>
      <c r="BK7" s="792"/>
      <c r="BL7" s="792"/>
      <c r="BM7" s="792"/>
      <c r="BN7" s="792"/>
      <c r="BO7" s="792"/>
      <c r="BP7" s="792"/>
      <c r="BQ7" s="792"/>
      <c r="BR7" s="792"/>
      <c r="BS7" s="792"/>
      <c r="BT7" s="792"/>
      <c r="BU7" s="792"/>
      <c r="BV7" s="792"/>
      <c r="BW7" s="792"/>
      <c r="BX7" s="792"/>
    </row>
    <row r="8" spans="1:76" ht="7.5" customHeight="1">
      <c r="A8" s="792"/>
      <c r="B8" s="97"/>
      <c r="C8" s="97"/>
      <c r="D8" s="97"/>
      <c r="E8" s="97"/>
      <c r="F8" s="97"/>
      <c r="G8" s="97"/>
      <c r="H8" s="97"/>
      <c r="I8" s="97"/>
      <c r="J8" s="97"/>
      <c r="K8" s="97"/>
      <c r="L8" s="97"/>
      <c r="M8" s="97"/>
      <c r="N8" s="97"/>
      <c r="O8" s="97"/>
      <c r="P8" s="123"/>
      <c r="Q8" s="124"/>
      <c r="R8" s="124"/>
      <c r="S8" s="124"/>
      <c r="T8" s="124"/>
      <c r="U8" s="124"/>
      <c r="V8" s="124"/>
      <c r="W8" s="124"/>
      <c r="X8" s="124"/>
      <c r="Y8" s="124"/>
      <c r="Z8" s="124"/>
      <c r="AA8" s="761" t="str">
        <f>LEFT(Cover!C26,1)</f>
        <v>3</v>
      </c>
      <c r="AB8" s="764"/>
      <c r="AC8" s="761" t="str">
        <f>MID(Cover!C26,2,1)</f>
        <v>1</v>
      </c>
      <c r="AD8" s="804" t="s">
        <v>966</v>
      </c>
      <c r="AE8" s="804"/>
      <c r="AF8" s="804"/>
      <c r="AG8" s="761" t="str">
        <f>BK24</f>
        <v>1</v>
      </c>
      <c r="AH8" s="764"/>
      <c r="AI8" s="761" t="str">
        <f>BM24</f>
        <v>2</v>
      </c>
      <c r="AJ8" s="804" t="s">
        <v>966</v>
      </c>
      <c r="AK8" s="804"/>
      <c r="AL8" s="804"/>
      <c r="AM8" s="761">
        <v>2</v>
      </c>
      <c r="AN8" s="764"/>
      <c r="AO8" s="761">
        <v>0</v>
      </c>
      <c r="AP8" s="764"/>
      <c r="AQ8" s="801" t="str">
        <f>BU24</f>
        <v>2</v>
      </c>
      <c r="AR8" s="764"/>
      <c r="AS8" s="761" t="str">
        <f>BW24</f>
        <v>2</v>
      </c>
      <c r="AT8" s="805"/>
      <c r="AU8" s="805"/>
      <c r="AV8" s="805"/>
      <c r="AW8" s="805"/>
      <c r="AX8" s="805"/>
      <c r="AY8" s="805"/>
      <c r="AZ8" s="805"/>
      <c r="BA8" s="805"/>
      <c r="BB8" s="805"/>
      <c r="BC8" s="806"/>
      <c r="BD8" s="803"/>
      <c r="BE8" s="792"/>
      <c r="BF8" s="792"/>
      <c r="BG8" s="792"/>
      <c r="BH8" s="792"/>
      <c r="BI8" s="792"/>
      <c r="BJ8" s="792"/>
      <c r="BK8" s="792"/>
      <c r="BL8" s="792"/>
      <c r="BM8" s="792"/>
      <c r="BN8" s="792"/>
      <c r="BO8" s="792"/>
      <c r="BP8" s="792"/>
      <c r="BQ8" s="792"/>
      <c r="BR8" s="792"/>
      <c r="BS8" s="792"/>
      <c r="BT8" s="792"/>
      <c r="BU8" s="792"/>
      <c r="BV8" s="792"/>
      <c r="BW8" s="792"/>
      <c r="BX8" s="792"/>
    </row>
    <row r="9" spans="1:76" ht="7.5" customHeight="1">
      <c r="A9" s="792"/>
      <c r="B9" s="97"/>
      <c r="C9" s="97"/>
      <c r="D9" s="97"/>
      <c r="E9" s="97"/>
      <c r="F9" s="97"/>
      <c r="G9" s="97"/>
      <c r="H9" s="97"/>
      <c r="I9" s="97"/>
      <c r="J9" s="97"/>
      <c r="K9" s="97"/>
      <c r="L9" s="97"/>
      <c r="M9" s="97"/>
      <c r="N9" s="97"/>
      <c r="O9" s="97"/>
      <c r="P9" s="123"/>
      <c r="Q9" s="404" t="str">
        <f>Index!C369</f>
        <v>zostavená k</v>
      </c>
      <c r="R9" s="124"/>
      <c r="S9" s="124"/>
      <c r="T9" s="124"/>
      <c r="U9" s="124"/>
      <c r="V9" s="124"/>
      <c r="W9" s="124"/>
      <c r="X9" s="124"/>
      <c r="Y9" s="124"/>
      <c r="Z9" s="124"/>
      <c r="AA9" s="761"/>
      <c r="AB9" s="764"/>
      <c r="AC9" s="761"/>
      <c r="AD9" s="804"/>
      <c r="AE9" s="804"/>
      <c r="AF9" s="804"/>
      <c r="AG9" s="761"/>
      <c r="AH9" s="764"/>
      <c r="AI9" s="761"/>
      <c r="AJ9" s="804"/>
      <c r="AK9" s="804"/>
      <c r="AL9" s="804"/>
      <c r="AM9" s="761"/>
      <c r="AN9" s="764"/>
      <c r="AO9" s="761"/>
      <c r="AP9" s="764"/>
      <c r="AQ9" s="761"/>
      <c r="AR9" s="764"/>
      <c r="AS9" s="761"/>
      <c r="AT9" s="805"/>
      <c r="AU9" s="805"/>
      <c r="AV9" s="805"/>
      <c r="AW9" s="805"/>
      <c r="AX9" s="805"/>
      <c r="AY9" s="805"/>
      <c r="AZ9" s="805"/>
      <c r="BA9" s="805"/>
      <c r="BB9" s="805"/>
      <c r="BC9" s="806"/>
      <c r="BD9" s="803"/>
      <c r="BE9" s="792"/>
      <c r="BF9" s="792"/>
      <c r="BG9" s="792"/>
      <c r="BH9" s="792"/>
      <c r="BI9" s="792"/>
      <c r="BJ9" s="792"/>
      <c r="BK9" s="792"/>
      <c r="BL9" s="792"/>
      <c r="BM9" s="792"/>
      <c r="BN9" s="792"/>
      <c r="BO9" s="792"/>
      <c r="BP9" s="792"/>
      <c r="BQ9" s="792"/>
      <c r="BR9" s="792"/>
      <c r="BS9" s="792"/>
      <c r="BT9" s="792"/>
      <c r="BU9" s="792"/>
      <c r="BV9" s="792"/>
      <c r="BW9" s="792"/>
      <c r="BX9" s="792"/>
    </row>
    <row r="10" spans="1:76" ht="3.95" customHeight="1">
      <c r="A10" s="792"/>
      <c r="B10" s="97"/>
      <c r="C10" s="97"/>
      <c r="D10" s="97"/>
      <c r="E10" s="97"/>
      <c r="F10" s="97"/>
      <c r="G10" s="97"/>
      <c r="H10" s="97"/>
      <c r="I10" s="97"/>
      <c r="J10" s="97"/>
      <c r="K10" s="97"/>
      <c r="L10" s="97"/>
      <c r="M10" s="97"/>
      <c r="N10" s="97"/>
      <c r="O10" s="97"/>
      <c r="P10" s="125"/>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7"/>
      <c r="BD10" s="803"/>
      <c r="BE10" s="792"/>
      <c r="BF10" s="792"/>
      <c r="BG10" s="792"/>
      <c r="BH10" s="792"/>
      <c r="BI10" s="792"/>
      <c r="BJ10" s="792"/>
      <c r="BK10" s="792"/>
      <c r="BL10" s="792"/>
      <c r="BM10" s="792"/>
      <c r="BN10" s="792"/>
      <c r="BO10" s="792"/>
      <c r="BP10" s="792"/>
      <c r="BQ10" s="792"/>
      <c r="BR10" s="792"/>
      <c r="BS10" s="792"/>
      <c r="BT10" s="792"/>
      <c r="BU10" s="792"/>
      <c r="BV10" s="792"/>
      <c r="BW10" s="792"/>
      <c r="BX10" s="792"/>
    </row>
    <row r="11" spans="1:76" ht="8.1" customHeight="1">
      <c r="A11" s="792"/>
      <c r="B11" s="807"/>
      <c r="C11" s="807"/>
      <c r="D11" s="807"/>
      <c r="E11" s="807"/>
      <c r="F11" s="807"/>
      <c r="G11" s="807"/>
      <c r="H11" s="807"/>
      <c r="I11" s="807"/>
      <c r="J11" s="807"/>
      <c r="K11" s="807"/>
      <c r="L11" s="807"/>
      <c r="M11" s="807"/>
      <c r="N11" s="807"/>
      <c r="O11" s="807"/>
      <c r="P11" s="807"/>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07"/>
      <c r="BE11" s="807"/>
      <c r="BF11" s="807"/>
      <c r="BG11" s="807"/>
      <c r="BH11" s="807"/>
      <c r="BI11" s="807"/>
      <c r="BJ11" s="807"/>
      <c r="BK11" s="807"/>
      <c r="BL11" s="807"/>
      <c r="BM11" s="807"/>
      <c r="BN11" s="807"/>
      <c r="BO11" s="807"/>
      <c r="BP11" s="807"/>
      <c r="BQ11" s="807"/>
      <c r="BR11" s="807"/>
      <c r="BS11" s="807"/>
      <c r="BT11" s="807"/>
      <c r="BU11" s="807"/>
      <c r="BV11" s="807"/>
      <c r="BW11" s="807"/>
      <c r="BX11" s="807"/>
    </row>
    <row r="12" spans="1:76" s="129" customFormat="1" ht="14.25" customHeight="1">
      <c r="A12" s="792"/>
      <c r="B12" s="808"/>
      <c r="C12" s="405" t="str">
        <f>Index!C370</f>
        <v>Číselné údaje sa zarovnávajú vpravo, ostatné údaje sa píšu zľava.  Nevyplnené riadky sa ponechávajú prázdne.</v>
      </c>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809"/>
    </row>
    <row r="13" spans="1:76" s="129" customFormat="1" ht="14.25" customHeight="1">
      <c r="A13" s="792"/>
      <c r="B13" s="808"/>
      <c r="C13" s="810" t="str">
        <f>Index!C371</f>
        <v>Údaje sa vypĺňajú paličkovým písmom (podľa tohto vzoru), písacím strojom alebo tlačiarňou, a to čiernou alebo tmavomodrou farbou.</v>
      </c>
      <c r="D13" s="810"/>
      <c r="E13" s="810"/>
      <c r="F13" s="810"/>
      <c r="G13" s="810"/>
      <c r="H13" s="810"/>
      <c r="I13" s="810"/>
      <c r="J13" s="810"/>
      <c r="K13" s="810"/>
      <c r="L13" s="810"/>
      <c r="M13" s="810"/>
      <c r="N13" s="810"/>
      <c r="O13" s="810"/>
      <c r="P13" s="810"/>
      <c r="Q13" s="810"/>
      <c r="R13" s="810"/>
      <c r="S13" s="810"/>
      <c r="T13" s="810"/>
      <c r="U13" s="810"/>
      <c r="V13" s="810"/>
      <c r="W13" s="810"/>
      <c r="X13" s="810"/>
      <c r="Y13" s="810"/>
      <c r="Z13" s="810"/>
      <c r="AA13" s="810"/>
      <c r="AB13" s="810"/>
      <c r="AC13" s="810"/>
      <c r="AD13" s="810"/>
      <c r="AE13" s="810"/>
      <c r="AF13" s="810"/>
      <c r="AG13" s="810"/>
      <c r="AH13" s="810"/>
      <c r="AI13" s="810"/>
      <c r="AJ13" s="810"/>
      <c r="AK13" s="810"/>
      <c r="AL13" s="810"/>
      <c r="AM13" s="810"/>
      <c r="AN13" s="810"/>
      <c r="AO13" s="810"/>
      <c r="AP13" s="810"/>
      <c r="AQ13" s="810"/>
      <c r="AR13" s="810"/>
      <c r="AS13" s="810"/>
      <c r="AT13" s="810"/>
      <c r="AU13" s="810"/>
      <c r="AV13" s="810"/>
      <c r="AW13" s="810"/>
      <c r="AX13" s="810"/>
      <c r="AY13" s="810"/>
      <c r="AZ13" s="810"/>
      <c r="BA13" s="810"/>
      <c r="BB13" s="810"/>
      <c r="BC13" s="810"/>
      <c r="BD13" s="810"/>
      <c r="BE13" s="810"/>
      <c r="BF13" s="810"/>
      <c r="BG13" s="810"/>
      <c r="BH13" s="810"/>
      <c r="BI13" s="810"/>
      <c r="BJ13" s="810"/>
      <c r="BK13" s="810"/>
      <c r="BL13" s="810"/>
      <c r="BM13" s="810"/>
      <c r="BN13" s="810"/>
      <c r="BO13" s="810"/>
      <c r="BP13" s="810"/>
      <c r="BQ13" s="810"/>
      <c r="BR13" s="810"/>
      <c r="BS13" s="810"/>
      <c r="BT13" s="810"/>
      <c r="BU13" s="810"/>
      <c r="BV13" s="810"/>
      <c r="BW13" s="810"/>
      <c r="BX13" s="809"/>
    </row>
    <row r="14" spans="1:76" ht="4.5" customHeight="1">
      <c r="A14" s="792"/>
      <c r="B14" s="808"/>
      <c r="C14" s="765"/>
      <c r="D14" s="765"/>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5"/>
      <c r="AO14" s="765"/>
      <c r="AP14" s="765"/>
      <c r="AQ14" s="765"/>
      <c r="AR14" s="765"/>
      <c r="AS14" s="765"/>
      <c r="AT14" s="765"/>
      <c r="AU14" s="765"/>
      <c r="AV14" s="765"/>
      <c r="AW14" s="765"/>
      <c r="AX14" s="765"/>
      <c r="AY14" s="765"/>
      <c r="AZ14" s="765"/>
      <c r="BA14" s="765"/>
      <c r="BB14" s="765"/>
      <c r="BC14" s="765"/>
      <c r="BD14" s="765"/>
      <c r="BE14" s="765"/>
      <c r="BF14" s="765"/>
      <c r="BG14" s="765"/>
      <c r="BH14" s="765"/>
      <c r="BI14" s="765"/>
      <c r="BJ14" s="765"/>
      <c r="BK14" s="765"/>
      <c r="BL14" s="765"/>
      <c r="BM14" s="765"/>
      <c r="BN14" s="765"/>
      <c r="BO14" s="765"/>
      <c r="BP14" s="765"/>
      <c r="BQ14" s="765"/>
      <c r="BR14" s="765"/>
      <c r="BS14" s="765"/>
      <c r="BT14" s="765"/>
      <c r="BU14" s="765"/>
      <c r="BV14" s="765"/>
      <c r="BW14" s="765"/>
      <c r="BX14" s="809"/>
    </row>
    <row r="15" spans="1:76" s="129" customFormat="1" ht="15" customHeight="1">
      <c r="A15" s="792"/>
      <c r="B15" s="808"/>
      <c r="C15" s="130" t="s">
        <v>1479</v>
      </c>
      <c r="D15" s="131"/>
      <c r="E15" s="129" t="s">
        <v>1480</v>
      </c>
      <c r="F15" s="131"/>
      <c r="G15" s="130" t="s">
        <v>1481</v>
      </c>
      <c r="H15" s="131"/>
      <c r="I15" s="130" t="s">
        <v>1482</v>
      </c>
      <c r="J15" s="131"/>
      <c r="K15" s="130" t="s">
        <v>1483</v>
      </c>
      <c r="L15" s="131"/>
      <c r="M15" s="130" t="s">
        <v>1484</v>
      </c>
      <c r="N15" s="131"/>
      <c r="O15" s="130" t="s">
        <v>1485</v>
      </c>
      <c r="P15" s="131"/>
      <c r="Q15" s="130" t="s">
        <v>1486</v>
      </c>
      <c r="R15" s="131"/>
      <c r="S15" s="130" t="s">
        <v>1487</v>
      </c>
      <c r="T15" s="131"/>
      <c r="U15" s="130" t="s">
        <v>1488</v>
      </c>
      <c r="V15" s="131"/>
      <c r="W15" s="130" t="s">
        <v>1489</v>
      </c>
      <c r="X15" s="131"/>
      <c r="Y15" s="130" t="s">
        <v>1490</v>
      </c>
      <c r="Z15" s="131"/>
      <c r="AA15" s="130" t="s">
        <v>1491</v>
      </c>
      <c r="AB15" s="131"/>
      <c r="AC15" s="130" t="s">
        <v>1492</v>
      </c>
      <c r="AD15" s="131"/>
      <c r="AE15" s="130" t="s">
        <v>1493</v>
      </c>
      <c r="AF15" s="131"/>
      <c r="AG15" s="130" t="s">
        <v>1494</v>
      </c>
      <c r="AH15" s="131"/>
      <c r="AI15" s="130" t="s">
        <v>1495</v>
      </c>
      <c r="AJ15" s="131"/>
      <c r="AK15" s="130" t="s">
        <v>1496</v>
      </c>
      <c r="AL15" s="131"/>
      <c r="AM15" s="130" t="s">
        <v>1497</v>
      </c>
      <c r="AN15" s="131"/>
      <c r="AO15" s="130" t="s">
        <v>1498</v>
      </c>
      <c r="AP15" s="131"/>
      <c r="AQ15" s="130" t="s">
        <v>1499</v>
      </c>
      <c r="AR15" s="131"/>
      <c r="AS15" s="130" t="s">
        <v>1500</v>
      </c>
      <c r="AT15" s="131"/>
      <c r="AU15" s="130" t="s">
        <v>1501</v>
      </c>
      <c r="AV15" s="131"/>
      <c r="AW15" s="130" t="s">
        <v>1465</v>
      </c>
      <c r="AX15" s="131"/>
      <c r="AY15" s="130" t="s">
        <v>1502</v>
      </c>
      <c r="AZ15" s="131"/>
      <c r="BA15" s="130" t="s">
        <v>1503</v>
      </c>
      <c r="BB15" s="131"/>
      <c r="BC15" s="130"/>
      <c r="BD15" s="131"/>
      <c r="BE15" s="130">
        <v>0</v>
      </c>
      <c r="BF15" s="131"/>
      <c r="BG15" s="130">
        <v>1</v>
      </c>
      <c r="BH15" s="131"/>
      <c r="BI15" s="130">
        <v>2</v>
      </c>
      <c r="BJ15" s="131"/>
      <c r="BK15" s="130">
        <v>3</v>
      </c>
      <c r="BL15" s="131"/>
      <c r="BM15" s="130">
        <v>4</v>
      </c>
      <c r="BN15" s="131"/>
      <c r="BO15" s="130">
        <v>5</v>
      </c>
      <c r="BP15" s="131"/>
      <c r="BQ15" s="130">
        <v>6</v>
      </c>
      <c r="BR15" s="131"/>
      <c r="BS15" s="130">
        <v>7</v>
      </c>
      <c r="BT15" s="131"/>
      <c r="BU15" s="130">
        <v>8</v>
      </c>
      <c r="BV15" s="131"/>
      <c r="BW15" s="130" t="s">
        <v>1504</v>
      </c>
      <c r="BX15" s="809"/>
    </row>
    <row r="16" spans="1:76" s="115" customFormat="1" ht="6" customHeight="1">
      <c r="A16" s="792"/>
      <c r="B16" s="814"/>
      <c r="C16" s="814"/>
      <c r="D16" s="814"/>
      <c r="E16" s="814"/>
      <c r="F16" s="814"/>
      <c r="G16" s="814"/>
      <c r="H16" s="814"/>
      <c r="I16" s="814"/>
      <c r="J16" s="814"/>
      <c r="K16" s="814"/>
      <c r="L16" s="814"/>
      <c r="M16" s="814"/>
      <c r="N16" s="814"/>
      <c r="O16" s="814"/>
      <c r="P16" s="814"/>
      <c r="Q16" s="814"/>
      <c r="R16" s="814"/>
      <c r="S16" s="814"/>
      <c r="T16" s="814"/>
      <c r="U16" s="814"/>
      <c r="V16" s="814"/>
      <c r="W16" s="814"/>
      <c r="X16" s="814"/>
      <c r="Y16" s="814"/>
      <c r="Z16" s="814"/>
      <c r="AA16" s="814"/>
      <c r="AB16" s="814"/>
      <c r="AC16" s="814"/>
      <c r="AD16" s="814"/>
      <c r="AE16" s="814"/>
      <c r="AF16" s="814"/>
      <c r="AG16" s="814"/>
      <c r="AH16" s="814"/>
      <c r="AI16" s="814"/>
      <c r="AJ16" s="814"/>
      <c r="AK16" s="814"/>
      <c r="AL16" s="814"/>
      <c r="AM16" s="814"/>
      <c r="AN16" s="814"/>
      <c r="AO16" s="814"/>
      <c r="AP16" s="814"/>
      <c r="AQ16" s="814"/>
      <c r="AR16" s="814"/>
      <c r="AS16" s="814"/>
      <c r="AT16" s="814"/>
      <c r="AU16" s="814"/>
      <c r="AV16" s="814"/>
      <c r="AW16" s="814"/>
      <c r="AX16" s="814"/>
      <c r="AY16" s="814"/>
      <c r="AZ16" s="814"/>
      <c r="BA16" s="814"/>
      <c r="BB16" s="814"/>
      <c r="BC16" s="814"/>
      <c r="BD16" s="814"/>
      <c r="BE16" s="814"/>
      <c r="BF16" s="814"/>
      <c r="BG16" s="814"/>
      <c r="BH16" s="814"/>
      <c r="BI16" s="814"/>
      <c r="BJ16" s="814"/>
      <c r="BK16" s="814"/>
      <c r="BL16" s="814"/>
      <c r="BM16" s="814"/>
      <c r="BN16" s="814"/>
      <c r="BO16" s="814"/>
      <c r="BP16" s="814"/>
      <c r="BQ16" s="814"/>
      <c r="BR16" s="814"/>
      <c r="BS16" s="814"/>
      <c r="BT16" s="814"/>
      <c r="BU16" s="814"/>
      <c r="BV16" s="814"/>
      <c r="BW16" s="814"/>
      <c r="BX16" s="814"/>
    </row>
    <row r="17" spans="1:76" s="97" customFormat="1" ht="3" customHeight="1">
      <c r="A17" s="792"/>
      <c r="B17" s="788"/>
      <c r="C17" s="788"/>
      <c r="D17" s="788"/>
      <c r="E17" s="788"/>
      <c r="F17" s="788"/>
      <c r="G17" s="788"/>
      <c r="H17" s="788"/>
      <c r="I17" s="788"/>
      <c r="J17" s="788"/>
      <c r="K17" s="788"/>
      <c r="L17" s="788"/>
      <c r="M17" s="788"/>
      <c r="N17" s="788"/>
      <c r="O17" s="788"/>
      <c r="P17" s="788"/>
      <c r="Q17" s="788"/>
      <c r="R17" s="788"/>
      <c r="S17" s="788"/>
      <c r="T17" s="788"/>
      <c r="U17" s="788"/>
      <c r="V17" s="788"/>
      <c r="W17" s="788"/>
      <c r="X17" s="788"/>
      <c r="Y17" s="788"/>
      <c r="Z17" s="788"/>
      <c r="AA17" s="788"/>
      <c r="AB17" s="788"/>
      <c r="AC17" s="788"/>
      <c r="AD17" s="788"/>
      <c r="AE17" s="788"/>
      <c r="AF17" s="788"/>
      <c r="AG17" s="788"/>
      <c r="AH17" s="788"/>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row>
    <row r="18" spans="1:76" s="97" customFormat="1" ht="15" customHeight="1">
      <c r="A18" s="792"/>
      <c r="B18" s="815" t="str">
        <f>Index!C372</f>
        <v>Daňové identifikačné číslo</v>
      </c>
      <c r="C18" s="815"/>
      <c r="D18" s="815"/>
      <c r="E18" s="815"/>
      <c r="F18" s="815"/>
      <c r="G18" s="815"/>
      <c r="H18" s="815"/>
      <c r="I18" s="815"/>
      <c r="J18" s="815"/>
      <c r="K18" s="815"/>
      <c r="L18" s="815"/>
      <c r="M18" s="815"/>
      <c r="N18" s="815"/>
      <c r="O18" s="815"/>
      <c r="P18" s="815"/>
      <c r="Q18" s="815"/>
      <c r="R18" s="815"/>
      <c r="S18" s="132"/>
      <c r="T18" s="132"/>
      <c r="U18" s="132"/>
      <c r="V18" s="132"/>
      <c r="W18" s="132"/>
      <c r="X18" s="132"/>
      <c r="Y18" s="816" t="str">
        <f>Index!C374</f>
        <v xml:space="preserve"> Účtovná závierka</v>
      </c>
      <c r="Z18" s="816"/>
      <c r="AA18" s="816"/>
      <c r="AB18" s="816"/>
      <c r="AC18" s="816"/>
      <c r="AD18" s="816"/>
      <c r="AE18" s="816"/>
      <c r="AF18" s="816"/>
      <c r="AG18" s="816"/>
      <c r="AH18" s="816"/>
      <c r="AI18" s="816"/>
      <c r="AJ18" s="132"/>
      <c r="AK18" s="817" t="str">
        <f>Index!C375</f>
        <v>Účtovná jednotka</v>
      </c>
      <c r="AL18" s="817"/>
      <c r="AM18" s="817"/>
      <c r="AN18" s="817"/>
      <c r="AO18" s="817"/>
      <c r="AP18" s="817"/>
      <c r="AQ18" s="817"/>
      <c r="AR18" s="817"/>
      <c r="AS18" s="817"/>
      <c r="AT18" s="817"/>
      <c r="AU18" s="817"/>
      <c r="AV18" s="133"/>
      <c r="AW18" s="132"/>
      <c r="AX18" s="132"/>
      <c r="AY18" s="132"/>
      <c r="AZ18" s="132"/>
      <c r="BA18" s="132"/>
      <c r="BB18" s="132"/>
      <c r="BC18" s="132"/>
      <c r="BD18" s="132"/>
      <c r="BE18" s="132"/>
      <c r="BF18" s="132"/>
      <c r="BG18" s="132"/>
      <c r="BH18" s="132"/>
      <c r="BI18" s="132"/>
      <c r="BJ18" s="132"/>
      <c r="BK18" s="781" t="str">
        <f>Index!C383</f>
        <v>Mesiac</v>
      </c>
      <c r="BL18" s="781"/>
      <c r="BM18" s="781"/>
      <c r="BN18" s="781"/>
      <c r="BO18" s="781"/>
      <c r="BP18" s="781"/>
      <c r="BQ18" s="781" t="str">
        <f>Index!C384</f>
        <v>Rok</v>
      </c>
      <c r="BR18" s="781"/>
      <c r="BS18" s="781"/>
      <c r="BT18" s="781"/>
      <c r="BU18" s="781"/>
      <c r="BV18" s="781"/>
      <c r="BW18" s="781"/>
      <c r="BX18" s="134"/>
    </row>
    <row r="19" spans="1:76" ht="3" customHeight="1">
      <c r="A19" s="792"/>
      <c r="B19" s="135"/>
      <c r="C19" s="812"/>
      <c r="D19" s="812"/>
      <c r="E19" s="812"/>
      <c r="F19" s="812"/>
      <c r="G19" s="812"/>
      <c r="H19" s="812"/>
      <c r="I19" s="812"/>
      <c r="J19" s="812"/>
      <c r="K19" s="812"/>
      <c r="L19" s="812"/>
      <c r="M19" s="812"/>
      <c r="N19" s="812"/>
      <c r="O19" s="812"/>
      <c r="P19" s="812"/>
      <c r="Q19" s="812"/>
      <c r="R19" s="812"/>
      <c r="S19" s="812"/>
      <c r="T19" s="812"/>
      <c r="U19" s="812"/>
      <c r="V19" s="136"/>
      <c r="W19" s="136"/>
      <c r="X19" s="136"/>
      <c r="Y19" s="137"/>
      <c r="Z19" s="136"/>
      <c r="AA19" s="136"/>
      <c r="AB19" s="136"/>
      <c r="AC19" s="136"/>
      <c r="AD19" s="136"/>
      <c r="AE19" s="136"/>
      <c r="AF19" s="136"/>
      <c r="AG19" s="136"/>
      <c r="AH19" s="136"/>
      <c r="AI19" s="136"/>
      <c r="AJ19" s="136"/>
      <c r="AK19" s="136"/>
      <c r="AL19" s="136"/>
      <c r="AM19" s="136"/>
      <c r="AN19" s="136"/>
      <c r="AO19" s="136"/>
      <c r="AP19" s="136"/>
      <c r="AQ19" s="136"/>
      <c r="AR19" s="136"/>
      <c r="AS19" s="136"/>
      <c r="AT19" s="136"/>
      <c r="AU19" s="138"/>
      <c r="AV19" s="137"/>
      <c r="AW19" s="136"/>
      <c r="AX19" s="136"/>
      <c r="AY19" s="136"/>
      <c r="AZ19" s="136"/>
      <c r="BA19" s="136"/>
      <c r="BB19" s="136"/>
      <c r="BC19" s="136"/>
      <c r="BD19" s="136"/>
      <c r="BE19" s="136"/>
      <c r="BF19" s="136"/>
      <c r="BG19" s="136"/>
      <c r="BH19" s="136"/>
      <c r="BI19" s="136"/>
      <c r="BJ19" s="136"/>
      <c r="BK19" s="765"/>
      <c r="BL19" s="765"/>
      <c r="BM19" s="765"/>
      <c r="BN19" s="136"/>
      <c r="BO19" s="136"/>
      <c r="BP19" s="136"/>
      <c r="BQ19" s="765"/>
      <c r="BR19" s="765"/>
      <c r="BS19" s="765"/>
      <c r="BT19" s="765"/>
      <c r="BU19" s="765"/>
      <c r="BV19" s="765"/>
      <c r="BW19" s="765"/>
      <c r="BX19" s="138"/>
    </row>
    <row r="20" spans="1:76" s="129" customFormat="1" ht="3" customHeight="1">
      <c r="A20" s="792"/>
      <c r="B20" s="800"/>
      <c r="C20" s="801" t="str">
        <f>LEFT(Cover!C6,1)</f>
        <v>2</v>
      </c>
      <c r="D20" s="131"/>
      <c r="E20" s="801" t="str">
        <f>MID(Cover!C6,2,1)</f>
        <v>0</v>
      </c>
      <c r="F20" s="131"/>
      <c r="G20" s="801" t="str">
        <f>MID(Cover!C6,3,1)</f>
        <v>2</v>
      </c>
      <c r="H20" s="131"/>
      <c r="I20" s="801" t="str">
        <f>MID(Cover!C6,4,1)</f>
        <v>1</v>
      </c>
      <c r="J20" s="131"/>
      <c r="K20" s="801" t="str">
        <f>MID(Cover!C6,5,1)</f>
        <v>8</v>
      </c>
      <c r="L20" s="131"/>
      <c r="M20" s="801" t="str">
        <f>MID(Cover!C6,6,1)</f>
        <v>7</v>
      </c>
      <c r="N20" s="131"/>
      <c r="O20" s="801" t="str">
        <f>MID(Cover!C6,7,1)</f>
        <v>5</v>
      </c>
      <c r="P20" s="131"/>
      <c r="Q20" s="801" t="str">
        <f>MID(Cover!C6,8,1)</f>
        <v>3</v>
      </c>
      <c r="R20" s="131"/>
      <c r="S20" s="801" t="str">
        <f>MID(Cover!C6,9,1)</f>
        <v>8</v>
      </c>
      <c r="T20" s="131"/>
      <c r="U20" s="801" t="str">
        <f>MID(Cover!C6,10,1)</f>
        <v>3</v>
      </c>
      <c r="V20" s="136"/>
      <c r="W20" s="136"/>
      <c r="X20" s="136"/>
      <c r="Y20" s="137"/>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138"/>
      <c r="AV20" s="137"/>
      <c r="AW20" s="136"/>
      <c r="AX20" s="136"/>
      <c r="AY20" s="136"/>
      <c r="AZ20" s="136"/>
      <c r="BA20" s="136"/>
      <c r="BB20" s="136"/>
      <c r="BC20" s="136"/>
      <c r="BD20" s="136"/>
      <c r="BE20" s="136"/>
      <c r="BF20" s="791" t="str">
        <f>Index!C381</f>
        <v xml:space="preserve">od </v>
      </c>
      <c r="BG20" s="791"/>
      <c r="BH20" s="791"/>
      <c r="BI20" s="791"/>
      <c r="BJ20" s="791"/>
      <c r="BK20" s="761" t="str">
        <f>LEFT(Cover!D25,1)</f>
        <v>0</v>
      </c>
      <c r="BL20" s="768"/>
      <c r="BM20" s="761" t="str">
        <f>MID(Cover!D25,2,1)</f>
        <v>1</v>
      </c>
      <c r="BN20" s="136"/>
      <c r="BO20" s="136"/>
      <c r="BP20" s="136"/>
      <c r="BQ20" s="785" t="s">
        <v>1508</v>
      </c>
      <c r="BR20" s="760"/>
      <c r="BS20" s="785" t="s">
        <v>1509</v>
      </c>
      <c r="BT20" s="136"/>
      <c r="BU20" s="775" t="str">
        <f>MID(Cover!E25,3,1)</f>
        <v>2</v>
      </c>
      <c r="BV20" s="136"/>
      <c r="BW20" s="761" t="str">
        <f>MID(Cover!E25,4,1)</f>
        <v>2</v>
      </c>
      <c r="BX20" s="813"/>
    </row>
    <row r="21" spans="1:76" s="129" customFormat="1">
      <c r="A21" s="792"/>
      <c r="B21" s="800"/>
      <c r="C21" s="801"/>
      <c r="D21" s="131"/>
      <c r="E21" s="801"/>
      <c r="F21" s="131"/>
      <c r="G21" s="801"/>
      <c r="H21" s="131"/>
      <c r="I21" s="801"/>
      <c r="J21" s="131"/>
      <c r="K21" s="801"/>
      <c r="L21" s="131"/>
      <c r="M21" s="801"/>
      <c r="N21" s="131"/>
      <c r="O21" s="801"/>
      <c r="P21" s="131"/>
      <c r="Q21" s="801"/>
      <c r="R21" s="131"/>
      <c r="S21" s="801"/>
      <c r="T21" s="131"/>
      <c r="U21" s="801"/>
      <c r="V21" s="136"/>
      <c r="W21" s="136"/>
      <c r="X21" s="136"/>
      <c r="Y21" s="137"/>
      <c r="Z21" s="136"/>
      <c r="AA21" s="23" t="str">
        <f>IF(Cover!C19="","",Cover!C19)</f>
        <v>x</v>
      </c>
      <c r="AB21" s="770" t="str">
        <f>Index!C376</f>
        <v xml:space="preserve">  riadna</v>
      </c>
      <c r="AC21" s="770"/>
      <c r="AD21" s="770"/>
      <c r="AE21" s="770"/>
      <c r="AF21" s="770"/>
      <c r="AG21" s="770"/>
      <c r="AH21" s="770"/>
      <c r="AI21" s="770"/>
      <c r="AJ21" s="770"/>
      <c r="AK21" s="770"/>
      <c r="AL21" s="770"/>
      <c r="AM21" s="23" t="str">
        <f>IF(Cover!C23="","",Cover!C23)</f>
        <v/>
      </c>
      <c r="AN21" s="811" t="s">
        <v>1511</v>
      </c>
      <c r="AO21" s="811"/>
      <c r="AP21" s="811"/>
      <c r="AQ21" s="811"/>
      <c r="AR21" s="811"/>
      <c r="AS21" s="811"/>
      <c r="AT21" s="811"/>
      <c r="AU21" s="811"/>
      <c r="AV21" s="137"/>
      <c r="AW21" s="136"/>
      <c r="AX21" s="136"/>
      <c r="AY21" s="136"/>
      <c r="AZ21" s="136"/>
      <c r="BA21" s="136"/>
      <c r="BB21" s="136"/>
      <c r="BC21" s="136"/>
      <c r="BD21" s="136"/>
      <c r="BE21" s="136"/>
      <c r="BF21" s="791"/>
      <c r="BG21" s="791"/>
      <c r="BH21" s="791"/>
      <c r="BI21" s="791"/>
      <c r="BJ21" s="791"/>
      <c r="BK21" s="761"/>
      <c r="BL21" s="768"/>
      <c r="BM21" s="761"/>
      <c r="BN21" s="136"/>
      <c r="BO21" s="136"/>
      <c r="BP21" s="136"/>
      <c r="BQ21" s="785"/>
      <c r="BR21" s="760"/>
      <c r="BS21" s="785"/>
      <c r="BT21" s="136"/>
      <c r="BU21" s="775"/>
      <c r="BV21" s="136"/>
      <c r="BW21" s="761"/>
      <c r="BX21" s="813"/>
    </row>
    <row r="22" spans="1:76" s="129" customFormat="1" ht="5.0999999999999996" customHeight="1">
      <c r="A22" s="792"/>
      <c r="B22" s="140"/>
      <c r="C22" s="136"/>
      <c r="D22" s="136"/>
      <c r="E22" s="136"/>
      <c r="F22" s="136"/>
      <c r="G22" s="136"/>
      <c r="H22" s="136"/>
      <c r="I22" s="136"/>
      <c r="J22" s="136"/>
      <c r="K22" s="136"/>
      <c r="L22" s="136"/>
      <c r="M22" s="136"/>
      <c r="N22" s="136"/>
      <c r="O22" s="136"/>
      <c r="P22" s="136"/>
      <c r="Q22" s="136"/>
      <c r="R22" s="141"/>
      <c r="S22" s="142"/>
      <c r="T22" s="142"/>
      <c r="U22" s="141"/>
      <c r="V22" s="141"/>
      <c r="W22" s="141"/>
      <c r="X22" s="141"/>
      <c r="Y22" s="143"/>
      <c r="Z22" s="141"/>
      <c r="AA22" s="141"/>
      <c r="AB22" s="141"/>
      <c r="AC22" s="141"/>
      <c r="AD22" s="141"/>
      <c r="AE22" s="141"/>
      <c r="AF22" s="141"/>
      <c r="AG22" s="136"/>
      <c r="AH22" s="136"/>
      <c r="AI22" s="136"/>
      <c r="AJ22" s="136"/>
      <c r="AK22" s="136"/>
      <c r="AL22" s="136"/>
      <c r="AM22" s="141"/>
      <c r="AN22" s="141"/>
      <c r="AO22" s="141"/>
      <c r="AP22" s="141"/>
      <c r="AQ22" s="136"/>
      <c r="AR22" s="136"/>
      <c r="AS22" s="136"/>
      <c r="AT22" s="136"/>
      <c r="AU22" s="138"/>
      <c r="AV22" s="137"/>
      <c r="AW22" s="136"/>
      <c r="AX22" s="136"/>
      <c r="AY22" s="136"/>
      <c r="AZ22" s="136"/>
      <c r="BA22" s="136"/>
      <c r="BB22" s="136"/>
      <c r="BC22" s="136"/>
      <c r="BD22" s="136"/>
      <c r="BE22" s="136"/>
      <c r="BF22" s="144"/>
      <c r="BG22" s="144"/>
      <c r="BH22" s="144"/>
      <c r="BI22" s="144"/>
      <c r="BJ22" s="144"/>
      <c r="BK22" s="144"/>
      <c r="BL22" s="144"/>
      <c r="BM22" s="144"/>
      <c r="BN22" s="144"/>
      <c r="BO22" s="144"/>
      <c r="BP22" s="144"/>
      <c r="BQ22" s="144"/>
      <c r="BR22" s="144"/>
      <c r="BS22" s="144"/>
      <c r="BT22" s="144"/>
      <c r="BU22" s="144"/>
      <c r="BV22" s="144"/>
      <c r="BW22" s="144"/>
      <c r="BX22" s="813"/>
    </row>
    <row r="23" spans="1:76" s="129" customFormat="1" ht="5.0999999999999996" customHeight="1">
      <c r="A23" s="792"/>
      <c r="B23" s="798" t="str">
        <f>Index!C373</f>
        <v>IČO</v>
      </c>
      <c r="C23" s="799"/>
      <c r="D23" s="799"/>
      <c r="E23" s="799"/>
      <c r="F23" s="799"/>
      <c r="G23" s="799"/>
      <c r="H23" s="136"/>
      <c r="I23" s="136"/>
      <c r="J23" s="136"/>
      <c r="K23" s="136"/>
      <c r="L23" s="136"/>
      <c r="M23" s="136"/>
      <c r="N23" s="136"/>
      <c r="O23" s="136"/>
      <c r="P23" s="136"/>
      <c r="Q23" s="136"/>
      <c r="R23" s="141"/>
      <c r="S23" s="142"/>
      <c r="T23" s="142"/>
      <c r="U23" s="141"/>
      <c r="V23" s="141"/>
      <c r="W23" s="141"/>
      <c r="X23" s="141"/>
      <c r="Y23" s="143"/>
      <c r="Z23" s="141"/>
      <c r="AA23" s="141"/>
      <c r="AB23" s="141"/>
      <c r="AC23" s="141"/>
      <c r="AD23" s="141"/>
      <c r="AE23" s="141"/>
      <c r="AF23" s="141"/>
      <c r="AG23" s="136"/>
      <c r="AH23" s="136"/>
      <c r="AI23" s="136"/>
      <c r="AJ23" s="136"/>
      <c r="AK23" s="136"/>
      <c r="AL23" s="136"/>
      <c r="AM23" s="141"/>
      <c r="AN23" s="141"/>
      <c r="AO23" s="141"/>
      <c r="AP23" s="141"/>
      <c r="AQ23" s="136"/>
      <c r="AR23" s="136"/>
      <c r="AS23" s="136"/>
      <c r="AT23" s="136"/>
      <c r="AU23" s="138"/>
      <c r="AV23" s="137"/>
      <c r="AW23" s="770" t="str">
        <f>Index!C379</f>
        <v>Za obdobie</v>
      </c>
      <c r="AX23" s="770"/>
      <c r="AY23" s="770"/>
      <c r="AZ23" s="770"/>
      <c r="BA23" s="770"/>
      <c r="BB23" s="770"/>
      <c r="BC23" s="770"/>
      <c r="BD23" s="770"/>
      <c r="BE23" s="770"/>
      <c r="BF23" s="144"/>
      <c r="BG23" s="144"/>
      <c r="BH23" s="144"/>
      <c r="BI23" s="144"/>
      <c r="BJ23" s="144"/>
      <c r="BK23" s="765"/>
      <c r="BL23" s="765"/>
      <c r="BM23" s="765"/>
      <c r="BN23" s="144"/>
      <c r="BO23" s="144"/>
      <c r="BP23" s="144"/>
      <c r="BQ23" s="765"/>
      <c r="BR23" s="765"/>
      <c r="BS23" s="765"/>
      <c r="BT23" s="765"/>
      <c r="BU23" s="765"/>
      <c r="BV23" s="765"/>
      <c r="BW23" s="765"/>
      <c r="BX23" s="813"/>
    </row>
    <row r="24" spans="1:76" ht="7.5" customHeight="1">
      <c r="A24" s="792"/>
      <c r="B24" s="798"/>
      <c r="C24" s="799"/>
      <c r="D24" s="799"/>
      <c r="E24" s="799"/>
      <c r="F24" s="799"/>
      <c r="G24" s="799"/>
      <c r="H24" s="136"/>
      <c r="I24" s="136"/>
      <c r="J24" s="136"/>
      <c r="K24" s="136"/>
      <c r="L24" s="136"/>
      <c r="M24" s="136"/>
      <c r="N24" s="136"/>
      <c r="O24" s="136"/>
      <c r="P24" s="136"/>
      <c r="Q24" s="136"/>
      <c r="R24" s="136"/>
      <c r="S24" s="136"/>
      <c r="T24" s="136"/>
      <c r="U24" s="136"/>
      <c r="V24" s="136"/>
      <c r="W24" s="136"/>
      <c r="X24" s="136"/>
      <c r="Y24" s="137"/>
      <c r="Z24" s="136"/>
      <c r="AA24" s="136"/>
      <c r="AB24" s="136"/>
      <c r="AC24" s="136"/>
      <c r="AD24" s="136"/>
      <c r="AE24" s="136"/>
      <c r="AF24" s="136"/>
      <c r="AG24" s="136"/>
      <c r="AH24" s="136"/>
      <c r="AI24" s="136"/>
      <c r="AJ24" s="136"/>
      <c r="AK24" s="136"/>
      <c r="AL24" s="136"/>
      <c r="AM24" s="136"/>
      <c r="AN24" s="136"/>
      <c r="AO24" s="136"/>
      <c r="AP24" s="136"/>
      <c r="AQ24" s="136"/>
      <c r="AR24" s="136"/>
      <c r="AS24" s="136"/>
      <c r="AT24" s="136"/>
      <c r="AU24" s="138"/>
      <c r="AV24" s="137"/>
      <c r="AW24" s="770"/>
      <c r="AX24" s="770"/>
      <c r="AY24" s="770"/>
      <c r="AZ24" s="770"/>
      <c r="BA24" s="770"/>
      <c r="BB24" s="770"/>
      <c r="BC24" s="770"/>
      <c r="BD24" s="770"/>
      <c r="BE24" s="770"/>
      <c r="BF24" s="120"/>
      <c r="BG24" s="120"/>
      <c r="BH24" s="787" t="str">
        <f>Index!C382</f>
        <v>do</v>
      </c>
      <c r="BI24" s="787"/>
      <c r="BJ24" s="787"/>
      <c r="BK24" s="761" t="str">
        <f>LEFT(Cover!D26,1)</f>
        <v>1</v>
      </c>
      <c r="BL24" s="768"/>
      <c r="BM24" s="761" t="str">
        <f>MID(Cover!D26,2,1)</f>
        <v>2</v>
      </c>
      <c r="BN24" s="768"/>
      <c r="BO24" s="768"/>
      <c r="BP24" s="768"/>
      <c r="BQ24" s="785" t="s">
        <v>1508</v>
      </c>
      <c r="BR24" s="760"/>
      <c r="BS24" s="785" t="s">
        <v>1509</v>
      </c>
      <c r="BT24" s="760"/>
      <c r="BU24" s="775" t="str">
        <f>MID(PY,3,1)</f>
        <v>2</v>
      </c>
      <c r="BV24" s="760"/>
      <c r="BW24" s="761" t="str">
        <f>MID(CY,4,1)</f>
        <v>2</v>
      </c>
      <c r="BX24" s="813"/>
    </row>
    <row r="25" spans="1:76" ht="6.75" customHeight="1">
      <c r="A25" s="792"/>
      <c r="B25" s="137"/>
      <c r="C25" s="136"/>
      <c r="D25" s="136"/>
      <c r="E25" s="136"/>
      <c r="F25" s="136"/>
      <c r="G25" s="136"/>
      <c r="H25" s="136"/>
      <c r="I25" s="136"/>
      <c r="J25" s="136"/>
      <c r="K25" s="136"/>
      <c r="L25" s="136"/>
      <c r="M25" s="136"/>
      <c r="N25" s="136"/>
      <c r="O25" s="136"/>
      <c r="P25" s="136"/>
      <c r="Q25" s="136"/>
      <c r="R25" s="136"/>
      <c r="S25" s="789"/>
      <c r="T25" s="789"/>
      <c r="U25" s="141"/>
      <c r="V25" s="136"/>
      <c r="W25" s="136"/>
      <c r="X25" s="136"/>
      <c r="Y25" s="137"/>
      <c r="Z25" s="136"/>
      <c r="AA25" s="136"/>
      <c r="AB25" s="136"/>
      <c r="AC25" s="136"/>
      <c r="AD25" s="136"/>
      <c r="AE25" s="136"/>
      <c r="AF25" s="136"/>
      <c r="AG25" s="136"/>
      <c r="AH25" s="793"/>
      <c r="AI25" s="793"/>
      <c r="AJ25" s="793"/>
      <c r="AK25" s="793"/>
      <c r="AL25" s="793"/>
      <c r="AM25" s="793"/>
      <c r="AN25" s="793"/>
      <c r="AO25" s="793"/>
      <c r="AP25" s="120"/>
      <c r="AQ25" s="136"/>
      <c r="AR25" s="136"/>
      <c r="AS25" s="136"/>
      <c r="AT25" s="136"/>
      <c r="AU25" s="138"/>
      <c r="AV25" s="137"/>
      <c r="AW25" s="136"/>
      <c r="AX25" s="136"/>
      <c r="AY25" s="136"/>
      <c r="AZ25" s="136"/>
      <c r="BA25" s="136"/>
      <c r="BB25" s="136"/>
      <c r="BC25" s="136"/>
      <c r="BD25" s="136"/>
      <c r="BE25" s="136"/>
      <c r="BF25" s="120"/>
      <c r="BG25" s="120"/>
      <c r="BH25" s="787"/>
      <c r="BI25" s="787"/>
      <c r="BJ25" s="787"/>
      <c r="BK25" s="761"/>
      <c r="BL25" s="768"/>
      <c r="BM25" s="761"/>
      <c r="BN25" s="768"/>
      <c r="BO25" s="768"/>
      <c r="BP25" s="768"/>
      <c r="BQ25" s="785"/>
      <c r="BR25" s="760"/>
      <c r="BS25" s="785"/>
      <c r="BT25" s="760"/>
      <c r="BU25" s="775"/>
      <c r="BV25" s="760"/>
      <c r="BW25" s="761"/>
      <c r="BX25" s="813"/>
    </row>
    <row r="26" spans="1:76" ht="3.75" customHeight="1">
      <c r="A26" s="792"/>
      <c r="B26" s="137"/>
      <c r="C26" s="794"/>
      <c r="D26" s="794"/>
      <c r="E26" s="794"/>
      <c r="F26" s="794"/>
      <c r="G26" s="794"/>
      <c r="H26" s="794"/>
      <c r="I26" s="794"/>
      <c r="J26" s="794"/>
      <c r="K26" s="794"/>
      <c r="L26" s="794"/>
      <c r="M26" s="794"/>
      <c r="N26" s="794"/>
      <c r="O26" s="794"/>
      <c r="P26" s="794"/>
      <c r="Q26" s="794"/>
      <c r="R26" s="136"/>
      <c r="S26" s="142"/>
      <c r="T26" s="142"/>
      <c r="U26" s="121"/>
      <c r="V26" s="121"/>
      <c r="W26" s="121"/>
      <c r="X26" s="121"/>
      <c r="Y26" s="145"/>
      <c r="Z26" s="121"/>
      <c r="AA26" s="795" t="str">
        <f>IF(Cover!E19="","",Cover!E19)</f>
        <v/>
      </c>
      <c r="AB26" s="770" t="str">
        <f>Index!C377</f>
        <v xml:space="preserve">  mimoriadna</v>
      </c>
      <c r="AC26" s="770"/>
      <c r="AD26" s="770"/>
      <c r="AE26" s="770"/>
      <c r="AF26" s="770"/>
      <c r="AG26" s="770"/>
      <c r="AH26" s="770"/>
      <c r="AI26" s="770"/>
      <c r="AJ26" s="770"/>
      <c r="AK26" s="770"/>
      <c r="AL26" s="770"/>
      <c r="AM26" s="795" t="str">
        <f>IF(Cover!E23="","",Cover!E23)</f>
        <v>x</v>
      </c>
      <c r="AN26" s="797" t="s">
        <v>1514</v>
      </c>
      <c r="AO26" s="797"/>
      <c r="AP26" s="797"/>
      <c r="AQ26" s="797"/>
      <c r="AR26" s="797"/>
      <c r="AS26" s="797"/>
      <c r="AT26" s="797"/>
      <c r="AU26" s="797"/>
      <c r="AV26" s="146"/>
      <c r="AW26" s="147"/>
      <c r="AX26" s="147"/>
      <c r="AY26" s="147"/>
      <c r="AZ26" s="147"/>
      <c r="BA26" s="147"/>
      <c r="BB26" s="147"/>
      <c r="BC26" s="147"/>
      <c r="BD26" s="147"/>
      <c r="BE26" s="147"/>
      <c r="BF26" s="148"/>
      <c r="BG26" s="148"/>
      <c r="BH26" s="149"/>
      <c r="BI26" s="149"/>
      <c r="BJ26" s="149"/>
      <c r="BK26" s="131"/>
      <c r="BL26" s="149"/>
      <c r="BM26" s="149"/>
      <c r="BN26" s="149"/>
      <c r="BO26" s="149"/>
      <c r="BP26" s="149"/>
      <c r="BQ26" s="149"/>
      <c r="BR26" s="149"/>
      <c r="BS26" s="149"/>
      <c r="BT26" s="149"/>
      <c r="BU26" s="149"/>
      <c r="BV26" s="149"/>
      <c r="BW26" s="149"/>
      <c r="BX26" s="150"/>
    </row>
    <row r="27" spans="1:76" ht="10.5" customHeight="1">
      <c r="A27" s="792"/>
      <c r="B27" s="137"/>
      <c r="C27" s="420" t="str">
        <f>LEFT(Cover!C7,1)</f>
        <v>3</v>
      </c>
      <c r="D27" s="136"/>
      <c r="E27" s="420" t="str">
        <f>MID(Cover!C7,2,1)</f>
        <v>6</v>
      </c>
      <c r="F27" s="136"/>
      <c r="G27" s="420" t="str">
        <f>MID(Cover!C7,3,1)</f>
        <v>4</v>
      </c>
      <c r="H27" s="136"/>
      <c r="I27" s="420" t="str">
        <f>MID(Cover!C7,4,1)</f>
        <v>2</v>
      </c>
      <c r="J27" s="136"/>
      <c r="K27" s="420" t="str">
        <f>MID(Cover!C7,5,1)</f>
        <v>2</v>
      </c>
      <c r="L27" s="136"/>
      <c r="M27" s="420" t="str">
        <f>MID(Cover!C7,6,1)</f>
        <v>9</v>
      </c>
      <c r="N27" s="136"/>
      <c r="O27" s="420" t="str">
        <f>MID(Cover!C7,7,1)</f>
        <v>9</v>
      </c>
      <c r="P27" s="136"/>
      <c r="Q27" s="420" t="str">
        <f>MID(Cover!C7,8,1)</f>
        <v>1</v>
      </c>
      <c r="R27" s="136"/>
      <c r="S27" s="136"/>
      <c r="T27" s="136"/>
      <c r="U27" s="121"/>
      <c r="V27" s="121"/>
      <c r="W27" s="121"/>
      <c r="X27" s="121"/>
      <c r="Y27" s="145"/>
      <c r="Z27" s="121"/>
      <c r="AA27" s="796" t="e">
        <f>IF(Cover!#REF!="","",Cover!#REF!)</f>
        <v>#REF!</v>
      </c>
      <c r="AB27" s="770"/>
      <c r="AC27" s="770"/>
      <c r="AD27" s="770"/>
      <c r="AE27" s="770"/>
      <c r="AF27" s="770"/>
      <c r="AG27" s="770"/>
      <c r="AH27" s="770"/>
      <c r="AI27" s="770"/>
      <c r="AJ27" s="770"/>
      <c r="AK27" s="770"/>
      <c r="AL27" s="770"/>
      <c r="AM27" s="796" t="e">
        <f>IF(Cover!#REF!="","",Cover!#REF!)</f>
        <v>#REF!</v>
      </c>
      <c r="AN27" s="797"/>
      <c r="AO27" s="797"/>
      <c r="AP27" s="797"/>
      <c r="AQ27" s="797"/>
      <c r="AR27" s="797"/>
      <c r="AS27" s="797"/>
      <c r="AT27" s="797"/>
      <c r="AU27" s="797"/>
      <c r="AV27" s="152"/>
      <c r="AW27" s="120"/>
      <c r="AX27" s="120"/>
      <c r="AY27" s="120"/>
      <c r="AZ27" s="120"/>
      <c r="BA27" s="120"/>
      <c r="BB27" s="120"/>
      <c r="BC27" s="120"/>
      <c r="BD27" s="120"/>
      <c r="BE27" s="120"/>
      <c r="BF27" s="120"/>
      <c r="BG27" s="120"/>
      <c r="BH27" s="120"/>
      <c r="BI27" s="120"/>
      <c r="BJ27" s="120"/>
      <c r="BK27" s="153"/>
      <c r="BL27" s="120"/>
      <c r="BM27" s="120"/>
      <c r="BN27" s="120"/>
      <c r="BO27" s="120"/>
      <c r="BP27" s="120"/>
      <c r="BQ27" s="120"/>
      <c r="BR27" s="120"/>
      <c r="BS27" s="120"/>
      <c r="BT27" s="120"/>
      <c r="BU27" s="120"/>
      <c r="BV27" s="120"/>
      <c r="BW27" s="120"/>
      <c r="BX27" s="154"/>
    </row>
    <row r="28" spans="1:76" ht="5.25" customHeight="1">
      <c r="A28" s="792"/>
      <c r="B28" s="137"/>
      <c r="C28" s="151"/>
      <c r="D28" s="136"/>
      <c r="E28" s="151"/>
      <c r="F28" s="136"/>
      <c r="G28" s="151"/>
      <c r="H28" s="136"/>
      <c r="I28" s="151"/>
      <c r="J28" s="136"/>
      <c r="K28" s="151"/>
      <c r="L28" s="136"/>
      <c r="M28" s="151"/>
      <c r="N28" s="136"/>
      <c r="O28" s="151"/>
      <c r="P28" s="136"/>
      <c r="Q28" s="151"/>
      <c r="R28" s="136"/>
      <c r="S28" s="136"/>
      <c r="T28" s="136"/>
      <c r="U28" s="121"/>
      <c r="V28" s="121"/>
      <c r="W28" s="121"/>
      <c r="X28" s="121"/>
      <c r="Y28" s="145"/>
      <c r="Z28" s="121"/>
      <c r="AA28" s="430"/>
      <c r="AB28" s="141"/>
      <c r="AC28" s="141"/>
      <c r="AD28" s="141"/>
      <c r="AE28" s="141"/>
      <c r="AF28" s="141"/>
      <c r="AG28" s="141"/>
      <c r="AH28" s="141"/>
      <c r="AI28" s="141"/>
      <c r="AJ28" s="141"/>
      <c r="AK28" s="141"/>
      <c r="AL28" s="141"/>
      <c r="AM28" s="121"/>
      <c r="AN28" s="141"/>
      <c r="AO28" s="141"/>
      <c r="AP28" s="141"/>
      <c r="AQ28" s="141"/>
      <c r="AR28" s="141"/>
      <c r="AS28" s="141"/>
      <c r="AT28" s="141"/>
      <c r="AU28" s="155"/>
      <c r="AV28" s="152"/>
      <c r="AW28" s="120"/>
      <c r="AX28" s="120"/>
      <c r="AY28" s="120"/>
      <c r="AZ28" s="120"/>
      <c r="BA28" s="120"/>
      <c r="BB28" s="120"/>
      <c r="BC28" s="120"/>
      <c r="BD28" s="120"/>
      <c r="BE28" s="120"/>
      <c r="BF28" s="120"/>
      <c r="BG28" s="120"/>
      <c r="BH28" s="120"/>
      <c r="BI28" s="120"/>
      <c r="BJ28" s="120"/>
      <c r="BK28" s="765"/>
      <c r="BL28" s="765"/>
      <c r="BM28" s="765"/>
      <c r="BN28" s="144"/>
      <c r="BO28" s="144"/>
      <c r="BP28" s="144"/>
      <c r="BQ28" s="765"/>
      <c r="BR28" s="765"/>
      <c r="BS28" s="765"/>
      <c r="BT28" s="765"/>
      <c r="BU28" s="765"/>
      <c r="BV28" s="765"/>
      <c r="BW28" s="765"/>
      <c r="BX28" s="154"/>
    </row>
    <row r="29" spans="1:76" ht="7.5" customHeight="1">
      <c r="A29" s="792"/>
      <c r="B29" s="137"/>
      <c r="C29" s="136"/>
      <c r="D29" s="136"/>
      <c r="E29" s="136"/>
      <c r="F29" s="136"/>
      <c r="G29" s="136"/>
      <c r="H29" s="136"/>
      <c r="I29" s="136"/>
      <c r="J29" s="136"/>
      <c r="K29" s="136"/>
      <c r="L29" s="136"/>
      <c r="M29" s="136"/>
      <c r="N29" s="136"/>
      <c r="O29" s="136"/>
      <c r="P29" s="136"/>
      <c r="Q29" s="136"/>
      <c r="R29" s="136"/>
      <c r="S29" s="789"/>
      <c r="T29" s="789"/>
      <c r="U29" s="141"/>
      <c r="V29" s="141"/>
      <c r="W29" s="141"/>
      <c r="X29" s="121"/>
      <c r="Y29" s="145"/>
      <c r="Z29" s="121"/>
      <c r="AA29" s="430"/>
      <c r="AB29" s="121"/>
      <c r="AC29" s="121"/>
      <c r="AD29" s="121"/>
      <c r="AE29" s="121"/>
      <c r="AF29" s="121"/>
      <c r="AG29" s="121"/>
      <c r="AH29" s="121"/>
      <c r="AI29" s="121"/>
      <c r="AJ29" s="141"/>
      <c r="AK29" s="141"/>
      <c r="AL29" s="141"/>
      <c r="AM29" s="141"/>
      <c r="AN29" s="141"/>
      <c r="AO29" s="141"/>
      <c r="AP29" s="120"/>
      <c r="AQ29" s="156"/>
      <c r="AR29" s="156"/>
      <c r="AS29" s="156"/>
      <c r="AT29" s="156"/>
      <c r="AU29" s="157"/>
      <c r="AV29" s="158"/>
      <c r="AW29" s="790" t="str">
        <f>Index!C380</f>
        <v>Bezprostredne
predchádzajúce
obdobie</v>
      </c>
      <c r="AX29" s="790"/>
      <c r="AY29" s="790"/>
      <c r="AZ29" s="790"/>
      <c r="BA29" s="790"/>
      <c r="BB29" s="790"/>
      <c r="BC29" s="790"/>
      <c r="BD29" s="790"/>
      <c r="BE29" s="790"/>
      <c r="BF29" s="791" t="str">
        <f>Index!C381</f>
        <v xml:space="preserve">od </v>
      </c>
      <c r="BG29" s="791"/>
      <c r="BH29" s="791"/>
      <c r="BI29" s="791"/>
      <c r="BJ29" s="791"/>
      <c r="BK29" s="761" t="str">
        <f>LEFT(Cover!D29,1)</f>
        <v>0</v>
      </c>
      <c r="BL29" s="768"/>
      <c r="BM29" s="761" t="str">
        <f>MID(Cover!D29,2,1)</f>
        <v>1</v>
      </c>
      <c r="BN29" s="136"/>
      <c r="BO29" s="136"/>
      <c r="BP29" s="136"/>
      <c r="BQ29" s="785" t="s">
        <v>1508</v>
      </c>
      <c r="BR29" s="760"/>
      <c r="BS29" s="785" t="s">
        <v>1509</v>
      </c>
      <c r="BT29" s="136"/>
      <c r="BU29" s="775" t="str">
        <f>MID(Cover!E29,3,1)</f>
        <v>2</v>
      </c>
      <c r="BV29" s="136"/>
      <c r="BW29" s="761" t="str">
        <f>MID(Cover!E29,4,1)</f>
        <v>1</v>
      </c>
      <c r="BX29" s="154"/>
    </row>
    <row r="30" spans="1:76" ht="7.5" customHeight="1">
      <c r="A30" s="792"/>
      <c r="B30" s="137"/>
      <c r="C30" s="136" t="s">
        <v>891</v>
      </c>
      <c r="D30" s="136"/>
      <c r="E30" s="136"/>
      <c r="F30" s="136"/>
      <c r="G30" s="136"/>
      <c r="H30" s="136"/>
      <c r="I30" s="136"/>
      <c r="J30" s="136"/>
      <c r="K30" s="136"/>
      <c r="L30" s="136"/>
      <c r="M30" s="136"/>
      <c r="N30" s="136"/>
      <c r="O30" s="136"/>
      <c r="P30" s="136"/>
      <c r="Q30" s="136"/>
      <c r="R30" s="136"/>
      <c r="S30" s="142"/>
      <c r="T30" s="142"/>
      <c r="U30" s="141"/>
      <c r="V30" s="141"/>
      <c r="W30" s="121"/>
      <c r="X30" s="121"/>
      <c r="Y30" s="145"/>
      <c r="Z30" s="121"/>
      <c r="AA30" s="430"/>
      <c r="AB30" s="121"/>
      <c r="AC30" s="121"/>
      <c r="AD30" s="121"/>
      <c r="AE30" s="121"/>
      <c r="AF30" s="121"/>
      <c r="AG30" s="121"/>
      <c r="AH30" s="121"/>
      <c r="AI30" s="121"/>
      <c r="AJ30" s="121"/>
      <c r="AK30" s="121"/>
      <c r="AL30" s="121"/>
      <c r="AM30" s="121"/>
      <c r="AN30" s="121"/>
      <c r="AO30" s="121"/>
      <c r="AP30" s="121"/>
      <c r="AQ30" s="121"/>
      <c r="AR30" s="121"/>
      <c r="AS30" s="121"/>
      <c r="AT30" s="156"/>
      <c r="AU30" s="157"/>
      <c r="AV30" s="158"/>
      <c r="AW30" s="790"/>
      <c r="AX30" s="790"/>
      <c r="AY30" s="790"/>
      <c r="AZ30" s="790"/>
      <c r="BA30" s="790"/>
      <c r="BB30" s="790"/>
      <c r="BC30" s="790"/>
      <c r="BD30" s="790"/>
      <c r="BE30" s="790"/>
      <c r="BF30" s="791"/>
      <c r="BG30" s="791"/>
      <c r="BH30" s="791"/>
      <c r="BI30" s="791"/>
      <c r="BJ30" s="791"/>
      <c r="BK30" s="761"/>
      <c r="BL30" s="768"/>
      <c r="BM30" s="761"/>
      <c r="BN30" s="136"/>
      <c r="BO30" s="136"/>
      <c r="BP30" s="136"/>
      <c r="BQ30" s="785"/>
      <c r="BR30" s="760"/>
      <c r="BS30" s="785"/>
      <c r="BT30" s="136"/>
      <c r="BU30" s="775"/>
      <c r="BV30" s="136"/>
      <c r="BW30" s="761"/>
      <c r="BX30" s="154"/>
    </row>
    <row r="31" spans="1:76" ht="5.0999999999999996" customHeight="1">
      <c r="A31" s="792"/>
      <c r="B31" s="137"/>
      <c r="C31" s="136"/>
      <c r="D31" s="136"/>
      <c r="E31" s="136"/>
      <c r="F31" s="136"/>
      <c r="G31" s="136"/>
      <c r="H31" s="136"/>
      <c r="I31" s="136"/>
      <c r="J31" s="136"/>
      <c r="K31" s="136"/>
      <c r="L31" s="136"/>
      <c r="M31" s="136"/>
      <c r="N31" s="136"/>
      <c r="O31" s="136"/>
      <c r="P31" s="136"/>
      <c r="Q31" s="136"/>
      <c r="R31" s="136"/>
      <c r="S31" s="142"/>
      <c r="T31" s="142"/>
      <c r="U31" s="141"/>
      <c r="V31" s="141"/>
      <c r="W31" s="141"/>
      <c r="X31" s="141"/>
      <c r="Y31" s="143"/>
      <c r="Z31" s="141"/>
      <c r="AA31" s="431"/>
      <c r="AB31" s="141"/>
      <c r="AC31" s="141"/>
      <c r="AD31" s="141"/>
      <c r="AE31" s="141"/>
      <c r="AF31" s="141"/>
      <c r="AG31" s="159"/>
      <c r="AH31" s="159"/>
      <c r="AI31" s="159"/>
      <c r="AJ31" s="121"/>
      <c r="AK31" s="121"/>
      <c r="AL31" s="121"/>
      <c r="AM31" s="121"/>
      <c r="AN31" s="121"/>
      <c r="AO31" s="121"/>
      <c r="AP31" s="121"/>
      <c r="AQ31" s="121"/>
      <c r="AR31" s="121"/>
      <c r="AS31" s="156"/>
      <c r="AT31" s="156"/>
      <c r="AU31" s="157"/>
      <c r="AV31" s="158"/>
      <c r="AW31" s="790"/>
      <c r="AX31" s="790"/>
      <c r="AY31" s="790"/>
      <c r="AZ31" s="790"/>
      <c r="BA31" s="790"/>
      <c r="BB31" s="790"/>
      <c r="BC31" s="790"/>
      <c r="BD31" s="790"/>
      <c r="BE31" s="790"/>
      <c r="BF31" s="120"/>
      <c r="BG31" s="120"/>
      <c r="BH31" s="120"/>
      <c r="BI31" s="120"/>
      <c r="BJ31" s="120"/>
      <c r="BK31" s="120"/>
      <c r="BL31" s="120"/>
      <c r="BM31" s="120"/>
      <c r="BN31" s="120"/>
      <c r="BO31" s="120"/>
      <c r="BP31" s="120"/>
      <c r="BQ31" s="120"/>
      <c r="BR31" s="120"/>
      <c r="BS31" s="120"/>
      <c r="BT31" s="120"/>
      <c r="BU31" s="120"/>
      <c r="BV31" s="120"/>
      <c r="BW31" s="120"/>
      <c r="BX31" s="154"/>
    </row>
    <row r="32" spans="1:76" ht="5.0999999999999996" customHeight="1">
      <c r="A32" s="792"/>
      <c r="B32" s="137"/>
      <c r="C32" s="765"/>
      <c r="D32" s="765"/>
      <c r="E32" s="765"/>
      <c r="F32" s="136"/>
      <c r="G32" s="136"/>
      <c r="H32" s="136"/>
      <c r="I32" s="765"/>
      <c r="J32" s="765"/>
      <c r="K32" s="765"/>
      <c r="L32" s="136"/>
      <c r="M32" s="136"/>
      <c r="N32" s="136"/>
      <c r="O32" s="160"/>
      <c r="P32" s="136"/>
      <c r="Q32" s="136"/>
      <c r="R32" s="136"/>
      <c r="S32" s="142"/>
      <c r="T32" s="142"/>
      <c r="U32" s="141"/>
      <c r="V32" s="141"/>
      <c r="W32" s="141"/>
      <c r="X32" s="141"/>
      <c r="Y32" s="143"/>
      <c r="Z32" s="141"/>
      <c r="AA32" s="795" t="str">
        <f>IF(Cover!C21="","",Cover!C21)</f>
        <v/>
      </c>
      <c r="AB32" s="770" t="str">
        <f>Index!C378</f>
        <v>priebežná</v>
      </c>
      <c r="AC32" s="770"/>
      <c r="AD32" s="770"/>
      <c r="AE32" s="770"/>
      <c r="AF32" s="770"/>
      <c r="AG32" s="770"/>
      <c r="AH32" s="770"/>
      <c r="AI32" s="770"/>
      <c r="AJ32" s="770"/>
      <c r="AK32" s="770"/>
      <c r="AL32" s="770"/>
      <c r="AM32" s="121"/>
      <c r="AN32" s="121"/>
      <c r="AO32" s="121"/>
      <c r="AP32" s="121"/>
      <c r="AQ32" s="121"/>
      <c r="AR32" s="121"/>
      <c r="AS32" s="156"/>
      <c r="AT32" s="156"/>
      <c r="AU32" s="157"/>
      <c r="AV32" s="158"/>
      <c r="AW32" s="790"/>
      <c r="AX32" s="790"/>
      <c r="AY32" s="790"/>
      <c r="AZ32" s="790"/>
      <c r="BA32" s="790"/>
      <c r="BB32" s="790"/>
      <c r="BC32" s="790"/>
      <c r="BD32" s="790"/>
      <c r="BE32" s="790"/>
      <c r="BF32" s="120"/>
      <c r="BG32" s="120"/>
      <c r="BH32" s="120"/>
      <c r="BI32" s="120"/>
      <c r="BJ32" s="120"/>
      <c r="BK32" s="792"/>
      <c r="BL32" s="792"/>
      <c r="BM32" s="792"/>
      <c r="BN32" s="120"/>
      <c r="BO32" s="120"/>
      <c r="BP32" s="120"/>
      <c r="BQ32" s="792"/>
      <c r="BR32" s="792"/>
      <c r="BS32" s="792"/>
      <c r="BT32" s="792"/>
      <c r="BU32" s="792"/>
      <c r="BV32" s="792"/>
      <c r="BW32" s="792"/>
      <c r="BX32" s="154"/>
    </row>
    <row r="33" spans="1:76" ht="7.5" customHeight="1">
      <c r="A33" s="792"/>
      <c r="B33" s="137"/>
      <c r="C33" s="761" t="str">
        <f>LEFT(Cover!C9,1)</f>
        <v>4</v>
      </c>
      <c r="D33" s="136"/>
      <c r="E33" s="761" t="str">
        <f>MID(Cover!C9,2,1)</f>
        <v>6</v>
      </c>
      <c r="F33" s="136"/>
      <c r="G33" s="136"/>
      <c r="H33" s="136"/>
      <c r="I33" s="761" t="str">
        <f>MID(Cover!C9,3,1)</f>
        <v>9</v>
      </c>
      <c r="J33" s="136"/>
      <c r="K33" s="761" t="str">
        <f>MID(Cover!C9,4,1)</f>
        <v>0</v>
      </c>
      <c r="L33" s="136"/>
      <c r="M33" s="136"/>
      <c r="N33" s="136"/>
      <c r="O33" s="761" t="str">
        <f>MID(Cover!C9,5,1)</f>
        <v>0</v>
      </c>
      <c r="P33" s="136"/>
      <c r="Q33" s="136"/>
      <c r="R33" s="136"/>
      <c r="S33" s="142"/>
      <c r="T33" s="142"/>
      <c r="U33" s="121"/>
      <c r="V33" s="121"/>
      <c r="W33" s="121"/>
      <c r="X33" s="121"/>
      <c r="Y33" s="145"/>
      <c r="Z33" s="121"/>
      <c r="AA33" s="796" t="str">
        <f>IF(Cover!C30="","",Cover!C30)</f>
        <v>31</v>
      </c>
      <c r="AB33" s="770"/>
      <c r="AC33" s="770"/>
      <c r="AD33" s="770"/>
      <c r="AE33" s="770"/>
      <c r="AF33" s="770"/>
      <c r="AG33" s="770"/>
      <c r="AH33" s="770"/>
      <c r="AI33" s="770"/>
      <c r="AJ33" s="770"/>
      <c r="AK33" s="770"/>
      <c r="AL33" s="770"/>
      <c r="AM33" s="786" t="s">
        <v>1516</v>
      </c>
      <c r="AN33" s="786"/>
      <c r="AO33" s="786"/>
      <c r="AP33" s="786"/>
      <c r="AQ33" s="786"/>
      <c r="AR33" s="786"/>
      <c r="AS33" s="786"/>
      <c r="AT33" s="786"/>
      <c r="AU33" s="786"/>
      <c r="AV33" s="158"/>
      <c r="AW33" s="790"/>
      <c r="AX33" s="790"/>
      <c r="AY33" s="790"/>
      <c r="AZ33" s="790"/>
      <c r="BA33" s="790"/>
      <c r="BB33" s="790"/>
      <c r="BC33" s="790"/>
      <c r="BD33" s="790"/>
      <c r="BE33" s="790"/>
      <c r="BF33" s="120"/>
      <c r="BG33" s="120"/>
      <c r="BH33" s="787" t="str">
        <f>Index!C382</f>
        <v>do</v>
      </c>
      <c r="BI33" s="787"/>
      <c r="BJ33" s="787"/>
      <c r="BK33" s="761" t="str">
        <f>LEFT(Cover!D30,1)</f>
        <v>1</v>
      </c>
      <c r="BL33" s="768"/>
      <c r="BM33" s="761" t="str">
        <f>MID(Cover!D30,2,1)</f>
        <v>2</v>
      </c>
      <c r="BN33" s="768"/>
      <c r="BO33" s="768"/>
      <c r="BP33" s="768"/>
      <c r="BQ33" s="785" t="s">
        <v>1508</v>
      </c>
      <c r="BR33" s="760"/>
      <c r="BS33" s="785" t="s">
        <v>1509</v>
      </c>
      <c r="BT33" s="760"/>
      <c r="BU33" s="775" t="str">
        <f>MID(PY,3,1)</f>
        <v>2</v>
      </c>
      <c r="BV33" s="760"/>
      <c r="BW33" s="761" t="str">
        <f>MID(PY,4,1)</f>
        <v>1</v>
      </c>
      <c r="BX33" s="154"/>
    </row>
    <row r="34" spans="1:76" ht="7.5" customHeight="1">
      <c r="A34" s="792"/>
      <c r="B34" s="137"/>
      <c r="C34" s="761"/>
      <c r="D34" s="136"/>
      <c r="E34" s="761"/>
      <c r="F34" s="136"/>
      <c r="G34" s="161" t="s">
        <v>966</v>
      </c>
      <c r="H34" s="136"/>
      <c r="I34" s="761"/>
      <c r="J34" s="136"/>
      <c r="K34" s="761"/>
      <c r="L34" s="136"/>
      <c r="M34" s="161" t="s">
        <v>966</v>
      </c>
      <c r="N34" s="136"/>
      <c r="O34" s="761"/>
      <c r="P34" s="136"/>
      <c r="Q34" s="136"/>
      <c r="R34" s="136"/>
      <c r="S34" s="142"/>
      <c r="T34" s="142"/>
      <c r="U34" s="141"/>
      <c r="V34" s="141"/>
      <c r="W34" s="141"/>
      <c r="X34" s="141"/>
      <c r="Y34" s="143"/>
      <c r="Z34" s="141"/>
      <c r="AA34" s="141"/>
      <c r="AB34" s="141"/>
      <c r="AC34" s="141"/>
      <c r="AD34" s="141"/>
      <c r="AE34" s="141"/>
      <c r="AF34" s="141"/>
      <c r="AG34" s="159"/>
      <c r="AH34" s="159"/>
      <c r="AI34" s="159"/>
      <c r="AJ34" s="159"/>
      <c r="AK34" s="159"/>
      <c r="AL34" s="159"/>
      <c r="AM34" s="159"/>
      <c r="AN34" s="159"/>
      <c r="AO34" s="159"/>
      <c r="AP34" s="120"/>
      <c r="AQ34" s="156"/>
      <c r="AR34" s="156"/>
      <c r="AS34" s="156"/>
      <c r="AT34" s="156"/>
      <c r="AU34" s="157"/>
      <c r="AV34" s="158"/>
      <c r="AW34" s="790"/>
      <c r="AX34" s="790"/>
      <c r="AY34" s="790"/>
      <c r="AZ34" s="790"/>
      <c r="BA34" s="790"/>
      <c r="BB34" s="790"/>
      <c r="BC34" s="790"/>
      <c r="BD34" s="790"/>
      <c r="BE34" s="790"/>
      <c r="BF34" s="120"/>
      <c r="BG34" s="120"/>
      <c r="BH34" s="787"/>
      <c r="BI34" s="787"/>
      <c r="BJ34" s="787"/>
      <c r="BK34" s="761"/>
      <c r="BL34" s="768"/>
      <c r="BM34" s="761"/>
      <c r="BN34" s="768"/>
      <c r="BO34" s="768"/>
      <c r="BP34" s="768"/>
      <c r="BQ34" s="785"/>
      <c r="BR34" s="760"/>
      <c r="BS34" s="785"/>
      <c r="BT34" s="760"/>
      <c r="BU34" s="775"/>
      <c r="BV34" s="760"/>
      <c r="BW34" s="761"/>
      <c r="BX34" s="154"/>
    </row>
    <row r="35" spans="1:76" ht="5.0999999999999996" customHeight="1">
      <c r="A35" s="792"/>
      <c r="B35" s="146"/>
      <c r="C35" s="147"/>
      <c r="D35" s="147"/>
      <c r="E35" s="147"/>
      <c r="F35" s="147"/>
      <c r="G35" s="147"/>
      <c r="H35" s="147"/>
      <c r="I35" s="147"/>
      <c r="J35" s="147"/>
      <c r="K35" s="147"/>
      <c r="L35" s="147"/>
      <c r="M35" s="147"/>
      <c r="N35" s="147"/>
      <c r="O35" s="147"/>
      <c r="P35" s="147"/>
      <c r="Q35" s="147"/>
      <c r="R35" s="147"/>
      <c r="S35" s="147"/>
      <c r="T35" s="147"/>
      <c r="U35" s="147"/>
      <c r="V35" s="147"/>
      <c r="W35" s="147"/>
      <c r="X35" s="147"/>
      <c r="Y35" s="146"/>
      <c r="Z35" s="147"/>
      <c r="AA35" s="147"/>
      <c r="AB35" s="147"/>
      <c r="AC35" s="147"/>
      <c r="AD35" s="147"/>
      <c r="AE35" s="147"/>
      <c r="AF35" s="147"/>
      <c r="AG35" s="147"/>
      <c r="AH35" s="147"/>
      <c r="AI35" s="147"/>
      <c r="AJ35" s="147"/>
      <c r="AK35" s="147"/>
      <c r="AL35" s="147"/>
      <c r="AM35" s="147"/>
      <c r="AN35" s="147"/>
      <c r="AO35" s="147"/>
      <c r="AP35" s="148"/>
      <c r="AQ35" s="148"/>
      <c r="AR35" s="148"/>
      <c r="AS35" s="148"/>
      <c r="AT35" s="148"/>
      <c r="AU35" s="162"/>
      <c r="AV35" s="163"/>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62"/>
    </row>
    <row r="36" spans="1:76" ht="3" customHeight="1">
      <c r="A36" s="792"/>
      <c r="B36" s="788"/>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788"/>
      <c r="AA36" s="788"/>
      <c r="AB36" s="788"/>
      <c r="AC36" s="788"/>
      <c r="AD36" s="788"/>
      <c r="AE36" s="788"/>
      <c r="AF36" s="788"/>
      <c r="AG36" s="788"/>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row>
    <row r="37" spans="1:76" ht="18" customHeight="1">
      <c r="A37" s="792"/>
      <c r="B37" s="782" t="str">
        <f>Index!C385</f>
        <v>Priložené súčasti účtovnej závierky</v>
      </c>
      <c r="C37" s="783"/>
      <c r="D37" s="783"/>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3"/>
      <c r="AZ37" s="783"/>
      <c r="BA37" s="783"/>
      <c r="BB37" s="783"/>
      <c r="BC37" s="783"/>
      <c r="BD37" s="783"/>
      <c r="BE37" s="783"/>
      <c r="BF37" s="783"/>
      <c r="BG37" s="783"/>
      <c r="BH37" s="783"/>
      <c r="BI37" s="783"/>
      <c r="BJ37" s="783"/>
      <c r="BK37" s="783"/>
      <c r="BL37" s="783"/>
      <c r="BM37" s="783"/>
      <c r="BN37" s="783"/>
      <c r="BO37" s="783"/>
      <c r="BP37" s="783"/>
      <c r="BQ37" s="783"/>
      <c r="BR37" s="783"/>
      <c r="BS37" s="783"/>
      <c r="BT37" s="783"/>
      <c r="BU37" s="783"/>
      <c r="BV37" s="783"/>
      <c r="BW37" s="783"/>
      <c r="BX37" s="784"/>
    </row>
    <row r="38" spans="1:76" ht="25.5" customHeight="1">
      <c r="A38" s="792"/>
      <c r="B38" s="164"/>
      <c r="C38" s="136"/>
      <c r="D38" s="136"/>
      <c r="E38" s="165" t="s">
        <v>1518</v>
      </c>
      <c r="F38" s="770" t="str">
        <f>Index!C386</f>
        <v>Súvaha (Úč POD 1-01)</v>
      </c>
      <c r="G38" s="770"/>
      <c r="H38" s="770"/>
      <c r="I38" s="770"/>
      <c r="J38" s="770"/>
      <c r="K38" s="770"/>
      <c r="L38" s="770"/>
      <c r="M38" s="770"/>
      <c r="N38" s="770"/>
      <c r="O38" s="770"/>
      <c r="P38" s="770"/>
      <c r="Q38" s="770"/>
      <c r="R38" s="770"/>
      <c r="S38" s="770"/>
      <c r="T38" s="770"/>
      <c r="U38" s="770"/>
      <c r="V38" s="136"/>
      <c r="W38" s="136"/>
      <c r="X38" s="136"/>
      <c r="Y38" s="165" t="s">
        <v>1518</v>
      </c>
      <c r="Z38" s="136"/>
      <c r="AA38" s="773" t="str">
        <f>Index!C388</f>
        <v>Výkaz ziskov a strát (Úč POD 2-01)</v>
      </c>
      <c r="AB38" s="773"/>
      <c r="AC38" s="773"/>
      <c r="AD38" s="773"/>
      <c r="AE38" s="773"/>
      <c r="AF38" s="773"/>
      <c r="AG38" s="773"/>
      <c r="AH38" s="773"/>
      <c r="AI38" s="773"/>
      <c r="AJ38" s="773"/>
      <c r="AK38" s="773"/>
      <c r="AL38" s="773"/>
      <c r="AM38" s="773"/>
      <c r="AN38" s="773"/>
      <c r="AO38" s="773"/>
      <c r="AP38" s="773"/>
      <c r="AQ38" s="773"/>
      <c r="AR38" s="773"/>
      <c r="AS38" s="773"/>
      <c r="AT38" s="136"/>
      <c r="AU38" s="136"/>
      <c r="AV38" s="136"/>
      <c r="AW38" s="165" t="s">
        <v>1518</v>
      </c>
      <c r="AX38" s="770" t="str">
        <f>Index!C389</f>
        <v>Poznámky (Úč POD 3-01)</v>
      </c>
      <c r="AY38" s="770"/>
      <c r="AZ38" s="770"/>
      <c r="BA38" s="770"/>
      <c r="BB38" s="770"/>
      <c r="BC38" s="770"/>
      <c r="BD38" s="770"/>
      <c r="BE38" s="770"/>
      <c r="BF38" s="770"/>
      <c r="BG38" s="770"/>
      <c r="BH38" s="770"/>
      <c r="BI38" s="770"/>
      <c r="BJ38" s="770"/>
      <c r="BK38" s="770"/>
      <c r="BL38" s="770"/>
      <c r="BM38" s="770"/>
      <c r="BN38" s="136"/>
      <c r="BO38" s="136"/>
      <c r="BP38" s="136"/>
      <c r="BQ38" s="136"/>
      <c r="BR38" s="136"/>
      <c r="BS38" s="136"/>
      <c r="BT38" s="136"/>
      <c r="BU38" s="136"/>
      <c r="BV38" s="136"/>
      <c r="BW38" s="136"/>
      <c r="BX38" s="166"/>
    </row>
    <row r="39" spans="1:76" s="170" customFormat="1" ht="10.5" customHeight="1">
      <c r="A39" s="792"/>
      <c r="B39" s="167"/>
      <c r="C39" s="168"/>
      <c r="D39" s="168"/>
      <c r="E39" s="168"/>
      <c r="F39" s="774" t="str">
        <f>Index!C387</f>
        <v>(v celých eurách)</v>
      </c>
      <c r="G39" s="774"/>
      <c r="H39" s="774"/>
      <c r="I39" s="774"/>
      <c r="J39" s="774"/>
      <c r="K39" s="774"/>
      <c r="L39" s="774"/>
      <c r="M39" s="774"/>
      <c r="N39" s="774"/>
      <c r="O39" s="774"/>
      <c r="P39" s="774"/>
      <c r="Q39" s="168"/>
      <c r="R39" s="168"/>
      <c r="S39" s="168"/>
      <c r="T39" s="168"/>
      <c r="U39" s="168"/>
      <c r="V39" s="168"/>
      <c r="W39" s="168"/>
      <c r="X39" s="168"/>
      <c r="Y39" s="168"/>
      <c r="Z39" s="168"/>
      <c r="AA39" s="774" t="str">
        <f>Index!C387</f>
        <v>(v celých eurách)</v>
      </c>
      <c r="AB39" s="774"/>
      <c r="AC39" s="774"/>
      <c r="AD39" s="774"/>
      <c r="AE39" s="774"/>
      <c r="AF39" s="774"/>
      <c r="AG39" s="774"/>
      <c r="AH39" s="774"/>
      <c r="AI39" s="774"/>
      <c r="AJ39" s="774"/>
      <c r="AK39" s="774"/>
      <c r="AL39" s="168"/>
      <c r="AM39" s="168"/>
      <c r="AN39" s="168"/>
      <c r="AO39" s="168"/>
      <c r="AP39" s="168"/>
      <c r="AQ39" s="168"/>
      <c r="AR39" s="168"/>
      <c r="AS39" s="168"/>
      <c r="AT39" s="168"/>
      <c r="AU39" s="168"/>
      <c r="AV39" s="168"/>
      <c r="AW39" s="168"/>
      <c r="AX39" s="168"/>
      <c r="AY39" s="774" t="str">
        <f>Index!C387</f>
        <v>(v celých eurách)</v>
      </c>
      <c r="AZ39" s="774"/>
      <c r="BA39" s="774"/>
      <c r="BB39" s="774"/>
      <c r="BC39" s="774"/>
      <c r="BD39" s="774"/>
      <c r="BE39" s="774"/>
      <c r="BF39" s="774"/>
      <c r="BG39" s="774"/>
      <c r="BH39" s="774"/>
      <c r="BI39" s="774"/>
      <c r="BJ39" s="774"/>
      <c r="BK39" s="774"/>
      <c r="BL39" s="774"/>
      <c r="BM39" s="774"/>
      <c r="BN39" s="774"/>
      <c r="BO39" s="774"/>
      <c r="BP39" s="774"/>
      <c r="BQ39" s="774"/>
      <c r="BR39" s="168"/>
      <c r="BS39" s="168"/>
      <c r="BT39" s="168"/>
      <c r="BU39" s="168"/>
      <c r="BV39" s="168"/>
      <c r="BW39" s="168"/>
      <c r="BX39" s="169"/>
    </row>
    <row r="40" spans="1:76" ht="3" customHeight="1">
      <c r="A40" s="792"/>
      <c r="B40" s="776"/>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777"/>
      <c r="AY40" s="777"/>
      <c r="AZ40" s="777"/>
      <c r="BA40" s="777"/>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8"/>
    </row>
    <row r="41" spans="1:76">
      <c r="A41" s="792"/>
      <c r="B41" s="779" t="str">
        <f>Index!C390</f>
        <v xml:space="preserve"> Obchodné meno (názov) účtovnej jednotky</v>
      </c>
      <c r="C41" s="779"/>
      <c r="D41" s="779"/>
      <c r="E41" s="779"/>
      <c r="F41" s="779"/>
      <c r="G41" s="779"/>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79"/>
      <c r="BX41" s="779"/>
    </row>
    <row r="42" spans="1:76" ht="3" customHeight="1">
      <c r="A42" s="792"/>
      <c r="B42" s="143"/>
      <c r="C42" s="765"/>
      <c r="D42" s="765"/>
      <c r="E42" s="765"/>
      <c r="F42" s="765"/>
      <c r="G42" s="765"/>
      <c r="H42" s="765"/>
      <c r="I42" s="765"/>
      <c r="J42" s="765"/>
      <c r="K42" s="765"/>
      <c r="L42" s="765"/>
      <c r="M42" s="765"/>
      <c r="N42" s="765"/>
      <c r="O42" s="765"/>
      <c r="P42" s="765"/>
      <c r="Q42" s="765"/>
      <c r="R42" s="765"/>
      <c r="S42" s="765"/>
      <c r="T42" s="765"/>
      <c r="U42" s="765"/>
      <c r="V42" s="765"/>
      <c r="W42" s="765"/>
      <c r="X42" s="765"/>
      <c r="Y42" s="765"/>
      <c r="Z42" s="765"/>
      <c r="AA42" s="765"/>
      <c r="AB42" s="765"/>
      <c r="AC42" s="765"/>
      <c r="AD42" s="765"/>
      <c r="AE42" s="765"/>
      <c r="AF42" s="765"/>
      <c r="AG42" s="765"/>
      <c r="AH42" s="765"/>
      <c r="AI42" s="765"/>
      <c r="AJ42" s="765"/>
      <c r="AK42" s="765"/>
      <c r="AL42" s="765"/>
      <c r="AM42" s="765"/>
      <c r="AN42" s="765"/>
      <c r="AO42" s="765"/>
      <c r="AP42" s="765"/>
      <c r="AQ42" s="765"/>
      <c r="AR42" s="765"/>
      <c r="AS42" s="765"/>
      <c r="AT42" s="765"/>
      <c r="AU42" s="765"/>
      <c r="AV42" s="765"/>
      <c r="AW42" s="765"/>
      <c r="AX42" s="765"/>
      <c r="AY42" s="765"/>
      <c r="AZ42" s="765"/>
      <c r="BA42" s="765"/>
      <c r="BB42" s="765"/>
      <c r="BC42" s="765"/>
      <c r="BD42" s="765"/>
      <c r="BE42" s="765"/>
      <c r="BF42" s="765"/>
      <c r="BG42" s="765"/>
      <c r="BH42" s="765"/>
      <c r="BI42" s="765"/>
      <c r="BJ42" s="765"/>
      <c r="BK42" s="765"/>
      <c r="BL42" s="765"/>
      <c r="BM42" s="765"/>
      <c r="BN42" s="765"/>
      <c r="BO42" s="765"/>
      <c r="BP42" s="765"/>
      <c r="BQ42" s="765"/>
      <c r="BR42" s="765"/>
      <c r="BS42" s="765"/>
      <c r="BT42" s="765"/>
      <c r="BU42" s="765"/>
      <c r="BV42" s="765"/>
      <c r="BW42" s="765"/>
      <c r="BX42" s="155"/>
    </row>
    <row r="43" spans="1:76" s="129" customFormat="1" ht="15" customHeight="1">
      <c r="A43" s="792"/>
      <c r="B43" s="140"/>
      <c r="C43" s="421" t="str">
        <f>LEFT(Cover!$C$10,1)</f>
        <v>M</v>
      </c>
      <c r="D43" s="131"/>
      <c r="E43" s="421" t="str">
        <f>MID(Cover!$C$10,2,1)</f>
        <v>S</v>
      </c>
      <c r="F43" s="131"/>
      <c r="G43" s="421" t="str">
        <f>MID(Cover!$C$10,3,1)</f>
        <v>M</v>
      </c>
      <c r="H43" s="131"/>
      <c r="I43" s="421" t="str">
        <f>MID(Cover!$C$10,4,1)</f>
        <v xml:space="preserve"> </v>
      </c>
      <c r="J43" s="131"/>
      <c r="K43" s="421" t="str">
        <f>MID(Cover!$C$10,5,1)</f>
        <v>M</v>
      </c>
      <c r="L43" s="131"/>
      <c r="M43" s="421" t="str">
        <f>MID(Cover!$C$10,6,1)</f>
        <v>a</v>
      </c>
      <c r="N43" s="131"/>
      <c r="O43" s="421" t="str">
        <f>MID(Cover!$C$10,7,1)</f>
        <v>r</v>
      </c>
      <c r="P43" s="131"/>
      <c r="Q43" s="421" t="str">
        <f>MID(Cover!$C$10,8,1)</f>
        <v>t</v>
      </c>
      <c r="R43" s="131"/>
      <c r="S43" s="421" t="str">
        <f>MID(Cover!$C$10,9,1)</f>
        <v>i</v>
      </c>
      <c r="T43" s="131"/>
      <c r="U43" s="421" t="str">
        <f>MID(Cover!$C$10,10,1)</f>
        <v>n</v>
      </c>
      <c r="V43" s="131"/>
      <c r="W43" s="421" t="str">
        <f>MID(Cover!$C$10,11,1)</f>
        <v>,</v>
      </c>
      <c r="X43" s="131"/>
      <c r="Y43" s="421" t="str">
        <f>MID(Cover!$C$10,12,1)</f>
        <v xml:space="preserve"> </v>
      </c>
      <c r="Z43" s="131"/>
      <c r="AA43" s="421" t="str">
        <f>MID(Cover!$C$10,13,1)</f>
        <v>s</v>
      </c>
      <c r="AB43" s="131"/>
      <c r="AC43" s="421" t="str">
        <f>MID(Cover!$C$10,14,1)</f>
        <v>.</v>
      </c>
      <c r="AD43" s="131"/>
      <c r="AE43" s="421" t="str">
        <f>MID(Cover!$C$10,15,1)</f>
        <v xml:space="preserve"> </v>
      </c>
      <c r="AF43" s="131"/>
      <c r="AG43" s="421" t="str">
        <f>MID(Cover!$C$10,16,1)</f>
        <v>r</v>
      </c>
      <c r="AH43" s="131"/>
      <c r="AI43" s="421" t="str">
        <f>MID(Cover!$C$10,17,1)</f>
        <v>.</v>
      </c>
      <c r="AJ43" s="131"/>
      <c r="AK43" s="421" t="str">
        <f>MID(Cover!$C$10,18,1)</f>
        <v xml:space="preserve"> </v>
      </c>
      <c r="AL43" s="131"/>
      <c r="AM43" s="421" t="str">
        <f>MID(Cover!$C$10,19,1)</f>
        <v>o</v>
      </c>
      <c r="AN43" s="131"/>
      <c r="AO43" s="421" t="str">
        <f>MID(Cover!$C$10,20,1)</f>
        <v>.</v>
      </c>
      <c r="AP43" s="131"/>
      <c r="AQ43" s="421" t="str">
        <f>MID(Cover!$C$10,21,1)</f>
        <v/>
      </c>
      <c r="AR43" s="131"/>
      <c r="AS43" s="421" t="str">
        <f>MID(Cover!$C$10,22,1)</f>
        <v/>
      </c>
      <c r="AT43" s="131"/>
      <c r="AU43" s="421" t="str">
        <f>MID(Cover!$C$10,23,1)</f>
        <v/>
      </c>
      <c r="AV43" s="131"/>
      <c r="AW43" s="421" t="str">
        <f>MID(Cover!$C$10,24,1)</f>
        <v/>
      </c>
      <c r="AX43" s="131"/>
      <c r="AY43" s="421" t="str">
        <f>MID(Cover!$C$10,25,1)</f>
        <v/>
      </c>
      <c r="AZ43" s="131"/>
      <c r="BA43" s="421" t="str">
        <f>MID(Cover!$C$10,26,1)</f>
        <v/>
      </c>
      <c r="BB43" s="131"/>
      <c r="BC43" s="421" t="str">
        <f>MID(Cover!$C$10,27,1)</f>
        <v/>
      </c>
      <c r="BD43" s="131"/>
      <c r="BE43" s="421" t="str">
        <f>MID(Cover!$C$10,28,1)</f>
        <v/>
      </c>
      <c r="BF43" s="131"/>
      <c r="BG43" s="421" t="str">
        <f>MID(Cover!$C$10,29,1)</f>
        <v/>
      </c>
      <c r="BH43" s="131"/>
      <c r="BI43" s="421" t="str">
        <f>MID(Cover!$C$10,30,1)</f>
        <v/>
      </c>
      <c r="BJ43" s="131"/>
      <c r="BK43" s="421" t="str">
        <f>MID(Cover!$C$10,31,1)</f>
        <v/>
      </c>
      <c r="BL43" s="131"/>
      <c r="BM43" s="421" t="str">
        <f>MID(Cover!$C$10,32,1)</f>
        <v/>
      </c>
      <c r="BN43" s="131"/>
      <c r="BO43" s="421" t="str">
        <f>MID(Cover!$C$10,33,1)</f>
        <v/>
      </c>
      <c r="BP43" s="131"/>
      <c r="BQ43" s="421" t="str">
        <f>MID(Cover!$C$10,34,1)</f>
        <v/>
      </c>
      <c r="BR43" s="131"/>
      <c r="BS43" s="421" t="str">
        <f>MID(Cover!$C$10,35,1)</f>
        <v/>
      </c>
      <c r="BT43" s="131"/>
      <c r="BU43" s="421" t="str">
        <f>MID(Cover!$C$10,36,1)</f>
        <v/>
      </c>
      <c r="BV43" s="131"/>
      <c r="BW43" s="421" t="str">
        <f>MID(Cover!$C$10,37,1)</f>
        <v/>
      </c>
      <c r="BX43" s="171"/>
    </row>
    <row r="44" spans="1:76" ht="5.25" customHeight="1">
      <c r="A44" s="792"/>
      <c r="B44" s="780"/>
      <c r="C44" s="780"/>
      <c r="D44" s="780"/>
      <c r="E44" s="780"/>
      <c r="F44" s="780"/>
      <c r="G44" s="780"/>
      <c r="H44" s="780"/>
      <c r="I44" s="780"/>
      <c r="J44" s="780"/>
      <c r="K44" s="780"/>
      <c r="L44" s="780"/>
      <c r="M44" s="780"/>
      <c r="N44" s="780"/>
      <c r="O44" s="780"/>
      <c r="P44" s="780"/>
      <c r="Q44" s="780"/>
      <c r="R44" s="780"/>
      <c r="S44" s="780"/>
      <c r="T44" s="780"/>
      <c r="U44" s="780"/>
      <c r="V44" s="780"/>
      <c r="W44" s="780"/>
      <c r="X44" s="780"/>
      <c r="Y44" s="780"/>
      <c r="Z44" s="780"/>
      <c r="AA44" s="780"/>
      <c r="AB44" s="780"/>
      <c r="AC44" s="780"/>
      <c r="AD44" s="780"/>
      <c r="AE44" s="780"/>
      <c r="AF44" s="780"/>
      <c r="AG44" s="780"/>
      <c r="AH44" s="780"/>
      <c r="AI44" s="780"/>
      <c r="AJ44" s="780"/>
      <c r="AK44" s="780"/>
      <c r="AL44" s="780"/>
      <c r="AM44" s="780"/>
      <c r="AN44" s="780"/>
      <c r="AO44" s="780"/>
      <c r="AP44" s="780"/>
      <c r="AQ44" s="780"/>
      <c r="AR44" s="780"/>
      <c r="AS44" s="780"/>
      <c r="AT44" s="780"/>
      <c r="AU44" s="780"/>
      <c r="AV44" s="780"/>
      <c r="AW44" s="780"/>
      <c r="AX44" s="780"/>
      <c r="AY44" s="780"/>
      <c r="AZ44" s="780"/>
      <c r="BA44" s="780"/>
      <c r="BB44" s="780"/>
      <c r="BC44" s="780"/>
      <c r="BD44" s="780"/>
      <c r="BE44" s="780"/>
      <c r="BF44" s="780"/>
      <c r="BG44" s="780"/>
      <c r="BH44" s="780"/>
      <c r="BI44" s="780"/>
      <c r="BJ44" s="780"/>
      <c r="BK44" s="780"/>
      <c r="BL44" s="780"/>
      <c r="BM44" s="780"/>
      <c r="BN44" s="780"/>
      <c r="BO44" s="780"/>
      <c r="BP44" s="780"/>
      <c r="BQ44" s="780"/>
      <c r="BR44" s="780"/>
      <c r="BS44" s="780"/>
      <c r="BT44" s="780"/>
      <c r="BU44" s="780"/>
      <c r="BV44" s="780"/>
      <c r="BW44" s="780"/>
      <c r="BX44" s="780"/>
    </row>
    <row r="45" spans="1:76" ht="3" customHeight="1">
      <c r="A45" s="792"/>
      <c r="B45" s="143"/>
      <c r="C45" s="765"/>
      <c r="D45" s="765"/>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5"/>
      <c r="AE45" s="765"/>
      <c r="AF45" s="765"/>
      <c r="AG45" s="765"/>
      <c r="AH45" s="765"/>
      <c r="AI45" s="765"/>
      <c r="AJ45" s="765"/>
      <c r="AK45" s="765"/>
      <c r="AL45" s="765"/>
      <c r="AM45" s="765"/>
      <c r="AN45" s="765"/>
      <c r="AO45" s="765"/>
      <c r="AP45" s="765"/>
      <c r="AQ45" s="765"/>
      <c r="AR45" s="765"/>
      <c r="AS45" s="765"/>
      <c r="AT45" s="765"/>
      <c r="AU45" s="765"/>
      <c r="AV45" s="765"/>
      <c r="AW45" s="765"/>
      <c r="AX45" s="765"/>
      <c r="AY45" s="765"/>
      <c r="AZ45" s="765"/>
      <c r="BA45" s="765"/>
      <c r="BB45" s="765"/>
      <c r="BC45" s="765"/>
      <c r="BD45" s="765"/>
      <c r="BE45" s="765"/>
      <c r="BF45" s="765"/>
      <c r="BG45" s="765"/>
      <c r="BH45" s="765"/>
      <c r="BI45" s="765"/>
      <c r="BJ45" s="765"/>
      <c r="BK45" s="765"/>
      <c r="BL45" s="765"/>
      <c r="BM45" s="765"/>
      <c r="BN45" s="765"/>
      <c r="BO45" s="765"/>
      <c r="BP45" s="765"/>
      <c r="BQ45" s="765"/>
      <c r="BR45" s="765"/>
      <c r="BS45" s="765"/>
      <c r="BT45" s="765"/>
      <c r="BU45" s="765"/>
      <c r="BV45" s="765"/>
      <c r="BW45" s="765"/>
      <c r="BX45" s="155"/>
    </row>
    <row r="46" spans="1:76" s="129" customFormat="1" ht="15" customHeight="1">
      <c r="A46" s="792"/>
      <c r="B46" s="140"/>
      <c r="C46" s="421" t="str">
        <f>MID(Cover!$C$10,38,1)</f>
        <v/>
      </c>
      <c r="D46" s="131"/>
      <c r="E46" s="421" t="str">
        <f>MID(Cover!$C$10,39,1)</f>
        <v/>
      </c>
      <c r="F46" s="131"/>
      <c r="G46" s="421" t="str">
        <f>MID(Cover!$C$10,40,1)</f>
        <v/>
      </c>
      <c r="H46" s="131"/>
      <c r="I46" s="421" t="str">
        <f>MID(Cover!$C$10,41,1)</f>
        <v/>
      </c>
      <c r="J46" s="131"/>
      <c r="K46" s="421" t="str">
        <f>MID(Cover!$C$10,42,1)</f>
        <v/>
      </c>
      <c r="L46" s="131"/>
      <c r="M46" s="421" t="str">
        <f>MID(Cover!$C$10,43,1)</f>
        <v/>
      </c>
      <c r="N46" s="131"/>
      <c r="O46" s="421" t="str">
        <f>MID(Cover!$C$10,44,1)</f>
        <v/>
      </c>
      <c r="P46" s="131"/>
      <c r="Q46" s="421" t="str">
        <f>MID(Cover!$C$10,45,1)</f>
        <v/>
      </c>
      <c r="R46" s="131"/>
      <c r="S46" s="421" t="str">
        <f>MID(Cover!$C$10,46,1)</f>
        <v/>
      </c>
      <c r="T46" s="131"/>
      <c r="U46" s="421" t="str">
        <f>MID(Cover!$C$10,47,1)</f>
        <v/>
      </c>
      <c r="V46" s="131"/>
      <c r="W46" s="421" t="str">
        <f>MID(Cover!$C$10,48,1)</f>
        <v/>
      </c>
      <c r="X46" s="131"/>
      <c r="Y46" s="421" t="str">
        <f>MID(Cover!$C$10,49,1)</f>
        <v/>
      </c>
      <c r="Z46" s="131"/>
      <c r="AA46" s="421" t="str">
        <f>MID(Cover!$C$10,50,1)</f>
        <v/>
      </c>
      <c r="AB46" s="131"/>
      <c r="AC46" s="421" t="str">
        <f>MID(Cover!$C$10,51,1)</f>
        <v/>
      </c>
      <c r="AD46" s="131"/>
      <c r="AE46" s="421" t="str">
        <f>MID(Cover!$C$10,52,1)</f>
        <v/>
      </c>
      <c r="AF46" s="131"/>
      <c r="AG46" s="421" t="str">
        <f>MID(Cover!$C$10,53,1)</f>
        <v/>
      </c>
      <c r="AH46" s="131"/>
      <c r="AI46" s="421" t="str">
        <f>MID(Cover!$C$10,54,1)</f>
        <v/>
      </c>
      <c r="AJ46" s="131"/>
      <c r="AK46" s="421" t="str">
        <f>MID(Cover!$C$10,55,1)</f>
        <v/>
      </c>
      <c r="AL46" s="131"/>
      <c r="AM46" s="421" t="str">
        <f>MID(Cover!$C$10,56,1)</f>
        <v/>
      </c>
      <c r="AN46" s="131"/>
      <c r="AO46" s="421" t="str">
        <f>MID(Cover!$C$10,57,1)</f>
        <v/>
      </c>
      <c r="AP46" s="131"/>
      <c r="AQ46" s="421" t="str">
        <f>MID(Cover!$C$10,58,1)</f>
        <v/>
      </c>
      <c r="AR46" s="131"/>
      <c r="AS46" s="421" t="str">
        <f>MID(Cover!$C$10,59,1)</f>
        <v/>
      </c>
      <c r="AT46" s="131"/>
      <c r="AU46" s="421" t="str">
        <f>MID(Cover!$C$10,60,1)</f>
        <v/>
      </c>
      <c r="AV46" s="131"/>
      <c r="AW46" s="421" t="str">
        <f>MID(Cover!$C$10,61,1)</f>
        <v/>
      </c>
      <c r="AX46" s="131"/>
      <c r="AY46" s="421" t="str">
        <f>MID(Cover!$C$10,62,1)</f>
        <v/>
      </c>
      <c r="AZ46" s="131"/>
      <c r="BA46" s="421" t="str">
        <f>MID(Cover!$C$10,63,1)</f>
        <v/>
      </c>
      <c r="BB46" s="131"/>
      <c r="BC46" s="421" t="str">
        <f>MID(Cover!$C$10,64,1)</f>
        <v/>
      </c>
      <c r="BD46" s="131"/>
      <c r="BE46" s="421" t="str">
        <f>MID(Cover!$C$10,65,1)</f>
        <v/>
      </c>
      <c r="BF46" s="131"/>
      <c r="BG46" s="421" t="str">
        <f>MID(Cover!$C$10,66,1)</f>
        <v/>
      </c>
      <c r="BH46" s="131"/>
      <c r="BI46" s="421" t="str">
        <f>MID(Cover!$C$10,67,1)</f>
        <v/>
      </c>
      <c r="BJ46" s="131"/>
      <c r="BK46" s="421" t="str">
        <f>MID(Cover!$C$10,68,1)</f>
        <v/>
      </c>
      <c r="BL46" s="131"/>
      <c r="BM46" s="421" t="str">
        <f>MID(Cover!$C$10,69,1)</f>
        <v/>
      </c>
      <c r="BN46" s="131"/>
      <c r="BO46" s="421" t="str">
        <f>MID(Cover!$C$10,70,1)</f>
        <v/>
      </c>
      <c r="BP46" s="131"/>
      <c r="BQ46" s="421" t="str">
        <f>MID(Cover!$C$10,71,1)</f>
        <v/>
      </c>
      <c r="BR46" s="131"/>
      <c r="BS46" s="421" t="str">
        <f>MID(Cover!$C$10,72,1)</f>
        <v/>
      </c>
      <c r="BT46" s="131"/>
      <c r="BU46" s="421" t="str">
        <f>MID(Cover!$C$10,73,1)</f>
        <v/>
      </c>
      <c r="BV46" s="131"/>
      <c r="BW46" s="421" t="str">
        <f>MID(Cover!$C$10,74,1)</f>
        <v/>
      </c>
      <c r="BX46" s="171"/>
    </row>
    <row r="47" spans="1:76" s="129" customFormat="1" ht="4.5" customHeight="1">
      <c r="A47" s="792"/>
      <c r="B47" s="172"/>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4"/>
    </row>
    <row r="48" spans="1:76">
      <c r="A48" s="792"/>
      <c r="B48" s="406" t="str">
        <f>Index!C391</f>
        <v xml:space="preserve"> Sídlo účtovnej jednotky</v>
      </c>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6"/>
    </row>
    <row r="49" spans="1:76" s="180" customFormat="1" ht="17.100000000000001" customHeight="1">
      <c r="A49" s="792"/>
      <c r="B49" s="177"/>
      <c r="C49" s="781" t="str">
        <f>Index!C392</f>
        <v>Ulica</v>
      </c>
      <c r="D49" s="781"/>
      <c r="E49" s="781"/>
      <c r="F49" s="781"/>
      <c r="G49" s="781"/>
      <c r="H49" s="781"/>
      <c r="I49" s="781"/>
      <c r="J49" s="781"/>
      <c r="K49" s="781"/>
      <c r="L49" s="781"/>
      <c r="M49" s="781"/>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407" t="str">
        <f>Index!C395</f>
        <v>Číslo</v>
      </c>
      <c r="BJ49" s="178"/>
      <c r="BK49" s="178"/>
      <c r="BL49" s="178"/>
      <c r="BM49" s="178"/>
      <c r="BN49" s="178"/>
      <c r="BO49" s="178"/>
      <c r="BP49" s="178"/>
      <c r="BQ49" s="178"/>
      <c r="BR49" s="178"/>
      <c r="BS49" s="178"/>
      <c r="BT49" s="178"/>
      <c r="BU49" s="178"/>
      <c r="BV49" s="178"/>
      <c r="BW49" s="178"/>
      <c r="BX49" s="179"/>
    </row>
    <row r="50" spans="1:76" s="180" customFormat="1" ht="3" customHeight="1">
      <c r="A50" s="792"/>
      <c r="B50" s="181"/>
      <c r="C50" s="765"/>
      <c r="D50" s="765"/>
      <c r="E50" s="765"/>
      <c r="F50" s="765"/>
      <c r="G50" s="765"/>
      <c r="H50" s="765"/>
      <c r="I50" s="765"/>
      <c r="J50" s="765"/>
      <c r="K50" s="765"/>
      <c r="L50" s="765"/>
      <c r="M50" s="765"/>
      <c r="N50" s="765"/>
      <c r="O50" s="765"/>
      <c r="P50" s="765"/>
      <c r="Q50" s="765"/>
      <c r="R50" s="765"/>
      <c r="S50" s="765"/>
      <c r="T50" s="765"/>
      <c r="U50" s="765"/>
      <c r="V50" s="765"/>
      <c r="W50" s="765"/>
      <c r="X50" s="765"/>
      <c r="Y50" s="765"/>
      <c r="Z50" s="765"/>
      <c r="AA50" s="765"/>
      <c r="AB50" s="765"/>
      <c r="AC50" s="765"/>
      <c r="AD50" s="765"/>
      <c r="AE50" s="765"/>
      <c r="AF50" s="765"/>
      <c r="AG50" s="765"/>
      <c r="AH50" s="765"/>
      <c r="AI50" s="765"/>
      <c r="AJ50" s="765"/>
      <c r="AK50" s="765"/>
      <c r="AL50" s="765"/>
      <c r="AM50" s="765"/>
      <c r="AN50" s="765"/>
      <c r="AO50" s="765"/>
      <c r="AP50" s="765"/>
      <c r="AQ50" s="765"/>
      <c r="AR50" s="765"/>
      <c r="AS50" s="765"/>
      <c r="AT50" s="765"/>
      <c r="AU50" s="765"/>
      <c r="AV50" s="765"/>
      <c r="AW50" s="765"/>
      <c r="AX50" s="765"/>
      <c r="AY50" s="765"/>
      <c r="AZ50" s="765"/>
      <c r="BA50" s="765"/>
      <c r="BB50" s="765"/>
      <c r="BC50" s="765"/>
      <c r="BD50" s="765"/>
      <c r="BE50" s="765"/>
      <c r="BF50" s="141"/>
      <c r="BG50" s="141"/>
      <c r="BH50" s="141"/>
      <c r="BI50" s="765"/>
      <c r="BJ50" s="765"/>
      <c r="BK50" s="765"/>
      <c r="BL50" s="765"/>
      <c r="BM50" s="765"/>
      <c r="BN50" s="765"/>
      <c r="BO50" s="765"/>
      <c r="BP50" s="765"/>
      <c r="BQ50" s="765"/>
      <c r="BR50" s="765"/>
      <c r="BS50" s="765"/>
      <c r="BT50" s="765"/>
      <c r="BU50" s="765"/>
      <c r="BV50" s="765"/>
      <c r="BW50" s="765"/>
      <c r="BX50" s="182"/>
    </row>
    <row r="51" spans="1:76" ht="15" customHeight="1">
      <c r="A51" s="792"/>
      <c r="B51" s="143"/>
      <c r="C51" s="421" t="str">
        <f>LEFT(Cover!C11,1)</f>
        <v>Š</v>
      </c>
      <c r="D51" s="131"/>
      <c r="E51" s="151" t="str">
        <f>MID(Cover!$C$11,2,1)</f>
        <v>t</v>
      </c>
      <c r="F51" s="131"/>
      <c r="G51" s="151" t="str">
        <f>MID(Cover!$C$11,3,1)</f>
        <v>ú</v>
      </c>
      <c r="H51" s="131"/>
      <c r="I51" s="151" t="str">
        <f>MID(Cover!$C$11,4,1)</f>
        <v>r</v>
      </c>
      <c r="J51" s="131"/>
      <c r="K51" s="151" t="str">
        <f>MID(Cover!$C$11,5,1)</f>
        <v>o</v>
      </c>
      <c r="L51" s="131"/>
      <c r="M51" s="151" t="str">
        <f>MID(Cover!$C$11,6,1)</f>
        <v>v</v>
      </c>
      <c r="N51" s="131"/>
      <c r="O51" s="151" t="str">
        <f>MID(Cover!$C$11,7,1)</f>
        <v>á</v>
      </c>
      <c r="P51" s="131"/>
      <c r="Q51" s="151" t="str">
        <f>MID(Cover!$C$11,8,1)</f>
        <v/>
      </c>
      <c r="R51" s="131"/>
      <c r="S51" s="151" t="str">
        <f>MID(Cover!$C$11,9,1)</f>
        <v/>
      </c>
      <c r="T51" s="131"/>
      <c r="U51" s="151" t="str">
        <f>MID(Cover!$C$11,10,1)</f>
        <v/>
      </c>
      <c r="V51" s="131"/>
      <c r="W51" s="151" t="str">
        <f>MID(Cover!$C$11,11,1)</f>
        <v/>
      </c>
      <c r="X51" s="131"/>
      <c r="Y51" s="151" t="str">
        <f>MID(Cover!$C$11,12,1)</f>
        <v/>
      </c>
      <c r="Z51" s="131"/>
      <c r="AA51" s="151" t="str">
        <f>MID(Cover!$C$11,13,1)</f>
        <v/>
      </c>
      <c r="AB51" s="131"/>
      <c r="AC51" s="151" t="str">
        <f>MID(Cover!$C$11,14,1)</f>
        <v/>
      </c>
      <c r="AD51" s="131"/>
      <c r="AE51" s="151" t="str">
        <f>MID(Cover!$C$11,15,1)</f>
        <v/>
      </c>
      <c r="AF51" s="131"/>
      <c r="AG51" s="151" t="str">
        <f>MID(Cover!$C$11,16,1)</f>
        <v/>
      </c>
      <c r="AH51" s="131"/>
      <c r="AI51" s="151" t="str">
        <f>MID(Cover!$C$11,17,1)</f>
        <v/>
      </c>
      <c r="AJ51" s="131"/>
      <c r="AK51" s="151" t="str">
        <f>MID(Cover!$C$11,18,1)</f>
        <v/>
      </c>
      <c r="AL51" s="131"/>
      <c r="AM51" s="151" t="str">
        <f>MID(Cover!$C$11,19,1)</f>
        <v/>
      </c>
      <c r="AN51" s="131"/>
      <c r="AO51" s="151" t="str">
        <f>MID(Cover!$C$11,20,1)</f>
        <v/>
      </c>
      <c r="AP51" s="131"/>
      <c r="AQ51" s="151" t="str">
        <f>MID(Cover!$C$11,21,1)</f>
        <v/>
      </c>
      <c r="AR51" s="131"/>
      <c r="AS51" s="151" t="str">
        <f>MID(Cover!$C$11,22,1)</f>
        <v/>
      </c>
      <c r="AT51" s="131"/>
      <c r="AU51" s="151" t="str">
        <f>MID(Cover!$C$11,23,1)</f>
        <v/>
      </c>
      <c r="AV51" s="131"/>
      <c r="AW51" s="151" t="str">
        <f>MID(Cover!$C$11,24,1)</f>
        <v/>
      </c>
      <c r="AX51" s="131"/>
      <c r="AY51" s="151" t="str">
        <f>MID(Cover!$C$11,25,1)</f>
        <v/>
      </c>
      <c r="AZ51" s="131"/>
      <c r="BA51" s="151" t="str">
        <f>MID(Cover!$C$11,26,1)</f>
        <v/>
      </c>
      <c r="BB51" s="131"/>
      <c r="BC51" s="151" t="str">
        <f>MID(Cover!$C$11,27,1)</f>
        <v/>
      </c>
      <c r="BD51" s="131"/>
      <c r="BE51" s="151" t="str">
        <f>MID(Cover!$C$11,28,1)</f>
        <v/>
      </c>
      <c r="BF51" s="768"/>
      <c r="BG51" s="768"/>
      <c r="BH51" s="768"/>
      <c r="BI51" s="421" t="str">
        <f>LEFT(Cover!C12,1)</f>
        <v>9</v>
      </c>
      <c r="BJ51" s="131"/>
      <c r="BK51" s="421" t="str">
        <f>MID(Cover!$C$12,2,1)</f>
        <v>2</v>
      </c>
      <c r="BL51" s="131"/>
      <c r="BM51" s="421" t="str">
        <f>MID(Cover!$C$12,3,1)</f>
        <v>5</v>
      </c>
      <c r="BN51" s="131"/>
      <c r="BO51" s="421" t="str">
        <f>MID(Cover!$C$12,4,1)</f>
        <v>/</v>
      </c>
      <c r="BP51" s="131"/>
      <c r="BQ51" s="421" t="str">
        <f>MID(Cover!$C$12,5,1)</f>
        <v>2</v>
      </c>
      <c r="BR51" s="131"/>
      <c r="BS51" s="421" t="str">
        <f>MID(Cover!$C$12,6,1)</f>
        <v>7</v>
      </c>
      <c r="BT51" s="131"/>
      <c r="BU51" s="421" t="str">
        <f>MID(Cover!$C$12,7,1)</f>
        <v/>
      </c>
      <c r="BV51" s="131"/>
      <c r="BW51" s="421" t="str">
        <f>MID(Cover!$C$12,8,1)</f>
        <v/>
      </c>
      <c r="BX51" s="155"/>
    </row>
    <row r="52" spans="1:76" s="129" customFormat="1" ht="18" customHeight="1">
      <c r="A52" s="792"/>
      <c r="B52" s="140"/>
      <c r="C52" s="770" t="str">
        <f>Index!C393</f>
        <v>PSČ</v>
      </c>
      <c r="D52" s="770"/>
      <c r="E52" s="770"/>
      <c r="F52" s="770"/>
      <c r="G52" s="770"/>
      <c r="H52" s="770"/>
      <c r="I52" s="770"/>
      <c r="J52" s="770"/>
      <c r="K52" s="770"/>
      <c r="L52" s="771"/>
      <c r="M52" s="771"/>
      <c r="N52" s="771"/>
      <c r="O52" s="770" t="str">
        <f>Index!C394</f>
        <v>Obec</v>
      </c>
      <c r="P52" s="770"/>
      <c r="Q52" s="770"/>
      <c r="R52" s="770"/>
      <c r="S52" s="770"/>
      <c r="T52" s="770"/>
      <c r="U52" s="770"/>
      <c r="V52" s="770"/>
      <c r="W52" s="770"/>
      <c r="X52" s="770"/>
      <c r="Y52" s="770"/>
      <c r="Z52" s="770"/>
      <c r="AA52" s="770"/>
      <c r="AB52" s="770"/>
      <c r="AC52" s="770"/>
      <c r="AD52" s="770"/>
      <c r="AE52" s="770"/>
      <c r="AF52" s="770"/>
      <c r="AG52" s="770"/>
      <c r="AH52" s="770"/>
      <c r="AI52" s="770"/>
      <c r="AJ52" s="770"/>
      <c r="AK52" s="770"/>
      <c r="AL52" s="770"/>
      <c r="AM52" s="770"/>
      <c r="AN52" s="770"/>
      <c r="AO52" s="770"/>
      <c r="AP52" s="770"/>
      <c r="AQ52" s="770"/>
      <c r="AR52" s="770"/>
      <c r="AS52" s="770"/>
      <c r="AT52" s="770"/>
      <c r="AU52" s="770"/>
      <c r="AV52" s="770"/>
      <c r="AW52" s="770"/>
      <c r="AX52" s="770"/>
      <c r="AY52" s="770"/>
      <c r="AZ52" s="770"/>
      <c r="BA52" s="770"/>
      <c r="BB52" s="770"/>
      <c r="BC52" s="770"/>
      <c r="BD52" s="770"/>
      <c r="BE52" s="770"/>
      <c r="BF52" s="770"/>
      <c r="BG52" s="770"/>
      <c r="BH52" s="770"/>
      <c r="BI52" s="770"/>
      <c r="BJ52" s="770"/>
      <c r="BK52" s="770"/>
      <c r="BL52" s="770"/>
      <c r="BM52" s="770"/>
      <c r="BN52" s="770"/>
      <c r="BO52" s="770"/>
      <c r="BP52" s="770"/>
      <c r="BQ52" s="770"/>
      <c r="BR52" s="770"/>
      <c r="BS52" s="770"/>
      <c r="BT52" s="770"/>
      <c r="BU52" s="770"/>
      <c r="BV52" s="770"/>
      <c r="BW52" s="770"/>
      <c r="BX52" s="769"/>
    </row>
    <row r="53" spans="1:76" s="129" customFormat="1" ht="3" customHeight="1">
      <c r="A53" s="792"/>
      <c r="B53" s="140"/>
      <c r="C53" s="765"/>
      <c r="D53" s="765"/>
      <c r="E53" s="765"/>
      <c r="F53" s="765"/>
      <c r="G53" s="765"/>
      <c r="H53" s="765"/>
      <c r="I53" s="765"/>
      <c r="J53" s="765"/>
      <c r="K53" s="765"/>
      <c r="L53" s="183"/>
      <c r="M53" s="183"/>
      <c r="N53" s="183"/>
      <c r="O53" s="765"/>
      <c r="P53" s="765"/>
      <c r="Q53" s="765"/>
      <c r="R53" s="765"/>
      <c r="S53" s="765"/>
      <c r="T53" s="765"/>
      <c r="U53" s="765"/>
      <c r="V53" s="765"/>
      <c r="W53" s="765"/>
      <c r="X53" s="765"/>
      <c r="Y53" s="765"/>
      <c r="Z53" s="765"/>
      <c r="AA53" s="765"/>
      <c r="AB53" s="765"/>
      <c r="AC53" s="765"/>
      <c r="AD53" s="765"/>
      <c r="AE53" s="765"/>
      <c r="AF53" s="765"/>
      <c r="AG53" s="765"/>
      <c r="AH53" s="765"/>
      <c r="AI53" s="765"/>
      <c r="AJ53" s="765"/>
      <c r="AK53" s="765"/>
      <c r="AL53" s="765"/>
      <c r="AM53" s="765"/>
      <c r="AN53" s="765"/>
      <c r="AO53" s="765"/>
      <c r="AP53" s="765"/>
      <c r="AQ53" s="765"/>
      <c r="AR53" s="765"/>
      <c r="AS53" s="765"/>
      <c r="AT53" s="765"/>
      <c r="AU53" s="765"/>
      <c r="AV53" s="765"/>
      <c r="AW53" s="765"/>
      <c r="AX53" s="765"/>
      <c r="AY53" s="765"/>
      <c r="AZ53" s="765"/>
      <c r="BA53" s="765"/>
      <c r="BB53" s="765"/>
      <c r="BC53" s="765"/>
      <c r="BD53" s="765"/>
      <c r="BE53" s="765"/>
      <c r="BF53" s="765"/>
      <c r="BG53" s="765"/>
      <c r="BH53" s="765"/>
      <c r="BI53" s="765"/>
      <c r="BJ53" s="765"/>
      <c r="BK53" s="765"/>
      <c r="BL53" s="765"/>
      <c r="BM53" s="765"/>
      <c r="BN53" s="765"/>
      <c r="BO53" s="765"/>
      <c r="BP53" s="765"/>
      <c r="BQ53" s="765"/>
      <c r="BR53" s="765"/>
      <c r="BS53" s="765"/>
      <c r="BT53" s="765"/>
      <c r="BU53" s="765"/>
      <c r="BV53" s="765"/>
      <c r="BW53" s="765"/>
      <c r="BX53" s="769"/>
    </row>
    <row r="54" spans="1:76" ht="15" customHeight="1">
      <c r="A54" s="792"/>
      <c r="B54" s="140"/>
      <c r="C54" s="421" t="str">
        <f>LEFT(Cover!$C$13,1)</f>
        <v>0</v>
      </c>
      <c r="D54" s="131"/>
      <c r="E54" s="421" t="str">
        <f>MID(Cover!$C$13,2,1)</f>
        <v>1</v>
      </c>
      <c r="F54" s="131"/>
      <c r="G54" s="421" t="str">
        <f>MID(Cover!$C$13,3,1)</f>
        <v>8</v>
      </c>
      <c r="H54" s="131"/>
      <c r="I54" s="421" t="str">
        <f>MID(Cover!$C$13,4,1)</f>
        <v>4</v>
      </c>
      <c r="J54" s="131"/>
      <c r="K54" s="421" t="str">
        <f>MID(Cover!$C$13,5,1)</f>
        <v>1</v>
      </c>
      <c r="L54" s="768"/>
      <c r="M54" s="768"/>
      <c r="N54" s="768"/>
      <c r="O54" s="421" t="str">
        <f>LEFT(Cover!C14,1)</f>
        <v>D</v>
      </c>
      <c r="P54" s="131"/>
      <c r="Q54" s="421" t="str">
        <f>MID(Cover!$C$14,2,1)</f>
        <v>u</v>
      </c>
      <c r="R54" s="131"/>
      <c r="S54" s="421" t="str">
        <f>MID(Cover!$C$14,3,1)</f>
        <v>b</v>
      </c>
      <c r="T54" s="131"/>
      <c r="U54" s="421" t="str">
        <f>MID(Cover!$C$14,4,1)</f>
        <v>n</v>
      </c>
      <c r="V54" s="131"/>
      <c r="W54" s="421" t="str">
        <f>MID(Cover!$C$14,5,1)</f>
        <v>i</v>
      </c>
      <c r="X54" s="131"/>
      <c r="Y54" s="421" t="str">
        <f>MID(Cover!$C$14,6,1)</f>
        <v>c</v>
      </c>
      <c r="Z54" s="131"/>
      <c r="AA54" s="421" t="str">
        <f>MID(Cover!$C$14,7,1)</f>
        <v>a</v>
      </c>
      <c r="AB54" s="131"/>
      <c r="AC54" s="421" t="str">
        <f>MID(Cover!$C$14,8,1)</f>
        <v xml:space="preserve"> </v>
      </c>
      <c r="AD54" s="131"/>
      <c r="AE54" s="421" t="str">
        <f>MID(Cover!$C$14,9,1)</f>
        <v>n</v>
      </c>
      <c r="AF54" s="131"/>
      <c r="AG54" s="421" t="str">
        <f>MID(Cover!$C$14,10,1)</f>
        <v>a</v>
      </c>
      <c r="AH54" s="131"/>
      <c r="AI54" s="421" t="str">
        <f>MID(Cover!$C$14,11,1)</f>
        <v>d</v>
      </c>
      <c r="AJ54" s="131"/>
      <c r="AK54" s="421" t="str">
        <f>MID(Cover!$C$14,12,1)</f>
        <v xml:space="preserve"> </v>
      </c>
      <c r="AL54" s="131"/>
      <c r="AM54" s="421" t="str">
        <f>MID(Cover!$C$14,13,1)</f>
        <v>V</v>
      </c>
      <c r="AN54" s="131"/>
      <c r="AO54" s="421" t="str">
        <f>MID(Cover!$C$14,14,1)</f>
        <v>á</v>
      </c>
      <c r="AP54" s="131"/>
      <c r="AQ54" s="421" t="str">
        <f>MID(Cover!$C$14,15,1)</f>
        <v>h</v>
      </c>
      <c r="AR54" s="131"/>
      <c r="AS54" s="421" t="str">
        <f>MID(Cover!$C$14,16,1)</f>
        <v>o</v>
      </c>
      <c r="AT54" s="131"/>
      <c r="AU54" s="421" t="str">
        <f>MID(Cover!$C$14,17,1)</f>
        <v>m</v>
      </c>
      <c r="AV54" s="131"/>
      <c r="AW54" s="421" t="str">
        <f>MID(Cover!$C$14,18,1)</f>
        <v/>
      </c>
      <c r="AX54" s="131"/>
      <c r="AY54" s="421" t="str">
        <f>MID(Cover!$C$14,19,1)</f>
        <v/>
      </c>
      <c r="AZ54" s="131"/>
      <c r="BA54" s="421" t="str">
        <f>MID(Cover!$C$14,20,1)</f>
        <v/>
      </c>
      <c r="BB54" s="131"/>
      <c r="BC54" s="421" t="str">
        <f>MID(Cover!$C$14,21,1)</f>
        <v/>
      </c>
      <c r="BD54" s="131"/>
      <c r="BE54" s="421" t="str">
        <f>MID(Cover!$C$14,22,1)</f>
        <v/>
      </c>
      <c r="BF54" s="131"/>
      <c r="BG54" s="421" t="str">
        <f>MID(Cover!$C$14,23,1)</f>
        <v/>
      </c>
      <c r="BH54" s="131"/>
      <c r="BI54" s="421" t="str">
        <f>MID(Cover!$C$14,24,1)</f>
        <v/>
      </c>
      <c r="BJ54" s="131"/>
      <c r="BK54" s="421" t="str">
        <f>MID(Cover!$C$14,25,1)</f>
        <v/>
      </c>
      <c r="BL54" s="131"/>
      <c r="BM54" s="421" t="str">
        <f>MID(Cover!$C$14,26,1)</f>
        <v/>
      </c>
      <c r="BN54" s="131"/>
      <c r="BO54" s="421" t="str">
        <f>MID(Cover!$C$14,27,1)</f>
        <v/>
      </c>
      <c r="BP54" s="131"/>
      <c r="BQ54" s="421" t="str">
        <f>MID(Cover!$C$14,28,1)</f>
        <v/>
      </c>
      <c r="BR54" s="131"/>
      <c r="BS54" s="421" t="str">
        <f>MID(Cover!$C$14,29,1)</f>
        <v/>
      </c>
      <c r="BT54" s="131"/>
      <c r="BU54" s="421" t="str">
        <f>MID(Cover!$C$14,30,1)</f>
        <v/>
      </c>
      <c r="BV54" s="131"/>
      <c r="BW54" s="421" t="str">
        <f>MID(Cover!$C$14,31,1)</f>
        <v/>
      </c>
      <c r="BX54" s="769"/>
    </row>
    <row r="55" spans="1:76" s="129" customFormat="1" ht="18" customHeight="1">
      <c r="A55" s="792"/>
      <c r="B55" s="140"/>
      <c r="C55" s="408" t="str">
        <f>Index!C396</f>
        <v>Označenie obchodného registra a číslo zápisu obchodnej spoločnosti</v>
      </c>
      <c r="D55" s="136"/>
      <c r="E55" s="136"/>
      <c r="F55" s="136"/>
      <c r="G55" s="136"/>
      <c r="H55" s="136"/>
      <c r="I55" s="136"/>
      <c r="J55" s="136"/>
      <c r="K55" s="136"/>
      <c r="L55" s="136"/>
      <c r="M55" s="136"/>
      <c r="N55" s="136"/>
      <c r="O55" s="136"/>
      <c r="P55" s="136"/>
      <c r="Q55" s="136"/>
      <c r="R55" s="136"/>
      <c r="S55" s="136"/>
      <c r="T55" s="136"/>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769"/>
    </row>
    <row r="56" spans="1:76" s="129" customFormat="1" ht="3" customHeight="1">
      <c r="A56" s="792"/>
      <c r="B56" s="140"/>
      <c r="C56" s="765"/>
      <c r="D56" s="765"/>
      <c r="E56" s="765"/>
      <c r="F56" s="765"/>
      <c r="G56" s="765"/>
      <c r="H56" s="765"/>
      <c r="I56" s="7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765"/>
      <c r="AM56" s="765"/>
      <c r="AN56" s="765"/>
      <c r="AO56" s="765"/>
      <c r="AP56" s="765"/>
      <c r="AQ56" s="765"/>
      <c r="AR56" s="765"/>
      <c r="AS56" s="765"/>
      <c r="AT56" s="765"/>
      <c r="AU56" s="765"/>
      <c r="AV56" s="765"/>
      <c r="AW56" s="765"/>
      <c r="AX56" s="765"/>
      <c r="AY56" s="765"/>
      <c r="AZ56" s="765"/>
      <c r="BA56" s="765"/>
      <c r="BB56" s="765"/>
      <c r="BC56" s="765"/>
      <c r="BD56" s="765"/>
      <c r="BE56" s="765"/>
      <c r="BF56" s="765"/>
      <c r="BG56" s="765"/>
      <c r="BH56" s="765"/>
      <c r="BI56" s="765"/>
      <c r="BJ56" s="765"/>
      <c r="BK56" s="765"/>
      <c r="BL56" s="765"/>
      <c r="BM56" s="765"/>
      <c r="BN56" s="765"/>
      <c r="BO56" s="765"/>
      <c r="BP56" s="765"/>
      <c r="BQ56" s="765"/>
      <c r="BR56" s="765"/>
      <c r="BS56" s="765"/>
      <c r="BT56" s="765"/>
      <c r="BU56" s="765"/>
      <c r="BV56" s="765"/>
      <c r="BW56" s="765"/>
      <c r="BX56" s="769"/>
    </row>
    <row r="57" spans="1:76" ht="15" customHeight="1">
      <c r="A57" s="792"/>
      <c r="B57" s="140"/>
      <c r="C57" s="421" t="str">
        <f>LEFT(Cover!$C$8,1)</f>
        <v>O</v>
      </c>
      <c r="D57" s="131"/>
      <c r="E57" s="421" t="str">
        <f>MID(Cover!$C$8,2,1)</f>
        <v>R</v>
      </c>
      <c r="F57" s="131"/>
      <c r="G57" s="421" t="str">
        <f>MID(Cover!$C$8,3,1)</f>
        <v xml:space="preserve"> </v>
      </c>
      <c r="H57" s="131"/>
      <c r="I57" s="421" t="str">
        <f>MID(Cover!$C$8,4,1)</f>
        <v>O</v>
      </c>
      <c r="J57" s="131"/>
      <c r="K57" s="421" t="str">
        <f>MID(Cover!$C$8,5,1)</f>
        <v>k</v>
      </c>
      <c r="L57" s="131"/>
      <c r="M57" s="421" t="str">
        <f>MID(Cover!$C$8,6,1)</f>
        <v>r</v>
      </c>
      <c r="N57" s="131"/>
      <c r="O57" s="421" t="str">
        <f>MID(Cover!$C$8,7,1)</f>
        <v>e</v>
      </c>
      <c r="P57" s="131"/>
      <c r="Q57" s="421" t="str">
        <f>MID(Cover!$C$8,8,1)</f>
        <v>s</v>
      </c>
      <c r="R57" s="131"/>
      <c r="S57" s="421" t="str">
        <f>MID(Cover!$C$8,9,1)</f>
        <v>n</v>
      </c>
      <c r="T57" s="131"/>
      <c r="U57" s="421" t="str">
        <f>MID(Cover!$C$8,10,1)</f>
        <v>ý</v>
      </c>
      <c r="V57" s="131"/>
      <c r="W57" s="421" t="str">
        <f>MID(Cover!$C$8,11,1)</f>
        <v xml:space="preserve"> </v>
      </c>
      <c r="X57" s="131"/>
      <c r="Y57" s="421" t="str">
        <f>MID(Cover!$C$8,12,1)</f>
        <v>s</v>
      </c>
      <c r="Z57" s="131"/>
      <c r="AA57" s="421" t="str">
        <f>MID(Cover!$C$8,13,1)</f>
        <v>ú</v>
      </c>
      <c r="AB57" s="131"/>
      <c r="AC57" s="421" t="str">
        <f>MID(Cover!$C$8,14,1)</f>
        <v>d</v>
      </c>
      <c r="AD57" s="131"/>
      <c r="AE57" s="421" t="str">
        <f>MID(Cover!$C$8,15,1)</f>
        <v xml:space="preserve"> </v>
      </c>
      <c r="AF57" s="131"/>
      <c r="AG57" s="421" t="str">
        <f>MID(Cover!$C$8,16,1)</f>
        <v>T</v>
      </c>
      <c r="AH57" s="131"/>
      <c r="AI57" s="421" t="str">
        <f>MID(Cover!$C$8,17,1)</f>
        <v>r</v>
      </c>
      <c r="AJ57" s="131"/>
      <c r="AK57" s="421" t="str">
        <f>MID(Cover!$C$8,18,1)</f>
        <v>e</v>
      </c>
      <c r="AL57" s="131"/>
      <c r="AM57" s="421" t="str">
        <f>MID(Cover!$C$8,19,1)</f>
        <v>n</v>
      </c>
      <c r="AN57" s="131"/>
      <c r="AO57" s="421" t="str">
        <f>MID(Cover!$C$8,20,1)</f>
        <v>č</v>
      </c>
      <c r="AP57" s="131"/>
      <c r="AQ57" s="421" t="str">
        <f>MID(Cover!$C$8,21,1)</f>
        <v>í</v>
      </c>
      <c r="AR57" s="131"/>
      <c r="AS57" s="421" t="str">
        <f>MID(Cover!$C$8,22,1)</f>
        <v>n</v>
      </c>
      <c r="AT57" s="131"/>
      <c r="AU57" s="421" t="str">
        <f>MID(Cover!$C$8,23,1)</f>
        <v>,</v>
      </c>
      <c r="AV57" s="131"/>
      <c r="AW57" s="421" t="str">
        <f>MID(Cover!$C$8,24,1)</f>
        <v xml:space="preserve"> </v>
      </c>
      <c r="AX57" s="131"/>
      <c r="AY57" s="421" t="str">
        <f>MID(Cover!$C$8,25,1)</f>
        <v>o</v>
      </c>
      <c r="AZ57" s="131"/>
      <c r="BA57" s="421" t="str">
        <f>MID(Cover!$C$8,26,1)</f>
        <v>d</v>
      </c>
      <c r="BB57" s="131"/>
      <c r="BC57" s="421" t="str">
        <f>MID(Cover!$C$8,27,1)</f>
        <v>d</v>
      </c>
      <c r="BD57" s="131"/>
      <c r="BE57" s="421" t="str">
        <f>MID(Cover!$C$8,28,1)</f>
        <v>i</v>
      </c>
      <c r="BF57" s="131"/>
      <c r="BG57" s="421" t="str">
        <f>MID(Cover!$C$8,29,1)</f>
        <v>e</v>
      </c>
      <c r="BH57" s="131"/>
      <c r="BI57" s="421" t="str">
        <f>MID(Cover!$C$8,30,1)</f>
        <v>l</v>
      </c>
      <c r="BJ57" s="131"/>
      <c r="BK57" s="421" t="str">
        <f>MID(Cover!$C$8,31,1)</f>
        <v>:</v>
      </c>
      <c r="BL57" s="131"/>
      <c r="BM57" s="421" t="str">
        <f>MID(Cover!$C$8,32,1)</f>
        <v xml:space="preserve"> </v>
      </c>
      <c r="BN57" s="131"/>
      <c r="BO57" s="421" t="str">
        <f>MID(Cover!$C$8,33,1)</f>
        <v>S</v>
      </c>
      <c r="BP57" s="131"/>
      <c r="BQ57" s="421" t="str">
        <f>MID(Cover!$C$8,34,1)</f>
        <v>a</v>
      </c>
      <c r="BR57" s="131"/>
      <c r="BS57" s="421" t="str">
        <f>MID(Cover!$C$8,35,1)</f>
        <v>,</v>
      </c>
      <c r="BT57" s="131"/>
      <c r="BU57" s="421" t="str">
        <f>MID(Cover!$C$8,36,1)</f>
        <v xml:space="preserve"> </v>
      </c>
      <c r="BV57" s="131"/>
      <c r="BW57" s="421" t="str">
        <f>MID(Cover!$C$8,37,1)</f>
        <v xml:space="preserve"> </v>
      </c>
      <c r="BX57" s="769"/>
    </row>
    <row r="58" spans="1:76" s="129" customFormat="1" ht="5.25" customHeight="1">
      <c r="A58" s="792"/>
      <c r="B58" s="140"/>
      <c r="C58" s="136"/>
      <c r="D58" s="136"/>
      <c r="E58" s="136"/>
      <c r="F58" s="136"/>
      <c r="G58" s="136"/>
      <c r="H58" s="136"/>
      <c r="I58" s="136"/>
      <c r="J58" s="136"/>
      <c r="K58" s="136"/>
      <c r="L58" s="136"/>
      <c r="M58" s="136"/>
      <c r="N58" s="136"/>
      <c r="O58" s="136"/>
      <c r="P58" s="136"/>
      <c r="Q58" s="136"/>
      <c r="R58" s="136"/>
      <c r="S58" s="136"/>
      <c r="T58" s="136"/>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769"/>
    </row>
    <row r="59" spans="1:76" s="129" customFormat="1" ht="3" customHeight="1">
      <c r="A59" s="792"/>
      <c r="B59" s="140"/>
      <c r="C59" s="765"/>
      <c r="D59" s="765"/>
      <c r="E59" s="765"/>
      <c r="F59" s="765"/>
      <c r="G59" s="765"/>
      <c r="H59" s="765"/>
      <c r="I59" s="765"/>
      <c r="J59" s="765"/>
      <c r="K59" s="765"/>
      <c r="L59" s="765"/>
      <c r="M59" s="765"/>
      <c r="N59" s="765"/>
      <c r="O59" s="765"/>
      <c r="P59" s="765"/>
      <c r="Q59" s="765"/>
      <c r="R59" s="765"/>
      <c r="S59" s="765"/>
      <c r="T59" s="765"/>
      <c r="U59" s="765"/>
      <c r="V59" s="765"/>
      <c r="W59" s="765"/>
      <c r="X59" s="765"/>
      <c r="Y59" s="765"/>
      <c r="Z59" s="765"/>
      <c r="AA59" s="765"/>
      <c r="AB59" s="765"/>
      <c r="AC59" s="765"/>
      <c r="AD59" s="765"/>
      <c r="AE59" s="765"/>
      <c r="AF59" s="765"/>
      <c r="AG59" s="765"/>
      <c r="AH59" s="765"/>
      <c r="AI59" s="765"/>
      <c r="AJ59" s="765"/>
      <c r="AK59" s="765"/>
      <c r="AL59" s="765"/>
      <c r="AM59" s="765"/>
      <c r="AN59" s="765"/>
      <c r="AO59" s="765"/>
      <c r="AP59" s="765"/>
      <c r="AQ59" s="765"/>
      <c r="AR59" s="765"/>
      <c r="AS59" s="765"/>
      <c r="AT59" s="765"/>
      <c r="AU59" s="765"/>
      <c r="AV59" s="765"/>
      <c r="AW59" s="765"/>
      <c r="AX59" s="765"/>
      <c r="AY59" s="765"/>
      <c r="AZ59" s="765"/>
      <c r="BA59" s="765"/>
      <c r="BB59" s="765"/>
      <c r="BC59" s="765"/>
      <c r="BD59" s="765"/>
      <c r="BE59" s="765"/>
      <c r="BF59" s="765"/>
      <c r="BG59" s="765"/>
      <c r="BH59" s="765"/>
      <c r="BI59" s="765"/>
      <c r="BJ59" s="765"/>
      <c r="BK59" s="765"/>
      <c r="BL59" s="765"/>
      <c r="BM59" s="765"/>
      <c r="BN59" s="765"/>
      <c r="BO59" s="765"/>
      <c r="BP59" s="765"/>
      <c r="BQ59" s="765"/>
      <c r="BR59" s="765"/>
      <c r="BS59" s="765"/>
      <c r="BT59" s="765"/>
      <c r="BU59" s="765"/>
      <c r="BV59" s="765"/>
      <c r="BW59" s="765"/>
      <c r="BX59" s="769"/>
    </row>
    <row r="60" spans="1:76" ht="15" customHeight="1">
      <c r="A60" s="792"/>
      <c r="B60" s="140"/>
      <c r="C60" s="421" t="str">
        <f>MID(Cover!$C$8,38,1)</f>
        <v>v</v>
      </c>
      <c r="D60" s="131"/>
      <c r="E60" s="421" t="str">
        <f>MID(Cover!$C$8,39,1)</f>
        <v>l</v>
      </c>
      <c r="F60" s="131"/>
      <c r="G60" s="421" t="str">
        <f>MID(Cover!$C$8,40,1)</f>
        <v>o</v>
      </c>
      <c r="H60" s="131"/>
      <c r="I60" s="421" t="str">
        <f>MID(Cover!$C$8,41,1)</f>
        <v>ž</v>
      </c>
      <c r="J60" s="131"/>
      <c r="K60" s="421" t="str">
        <f>MID(Cover!$C$8,42,1)</f>
        <v>k</v>
      </c>
      <c r="L60" s="131"/>
      <c r="M60" s="421" t="str">
        <f>MID(Cover!$C$8,43,1)</f>
        <v>a</v>
      </c>
      <c r="N60" s="131"/>
      <c r="O60" s="421" t="str">
        <f>MID(Cover!$C$8,44,1)</f>
        <v xml:space="preserve"> </v>
      </c>
      <c r="P60" s="131"/>
      <c r="Q60" s="421" t="str">
        <f>MID(Cover!$C$8,45,1)</f>
        <v>č</v>
      </c>
      <c r="R60" s="131"/>
      <c r="S60" s="421" t="str">
        <f>MID(Cover!$C$8,46,1)</f>
        <v>.</v>
      </c>
      <c r="T60" s="131"/>
      <c r="U60" s="421" t="str">
        <f>MID(Cover!$C$8,47,1)</f>
        <v>3</v>
      </c>
      <c r="V60" s="131"/>
      <c r="W60" s="421" t="str">
        <f>MID(Cover!$C$8,48,1)</f>
        <v>0</v>
      </c>
      <c r="X60" s="131"/>
      <c r="Y60" s="421" t="str">
        <f>MID(Cover!$C$8,49,1)</f>
        <v>7</v>
      </c>
      <c r="Z60" s="131"/>
      <c r="AA60" s="421" t="str">
        <f>MID(Cover!$C$8,50,1)</f>
        <v>6</v>
      </c>
      <c r="AB60" s="131"/>
      <c r="AC60" s="421" t="str">
        <f>MID(Cover!$C$8,51,1)</f>
        <v>4</v>
      </c>
      <c r="AD60" s="131"/>
      <c r="AE60" s="421" t="str">
        <f>MID(Cover!$C$8,52,1)</f>
        <v>/</v>
      </c>
      <c r="AF60" s="131"/>
      <c r="AG60" s="421" t="str">
        <f>MID(Cover!$C$8,53,1)</f>
        <v>R</v>
      </c>
      <c r="AH60" s="131"/>
      <c r="AI60" s="421" t="str">
        <f>MID(Cover!$C$8,54,1)</f>
        <v/>
      </c>
      <c r="AJ60" s="131"/>
      <c r="AK60" s="421" t="str">
        <f>MID(Cover!$C$8,55,1)</f>
        <v/>
      </c>
      <c r="AL60" s="131"/>
      <c r="AM60" s="421" t="str">
        <f>MID(Cover!$C$8,56,1)</f>
        <v/>
      </c>
      <c r="AN60" s="131"/>
      <c r="AO60" s="421" t="str">
        <f>MID(Cover!$C$8,57,1)</f>
        <v/>
      </c>
      <c r="AP60" s="131"/>
      <c r="AQ60" s="421" t="str">
        <f>MID(Cover!$C$8,58,1)</f>
        <v/>
      </c>
      <c r="AR60" s="131"/>
      <c r="AS60" s="421" t="str">
        <f>MID(Cover!$C$8,59,1)</f>
        <v/>
      </c>
      <c r="AT60" s="131"/>
      <c r="AU60" s="421" t="str">
        <f>MID(Cover!$C$8,60,1)</f>
        <v/>
      </c>
      <c r="AV60" s="131"/>
      <c r="AW60" s="421" t="str">
        <f>MID(Cover!$C$8,61,1)</f>
        <v/>
      </c>
      <c r="AX60" s="131"/>
      <c r="AY60" s="421" t="str">
        <f>MID(Cover!$C$8,62,1)</f>
        <v/>
      </c>
      <c r="AZ60" s="131"/>
      <c r="BA60" s="421" t="str">
        <f>MID(Cover!$C$8,63,1)</f>
        <v/>
      </c>
      <c r="BB60" s="131"/>
      <c r="BC60" s="421" t="str">
        <f>MID(Cover!$C$8,64,1)</f>
        <v/>
      </c>
      <c r="BD60" s="131"/>
      <c r="BE60" s="421" t="str">
        <f>MID(Cover!$C$8,65,1)</f>
        <v/>
      </c>
      <c r="BF60" s="131"/>
      <c r="BG60" s="421" t="str">
        <f>MID(Cover!$C$8,66,1)</f>
        <v/>
      </c>
      <c r="BH60" s="131"/>
      <c r="BI60" s="421" t="str">
        <f>MID(Cover!$C$8,67,1)</f>
        <v/>
      </c>
      <c r="BJ60" s="131"/>
      <c r="BK60" s="421" t="str">
        <f>MID(Cover!$C$8,68,1)</f>
        <v/>
      </c>
      <c r="BL60" s="131"/>
      <c r="BM60" s="421" t="str">
        <f>MID(Cover!$C$8,69,1)</f>
        <v/>
      </c>
      <c r="BN60" s="131"/>
      <c r="BO60" s="421" t="str">
        <f>MID(Cover!$C$69,2,1)</f>
        <v/>
      </c>
      <c r="BP60" s="131"/>
      <c r="BQ60" s="421" t="str">
        <f>MID(Cover!$C$8,71,1)</f>
        <v/>
      </c>
      <c r="BR60" s="131"/>
      <c r="BS60" s="421" t="str">
        <f>MID(Cover!$C$8,72,1)</f>
        <v/>
      </c>
      <c r="BT60" s="131"/>
      <c r="BU60" s="421" t="str">
        <f>MID(Cover!$C$8,73,1)</f>
        <v/>
      </c>
      <c r="BV60" s="131"/>
      <c r="BW60" s="421" t="str">
        <f>MID(Cover!$C$8,74,1)</f>
        <v/>
      </c>
      <c r="BX60" s="769"/>
    </row>
    <row r="61" spans="1:76" s="129" customFormat="1" ht="18" customHeight="1">
      <c r="A61" s="792"/>
      <c r="B61" s="140"/>
      <c r="C61" s="770" t="str">
        <f>Index!C397</f>
        <v>Telefónne číslo</v>
      </c>
      <c r="D61" s="770"/>
      <c r="E61" s="770"/>
      <c r="F61" s="770"/>
      <c r="G61" s="770"/>
      <c r="H61" s="770"/>
      <c r="I61" s="770"/>
      <c r="J61" s="770"/>
      <c r="K61" s="770"/>
      <c r="L61" s="771"/>
      <c r="M61" s="771"/>
      <c r="N61" s="771"/>
      <c r="O61" s="771"/>
      <c r="P61" s="771"/>
      <c r="Q61" s="771"/>
      <c r="R61" s="771"/>
      <c r="S61" s="771"/>
      <c r="T61" s="771"/>
      <c r="U61" s="771"/>
      <c r="V61" s="771"/>
      <c r="W61" s="771"/>
      <c r="X61" s="771"/>
      <c r="Y61" s="771"/>
      <c r="Z61" s="771"/>
      <c r="AA61" s="771"/>
      <c r="AB61" s="771"/>
      <c r="AC61" s="771"/>
      <c r="AD61" s="771"/>
      <c r="AE61" s="772" t="str">
        <f>Index!C399</f>
        <v>Faxové číslo</v>
      </c>
      <c r="AF61" s="772"/>
      <c r="AG61" s="772"/>
      <c r="AH61" s="772"/>
      <c r="AI61" s="772"/>
      <c r="AJ61" s="772"/>
      <c r="AK61" s="772"/>
      <c r="AL61" s="772"/>
      <c r="AM61" s="772"/>
      <c r="AN61" s="772"/>
      <c r="AO61" s="772"/>
      <c r="AP61" s="772"/>
      <c r="AQ61" s="772"/>
      <c r="AR61" s="772"/>
      <c r="AS61" s="772"/>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69"/>
    </row>
    <row r="62" spans="1:76" s="129" customFormat="1" ht="3" customHeight="1">
      <c r="A62" s="792"/>
      <c r="B62" s="140"/>
      <c r="C62" s="765"/>
      <c r="D62" s="765"/>
      <c r="E62" s="765"/>
      <c r="F62" s="765"/>
      <c r="G62" s="765"/>
      <c r="H62" s="765"/>
      <c r="I62" s="765"/>
      <c r="J62" s="141"/>
      <c r="K62" s="141"/>
      <c r="L62" s="183"/>
      <c r="M62" s="765"/>
      <c r="N62" s="765"/>
      <c r="O62" s="765"/>
      <c r="P62" s="765"/>
      <c r="Q62" s="765"/>
      <c r="R62" s="765"/>
      <c r="S62" s="765"/>
      <c r="T62" s="765"/>
      <c r="U62" s="765"/>
      <c r="V62" s="765"/>
      <c r="W62" s="765"/>
      <c r="X62" s="765"/>
      <c r="Y62" s="765"/>
      <c r="Z62" s="765"/>
      <c r="AA62" s="765"/>
      <c r="AB62" s="183"/>
      <c r="AC62" s="183"/>
      <c r="AD62" s="183"/>
      <c r="AE62" s="765"/>
      <c r="AF62" s="765"/>
      <c r="AG62" s="765"/>
      <c r="AH62" s="765"/>
      <c r="AI62" s="765"/>
      <c r="AJ62" s="765"/>
      <c r="AK62" s="765"/>
      <c r="AL62" s="141"/>
      <c r="AM62" s="141"/>
      <c r="AN62" s="141"/>
      <c r="AO62" s="765"/>
      <c r="AP62" s="765"/>
      <c r="AQ62" s="765"/>
      <c r="AR62" s="765"/>
      <c r="AS62" s="765"/>
      <c r="AT62" s="765"/>
      <c r="AU62" s="765"/>
      <c r="AV62" s="765"/>
      <c r="AW62" s="765"/>
      <c r="AX62" s="765"/>
      <c r="AY62" s="765"/>
      <c r="AZ62" s="765"/>
      <c r="BA62" s="765"/>
      <c r="BB62" s="765"/>
      <c r="BC62" s="765"/>
      <c r="BD62" s="765"/>
      <c r="BE62" s="765"/>
      <c r="BF62" s="765"/>
      <c r="BG62" s="765"/>
      <c r="BH62" s="765"/>
      <c r="BI62" s="765"/>
      <c r="BJ62" s="765"/>
      <c r="BK62" s="765"/>
      <c r="BL62" s="765"/>
      <c r="BM62" s="765"/>
      <c r="BN62" s="765"/>
      <c r="BO62" s="765"/>
      <c r="BP62" s="765"/>
      <c r="BQ62" s="765"/>
      <c r="BR62" s="765"/>
      <c r="BS62" s="765"/>
      <c r="BT62" s="765"/>
      <c r="BU62" s="765"/>
      <c r="BV62" s="765"/>
      <c r="BW62" s="765"/>
      <c r="BX62" s="769"/>
    </row>
    <row r="63" spans="1:76" ht="15" customHeight="1">
      <c r="A63" s="792"/>
      <c r="B63" s="140"/>
      <c r="C63" s="422" t="str">
        <f>LEFT(Cover!C15,1)</f>
        <v>0</v>
      </c>
      <c r="D63" s="131"/>
      <c r="E63" s="421" t="str">
        <f>MID(Cover!$C$15,2,1)</f>
        <v>4</v>
      </c>
      <c r="F63" s="131"/>
      <c r="G63" s="421" t="str">
        <f>MID(Cover!$C$15,3,1)</f>
        <v>2</v>
      </c>
      <c r="H63" s="131"/>
      <c r="I63" s="421" t="str">
        <f>MID(Cover!$C$15,4,1)</f>
        <v>4</v>
      </c>
      <c r="J63" s="767" t="s">
        <v>967</v>
      </c>
      <c r="K63" s="767"/>
      <c r="L63" s="767"/>
      <c r="M63" s="421" t="str">
        <f>MID(Cover!$C$15,5,1)</f>
        <v>4</v>
      </c>
      <c r="N63" s="131"/>
      <c r="O63" s="421" t="str">
        <f>MID(Cover!$C$15,6,1)</f>
        <v>0</v>
      </c>
      <c r="P63" s="131"/>
      <c r="Q63" s="421" t="str">
        <f>MID(Cover!$C$15,7,1)</f>
        <v>5</v>
      </c>
      <c r="R63" s="131"/>
      <c r="S63" s="421" t="str">
        <f>MID(Cover!$C$15,8,1)</f>
        <v>4</v>
      </c>
      <c r="T63" s="131"/>
      <c r="U63" s="421" t="str">
        <f>MID(Cover!$C$15,9,1)</f>
        <v>0</v>
      </c>
      <c r="V63" s="131"/>
      <c r="W63" s="421" t="str">
        <f>MID(Cover!$C$15,10,1)</f>
        <v>0</v>
      </c>
      <c r="X63" s="131"/>
      <c r="Y63" s="421" t="str">
        <f>MID(Cover!$C$15,11,1)</f>
        <v/>
      </c>
      <c r="Z63" s="131"/>
      <c r="AA63" s="421" t="str">
        <f>MID(Cover!$C$15,12,1)</f>
        <v/>
      </c>
      <c r="AB63" s="768"/>
      <c r="AC63" s="768"/>
      <c r="AD63" s="768"/>
      <c r="AE63" s="422" t="str">
        <f>LEFT(Cover!C16,1)</f>
        <v>0</v>
      </c>
      <c r="AF63" s="131"/>
      <c r="AG63" s="421" t="str">
        <f>MID(Cover!$C$16,2,1)</f>
        <v>4</v>
      </c>
      <c r="AH63" s="131"/>
      <c r="AI63" s="421" t="str">
        <f>MID(Cover!$C$16,3,1)</f>
        <v>2</v>
      </c>
      <c r="AJ63" s="131"/>
      <c r="AK63" s="421" t="str">
        <f>MID(Cover!$C$16,4,1)</f>
        <v>4</v>
      </c>
      <c r="AL63" s="767" t="s">
        <v>967</v>
      </c>
      <c r="AM63" s="767"/>
      <c r="AN63" s="767"/>
      <c r="AO63" s="421" t="str">
        <f>MID(Cover!$C$16,5,1)</f>
        <v>4</v>
      </c>
      <c r="AP63" s="131"/>
      <c r="AQ63" s="421" t="str">
        <f>MID(Cover!$C$16,6,1)</f>
        <v>2</v>
      </c>
      <c r="AR63" s="131"/>
      <c r="AS63" s="421" t="str">
        <f>MID(Cover!$C$16,7,1)</f>
        <v>1</v>
      </c>
      <c r="AT63" s="131"/>
      <c r="AU63" s="421" t="str">
        <f>MID(Cover!$C$16,8,1)</f>
        <v>6</v>
      </c>
      <c r="AV63" s="131"/>
      <c r="AW63" s="421" t="str">
        <f>MID(Cover!$C$16,9,1)</f>
        <v>0</v>
      </c>
      <c r="AX63" s="131"/>
      <c r="AY63" s="421" t="str">
        <f>MID(Cover!$C$16,10,1)</f>
        <v>3</v>
      </c>
      <c r="AZ63" s="131"/>
      <c r="BA63" s="421" t="str">
        <f>MID(Cover!$C$16,11,1)</f>
        <v/>
      </c>
      <c r="BB63" s="131"/>
      <c r="BC63" s="421" t="str">
        <f>MID(Cover!$C$16,12,1)</f>
        <v/>
      </c>
      <c r="BD63" s="131"/>
      <c r="BE63" s="421" t="str">
        <f>MID(Cover!$C$16,13,1)</f>
        <v/>
      </c>
      <c r="BF63" s="131"/>
      <c r="BG63" s="421" t="str">
        <f>MID(Cover!$C$16,14,1)</f>
        <v/>
      </c>
      <c r="BH63" s="131"/>
      <c r="BI63" s="421" t="str">
        <f>MID(Cover!$C$16,15,1)</f>
        <v/>
      </c>
      <c r="BJ63" s="131"/>
      <c r="BK63" s="421" t="str">
        <f>MID(Cover!$C$16,16,1)</f>
        <v/>
      </c>
      <c r="BL63" s="131"/>
      <c r="BM63" s="421" t="str">
        <f>MID(Cover!$C$16,17,1)</f>
        <v/>
      </c>
      <c r="BN63" s="131"/>
      <c r="BO63" s="421" t="str">
        <f>MID(Cover!$C$16,18,1)</f>
        <v/>
      </c>
      <c r="BP63" s="131"/>
      <c r="BQ63" s="421" t="str">
        <f>MID(Cover!$C$16,19,1)</f>
        <v/>
      </c>
      <c r="BR63" s="131"/>
      <c r="BS63" s="421" t="str">
        <f>MID(Cover!$C$16,20,1)</f>
        <v/>
      </c>
      <c r="BT63" s="131"/>
      <c r="BU63" s="421" t="str">
        <f>MID(Cover!$C$16,21,1)</f>
        <v/>
      </c>
      <c r="BV63" s="131"/>
      <c r="BW63" s="421" t="str">
        <f>MID(Cover!$C$16,22,1)</f>
        <v/>
      </c>
      <c r="BX63" s="769"/>
    </row>
    <row r="64" spans="1:76" s="129" customFormat="1" ht="18" customHeight="1">
      <c r="A64" s="792"/>
      <c r="B64" s="143"/>
      <c r="C64" s="409" t="str">
        <f>Index!C398</f>
        <v>E-mailová adresa</v>
      </c>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c r="BL64" s="141"/>
      <c r="BM64" s="141"/>
      <c r="BN64" s="141"/>
      <c r="BO64" s="141"/>
      <c r="BP64" s="141"/>
      <c r="BQ64" s="141"/>
      <c r="BR64" s="141"/>
      <c r="BS64" s="141"/>
      <c r="BT64" s="141"/>
      <c r="BU64" s="141"/>
      <c r="BV64" s="141"/>
      <c r="BW64" s="141"/>
      <c r="BX64" s="769"/>
    </row>
    <row r="65" spans="1:76" s="129" customFormat="1" ht="3" customHeight="1">
      <c r="A65" s="792"/>
      <c r="B65" s="143"/>
      <c r="C65" s="765"/>
      <c r="D65" s="765"/>
      <c r="E65" s="765"/>
      <c r="F65" s="765"/>
      <c r="G65" s="765"/>
      <c r="H65" s="765"/>
      <c r="I65" s="765"/>
      <c r="J65" s="765"/>
      <c r="K65" s="765"/>
      <c r="L65" s="765"/>
      <c r="M65" s="765"/>
      <c r="N65" s="765"/>
      <c r="O65" s="765"/>
      <c r="P65" s="765"/>
      <c r="Q65" s="765"/>
      <c r="R65" s="765"/>
      <c r="S65" s="765"/>
      <c r="T65" s="765"/>
      <c r="U65" s="765"/>
      <c r="V65" s="765"/>
      <c r="W65" s="765"/>
      <c r="X65" s="765"/>
      <c r="Y65" s="765"/>
      <c r="Z65" s="765"/>
      <c r="AA65" s="765"/>
      <c r="AB65" s="765"/>
      <c r="AC65" s="765"/>
      <c r="AD65" s="765"/>
      <c r="AE65" s="765"/>
      <c r="AF65" s="765"/>
      <c r="AG65" s="765"/>
      <c r="AH65" s="765"/>
      <c r="AI65" s="765"/>
      <c r="AJ65" s="765"/>
      <c r="AK65" s="765"/>
      <c r="AL65" s="765"/>
      <c r="AM65" s="765"/>
      <c r="AN65" s="765"/>
      <c r="AO65" s="765"/>
      <c r="AP65" s="765"/>
      <c r="AQ65" s="765"/>
      <c r="AR65" s="765"/>
      <c r="AS65" s="765"/>
      <c r="AT65" s="765"/>
      <c r="AU65" s="765"/>
      <c r="AV65" s="765"/>
      <c r="AW65" s="765"/>
      <c r="AX65" s="765"/>
      <c r="AY65" s="765"/>
      <c r="AZ65" s="765"/>
      <c r="BA65" s="765"/>
      <c r="BB65" s="765"/>
      <c r="BC65" s="765"/>
      <c r="BD65" s="765"/>
      <c r="BE65" s="765"/>
      <c r="BF65" s="765"/>
      <c r="BG65" s="765"/>
      <c r="BH65" s="765"/>
      <c r="BI65" s="765"/>
      <c r="BJ65" s="765"/>
      <c r="BK65" s="765"/>
      <c r="BL65" s="765"/>
      <c r="BM65" s="765"/>
      <c r="BN65" s="765"/>
      <c r="BO65" s="765"/>
      <c r="BP65" s="765"/>
      <c r="BQ65" s="765"/>
      <c r="BR65" s="765"/>
      <c r="BS65" s="765"/>
      <c r="BT65" s="765"/>
      <c r="BU65" s="765"/>
      <c r="BV65" s="765"/>
      <c r="BW65" s="765"/>
      <c r="BX65" s="171"/>
    </row>
    <row r="66" spans="1:76" ht="15" customHeight="1">
      <c r="A66" s="792"/>
      <c r="B66" s="143"/>
      <c r="C66" s="421" t="str">
        <f>LEFT(Cover!C17,1)</f>
        <v/>
      </c>
      <c r="D66" s="131"/>
      <c r="E66" s="421" t="str">
        <f>MID(Cover!$C$17,2,1)</f>
        <v/>
      </c>
      <c r="F66" s="131"/>
      <c r="G66" s="421" t="str">
        <f>MID(Cover!$C$17,3,1)</f>
        <v/>
      </c>
      <c r="H66" s="131"/>
      <c r="I66" s="421" t="str">
        <f>MID(Cover!$C$17,4,1)</f>
        <v/>
      </c>
      <c r="J66" s="131"/>
      <c r="K66" s="421" t="str">
        <f>MID(Cover!$C$17,5,1)</f>
        <v/>
      </c>
      <c r="L66" s="131"/>
      <c r="M66" s="421" t="str">
        <f>MID(Cover!$C$17,6,1)</f>
        <v/>
      </c>
      <c r="N66" s="131"/>
      <c r="O66" s="421" t="str">
        <f>MID(Cover!$C$17,7,1)</f>
        <v/>
      </c>
      <c r="P66" s="131"/>
      <c r="Q66" s="421" t="str">
        <f>MID(Cover!$C$17,8,1)</f>
        <v/>
      </c>
      <c r="R66" s="131"/>
      <c r="S66" s="421" t="str">
        <f>MID(Cover!$C$17,9,1)</f>
        <v/>
      </c>
      <c r="T66" s="131"/>
      <c r="U66" s="421" t="str">
        <f>MID(Cover!$C$17,10,1)</f>
        <v/>
      </c>
      <c r="V66" s="131"/>
      <c r="W66" s="421" t="str">
        <f>MID(Cover!$C$17,11,1)</f>
        <v/>
      </c>
      <c r="X66" s="131"/>
      <c r="Y66" s="421" t="str">
        <f>MID(Cover!$C$17,12,1)</f>
        <v/>
      </c>
      <c r="Z66" s="131"/>
      <c r="AA66" s="421" t="str">
        <f>MID(Cover!$C$17,13,1)</f>
        <v/>
      </c>
      <c r="AB66" s="131"/>
      <c r="AC66" s="421" t="str">
        <f>MID(Cover!$C$17,14,1)</f>
        <v/>
      </c>
      <c r="AD66" s="131"/>
      <c r="AE66" s="421" t="str">
        <f>MID(Cover!$C$17,15,1)</f>
        <v/>
      </c>
      <c r="AF66" s="131"/>
      <c r="AG66" s="421" t="str">
        <f>MID(Cover!$C$17,16,1)</f>
        <v/>
      </c>
      <c r="AH66" s="131"/>
      <c r="AI66" s="421" t="str">
        <f>MID(Cover!$C$17,17,1)</f>
        <v/>
      </c>
      <c r="AJ66" s="131"/>
      <c r="AK66" s="421" t="str">
        <f>MID(Cover!$C$17,18,1)</f>
        <v/>
      </c>
      <c r="AL66" s="131"/>
      <c r="AM66" s="421" t="str">
        <f>MID(Cover!$C$17,19,1)</f>
        <v/>
      </c>
      <c r="AN66" s="131"/>
      <c r="AO66" s="421" t="str">
        <f>MID(Cover!$C$17,20,1)</f>
        <v/>
      </c>
      <c r="AP66" s="131"/>
      <c r="AQ66" s="421" t="str">
        <f>MID(Cover!$C$17,21,1)</f>
        <v/>
      </c>
      <c r="AR66" s="131"/>
      <c r="AS66" s="421" t="str">
        <f>MID(Cover!$C$17,22,1)</f>
        <v/>
      </c>
      <c r="AT66" s="131"/>
      <c r="AU66" s="421" t="str">
        <f>MID(Cover!$C$17,23,1)</f>
        <v/>
      </c>
      <c r="AV66" s="131"/>
      <c r="AW66" s="421" t="str">
        <f>MID(Cover!$C$17,24,1)</f>
        <v/>
      </c>
      <c r="AX66" s="131"/>
      <c r="AY66" s="421" t="str">
        <f>MID(Cover!$C$17,25,1)</f>
        <v/>
      </c>
      <c r="AZ66" s="131"/>
      <c r="BA66" s="421" t="str">
        <f>MID(Cover!$C$17,26,1)</f>
        <v/>
      </c>
      <c r="BB66" s="131"/>
      <c r="BC66" s="421" t="str">
        <f>MID(Cover!$C$17,27,1)</f>
        <v/>
      </c>
      <c r="BD66" s="131"/>
      <c r="BE66" s="421" t="str">
        <f>MID(Cover!$C$17,28,1)</f>
        <v/>
      </c>
      <c r="BF66" s="131"/>
      <c r="BG66" s="421" t="str">
        <f>MID(Cover!$C$17,29,1)</f>
        <v/>
      </c>
      <c r="BH66" s="131"/>
      <c r="BI66" s="421" t="str">
        <f>MID(Cover!$C$17,30,1)</f>
        <v/>
      </c>
      <c r="BJ66" s="131"/>
      <c r="BK66" s="421" t="str">
        <f>MID(Cover!$C$17,31,1)</f>
        <v/>
      </c>
      <c r="BL66" s="131"/>
      <c r="BM66" s="421" t="str">
        <f>MID(Cover!$C$17,32,1)</f>
        <v/>
      </c>
      <c r="BN66" s="131"/>
      <c r="BO66" s="421" t="str">
        <f>MID(Cover!$C$17,33,1)</f>
        <v/>
      </c>
      <c r="BP66" s="131"/>
      <c r="BQ66" s="421" t="str">
        <f>MID(Cover!$C$17,34,1)</f>
        <v/>
      </c>
      <c r="BR66" s="131"/>
      <c r="BS66" s="421" t="str">
        <f>MID(Cover!$C$17,35,1)</f>
        <v/>
      </c>
      <c r="BT66" s="131"/>
      <c r="BU66" s="421" t="str">
        <f>MID(Cover!$C$17,36,1)</f>
        <v/>
      </c>
      <c r="BV66" s="131"/>
      <c r="BW66" s="421" t="str">
        <f>MID(Cover!$C$17,37,1)</f>
        <v/>
      </c>
      <c r="BX66" s="155"/>
    </row>
    <row r="67" spans="1:76" s="129" customFormat="1" ht="4.5" customHeight="1">
      <c r="A67" s="792"/>
      <c r="B67" s="172"/>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c r="AW67" s="173"/>
      <c r="AX67" s="173"/>
      <c r="AY67" s="173"/>
      <c r="AZ67" s="173"/>
      <c r="BA67" s="173"/>
      <c r="BB67" s="173"/>
      <c r="BC67" s="173"/>
      <c r="BD67" s="173"/>
      <c r="BE67" s="173"/>
      <c r="BF67" s="173"/>
      <c r="BG67" s="173"/>
      <c r="BH67" s="173"/>
      <c r="BI67" s="173"/>
      <c r="BJ67" s="173"/>
      <c r="BK67" s="173"/>
      <c r="BL67" s="173"/>
      <c r="BM67" s="173"/>
      <c r="BN67" s="173"/>
      <c r="BO67" s="173"/>
      <c r="BP67" s="173"/>
      <c r="BQ67" s="173"/>
      <c r="BR67" s="173"/>
      <c r="BS67" s="173"/>
      <c r="BT67" s="173"/>
      <c r="BU67" s="173"/>
      <c r="BV67" s="173"/>
      <c r="BW67" s="173"/>
      <c r="BX67" s="176"/>
    </row>
    <row r="68" spans="1:76" ht="8.25" customHeight="1">
      <c r="A68" s="792"/>
      <c r="B68" s="184"/>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6"/>
      <c r="AF68" s="186"/>
      <c r="AG68" s="186"/>
      <c r="AH68" s="186"/>
      <c r="AI68" s="186"/>
      <c r="AJ68" s="186"/>
      <c r="AK68" s="186"/>
      <c r="AL68" s="186"/>
      <c r="AM68" s="186"/>
      <c r="AN68" s="186"/>
      <c r="AO68" s="186"/>
      <c r="AP68" s="186"/>
      <c r="AQ68" s="186"/>
      <c r="AR68" s="186"/>
      <c r="AS68" s="186"/>
      <c r="AT68" s="186"/>
      <c r="AU68" s="186"/>
      <c r="AV68" s="186"/>
      <c r="AW68" s="186"/>
      <c r="AX68" s="186"/>
      <c r="AY68" s="186"/>
      <c r="AZ68" s="186"/>
      <c r="BA68" s="186"/>
      <c r="BB68" s="186"/>
      <c r="BC68" s="186"/>
      <c r="BD68" s="186"/>
      <c r="BE68" s="186"/>
      <c r="BF68" s="186"/>
      <c r="BG68" s="186"/>
      <c r="BH68" s="186"/>
      <c r="BI68" s="186"/>
      <c r="BJ68" s="186"/>
      <c r="BK68" s="186"/>
      <c r="BL68" s="186"/>
      <c r="BM68" s="186"/>
      <c r="BN68" s="186"/>
      <c r="BO68" s="186"/>
      <c r="BP68" s="186"/>
      <c r="BQ68" s="186"/>
      <c r="BR68" s="186"/>
      <c r="BS68" s="186"/>
      <c r="BT68" s="186"/>
      <c r="BU68" s="186"/>
      <c r="BV68" s="186"/>
      <c r="BW68" s="186"/>
      <c r="BX68" s="186"/>
    </row>
    <row r="69" spans="1:76" ht="3" customHeight="1">
      <c r="A69" s="792"/>
      <c r="B69" s="187"/>
      <c r="C69" s="188"/>
      <c r="D69" s="188"/>
      <c r="E69" s="188"/>
      <c r="F69" s="188"/>
      <c r="G69" s="188"/>
      <c r="H69" s="188"/>
      <c r="I69" s="188"/>
      <c r="J69" s="188"/>
      <c r="K69" s="188"/>
      <c r="L69" s="188"/>
      <c r="M69" s="188"/>
      <c r="N69" s="188"/>
      <c r="O69" s="188"/>
      <c r="P69" s="188"/>
      <c r="Q69" s="188"/>
      <c r="R69" s="188"/>
      <c r="S69" s="188"/>
      <c r="T69" s="188"/>
      <c r="U69" s="188"/>
      <c r="V69" s="188"/>
      <c r="W69" s="189"/>
      <c r="X69" s="190"/>
      <c r="Y69" s="191"/>
      <c r="Z69" s="191"/>
      <c r="AA69" s="191"/>
      <c r="AB69" s="191"/>
      <c r="AC69" s="191"/>
      <c r="AD69" s="191"/>
      <c r="AE69" s="191"/>
      <c r="AF69" s="191"/>
      <c r="AG69" s="191"/>
      <c r="AH69" s="191"/>
      <c r="AI69" s="191"/>
      <c r="AJ69" s="191"/>
      <c r="AK69" s="191"/>
      <c r="AL69" s="191"/>
      <c r="AM69" s="191"/>
      <c r="AN69" s="191"/>
      <c r="AO69" s="191"/>
      <c r="AP69" s="191"/>
      <c r="AQ69" s="191"/>
      <c r="AR69" s="191"/>
      <c r="AS69" s="189"/>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89"/>
    </row>
    <row r="70" spans="1:76" ht="18" customHeight="1">
      <c r="A70" s="792"/>
      <c r="B70" s="192"/>
      <c r="C70" s="410" t="str">
        <f>Index!C400</f>
        <v>Zostavená dňa:</v>
      </c>
      <c r="D70" s="193"/>
      <c r="E70" s="193"/>
      <c r="F70" s="193"/>
      <c r="G70" s="193"/>
      <c r="H70" s="193"/>
      <c r="I70" s="193"/>
      <c r="J70" s="193"/>
      <c r="K70" s="193"/>
      <c r="L70" s="193"/>
      <c r="M70" s="193"/>
      <c r="N70" s="193"/>
      <c r="O70" s="193"/>
      <c r="P70" s="193"/>
      <c r="Q70" s="193"/>
      <c r="R70" s="193"/>
      <c r="S70" s="193"/>
      <c r="T70" s="193"/>
      <c r="U70" s="193"/>
      <c r="V70" s="193"/>
      <c r="W70" s="194"/>
      <c r="X70" s="411" t="str">
        <f>Index!C401</f>
        <v>Schválená dňa:</v>
      </c>
      <c r="Y70" s="195"/>
      <c r="Z70" s="195"/>
      <c r="AA70" s="195"/>
      <c r="AB70" s="195"/>
      <c r="AC70" s="195"/>
      <c r="AD70" s="195"/>
      <c r="AE70" s="195"/>
      <c r="AF70" s="195"/>
      <c r="AG70" s="195"/>
      <c r="AH70" s="195"/>
      <c r="AI70" s="195"/>
      <c r="AJ70" s="195"/>
      <c r="AK70" s="195"/>
      <c r="AL70" s="195"/>
      <c r="AM70" s="195"/>
      <c r="AN70" s="195"/>
      <c r="AO70" s="195"/>
      <c r="AP70" s="195"/>
      <c r="AQ70" s="195"/>
      <c r="AR70" s="195"/>
      <c r="AS70" s="194"/>
      <c r="AT70" s="195"/>
      <c r="AU70" s="766" t="str">
        <f>Index!C402</f>
        <v>Podpisový záznam štatutárneho orgánu účtovnej jednotky alebo člena štatutárneho orgánu účtovnej jednotky alebo podpisový záznam fyzickej osoby, ktorá je účtovnou jednotkou:</v>
      </c>
      <c r="AV70" s="766"/>
      <c r="AW70" s="766"/>
      <c r="AX70" s="766"/>
      <c r="AY70" s="766"/>
      <c r="AZ70" s="766"/>
      <c r="BA70" s="766"/>
      <c r="BB70" s="766"/>
      <c r="BC70" s="766"/>
      <c r="BD70" s="766"/>
      <c r="BE70" s="766"/>
      <c r="BF70" s="766"/>
      <c r="BG70" s="766"/>
      <c r="BH70" s="766"/>
      <c r="BI70" s="766"/>
      <c r="BJ70" s="766"/>
      <c r="BK70" s="766"/>
      <c r="BL70" s="766"/>
      <c r="BM70" s="766"/>
      <c r="BN70" s="766"/>
      <c r="BO70" s="766"/>
      <c r="BP70" s="766"/>
      <c r="BQ70" s="766"/>
      <c r="BR70" s="766"/>
      <c r="BS70" s="766"/>
      <c r="BT70" s="766"/>
      <c r="BU70" s="766"/>
      <c r="BV70" s="766"/>
      <c r="BW70" s="766"/>
      <c r="BX70" s="194"/>
    </row>
    <row r="71" spans="1:76" ht="3" customHeight="1">
      <c r="A71" s="792"/>
      <c r="B71" s="192"/>
      <c r="C71" s="756"/>
      <c r="D71" s="756"/>
      <c r="E71" s="756"/>
      <c r="F71" s="193"/>
      <c r="G71" s="193"/>
      <c r="H71" s="193"/>
      <c r="I71" s="756"/>
      <c r="J71" s="756"/>
      <c r="K71" s="756"/>
      <c r="L71" s="193"/>
      <c r="M71" s="193"/>
      <c r="N71" s="193"/>
      <c r="O71" s="756"/>
      <c r="P71" s="756"/>
      <c r="Q71" s="756"/>
      <c r="R71" s="756"/>
      <c r="S71" s="756"/>
      <c r="T71" s="756"/>
      <c r="U71" s="756"/>
      <c r="V71" s="193"/>
      <c r="W71" s="194"/>
      <c r="X71" s="196"/>
      <c r="Y71" s="756"/>
      <c r="Z71" s="756"/>
      <c r="AA71" s="756"/>
      <c r="AB71" s="195"/>
      <c r="AC71" s="195"/>
      <c r="AD71" s="195"/>
      <c r="AE71" s="756"/>
      <c r="AF71" s="756"/>
      <c r="AG71" s="756"/>
      <c r="AH71" s="195"/>
      <c r="AI71" s="195"/>
      <c r="AJ71" s="195"/>
      <c r="AK71" s="197"/>
      <c r="AL71" s="197"/>
      <c r="AM71" s="197"/>
      <c r="AN71" s="197"/>
      <c r="AO71" s="197"/>
      <c r="AP71" s="197"/>
      <c r="AQ71" s="197"/>
      <c r="AR71" s="195"/>
      <c r="AS71" s="194"/>
      <c r="AT71" s="195"/>
      <c r="AU71" s="766"/>
      <c r="AV71" s="766"/>
      <c r="AW71" s="766"/>
      <c r="AX71" s="766"/>
      <c r="AY71" s="766"/>
      <c r="AZ71" s="766"/>
      <c r="BA71" s="766"/>
      <c r="BB71" s="766"/>
      <c r="BC71" s="766"/>
      <c r="BD71" s="766"/>
      <c r="BE71" s="766"/>
      <c r="BF71" s="766"/>
      <c r="BG71" s="766"/>
      <c r="BH71" s="766"/>
      <c r="BI71" s="766"/>
      <c r="BJ71" s="766"/>
      <c r="BK71" s="766"/>
      <c r="BL71" s="766"/>
      <c r="BM71" s="766"/>
      <c r="BN71" s="766"/>
      <c r="BO71" s="766"/>
      <c r="BP71" s="766"/>
      <c r="BQ71" s="766"/>
      <c r="BR71" s="766"/>
      <c r="BS71" s="766"/>
      <c r="BT71" s="766"/>
      <c r="BU71" s="766"/>
      <c r="BV71" s="766"/>
      <c r="BW71" s="766"/>
      <c r="BX71" s="194"/>
    </row>
    <row r="72" spans="1:76" ht="7.5" customHeight="1">
      <c r="A72" s="792"/>
      <c r="B72" s="192" t="s">
        <v>1528</v>
      </c>
      <c r="C72" s="761" t="str">
        <f>LEFT(Cover!C32,1)</f>
        <v>3</v>
      </c>
      <c r="D72" s="764"/>
      <c r="E72" s="761" t="str">
        <f>MID(Cover!C32,2,1)</f>
        <v>1</v>
      </c>
      <c r="F72" s="762" t="s">
        <v>966</v>
      </c>
      <c r="G72" s="762"/>
      <c r="H72" s="762"/>
      <c r="I72" s="761" t="str">
        <f>LEFT(Cover!D32,1)</f>
        <v>0</v>
      </c>
      <c r="J72" s="760"/>
      <c r="K72" s="761" t="str">
        <f>MID(Cover!D32,2,1)</f>
        <v>3</v>
      </c>
      <c r="L72" s="762" t="s">
        <v>966</v>
      </c>
      <c r="M72" s="762"/>
      <c r="N72" s="762"/>
      <c r="O72" s="761">
        <v>2</v>
      </c>
      <c r="P72" s="763"/>
      <c r="Q72" s="761">
        <v>0</v>
      </c>
      <c r="R72" s="763"/>
      <c r="S72" s="761" t="str">
        <f>MID(Cover!E32,3,1)</f>
        <v>2</v>
      </c>
      <c r="T72" s="763"/>
      <c r="U72" s="761" t="str">
        <f>MID(Cover!E32,4,1)</f>
        <v>3</v>
      </c>
      <c r="V72" s="763" t="s">
        <v>965</v>
      </c>
      <c r="W72" s="194"/>
      <c r="X72" s="196"/>
      <c r="Y72" s="761" t="str">
        <f>LEFT(Cover!C33,1)</f>
        <v/>
      </c>
      <c r="Z72" s="764"/>
      <c r="AA72" s="761" t="str">
        <f>MID(Cover!C33,2,1)</f>
        <v/>
      </c>
      <c r="AB72" s="195"/>
      <c r="AC72" s="762" t="s">
        <v>966</v>
      </c>
      <c r="AD72" s="198"/>
      <c r="AE72" s="761" t="str">
        <f>MID(Cover!D33,1,1)</f>
        <v/>
      </c>
      <c r="AF72" s="760"/>
      <c r="AG72" s="761" t="str">
        <f>MID(Cover!D33,2,1)</f>
        <v/>
      </c>
      <c r="AH72" s="195"/>
      <c r="AI72" s="762" t="s">
        <v>966</v>
      </c>
      <c r="AJ72" s="195"/>
      <c r="AK72" s="761">
        <v>2</v>
      </c>
      <c r="AL72" s="199"/>
      <c r="AM72" s="761">
        <v>0</v>
      </c>
      <c r="AN72" s="199"/>
      <c r="AO72" s="761" t="str">
        <f>MID(Cover!E33,3,1)</f>
        <v>2</v>
      </c>
      <c r="AP72" s="199"/>
      <c r="AQ72" s="761" t="str">
        <f>MID(Cover!E33,4,1)</f>
        <v>3</v>
      </c>
      <c r="AR72" s="195"/>
      <c r="AS72" s="194"/>
      <c r="AT72" s="195"/>
      <c r="AU72" s="766"/>
      <c r="AV72" s="766"/>
      <c r="AW72" s="766"/>
      <c r="AX72" s="766"/>
      <c r="AY72" s="766"/>
      <c r="AZ72" s="766"/>
      <c r="BA72" s="766"/>
      <c r="BB72" s="766"/>
      <c r="BC72" s="766"/>
      <c r="BD72" s="766"/>
      <c r="BE72" s="766"/>
      <c r="BF72" s="766"/>
      <c r="BG72" s="766"/>
      <c r="BH72" s="766"/>
      <c r="BI72" s="766"/>
      <c r="BJ72" s="766"/>
      <c r="BK72" s="766"/>
      <c r="BL72" s="766"/>
      <c r="BM72" s="766"/>
      <c r="BN72" s="766"/>
      <c r="BO72" s="766"/>
      <c r="BP72" s="766"/>
      <c r="BQ72" s="766"/>
      <c r="BR72" s="766"/>
      <c r="BS72" s="766"/>
      <c r="BT72" s="766"/>
      <c r="BU72" s="766"/>
      <c r="BV72" s="766"/>
      <c r="BW72" s="766"/>
      <c r="BX72" s="194"/>
    </row>
    <row r="73" spans="1:76" ht="7.5" customHeight="1">
      <c r="A73" s="792"/>
      <c r="B73" s="752"/>
      <c r="C73" s="761"/>
      <c r="D73" s="764"/>
      <c r="E73" s="761"/>
      <c r="F73" s="762"/>
      <c r="G73" s="762"/>
      <c r="H73" s="762"/>
      <c r="I73" s="761"/>
      <c r="J73" s="760"/>
      <c r="K73" s="761"/>
      <c r="L73" s="762"/>
      <c r="M73" s="762"/>
      <c r="N73" s="762"/>
      <c r="O73" s="761"/>
      <c r="P73" s="763"/>
      <c r="Q73" s="761"/>
      <c r="R73" s="763"/>
      <c r="S73" s="761"/>
      <c r="T73" s="763"/>
      <c r="U73" s="761"/>
      <c r="V73" s="763"/>
      <c r="W73" s="194"/>
      <c r="X73" s="196"/>
      <c r="Y73" s="761"/>
      <c r="Z73" s="764"/>
      <c r="AA73" s="761"/>
      <c r="AB73" s="195"/>
      <c r="AC73" s="762"/>
      <c r="AD73" s="198"/>
      <c r="AE73" s="761"/>
      <c r="AF73" s="760"/>
      <c r="AG73" s="761"/>
      <c r="AH73" s="195"/>
      <c r="AI73" s="762"/>
      <c r="AJ73" s="195"/>
      <c r="AK73" s="761"/>
      <c r="AL73" s="199"/>
      <c r="AM73" s="761"/>
      <c r="AN73" s="199"/>
      <c r="AO73" s="761"/>
      <c r="AP73" s="199"/>
      <c r="AQ73" s="761"/>
      <c r="AR73" s="195"/>
      <c r="AS73" s="194"/>
      <c r="AT73" s="195"/>
      <c r="AU73" s="766"/>
      <c r="AV73" s="766"/>
      <c r="AW73" s="766"/>
      <c r="AX73" s="766"/>
      <c r="AY73" s="766"/>
      <c r="AZ73" s="766"/>
      <c r="BA73" s="766"/>
      <c r="BB73" s="766"/>
      <c r="BC73" s="766"/>
      <c r="BD73" s="766"/>
      <c r="BE73" s="766"/>
      <c r="BF73" s="766"/>
      <c r="BG73" s="766"/>
      <c r="BH73" s="766"/>
      <c r="BI73" s="766"/>
      <c r="BJ73" s="766"/>
      <c r="BK73" s="766"/>
      <c r="BL73" s="766"/>
      <c r="BM73" s="766"/>
      <c r="BN73" s="766"/>
      <c r="BO73" s="766"/>
      <c r="BP73" s="766"/>
      <c r="BQ73" s="766"/>
      <c r="BR73" s="766"/>
      <c r="BS73" s="766"/>
      <c r="BT73" s="766"/>
      <c r="BU73" s="766"/>
      <c r="BV73" s="766"/>
      <c r="BW73" s="766"/>
      <c r="BX73" s="194"/>
    </row>
    <row r="74" spans="1:76" ht="7.5" customHeight="1">
      <c r="A74" s="792"/>
      <c r="B74" s="753"/>
      <c r="C74" s="195"/>
      <c r="D74" s="195"/>
      <c r="E74" s="195"/>
      <c r="F74" s="195"/>
      <c r="G74" s="195"/>
      <c r="H74" s="195"/>
      <c r="I74" s="195"/>
      <c r="J74" s="195"/>
      <c r="K74" s="195"/>
      <c r="L74" s="195"/>
      <c r="M74" s="195"/>
      <c r="N74" s="195"/>
      <c r="O74" s="195"/>
      <c r="P74" s="195"/>
      <c r="Q74" s="195"/>
      <c r="R74" s="195"/>
      <c r="S74" s="195"/>
      <c r="T74" s="195"/>
      <c r="U74" s="195"/>
      <c r="V74" s="195"/>
      <c r="W74" s="194"/>
      <c r="X74" s="196"/>
      <c r="Y74" s="195"/>
      <c r="Z74" s="195"/>
      <c r="AA74" s="195"/>
      <c r="AB74" s="195"/>
      <c r="AC74" s="195"/>
      <c r="AD74" s="195"/>
      <c r="AE74" s="195"/>
      <c r="AF74" s="195"/>
      <c r="AG74" s="195"/>
      <c r="AH74" s="195"/>
      <c r="AI74" s="195"/>
      <c r="AJ74" s="195"/>
      <c r="AK74" s="195"/>
      <c r="AL74" s="195"/>
      <c r="AM74" s="195"/>
      <c r="AN74" s="195"/>
      <c r="AO74" s="195"/>
      <c r="AP74" s="195"/>
      <c r="AQ74" s="195"/>
      <c r="AR74" s="195"/>
      <c r="AS74" s="194"/>
      <c r="AT74" s="195"/>
      <c r="AU74" s="766"/>
      <c r="AV74" s="766"/>
      <c r="AW74" s="766"/>
      <c r="AX74" s="766"/>
      <c r="AY74" s="766"/>
      <c r="AZ74" s="766"/>
      <c r="BA74" s="766"/>
      <c r="BB74" s="766"/>
      <c r="BC74" s="766"/>
      <c r="BD74" s="766"/>
      <c r="BE74" s="766"/>
      <c r="BF74" s="766"/>
      <c r="BG74" s="766"/>
      <c r="BH74" s="766"/>
      <c r="BI74" s="766"/>
      <c r="BJ74" s="766"/>
      <c r="BK74" s="766"/>
      <c r="BL74" s="766"/>
      <c r="BM74" s="766"/>
      <c r="BN74" s="766"/>
      <c r="BO74" s="766"/>
      <c r="BP74" s="766"/>
      <c r="BQ74" s="766"/>
      <c r="BR74" s="766"/>
      <c r="BS74" s="766"/>
      <c r="BT74" s="766"/>
      <c r="BU74" s="766"/>
      <c r="BV74" s="766"/>
      <c r="BW74" s="766"/>
      <c r="BX74" s="194"/>
    </row>
    <row r="75" spans="1:76" ht="7.5" customHeight="1">
      <c r="A75" s="792"/>
      <c r="B75" s="753"/>
      <c r="C75" s="195"/>
      <c r="D75" s="195"/>
      <c r="E75" s="195"/>
      <c r="F75" s="195"/>
      <c r="G75" s="195"/>
      <c r="H75" s="195"/>
      <c r="I75" s="195"/>
      <c r="J75" s="195"/>
      <c r="K75" s="195"/>
      <c r="L75" s="195"/>
      <c r="M75" s="195"/>
      <c r="N75" s="195"/>
      <c r="O75" s="195"/>
      <c r="P75" s="195"/>
      <c r="Q75" s="195"/>
      <c r="R75" s="195"/>
      <c r="S75" s="195"/>
      <c r="T75" s="195"/>
      <c r="U75" s="195"/>
      <c r="V75" s="195"/>
      <c r="W75" s="194"/>
      <c r="X75" s="196"/>
      <c r="Y75" s="195"/>
      <c r="Z75" s="195"/>
      <c r="AA75" s="195"/>
      <c r="AB75" s="195"/>
      <c r="AC75" s="195"/>
      <c r="AD75" s="195"/>
      <c r="AE75" s="195"/>
      <c r="AF75" s="195"/>
      <c r="AG75" s="195"/>
      <c r="AH75" s="195"/>
      <c r="AI75" s="195"/>
      <c r="AJ75" s="195"/>
      <c r="AK75" s="195"/>
      <c r="AL75" s="195"/>
      <c r="AM75" s="195"/>
      <c r="AN75" s="195"/>
      <c r="AO75" s="195"/>
      <c r="AP75" s="195"/>
      <c r="AQ75" s="195"/>
      <c r="AR75" s="195"/>
      <c r="AS75" s="194"/>
      <c r="AT75" s="195"/>
      <c r="AU75" s="755"/>
      <c r="AV75" s="755"/>
      <c r="AW75" s="755"/>
      <c r="AX75" s="755"/>
      <c r="AY75" s="755"/>
      <c r="AZ75" s="755"/>
      <c r="BA75" s="755"/>
      <c r="BB75" s="755"/>
      <c r="BC75" s="755"/>
      <c r="BD75" s="755"/>
      <c r="BE75" s="755"/>
      <c r="BF75" s="755"/>
      <c r="BG75" s="755"/>
      <c r="BH75" s="755"/>
      <c r="BI75" s="755"/>
      <c r="BJ75" s="755"/>
      <c r="BK75" s="755"/>
      <c r="BL75" s="755"/>
      <c r="BM75" s="755"/>
      <c r="BN75" s="755"/>
      <c r="BO75" s="755"/>
      <c r="BP75" s="755"/>
      <c r="BQ75" s="755"/>
      <c r="BR75" s="755"/>
      <c r="BS75" s="755"/>
      <c r="BT75" s="755"/>
      <c r="BU75" s="755"/>
      <c r="BV75" s="755"/>
      <c r="BW75" s="755"/>
      <c r="BX75" s="194"/>
    </row>
    <row r="76" spans="1:76" ht="7.5" customHeight="1">
      <c r="A76" s="792"/>
      <c r="B76" s="753"/>
      <c r="C76" s="195"/>
      <c r="D76" s="195"/>
      <c r="E76" s="195"/>
      <c r="F76" s="195"/>
      <c r="G76" s="195"/>
      <c r="H76" s="195"/>
      <c r="I76" s="195"/>
      <c r="J76" s="195"/>
      <c r="K76" s="195"/>
      <c r="L76" s="195"/>
      <c r="M76" s="195"/>
      <c r="N76" s="195"/>
      <c r="O76" s="195"/>
      <c r="P76" s="195"/>
      <c r="Q76" s="195"/>
      <c r="R76" s="195"/>
      <c r="S76" s="195"/>
      <c r="T76" s="195"/>
      <c r="U76" s="195"/>
      <c r="V76" s="195"/>
      <c r="W76" s="194"/>
      <c r="X76" s="196"/>
      <c r="Y76" s="195"/>
      <c r="Z76" s="195"/>
      <c r="AA76" s="195"/>
      <c r="AB76" s="195"/>
      <c r="AC76" s="195"/>
      <c r="AD76" s="195"/>
      <c r="AE76" s="195"/>
      <c r="AF76" s="195"/>
      <c r="AG76" s="195"/>
      <c r="AH76" s="195"/>
      <c r="AI76" s="195"/>
      <c r="AJ76" s="195"/>
      <c r="AK76" s="195"/>
      <c r="AL76" s="195"/>
      <c r="AM76" s="195"/>
      <c r="AN76" s="195"/>
      <c r="AO76" s="195"/>
      <c r="AP76" s="195"/>
      <c r="AQ76" s="195"/>
      <c r="AR76" s="195"/>
      <c r="AS76" s="194"/>
      <c r="AT76" s="195"/>
      <c r="AU76" s="755"/>
      <c r="AV76" s="755"/>
      <c r="AW76" s="755"/>
      <c r="AX76" s="755"/>
      <c r="AY76" s="755"/>
      <c r="AZ76" s="755"/>
      <c r="BA76" s="755"/>
      <c r="BB76" s="755"/>
      <c r="BC76" s="755"/>
      <c r="BD76" s="755"/>
      <c r="BE76" s="755"/>
      <c r="BF76" s="755"/>
      <c r="BG76" s="755"/>
      <c r="BH76" s="755"/>
      <c r="BI76" s="755"/>
      <c r="BJ76" s="755"/>
      <c r="BK76" s="755"/>
      <c r="BL76" s="755"/>
      <c r="BM76" s="755"/>
      <c r="BN76" s="755"/>
      <c r="BO76" s="755"/>
      <c r="BP76" s="755"/>
      <c r="BQ76" s="755"/>
      <c r="BR76" s="755"/>
      <c r="BS76" s="755"/>
      <c r="BT76" s="755"/>
      <c r="BU76" s="755"/>
      <c r="BV76" s="755"/>
      <c r="BW76" s="755"/>
      <c r="BX76" s="194"/>
    </row>
    <row r="77" spans="1:76" ht="7.5" customHeight="1">
      <c r="A77" s="792"/>
      <c r="B77" s="753"/>
      <c r="C77" s="195"/>
      <c r="D77" s="195"/>
      <c r="E77" s="195"/>
      <c r="F77" s="195"/>
      <c r="G77" s="195"/>
      <c r="H77" s="195"/>
      <c r="I77" s="195"/>
      <c r="J77" s="195"/>
      <c r="K77" s="195"/>
      <c r="L77" s="195"/>
      <c r="M77" s="195"/>
      <c r="N77" s="195"/>
      <c r="O77" s="195"/>
      <c r="P77" s="195"/>
      <c r="Q77" s="195"/>
      <c r="R77" s="195"/>
      <c r="S77" s="195"/>
      <c r="T77" s="195"/>
      <c r="U77" s="195"/>
      <c r="V77" s="195"/>
      <c r="W77" s="194"/>
      <c r="X77" s="196"/>
      <c r="Y77" s="195"/>
      <c r="Z77" s="195"/>
      <c r="AA77" s="195"/>
      <c r="AB77" s="195"/>
      <c r="AC77" s="195"/>
      <c r="AD77" s="195"/>
      <c r="AE77" s="195"/>
      <c r="AF77" s="195"/>
      <c r="AG77" s="195"/>
      <c r="AH77" s="195"/>
      <c r="AI77" s="195"/>
      <c r="AJ77" s="195"/>
      <c r="AK77" s="195"/>
      <c r="AL77" s="195"/>
      <c r="AM77" s="195"/>
      <c r="AN77" s="195"/>
      <c r="AO77" s="195"/>
      <c r="AP77" s="195"/>
      <c r="AQ77" s="195"/>
      <c r="AR77" s="195"/>
      <c r="AS77" s="194"/>
      <c r="AT77" s="195"/>
      <c r="AU77" s="755"/>
      <c r="AV77" s="755"/>
      <c r="AW77" s="755"/>
      <c r="AX77" s="755"/>
      <c r="AY77" s="755"/>
      <c r="AZ77" s="755"/>
      <c r="BA77" s="755"/>
      <c r="BB77" s="755"/>
      <c r="BC77" s="755"/>
      <c r="BD77" s="755"/>
      <c r="BE77" s="755"/>
      <c r="BF77" s="755"/>
      <c r="BG77" s="755"/>
      <c r="BH77" s="755"/>
      <c r="BI77" s="755"/>
      <c r="BJ77" s="755"/>
      <c r="BK77" s="755"/>
      <c r="BL77" s="755"/>
      <c r="BM77" s="755"/>
      <c r="BN77" s="755"/>
      <c r="BO77" s="755"/>
      <c r="BP77" s="755"/>
      <c r="BQ77" s="755"/>
      <c r="BR77" s="755"/>
      <c r="BS77" s="755"/>
      <c r="BT77" s="755"/>
      <c r="BU77" s="755"/>
      <c r="BV77" s="755"/>
      <c r="BW77" s="755"/>
      <c r="BX77" s="194"/>
    </row>
    <row r="78" spans="1:76" ht="7.5" customHeight="1">
      <c r="A78" s="792"/>
      <c r="B78" s="753"/>
      <c r="C78" s="195"/>
      <c r="D78" s="195"/>
      <c r="E78" s="195"/>
      <c r="F78" s="195"/>
      <c r="G78" s="195"/>
      <c r="H78" s="195"/>
      <c r="I78" s="195"/>
      <c r="J78" s="195"/>
      <c r="K78" s="195"/>
      <c r="L78" s="195"/>
      <c r="M78" s="195"/>
      <c r="N78" s="195"/>
      <c r="O78" s="195"/>
      <c r="P78" s="195"/>
      <c r="Q78" s="195"/>
      <c r="R78" s="195"/>
      <c r="S78" s="195"/>
      <c r="T78" s="195"/>
      <c r="U78" s="195"/>
      <c r="V78" s="195"/>
      <c r="W78" s="194"/>
      <c r="X78" s="196"/>
      <c r="Y78" s="195"/>
      <c r="Z78" s="195"/>
      <c r="AA78" s="195"/>
      <c r="AB78" s="195"/>
      <c r="AC78" s="195"/>
      <c r="AD78" s="195"/>
      <c r="AE78" s="195"/>
      <c r="AF78" s="195"/>
      <c r="AG78" s="195"/>
      <c r="AH78" s="195"/>
      <c r="AI78" s="195"/>
      <c r="AJ78" s="195"/>
      <c r="AK78" s="195"/>
      <c r="AL78" s="195"/>
      <c r="AM78" s="195"/>
      <c r="AN78" s="195"/>
      <c r="AO78" s="195"/>
      <c r="AP78" s="195"/>
      <c r="AQ78" s="195"/>
      <c r="AR78" s="195"/>
      <c r="AS78" s="194"/>
      <c r="AT78" s="195"/>
      <c r="AU78" s="755"/>
      <c r="AV78" s="755"/>
      <c r="AW78" s="755"/>
      <c r="AX78" s="755"/>
      <c r="AY78" s="755"/>
      <c r="AZ78" s="755"/>
      <c r="BA78" s="755"/>
      <c r="BB78" s="755"/>
      <c r="BC78" s="755"/>
      <c r="BD78" s="755"/>
      <c r="BE78" s="755"/>
      <c r="BF78" s="755"/>
      <c r="BG78" s="755"/>
      <c r="BH78" s="755"/>
      <c r="BI78" s="755"/>
      <c r="BJ78" s="755"/>
      <c r="BK78" s="755"/>
      <c r="BL78" s="755"/>
      <c r="BM78" s="755"/>
      <c r="BN78" s="755"/>
      <c r="BO78" s="755"/>
      <c r="BP78" s="755"/>
      <c r="BQ78" s="755"/>
      <c r="BR78" s="755"/>
      <c r="BS78" s="755"/>
      <c r="BT78" s="755"/>
      <c r="BU78" s="755"/>
      <c r="BV78" s="755"/>
      <c r="BW78" s="755"/>
      <c r="BX78" s="194"/>
    </row>
    <row r="79" spans="1:76" ht="7.5" customHeight="1">
      <c r="A79" s="792"/>
      <c r="B79" s="753"/>
      <c r="C79" s="195"/>
      <c r="D79" s="195"/>
      <c r="E79" s="195"/>
      <c r="F79" s="195"/>
      <c r="G79" s="195"/>
      <c r="H79" s="195"/>
      <c r="I79" s="195"/>
      <c r="J79" s="195"/>
      <c r="K79" s="195"/>
      <c r="L79" s="195"/>
      <c r="M79" s="195"/>
      <c r="N79" s="195"/>
      <c r="O79" s="195"/>
      <c r="P79" s="195"/>
      <c r="Q79" s="195"/>
      <c r="R79" s="195"/>
      <c r="S79" s="195"/>
      <c r="T79" s="195"/>
      <c r="U79" s="195"/>
      <c r="V79" s="195"/>
      <c r="W79" s="194"/>
      <c r="X79" s="196"/>
      <c r="Y79" s="195"/>
      <c r="Z79" s="195"/>
      <c r="AA79" s="195"/>
      <c r="AB79" s="195"/>
      <c r="AC79" s="195"/>
      <c r="AD79" s="195"/>
      <c r="AE79" s="195"/>
      <c r="AF79" s="195"/>
      <c r="AG79" s="195"/>
      <c r="AH79" s="195"/>
      <c r="AI79" s="195"/>
      <c r="AJ79" s="195"/>
      <c r="AK79" s="195"/>
      <c r="AL79" s="195"/>
      <c r="AM79" s="195"/>
      <c r="AN79" s="195"/>
      <c r="AO79" s="195"/>
      <c r="AP79" s="195"/>
      <c r="AQ79" s="195"/>
      <c r="AR79" s="195"/>
      <c r="AS79" s="194"/>
      <c r="AT79" s="195"/>
      <c r="AU79" s="755"/>
      <c r="AV79" s="755"/>
      <c r="AW79" s="755"/>
      <c r="AX79" s="755"/>
      <c r="AY79" s="755"/>
      <c r="AZ79" s="755"/>
      <c r="BA79" s="755"/>
      <c r="BB79" s="755"/>
      <c r="BC79" s="755"/>
      <c r="BD79" s="755"/>
      <c r="BE79" s="755"/>
      <c r="BF79" s="755"/>
      <c r="BG79" s="755"/>
      <c r="BH79" s="755"/>
      <c r="BI79" s="755"/>
      <c r="BJ79" s="755"/>
      <c r="BK79" s="755"/>
      <c r="BL79" s="755"/>
      <c r="BM79" s="755"/>
      <c r="BN79" s="755"/>
      <c r="BO79" s="755"/>
      <c r="BP79" s="755"/>
      <c r="BQ79" s="755"/>
      <c r="BR79" s="755"/>
      <c r="BS79" s="755"/>
      <c r="BT79" s="755"/>
      <c r="BU79" s="755"/>
      <c r="BV79" s="755"/>
      <c r="BW79" s="755"/>
      <c r="BX79" s="194"/>
    </row>
    <row r="80" spans="1:76" s="204" customFormat="1" ht="6" customHeight="1">
      <c r="A80" s="792"/>
      <c r="B80" s="754"/>
      <c r="C80" s="200"/>
      <c r="D80" s="200"/>
      <c r="E80" s="200"/>
      <c r="F80" s="200"/>
      <c r="G80" s="200"/>
      <c r="H80" s="200"/>
      <c r="I80" s="200"/>
      <c r="J80" s="200"/>
      <c r="K80" s="200"/>
      <c r="L80" s="200"/>
      <c r="M80" s="200"/>
      <c r="N80" s="200"/>
      <c r="O80" s="200"/>
      <c r="P80" s="200"/>
      <c r="Q80" s="200"/>
      <c r="R80" s="200"/>
      <c r="S80" s="200"/>
      <c r="T80" s="200"/>
      <c r="U80" s="200"/>
      <c r="V80" s="200"/>
      <c r="W80" s="201"/>
      <c r="X80" s="202"/>
      <c r="Y80" s="203"/>
      <c r="Z80" s="203"/>
      <c r="AA80" s="203"/>
      <c r="AB80" s="203"/>
      <c r="AC80" s="203"/>
      <c r="AD80" s="203"/>
      <c r="AE80" s="203"/>
      <c r="AF80" s="203"/>
      <c r="AG80" s="203"/>
      <c r="AH80" s="203"/>
      <c r="AI80" s="203"/>
      <c r="AJ80" s="203"/>
      <c r="AK80" s="203"/>
      <c r="AL80" s="203"/>
      <c r="AM80" s="203"/>
      <c r="AN80" s="203"/>
      <c r="AO80" s="203"/>
      <c r="AP80" s="203"/>
      <c r="AQ80" s="203"/>
      <c r="AR80" s="203"/>
      <c r="AS80" s="201"/>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c r="BU80" s="203"/>
      <c r="BV80" s="203"/>
      <c r="BW80" s="203"/>
      <c r="BX80" s="201"/>
    </row>
    <row r="81" spans="1:76" ht="8.25" customHeight="1">
      <c r="A81" s="792"/>
      <c r="B81" s="184"/>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row>
    <row r="82" spans="1:76" s="204" customFormat="1" ht="15">
      <c r="A82" s="792"/>
      <c r="B82" s="184"/>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row>
    <row r="83" spans="1:76" s="204" customFormat="1" ht="13.5" customHeight="1">
      <c r="A83" s="792"/>
      <c r="B83" s="184"/>
      <c r="C83" s="185"/>
      <c r="D83" s="185"/>
      <c r="E83" s="185"/>
      <c r="F83" s="185"/>
      <c r="G83" s="177"/>
      <c r="H83" s="412" t="str">
        <f>Index!C403</f>
        <v>Záznamy daňového úradu</v>
      </c>
      <c r="I83" s="205"/>
      <c r="J83" s="205"/>
      <c r="K83" s="205"/>
      <c r="L83" s="205"/>
      <c r="M83" s="205"/>
      <c r="N83" s="205"/>
      <c r="O83" s="205"/>
      <c r="P83" s="205"/>
      <c r="Q83" s="205"/>
      <c r="R83" s="205"/>
      <c r="S83" s="205"/>
      <c r="T83" s="205"/>
      <c r="U83" s="205"/>
      <c r="V83" s="205"/>
      <c r="W83" s="205"/>
      <c r="X83" s="205"/>
      <c r="Y83" s="205"/>
      <c r="Z83" s="205"/>
      <c r="AA83" s="205"/>
      <c r="AB83" s="205"/>
      <c r="AC83" s="205"/>
      <c r="AD83" s="205"/>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7"/>
      <c r="BT83" s="186"/>
      <c r="BU83" s="186"/>
      <c r="BV83" s="186"/>
      <c r="BW83" s="186"/>
      <c r="BX83" s="186"/>
    </row>
    <row r="84" spans="1:76" s="204" customFormat="1" ht="18" customHeight="1">
      <c r="A84" s="792"/>
      <c r="B84" s="184"/>
      <c r="C84" s="185"/>
      <c r="D84" s="185"/>
      <c r="E84" s="185"/>
      <c r="F84" s="185"/>
      <c r="G84" s="135"/>
      <c r="H84" s="756"/>
      <c r="I84" s="756"/>
      <c r="J84" s="756"/>
      <c r="K84" s="756"/>
      <c r="L84" s="756"/>
      <c r="M84" s="756"/>
      <c r="N84" s="756"/>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208"/>
      <c r="AM84" s="208"/>
      <c r="AN84" s="208"/>
      <c r="AO84" s="757"/>
      <c r="AP84" s="757"/>
      <c r="AQ84" s="757"/>
      <c r="AR84" s="757"/>
      <c r="AS84" s="757"/>
      <c r="AT84" s="757"/>
      <c r="AU84" s="757"/>
      <c r="AV84" s="757"/>
      <c r="AW84" s="757"/>
      <c r="AX84" s="757"/>
      <c r="AY84" s="757"/>
      <c r="AZ84" s="757"/>
      <c r="BA84" s="757"/>
      <c r="BB84" s="757"/>
      <c r="BC84" s="757"/>
      <c r="BD84" s="757"/>
      <c r="BE84" s="757"/>
      <c r="BF84" s="757"/>
      <c r="BG84" s="757"/>
      <c r="BH84" s="757"/>
      <c r="BI84" s="757"/>
      <c r="BJ84" s="757"/>
      <c r="BK84" s="757"/>
      <c r="BL84" s="757"/>
      <c r="BM84" s="757"/>
      <c r="BN84" s="757"/>
      <c r="BO84" s="757"/>
      <c r="BP84" s="757"/>
      <c r="BQ84" s="757"/>
      <c r="BR84" s="208"/>
      <c r="BS84" s="209"/>
      <c r="BT84" s="186"/>
      <c r="BU84" s="186"/>
      <c r="BV84" s="186"/>
      <c r="BW84" s="186"/>
      <c r="BX84" s="186"/>
    </row>
    <row r="85" spans="1:76" s="204" customFormat="1" ht="18" customHeight="1">
      <c r="A85" s="792"/>
      <c r="B85" s="184"/>
      <c r="C85" s="185"/>
      <c r="D85" s="185"/>
      <c r="E85" s="185"/>
      <c r="F85" s="185"/>
      <c r="G85" s="135"/>
      <c r="H85" s="756"/>
      <c r="I85" s="756"/>
      <c r="J85" s="756"/>
      <c r="K85" s="756"/>
      <c r="L85" s="756"/>
      <c r="M85" s="756"/>
      <c r="N85" s="756"/>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208"/>
      <c r="AM85" s="208"/>
      <c r="AN85" s="208"/>
      <c r="AO85" s="757"/>
      <c r="AP85" s="757"/>
      <c r="AQ85" s="757"/>
      <c r="AR85" s="757"/>
      <c r="AS85" s="757"/>
      <c r="AT85" s="757"/>
      <c r="AU85" s="757"/>
      <c r="AV85" s="757"/>
      <c r="AW85" s="757"/>
      <c r="AX85" s="757"/>
      <c r="AY85" s="757"/>
      <c r="AZ85" s="757"/>
      <c r="BA85" s="757"/>
      <c r="BB85" s="757"/>
      <c r="BC85" s="757"/>
      <c r="BD85" s="757"/>
      <c r="BE85" s="757"/>
      <c r="BF85" s="757"/>
      <c r="BG85" s="757"/>
      <c r="BH85" s="757"/>
      <c r="BI85" s="757"/>
      <c r="BJ85" s="757"/>
      <c r="BK85" s="757"/>
      <c r="BL85" s="757"/>
      <c r="BM85" s="757"/>
      <c r="BN85" s="757"/>
      <c r="BO85" s="757"/>
      <c r="BP85" s="757"/>
      <c r="BQ85" s="757"/>
      <c r="BR85" s="208"/>
      <c r="BS85" s="209"/>
      <c r="BT85" s="186"/>
      <c r="BU85" s="186"/>
      <c r="BV85" s="186"/>
      <c r="BW85" s="186"/>
      <c r="BX85" s="186"/>
    </row>
    <row r="86" spans="1:76" s="204" customFormat="1" ht="18" customHeight="1">
      <c r="A86" s="792"/>
      <c r="B86" s="184"/>
      <c r="C86" s="185"/>
      <c r="D86" s="185"/>
      <c r="E86" s="185"/>
      <c r="F86" s="185"/>
      <c r="G86" s="135"/>
      <c r="H86" s="756"/>
      <c r="I86" s="756"/>
      <c r="J86" s="756"/>
      <c r="K86" s="756"/>
      <c r="L86" s="756"/>
      <c r="M86" s="756"/>
      <c r="N86" s="756"/>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208"/>
      <c r="AM86" s="208"/>
      <c r="AN86" s="208"/>
      <c r="AO86" s="757"/>
      <c r="AP86" s="757"/>
      <c r="AQ86" s="757"/>
      <c r="AR86" s="757"/>
      <c r="AS86" s="757"/>
      <c r="AT86" s="757"/>
      <c r="AU86" s="757"/>
      <c r="AV86" s="757"/>
      <c r="AW86" s="757"/>
      <c r="AX86" s="757"/>
      <c r="AY86" s="757"/>
      <c r="AZ86" s="757"/>
      <c r="BA86" s="757"/>
      <c r="BB86" s="757"/>
      <c r="BC86" s="757"/>
      <c r="BD86" s="757"/>
      <c r="BE86" s="757"/>
      <c r="BF86" s="757"/>
      <c r="BG86" s="757"/>
      <c r="BH86" s="757"/>
      <c r="BI86" s="757"/>
      <c r="BJ86" s="757"/>
      <c r="BK86" s="757"/>
      <c r="BL86" s="757"/>
      <c r="BM86" s="757"/>
      <c r="BN86" s="757"/>
      <c r="BO86" s="757"/>
      <c r="BP86" s="757"/>
      <c r="BQ86" s="757"/>
      <c r="BR86" s="208"/>
      <c r="BS86" s="209"/>
      <c r="BT86" s="186"/>
      <c r="BU86" s="186"/>
      <c r="BV86" s="186"/>
      <c r="BW86" s="186"/>
      <c r="BX86" s="186"/>
    </row>
    <row r="87" spans="1:76" s="204" customFormat="1" ht="18" customHeight="1">
      <c r="A87" s="792"/>
      <c r="B87" s="184"/>
      <c r="C87" s="185"/>
      <c r="D87" s="185"/>
      <c r="E87" s="185"/>
      <c r="F87" s="185"/>
      <c r="G87" s="135"/>
      <c r="H87" s="756"/>
      <c r="I87" s="756"/>
      <c r="J87" s="756"/>
      <c r="K87" s="756"/>
      <c r="L87" s="756"/>
      <c r="M87" s="756"/>
      <c r="N87" s="756"/>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208"/>
      <c r="AM87" s="208"/>
      <c r="AN87" s="208"/>
      <c r="AO87" s="757"/>
      <c r="AP87" s="757"/>
      <c r="AQ87" s="757"/>
      <c r="AR87" s="757"/>
      <c r="AS87" s="757"/>
      <c r="AT87" s="757"/>
      <c r="AU87" s="757"/>
      <c r="AV87" s="757"/>
      <c r="AW87" s="757"/>
      <c r="AX87" s="757"/>
      <c r="AY87" s="757"/>
      <c r="AZ87" s="757"/>
      <c r="BA87" s="757"/>
      <c r="BB87" s="757"/>
      <c r="BC87" s="757"/>
      <c r="BD87" s="757"/>
      <c r="BE87" s="757"/>
      <c r="BF87" s="757"/>
      <c r="BG87" s="757"/>
      <c r="BH87" s="757"/>
      <c r="BI87" s="757"/>
      <c r="BJ87" s="757"/>
      <c r="BK87" s="757"/>
      <c r="BL87" s="757"/>
      <c r="BM87" s="757"/>
      <c r="BN87" s="757"/>
      <c r="BO87" s="757"/>
      <c r="BP87" s="757"/>
      <c r="BQ87" s="757"/>
      <c r="BR87" s="208"/>
      <c r="BS87" s="209"/>
      <c r="BT87" s="186"/>
      <c r="BU87" s="186"/>
      <c r="BV87" s="186"/>
      <c r="BW87" s="186"/>
      <c r="BX87" s="186"/>
    </row>
    <row r="88" spans="1:76" s="204" customFormat="1" ht="18" customHeight="1">
      <c r="A88" s="792"/>
      <c r="B88" s="184"/>
      <c r="C88" s="185"/>
      <c r="D88" s="185"/>
      <c r="E88" s="185"/>
      <c r="F88" s="185"/>
      <c r="G88" s="135"/>
      <c r="H88" s="756"/>
      <c r="I88" s="756"/>
      <c r="J88" s="756"/>
      <c r="K88" s="756"/>
      <c r="L88" s="756"/>
      <c r="M88" s="756"/>
      <c r="N88" s="756"/>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208"/>
      <c r="AM88" s="208"/>
      <c r="AN88" s="208"/>
      <c r="AO88" s="757"/>
      <c r="AP88" s="757"/>
      <c r="AQ88" s="757"/>
      <c r="AR88" s="757"/>
      <c r="AS88" s="757"/>
      <c r="AT88" s="757"/>
      <c r="AU88" s="757"/>
      <c r="AV88" s="757"/>
      <c r="AW88" s="757"/>
      <c r="AX88" s="757"/>
      <c r="AY88" s="757"/>
      <c r="AZ88" s="757"/>
      <c r="BA88" s="757"/>
      <c r="BB88" s="757"/>
      <c r="BC88" s="757"/>
      <c r="BD88" s="757"/>
      <c r="BE88" s="757"/>
      <c r="BF88" s="757"/>
      <c r="BG88" s="757"/>
      <c r="BH88" s="757"/>
      <c r="BI88" s="757"/>
      <c r="BJ88" s="757"/>
      <c r="BK88" s="757"/>
      <c r="BL88" s="757"/>
      <c r="BM88" s="757"/>
      <c r="BN88" s="757"/>
      <c r="BO88" s="757"/>
      <c r="BP88" s="757"/>
      <c r="BQ88" s="757"/>
      <c r="BR88" s="208"/>
      <c r="BS88" s="209"/>
      <c r="BT88" s="186"/>
      <c r="BU88" s="186"/>
      <c r="BV88" s="186"/>
      <c r="BW88" s="186"/>
      <c r="BX88" s="186"/>
    </row>
    <row r="89" spans="1:76" s="204" customFormat="1" ht="18" customHeight="1">
      <c r="A89" s="792"/>
      <c r="B89" s="184"/>
      <c r="C89" s="185"/>
      <c r="D89" s="185"/>
      <c r="E89" s="185"/>
      <c r="F89" s="185"/>
      <c r="G89" s="135"/>
      <c r="H89" s="756"/>
      <c r="I89" s="756"/>
      <c r="J89" s="756"/>
      <c r="K89" s="756"/>
      <c r="L89" s="756"/>
      <c r="M89" s="756"/>
      <c r="N89" s="756"/>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208"/>
      <c r="AM89" s="208"/>
      <c r="AN89" s="208"/>
      <c r="AO89" s="757"/>
      <c r="AP89" s="757"/>
      <c r="AQ89" s="757"/>
      <c r="AR89" s="757"/>
      <c r="AS89" s="757"/>
      <c r="AT89" s="757"/>
      <c r="AU89" s="757"/>
      <c r="AV89" s="757"/>
      <c r="AW89" s="757"/>
      <c r="AX89" s="757"/>
      <c r="AY89" s="757"/>
      <c r="AZ89" s="757"/>
      <c r="BA89" s="757"/>
      <c r="BB89" s="757"/>
      <c r="BC89" s="757"/>
      <c r="BD89" s="757"/>
      <c r="BE89" s="757"/>
      <c r="BF89" s="757"/>
      <c r="BG89" s="757"/>
      <c r="BH89" s="757"/>
      <c r="BI89" s="757"/>
      <c r="BJ89" s="757"/>
      <c r="BK89" s="757"/>
      <c r="BL89" s="757"/>
      <c r="BM89" s="757"/>
      <c r="BN89" s="757"/>
      <c r="BO89" s="757"/>
      <c r="BP89" s="757"/>
      <c r="BQ89" s="757"/>
      <c r="BR89" s="208"/>
      <c r="BS89" s="209"/>
      <c r="BT89" s="186"/>
      <c r="BU89" s="186"/>
      <c r="BV89" s="186"/>
      <c r="BW89" s="186"/>
      <c r="BX89" s="186"/>
    </row>
    <row r="90" spans="1:76" s="204" customFormat="1" ht="14.25" customHeight="1">
      <c r="A90" s="792"/>
      <c r="B90" s="184"/>
      <c r="C90" s="97"/>
      <c r="D90" s="97"/>
      <c r="E90" s="97"/>
      <c r="F90" s="210"/>
      <c r="G90" s="211"/>
      <c r="H90" s="212"/>
      <c r="I90" s="212"/>
      <c r="J90" s="212"/>
      <c r="K90" s="212"/>
      <c r="L90" s="212"/>
      <c r="M90" s="212"/>
      <c r="N90" s="212"/>
      <c r="O90" s="413" t="str">
        <f>Index!C404</f>
        <v>Miesto pre evidenčné číslo</v>
      </c>
      <c r="P90" s="212"/>
      <c r="Q90" s="212"/>
      <c r="R90" s="212"/>
      <c r="S90" s="212"/>
      <c r="T90" s="212"/>
      <c r="U90" s="212"/>
      <c r="V90" s="212"/>
      <c r="W90" s="212"/>
      <c r="X90" s="212"/>
      <c r="Y90" s="212"/>
      <c r="Z90" s="212"/>
      <c r="AA90" s="212"/>
      <c r="AB90" s="212"/>
      <c r="AC90" s="212"/>
      <c r="AD90" s="212"/>
      <c r="AE90" s="212"/>
      <c r="AF90" s="212"/>
      <c r="AG90" s="212"/>
      <c r="AH90" s="212"/>
      <c r="AI90" s="212"/>
      <c r="AJ90" s="212"/>
      <c r="AK90" s="212"/>
      <c r="AL90" s="212"/>
      <c r="AM90" s="212"/>
      <c r="AN90" s="212"/>
      <c r="AO90" s="212"/>
      <c r="AP90" s="212"/>
      <c r="AQ90" s="413" t="str">
        <f>Index!C405</f>
        <v>Odtlačok prezentačnej pečiatky daňového úradu</v>
      </c>
      <c r="AR90" s="212"/>
      <c r="AS90" s="212"/>
      <c r="AT90" s="212"/>
      <c r="AU90" s="212"/>
      <c r="AV90" s="212"/>
      <c r="AW90" s="212"/>
      <c r="AX90" s="212"/>
      <c r="AY90" s="212"/>
      <c r="AZ90" s="212"/>
      <c r="BA90" s="212"/>
      <c r="BB90" s="212"/>
      <c r="BC90" s="212"/>
      <c r="BD90" s="212"/>
      <c r="BE90" s="212"/>
      <c r="BF90" s="212"/>
      <c r="BG90" s="212"/>
      <c r="BH90" s="212"/>
      <c r="BI90" s="212"/>
      <c r="BJ90" s="212"/>
      <c r="BK90" s="212"/>
      <c r="BL90" s="212"/>
      <c r="BM90" s="212"/>
      <c r="BN90" s="212"/>
      <c r="BO90" s="212"/>
      <c r="BP90" s="212"/>
      <c r="BQ90" s="212"/>
      <c r="BR90" s="212"/>
      <c r="BS90" s="213"/>
      <c r="BT90" s="210"/>
      <c r="BU90" s="210"/>
      <c r="BV90" s="186"/>
      <c r="BW90" s="97"/>
      <c r="BX90" s="186"/>
    </row>
    <row r="91" spans="1:76" s="215" customFormat="1" ht="12" customHeight="1">
      <c r="A91" s="792"/>
      <c r="B91" s="214"/>
      <c r="D91" s="210"/>
      <c r="E91" s="97"/>
      <c r="F91" s="758" t="s">
        <v>1532</v>
      </c>
      <c r="G91" s="758"/>
      <c r="H91" s="758"/>
      <c r="I91" s="758"/>
      <c r="J91" s="758"/>
      <c r="K91" s="758"/>
      <c r="L91" s="758"/>
      <c r="M91" s="758"/>
      <c r="N91" s="758"/>
      <c r="O91" s="758"/>
      <c r="P91" s="758"/>
      <c r="Q91" s="758"/>
      <c r="R91" s="758"/>
      <c r="S91" s="758"/>
      <c r="T91" s="758"/>
      <c r="U91" s="758"/>
      <c r="V91" s="758"/>
      <c r="W91" s="758"/>
      <c r="X91" s="758"/>
      <c r="Y91" s="758"/>
      <c r="Z91" s="97"/>
      <c r="AA91" s="97"/>
      <c r="AB91" s="97"/>
      <c r="AC91" s="97"/>
      <c r="AD91" s="97"/>
      <c r="AE91" s="97"/>
      <c r="AF91" s="97"/>
      <c r="AG91" s="9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759" t="str">
        <f>Index!C406</f>
        <v>Strana 1</v>
      </c>
      <c r="BM91" s="759"/>
      <c r="BN91" s="759"/>
      <c r="BO91" s="759"/>
      <c r="BP91" s="759"/>
      <c r="BQ91" s="759"/>
      <c r="BR91" s="759"/>
      <c r="BS91" s="759"/>
      <c r="BT91" s="759"/>
      <c r="BU91" s="97"/>
      <c r="BV91" s="186"/>
      <c r="BX91" s="216"/>
    </row>
    <row r="92" spans="1:76" ht="6" customHeight="1" thickBot="1">
      <c r="A92" s="792"/>
      <c r="B92" s="217"/>
      <c r="C92" s="218"/>
      <c r="D92" s="218"/>
      <c r="E92" s="97"/>
      <c r="F92" s="758"/>
      <c r="G92" s="758"/>
      <c r="H92" s="758"/>
      <c r="I92" s="758"/>
      <c r="J92" s="758"/>
      <c r="K92" s="758"/>
      <c r="L92" s="758"/>
      <c r="M92" s="758"/>
      <c r="N92" s="758"/>
      <c r="O92" s="758"/>
      <c r="P92" s="758"/>
      <c r="Q92" s="758"/>
      <c r="R92" s="758"/>
      <c r="S92" s="758"/>
      <c r="T92" s="758"/>
      <c r="U92" s="758"/>
      <c r="V92" s="758"/>
      <c r="W92" s="758"/>
      <c r="X92" s="758"/>
      <c r="Y92" s="758"/>
      <c r="Z92" s="97"/>
      <c r="AA92" s="97"/>
      <c r="AB92" s="97"/>
      <c r="AC92" s="97"/>
      <c r="AD92" s="97"/>
      <c r="AE92" s="97"/>
      <c r="AF92" s="97"/>
      <c r="AG92" s="9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759"/>
      <c r="BM92" s="759"/>
      <c r="BN92" s="759"/>
      <c r="BO92" s="759"/>
      <c r="BP92" s="759"/>
      <c r="BQ92" s="759"/>
      <c r="BR92" s="759"/>
      <c r="BS92" s="759"/>
      <c r="BT92" s="759"/>
      <c r="BV92" s="218"/>
      <c r="BW92" s="218"/>
      <c r="BX92" s="219"/>
    </row>
    <row r="93" spans="1:76" ht="6" customHeight="1" thickTop="1">
      <c r="A93" s="792"/>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row>
    <row r="94" spans="1:76" s="97" customFormat="1" ht="12.75" customHeight="1">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103"/>
      <c r="BR94" s="103"/>
      <c r="BS94" s="103"/>
      <c r="BT94" s="103"/>
      <c r="BU94" s="103"/>
      <c r="BV94" s="103"/>
      <c r="BW94" s="103"/>
    </row>
  </sheetData>
  <sheetProtection sheet="1" objects="1" scenarios="1"/>
  <mergeCells count="194">
    <mergeCell ref="E20:E21"/>
    <mergeCell ref="G20:G21"/>
    <mergeCell ref="I20:I21"/>
    <mergeCell ref="K20:K21"/>
    <mergeCell ref="M20:M21"/>
    <mergeCell ref="O20:O21"/>
    <mergeCell ref="Q20:Q21"/>
    <mergeCell ref="AA32:AA33"/>
    <mergeCell ref="AA26:AA27"/>
    <mergeCell ref="C32:E32"/>
    <mergeCell ref="I32:K32"/>
    <mergeCell ref="C33:C34"/>
    <mergeCell ref="AM8:AM9"/>
    <mergeCell ref="AN8:AN9"/>
    <mergeCell ref="AO8:AO9"/>
    <mergeCell ref="AP8:AP9"/>
    <mergeCell ref="AQ8:AQ9"/>
    <mergeCell ref="BS24:BS25"/>
    <mergeCell ref="BT24:BT25"/>
    <mergeCell ref="BU24:BU25"/>
    <mergeCell ref="BV24:BV25"/>
    <mergeCell ref="BQ24:BQ25"/>
    <mergeCell ref="B16:BX16"/>
    <mergeCell ref="B17:BX17"/>
    <mergeCell ref="B18:R18"/>
    <mergeCell ref="Y18:AI18"/>
    <mergeCell ref="AK18:AU18"/>
    <mergeCell ref="BK18:BP18"/>
    <mergeCell ref="BQ18:BW18"/>
    <mergeCell ref="BF20:BJ21"/>
    <mergeCell ref="BK20:BK21"/>
    <mergeCell ref="BL20:BL21"/>
    <mergeCell ref="BM20:BM21"/>
    <mergeCell ref="AB21:AL21"/>
    <mergeCell ref="BW24:BW25"/>
    <mergeCell ref="BR24:BR25"/>
    <mergeCell ref="A2:A93"/>
    <mergeCell ref="U2:AW3"/>
    <mergeCell ref="BD6:BX10"/>
    <mergeCell ref="AA8:AA9"/>
    <mergeCell ref="AB8:AB9"/>
    <mergeCell ref="AC8:AC9"/>
    <mergeCell ref="AD8:AF9"/>
    <mergeCell ref="AG8:AG9"/>
    <mergeCell ref="AH8:AH9"/>
    <mergeCell ref="AI8:AI9"/>
    <mergeCell ref="AR8:AR9"/>
    <mergeCell ref="AS8:AS9"/>
    <mergeCell ref="AT8:BC9"/>
    <mergeCell ref="B11:BX11"/>
    <mergeCell ref="B12:B15"/>
    <mergeCell ref="BX12:BX15"/>
    <mergeCell ref="C13:BW13"/>
    <mergeCell ref="C14:BW14"/>
    <mergeCell ref="AJ8:AL9"/>
    <mergeCell ref="BN24:BP25"/>
    <mergeCell ref="AN21:AU21"/>
    <mergeCell ref="C19:U19"/>
    <mergeCell ref="BK19:BM19"/>
    <mergeCell ref="BX20:BX25"/>
    <mergeCell ref="BQ19:BW19"/>
    <mergeCell ref="S25:T25"/>
    <mergeCell ref="AH25:AO25"/>
    <mergeCell ref="C26:Q26"/>
    <mergeCell ref="AB26:AL27"/>
    <mergeCell ref="AM26:AM27"/>
    <mergeCell ref="AN26:AU27"/>
    <mergeCell ref="B23:G24"/>
    <mergeCell ref="AW23:BE24"/>
    <mergeCell ref="BK23:BM23"/>
    <mergeCell ref="BH24:BJ25"/>
    <mergeCell ref="BK24:BK25"/>
    <mergeCell ref="BL24:BL25"/>
    <mergeCell ref="BM24:BM25"/>
    <mergeCell ref="BQ20:BQ21"/>
    <mergeCell ref="BR20:BR21"/>
    <mergeCell ref="BS20:BS21"/>
    <mergeCell ref="BU20:BU21"/>
    <mergeCell ref="BW20:BW21"/>
    <mergeCell ref="BQ23:BW23"/>
    <mergeCell ref="B20:B21"/>
    <mergeCell ref="S20:S21"/>
    <mergeCell ref="U20:U21"/>
    <mergeCell ref="C20:C21"/>
    <mergeCell ref="BK28:BM28"/>
    <mergeCell ref="BQ28:BW28"/>
    <mergeCell ref="S29:T29"/>
    <mergeCell ref="AW29:BE34"/>
    <mergeCell ref="BF29:BJ30"/>
    <mergeCell ref="BK29:BK30"/>
    <mergeCell ref="BL29:BL30"/>
    <mergeCell ref="BM29:BM30"/>
    <mergeCell ref="BQ29:BQ30"/>
    <mergeCell ref="BR29:BR30"/>
    <mergeCell ref="BS29:BS30"/>
    <mergeCell ref="BU29:BU30"/>
    <mergeCell ref="BW29:BW30"/>
    <mergeCell ref="AB32:AL33"/>
    <mergeCell ref="BK32:BM32"/>
    <mergeCell ref="BQ32:BW32"/>
    <mergeCell ref="B37:BX37"/>
    <mergeCell ref="BL33:BL34"/>
    <mergeCell ref="BM33:BM34"/>
    <mergeCell ref="BN33:BP34"/>
    <mergeCell ref="BQ33:BQ34"/>
    <mergeCell ref="BR33:BR34"/>
    <mergeCell ref="BS33:BS34"/>
    <mergeCell ref="I33:I34"/>
    <mergeCell ref="K33:K34"/>
    <mergeCell ref="O33:O34"/>
    <mergeCell ref="AM33:AU33"/>
    <mergeCell ref="BH33:BJ34"/>
    <mergeCell ref="BK33:BK34"/>
    <mergeCell ref="E33:E34"/>
    <mergeCell ref="BW33:BW34"/>
    <mergeCell ref="B36:BX36"/>
    <mergeCell ref="F38:U38"/>
    <mergeCell ref="AA38:AS38"/>
    <mergeCell ref="AX38:BM38"/>
    <mergeCell ref="F39:P39"/>
    <mergeCell ref="AA39:AK39"/>
    <mergeCell ref="AY39:BQ39"/>
    <mergeCell ref="BT33:BT34"/>
    <mergeCell ref="BU33:BU34"/>
    <mergeCell ref="M62:AA62"/>
    <mergeCell ref="AE62:AK62"/>
    <mergeCell ref="AO62:BW62"/>
    <mergeCell ref="C50:BE50"/>
    <mergeCell ref="BI50:BW50"/>
    <mergeCell ref="BF51:BH51"/>
    <mergeCell ref="C52:K52"/>
    <mergeCell ref="L52:N52"/>
    <mergeCell ref="O52:BW52"/>
    <mergeCell ref="B40:BX40"/>
    <mergeCell ref="B41:BX41"/>
    <mergeCell ref="C42:BW42"/>
    <mergeCell ref="B44:BX44"/>
    <mergeCell ref="C45:BW45"/>
    <mergeCell ref="C49:M49"/>
    <mergeCell ref="BV33:BV34"/>
    <mergeCell ref="J63:L63"/>
    <mergeCell ref="AB63:AD63"/>
    <mergeCell ref="AL63:AN63"/>
    <mergeCell ref="BX52:BX64"/>
    <mergeCell ref="C53:K53"/>
    <mergeCell ref="O53:BW53"/>
    <mergeCell ref="L54:N54"/>
    <mergeCell ref="C56:BW56"/>
    <mergeCell ref="C59:BW59"/>
    <mergeCell ref="C61:K61"/>
    <mergeCell ref="L61:AD61"/>
    <mergeCell ref="AE61:BW61"/>
    <mergeCell ref="C62:I62"/>
    <mergeCell ref="F72:H73"/>
    <mergeCell ref="I72:I73"/>
    <mergeCell ref="J72:J73"/>
    <mergeCell ref="K72:K73"/>
    <mergeCell ref="L72:N73"/>
    <mergeCell ref="O72:O73"/>
    <mergeCell ref="C65:BW65"/>
    <mergeCell ref="AU70:BW74"/>
    <mergeCell ref="C71:E71"/>
    <mergeCell ref="I71:K71"/>
    <mergeCell ref="O71:U71"/>
    <mergeCell ref="Y71:AA71"/>
    <mergeCell ref="AE71:AG71"/>
    <mergeCell ref="C72:C73"/>
    <mergeCell ref="D72:D73"/>
    <mergeCell ref="E72:E73"/>
    <mergeCell ref="AQ72:AQ73"/>
    <mergeCell ref="B73:B80"/>
    <mergeCell ref="AU75:BW79"/>
    <mergeCell ref="H84:AK89"/>
    <mergeCell ref="AO84:BQ89"/>
    <mergeCell ref="F91:Y92"/>
    <mergeCell ref="BL91:BT92"/>
    <mergeCell ref="AF72:AF73"/>
    <mergeCell ref="AG72:AG73"/>
    <mergeCell ref="AI72:AI73"/>
    <mergeCell ref="AK72:AK73"/>
    <mergeCell ref="AM72:AM73"/>
    <mergeCell ref="AO72:AO73"/>
    <mergeCell ref="V72:V73"/>
    <mergeCell ref="Y72:Y73"/>
    <mergeCell ref="Z72:Z73"/>
    <mergeCell ref="AA72:AA73"/>
    <mergeCell ref="AC72:AC73"/>
    <mergeCell ref="AE72:AE73"/>
    <mergeCell ref="P72:P73"/>
    <mergeCell ref="Q72:Q73"/>
    <mergeCell ref="R72:R73"/>
    <mergeCell ref="S72:S73"/>
    <mergeCell ref="T72:T73"/>
    <mergeCell ref="U72:U73"/>
  </mergeCells>
  <dataValidations count="10">
    <dataValidation type="list" showDropDown="1" showInputMessage="1" showErrorMessage="1" error="Vyznačí sa iba  x" prompt="_x000a_    Vyznačí sa x,     _x000a_ak ide o zostavenú_x000a_ účtovnú závierku" sqref="WWO983062:WWO983063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G22:AG23 KC22:KC23 TY22:TY23 ADU22:ADU23 ANQ22:ANQ23 AXM22:AXM23 BHI22:BHI23 BRE22:BRE23 CBA22:CBA23 CKW22:CKW23 CUS22:CUS23 DEO22:DEO23 DOK22:DOK23 DYG22:DYG23 EIC22:EIC23 ERY22:ERY23 FBU22:FBU23 FLQ22:FLQ23 FVM22:FVM23 GFI22:GFI23 GPE22:GPE23 GZA22:GZA23 HIW22:HIW23 HSS22:HSS23 ICO22:ICO23 IMK22:IMK23 IWG22:IWG23 JGC22:JGC23 JPY22:JPY23 JZU22:JZU23 KJQ22:KJQ23 KTM22:KTM23 LDI22:LDI23 LNE22:LNE23 LXA22:LXA23 MGW22:MGW23 MQS22:MQS23 NAO22:NAO23 NKK22:NKK23 NUG22:NUG23 OEC22:OEC23 ONY22:ONY23 OXU22:OXU23 PHQ22:PHQ23 PRM22:PRM23 QBI22:QBI23 QLE22:QLE23 QVA22:QVA23 REW22:REW23 ROS22:ROS23 RYO22:RYO23 SIK22:SIK23 SSG22:SSG23 TCC22:TCC23 TLY22:TLY23 TVU22:TVU23 UFQ22:UFQ23 UPM22:UPM23 UZI22:UZI23 VJE22:VJE23 VTA22:VTA23 WCW22:WCW23 WMS22:WMS23 WWO22:WWO23 AG65558:AG65559 KC65558:KC65559 TY65558:TY65559 ADU65558:ADU65559 ANQ65558:ANQ65559 AXM65558:AXM65559 BHI65558:BHI65559 BRE65558:BRE65559 CBA65558:CBA65559 CKW65558:CKW65559 CUS65558:CUS65559 DEO65558:DEO65559 DOK65558:DOK65559 DYG65558:DYG65559 EIC65558:EIC65559 ERY65558:ERY65559 FBU65558:FBU65559 FLQ65558:FLQ65559 FVM65558:FVM65559 GFI65558:GFI65559 GPE65558:GPE65559 GZA65558:GZA65559 HIW65558:HIW65559 HSS65558:HSS65559 ICO65558:ICO65559 IMK65558:IMK65559 IWG65558:IWG65559 JGC65558:JGC65559 JPY65558:JPY65559 JZU65558:JZU65559 KJQ65558:KJQ65559 KTM65558:KTM65559 LDI65558:LDI65559 LNE65558:LNE65559 LXA65558:LXA65559 MGW65558:MGW65559 MQS65558:MQS65559 NAO65558:NAO65559 NKK65558:NKK65559 NUG65558:NUG65559 OEC65558:OEC65559 ONY65558:ONY65559 OXU65558:OXU65559 PHQ65558:PHQ65559 PRM65558:PRM65559 QBI65558:QBI65559 QLE65558:QLE65559 QVA65558:QVA65559 REW65558:REW65559 ROS65558:ROS65559 RYO65558:RYO65559 SIK65558:SIK65559 SSG65558:SSG65559 TCC65558:TCC65559 TLY65558:TLY65559 TVU65558:TVU65559 UFQ65558:UFQ65559 UPM65558:UPM65559 UZI65558:UZI65559 VJE65558:VJE65559 VTA65558:VTA65559 WCW65558:WCW65559 WMS65558:WMS65559 WWO65558:WWO65559 AG131094:AG131095 KC131094:KC131095 TY131094:TY131095 ADU131094:ADU131095 ANQ131094:ANQ131095 AXM131094:AXM131095 BHI131094:BHI131095 BRE131094:BRE131095 CBA131094:CBA131095 CKW131094:CKW131095 CUS131094:CUS131095 DEO131094:DEO131095 DOK131094:DOK131095 DYG131094:DYG131095 EIC131094:EIC131095 ERY131094:ERY131095 FBU131094:FBU131095 FLQ131094:FLQ131095 FVM131094:FVM131095 GFI131094:GFI131095 GPE131094:GPE131095 GZA131094:GZA131095 HIW131094:HIW131095 HSS131094:HSS131095 ICO131094:ICO131095 IMK131094:IMK131095 IWG131094:IWG131095 JGC131094:JGC131095 JPY131094:JPY131095 JZU131094:JZU131095 KJQ131094:KJQ131095 KTM131094:KTM131095 LDI131094:LDI131095 LNE131094:LNE131095 LXA131094:LXA131095 MGW131094:MGW131095 MQS131094:MQS131095 NAO131094:NAO131095 NKK131094:NKK131095 NUG131094:NUG131095 OEC131094:OEC131095 ONY131094:ONY131095 OXU131094:OXU131095 PHQ131094:PHQ131095 PRM131094:PRM131095 QBI131094:QBI131095 QLE131094:QLE131095 QVA131094:QVA131095 REW131094:REW131095 ROS131094:ROS131095 RYO131094:RYO131095 SIK131094:SIK131095 SSG131094:SSG131095 TCC131094:TCC131095 TLY131094:TLY131095 TVU131094:TVU131095 UFQ131094:UFQ131095 UPM131094:UPM131095 UZI131094:UZI131095 VJE131094:VJE131095 VTA131094:VTA131095 WCW131094:WCW131095 WMS131094:WMS131095 WWO131094:WWO131095 AG196630:AG196631 KC196630:KC196631 TY196630:TY196631 ADU196630:ADU196631 ANQ196630:ANQ196631 AXM196630:AXM196631 BHI196630:BHI196631 BRE196630:BRE196631 CBA196630:CBA196631 CKW196630:CKW196631 CUS196630:CUS196631 DEO196630:DEO196631 DOK196630:DOK196631 DYG196630:DYG196631 EIC196630:EIC196631 ERY196630:ERY196631 FBU196630:FBU196631 FLQ196630:FLQ196631 FVM196630:FVM196631 GFI196630:GFI196631 GPE196630:GPE196631 GZA196630:GZA196631 HIW196630:HIW196631 HSS196630:HSS196631 ICO196630:ICO196631 IMK196630:IMK196631 IWG196630:IWG196631 JGC196630:JGC196631 JPY196630:JPY196631 JZU196630:JZU196631 KJQ196630:KJQ196631 KTM196630:KTM196631 LDI196630:LDI196631 LNE196630:LNE196631 LXA196630:LXA196631 MGW196630:MGW196631 MQS196630:MQS196631 NAO196630:NAO196631 NKK196630:NKK196631 NUG196630:NUG196631 OEC196630:OEC196631 ONY196630:ONY196631 OXU196630:OXU196631 PHQ196630:PHQ196631 PRM196630:PRM196631 QBI196630:QBI196631 QLE196630:QLE196631 QVA196630:QVA196631 REW196630:REW196631 ROS196630:ROS196631 RYO196630:RYO196631 SIK196630:SIK196631 SSG196630:SSG196631 TCC196630:TCC196631 TLY196630:TLY196631 TVU196630:TVU196631 UFQ196630:UFQ196631 UPM196630:UPM196631 UZI196630:UZI196631 VJE196630:VJE196631 VTA196630:VTA196631 WCW196630:WCW196631 WMS196630:WMS196631 WWO196630:WWO196631 AG262166:AG262167 KC262166:KC262167 TY262166:TY262167 ADU262166:ADU262167 ANQ262166:ANQ262167 AXM262166:AXM262167 BHI262166:BHI262167 BRE262166:BRE262167 CBA262166:CBA262167 CKW262166:CKW262167 CUS262166:CUS262167 DEO262166:DEO262167 DOK262166:DOK262167 DYG262166:DYG262167 EIC262166:EIC262167 ERY262166:ERY262167 FBU262166:FBU262167 FLQ262166:FLQ262167 FVM262166:FVM262167 GFI262166:GFI262167 GPE262166:GPE262167 GZA262166:GZA262167 HIW262166:HIW262167 HSS262166:HSS262167 ICO262166:ICO262167 IMK262166:IMK262167 IWG262166:IWG262167 JGC262166:JGC262167 JPY262166:JPY262167 JZU262166:JZU262167 KJQ262166:KJQ262167 KTM262166:KTM262167 LDI262166:LDI262167 LNE262166:LNE262167 LXA262166:LXA262167 MGW262166:MGW262167 MQS262166:MQS262167 NAO262166:NAO262167 NKK262166:NKK262167 NUG262166:NUG262167 OEC262166:OEC262167 ONY262166:ONY262167 OXU262166:OXU262167 PHQ262166:PHQ262167 PRM262166:PRM262167 QBI262166:QBI262167 QLE262166:QLE262167 QVA262166:QVA262167 REW262166:REW262167 ROS262166:ROS262167 RYO262166:RYO262167 SIK262166:SIK262167 SSG262166:SSG262167 TCC262166:TCC262167 TLY262166:TLY262167 TVU262166:TVU262167 UFQ262166:UFQ262167 UPM262166:UPM262167 UZI262166:UZI262167 VJE262166:VJE262167 VTA262166:VTA262167 WCW262166:WCW262167 WMS262166:WMS262167 WWO262166:WWO262167 AG327702:AG327703 KC327702:KC327703 TY327702:TY327703 ADU327702:ADU327703 ANQ327702:ANQ327703 AXM327702:AXM327703 BHI327702:BHI327703 BRE327702:BRE327703 CBA327702:CBA327703 CKW327702:CKW327703 CUS327702:CUS327703 DEO327702:DEO327703 DOK327702:DOK327703 DYG327702:DYG327703 EIC327702:EIC327703 ERY327702:ERY327703 FBU327702:FBU327703 FLQ327702:FLQ327703 FVM327702:FVM327703 GFI327702:GFI327703 GPE327702:GPE327703 GZA327702:GZA327703 HIW327702:HIW327703 HSS327702:HSS327703 ICO327702:ICO327703 IMK327702:IMK327703 IWG327702:IWG327703 JGC327702:JGC327703 JPY327702:JPY327703 JZU327702:JZU327703 KJQ327702:KJQ327703 KTM327702:KTM327703 LDI327702:LDI327703 LNE327702:LNE327703 LXA327702:LXA327703 MGW327702:MGW327703 MQS327702:MQS327703 NAO327702:NAO327703 NKK327702:NKK327703 NUG327702:NUG327703 OEC327702:OEC327703 ONY327702:ONY327703 OXU327702:OXU327703 PHQ327702:PHQ327703 PRM327702:PRM327703 QBI327702:QBI327703 QLE327702:QLE327703 QVA327702:QVA327703 REW327702:REW327703 ROS327702:ROS327703 RYO327702:RYO327703 SIK327702:SIK327703 SSG327702:SSG327703 TCC327702:TCC327703 TLY327702:TLY327703 TVU327702:TVU327703 UFQ327702:UFQ327703 UPM327702:UPM327703 UZI327702:UZI327703 VJE327702:VJE327703 VTA327702:VTA327703 WCW327702:WCW327703 WMS327702:WMS327703 WWO327702:WWO327703 AG393238:AG393239 KC393238:KC393239 TY393238:TY393239 ADU393238:ADU393239 ANQ393238:ANQ393239 AXM393238:AXM393239 BHI393238:BHI393239 BRE393238:BRE393239 CBA393238:CBA393239 CKW393238:CKW393239 CUS393238:CUS393239 DEO393238:DEO393239 DOK393238:DOK393239 DYG393238:DYG393239 EIC393238:EIC393239 ERY393238:ERY393239 FBU393238:FBU393239 FLQ393238:FLQ393239 FVM393238:FVM393239 GFI393238:GFI393239 GPE393238:GPE393239 GZA393238:GZA393239 HIW393238:HIW393239 HSS393238:HSS393239 ICO393238:ICO393239 IMK393238:IMK393239 IWG393238:IWG393239 JGC393238:JGC393239 JPY393238:JPY393239 JZU393238:JZU393239 KJQ393238:KJQ393239 KTM393238:KTM393239 LDI393238:LDI393239 LNE393238:LNE393239 LXA393238:LXA393239 MGW393238:MGW393239 MQS393238:MQS393239 NAO393238:NAO393239 NKK393238:NKK393239 NUG393238:NUG393239 OEC393238:OEC393239 ONY393238:ONY393239 OXU393238:OXU393239 PHQ393238:PHQ393239 PRM393238:PRM393239 QBI393238:QBI393239 QLE393238:QLE393239 QVA393238:QVA393239 REW393238:REW393239 ROS393238:ROS393239 RYO393238:RYO393239 SIK393238:SIK393239 SSG393238:SSG393239 TCC393238:TCC393239 TLY393238:TLY393239 TVU393238:TVU393239 UFQ393238:UFQ393239 UPM393238:UPM393239 UZI393238:UZI393239 VJE393238:VJE393239 VTA393238:VTA393239 WCW393238:WCW393239 WMS393238:WMS393239 WWO393238:WWO393239 AG458774:AG458775 KC458774:KC458775 TY458774:TY458775 ADU458774:ADU458775 ANQ458774:ANQ458775 AXM458774:AXM458775 BHI458774:BHI458775 BRE458774:BRE458775 CBA458774:CBA458775 CKW458774:CKW458775 CUS458774:CUS458775 DEO458774:DEO458775 DOK458774:DOK458775 DYG458774:DYG458775 EIC458774:EIC458775 ERY458774:ERY458775 FBU458774:FBU458775 FLQ458774:FLQ458775 FVM458774:FVM458775 GFI458774:GFI458775 GPE458774:GPE458775 GZA458774:GZA458775 HIW458774:HIW458775 HSS458774:HSS458775 ICO458774:ICO458775 IMK458774:IMK458775 IWG458774:IWG458775 JGC458774:JGC458775 JPY458774:JPY458775 JZU458774:JZU458775 KJQ458774:KJQ458775 KTM458774:KTM458775 LDI458774:LDI458775 LNE458774:LNE458775 LXA458774:LXA458775 MGW458774:MGW458775 MQS458774:MQS458775 NAO458774:NAO458775 NKK458774:NKK458775 NUG458774:NUG458775 OEC458774:OEC458775 ONY458774:ONY458775 OXU458774:OXU458775 PHQ458774:PHQ458775 PRM458774:PRM458775 QBI458774:QBI458775 QLE458774:QLE458775 QVA458774:QVA458775 REW458774:REW458775 ROS458774:ROS458775 RYO458774:RYO458775 SIK458774:SIK458775 SSG458774:SSG458775 TCC458774:TCC458775 TLY458774:TLY458775 TVU458774:TVU458775 UFQ458774:UFQ458775 UPM458774:UPM458775 UZI458774:UZI458775 VJE458774:VJE458775 VTA458774:VTA458775 WCW458774:WCW458775 WMS458774:WMS458775 WWO458774:WWO458775 AG524310:AG524311 KC524310:KC524311 TY524310:TY524311 ADU524310:ADU524311 ANQ524310:ANQ524311 AXM524310:AXM524311 BHI524310:BHI524311 BRE524310:BRE524311 CBA524310:CBA524311 CKW524310:CKW524311 CUS524310:CUS524311 DEO524310:DEO524311 DOK524310:DOK524311 DYG524310:DYG524311 EIC524310:EIC524311 ERY524310:ERY524311 FBU524310:FBU524311 FLQ524310:FLQ524311 FVM524310:FVM524311 GFI524310:GFI524311 GPE524310:GPE524311 GZA524310:GZA524311 HIW524310:HIW524311 HSS524310:HSS524311 ICO524310:ICO524311 IMK524310:IMK524311 IWG524310:IWG524311 JGC524310:JGC524311 JPY524310:JPY524311 JZU524310:JZU524311 KJQ524310:KJQ524311 KTM524310:KTM524311 LDI524310:LDI524311 LNE524310:LNE524311 LXA524310:LXA524311 MGW524310:MGW524311 MQS524310:MQS524311 NAO524310:NAO524311 NKK524310:NKK524311 NUG524310:NUG524311 OEC524310:OEC524311 ONY524310:ONY524311 OXU524310:OXU524311 PHQ524310:PHQ524311 PRM524310:PRM524311 QBI524310:QBI524311 QLE524310:QLE524311 QVA524310:QVA524311 REW524310:REW524311 ROS524310:ROS524311 RYO524310:RYO524311 SIK524310:SIK524311 SSG524310:SSG524311 TCC524310:TCC524311 TLY524310:TLY524311 TVU524310:TVU524311 UFQ524310:UFQ524311 UPM524310:UPM524311 UZI524310:UZI524311 VJE524310:VJE524311 VTA524310:VTA524311 WCW524310:WCW524311 WMS524310:WMS524311 WWO524310:WWO524311 AG589846:AG589847 KC589846:KC589847 TY589846:TY589847 ADU589846:ADU589847 ANQ589846:ANQ589847 AXM589846:AXM589847 BHI589846:BHI589847 BRE589846:BRE589847 CBA589846:CBA589847 CKW589846:CKW589847 CUS589846:CUS589847 DEO589846:DEO589847 DOK589846:DOK589847 DYG589846:DYG589847 EIC589846:EIC589847 ERY589846:ERY589847 FBU589846:FBU589847 FLQ589846:FLQ589847 FVM589846:FVM589847 GFI589846:GFI589847 GPE589846:GPE589847 GZA589846:GZA589847 HIW589846:HIW589847 HSS589846:HSS589847 ICO589846:ICO589847 IMK589846:IMK589847 IWG589846:IWG589847 JGC589846:JGC589847 JPY589846:JPY589847 JZU589846:JZU589847 KJQ589846:KJQ589847 KTM589846:KTM589847 LDI589846:LDI589847 LNE589846:LNE589847 LXA589846:LXA589847 MGW589846:MGW589847 MQS589846:MQS589847 NAO589846:NAO589847 NKK589846:NKK589847 NUG589846:NUG589847 OEC589846:OEC589847 ONY589846:ONY589847 OXU589846:OXU589847 PHQ589846:PHQ589847 PRM589846:PRM589847 QBI589846:QBI589847 QLE589846:QLE589847 QVA589846:QVA589847 REW589846:REW589847 ROS589846:ROS589847 RYO589846:RYO589847 SIK589846:SIK589847 SSG589846:SSG589847 TCC589846:TCC589847 TLY589846:TLY589847 TVU589846:TVU589847 UFQ589846:UFQ589847 UPM589846:UPM589847 UZI589846:UZI589847 VJE589846:VJE589847 VTA589846:VTA589847 WCW589846:WCW589847 WMS589846:WMS589847 WWO589846:WWO589847 AG655382:AG655383 KC655382:KC655383 TY655382:TY655383 ADU655382:ADU655383 ANQ655382:ANQ655383 AXM655382:AXM655383 BHI655382:BHI655383 BRE655382:BRE655383 CBA655382:CBA655383 CKW655382:CKW655383 CUS655382:CUS655383 DEO655382:DEO655383 DOK655382:DOK655383 DYG655382:DYG655383 EIC655382:EIC655383 ERY655382:ERY655383 FBU655382:FBU655383 FLQ655382:FLQ655383 FVM655382:FVM655383 GFI655382:GFI655383 GPE655382:GPE655383 GZA655382:GZA655383 HIW655382:HIW655383 HSS655382:HSS655383 ICO655382:ICO655383 IMK655382:IMK655383 IWG655382:IWG655383 JGC655382:JGC655383 JPY655382:JPY655383 JZU655382:JZU655383 KJQ655382:KJQ655383 KTM655382:KTM655383 LDI655382:LDI655383 LNE655382:LNE655383 LXA655382:LXA655383 MGW655382:MGW655383 MQS655382:MQS655383 NAO655382:NAO655383 NKK655382:NKK655383 NUG655382:NUG655383 OEC655382:OEC655383 ONY655382:ONY655383 OXU655382:OXU655383 PHQ655382:PHQ655383 PRM655382:PRM655383 QBI655382:QBI655383 QLE655382:QLE655383 QVA655382:QVA655383 REW655382:REW655383 ROS655382:ROS655383 RYO655382:RYO655383 SIK655382:SIK655383 SSG655382:SSG655383 TCC655382:TCC655383 TLY655382:TLY655383 TVU655382:TVU655383 UFQ655382:UFQ655383 UPM655382:UPM655383 UZI655382:UZI655383 VJE655382:VJE655383 VTA655382:VTA655383 WCW655382:WCW655383 WMS655382:WMS655383 WWO655382:WWO655383 AG720918:AG720919 KC720918:KC720919 TY720918:TY720919 ADU720918:ADU720919 ANQ720918:ANQ720919 AXM720918:AXM720919 BHI720918:BHI720919 BRE720918:BRE720919 CBA720918:CBA720919 CKW720918:CKW720919 CUS720918:CUS720919 DEO720918:DEO720919 DOK720918:DOK720919 DYG720918:DYG720919 EIC720918:EIC720919 ERY720918:ERY720919 FBU720918:FBU720919 FLQ720918:FLQ720919 FVM720918:FVM720919 GFI720918:GFI720919 GPE720918:GPE720919 GZA720918:GZA720919 HIW720918:HIW720919 HSS720918:HSS720919 ICO720918:ICO720919 IMK720918:IMK720919 IWG720918:IWG720919 JGC720918:JGC720919 JPY720918:JPY720919 JZU720918:JZU720919 KJQ720918:KJQ720919 KTM720918:KTM720919 LDI720918:LDI720919 LNE720918:LNE720919 LXA720918:LXA720919 MGW720918:MGW720919 MQS720918:MQS720919 NAO720918:NAO720919 NKK720918:NKK720919 NUG720918:NUG720919 OEC720918:OEC720919 ONY720918:ONY720919 OXU720918:OXU720919 PHQ720918:PHQ720919 PRM720918:PRM720919 QBI720918:QBI720919 QLE720918:QLE720919 QVA720918:QVA720919 REW720918:REW720919 ROS720918:ROS720919 RYO720918:RYO720919 SIK720918:SIK720919 SSG720918:SSG720919 TCC720918:TCC720919 TLY720918:TLY720919 TVU720918:TVU720919 UFQ720918:UFQ720919 UPM720918:UPM720919 UZI720918:UZI720919 VJE720918:VJE720919 VTA720918:VTA720919 WCW720918:WCW720919 WMS720918:WMS720919 WWO720918:WWO720919 AG786454:AG786455 KC786454:KC786455 TY786454:TY786455 ADU786454:ADU786455 ANQ786454:ANQ786455 AXM786454:AXM786455 BHI786454:BHI786455 BRE786454:BRE786455 CBA786454:CBA786455 CKW786454:CKW786455 CUS786454:CUS786455 DEO786454:DEO786455 DOK786454:DOK786455 DYG786454:DYG786455 EIC786454:EIC786455 ERY786454:ERY786455 FBU786454:FBU786455 FLQ786454:FLQ786455 FVM786454:FVM786455 GFI786454:GFI786455 GPE786454:GPE786455 GZA786454:GZA786455 HIW786454:HIW786455 HSS786454:HSS786455 ICO786454:ICO786455 IMK786454:IMK786455 IWG786454:IWG786455 JGC786454:JGC786455 JPY786454:JPY786455 JZU786454:JZU786455 KJQ786454:KJQ786455 KTM786454:KTM786455 LDI786454:LDI786455 LNE786454:LNE786455 LXA786454:LXA786455 MGW786454:MGW786455 MQS786454:MQS786455 NAO786454:NAO786455 NKK786454:NKK786455 NUG786454:NUG786455 OEC786454:OEC786455 ONY786454:ONY786455 OXU786454:OXU786455 PHQ786454:PHQ786455 PRM786454:PRM786455 QBI786454:QBI786455 QLE786454:QLE786455 QVA786454:QVA786455 REW786454:REW786455 ROS786454:ROS786455 RYO786454:RYO786455 SIK786454:SIK786455 SSG786454:SSG786455 TCC786454:TCC786455 TLY786454:TLY786455 TVU786454:TVU786455 UFQ786454:UFQ786455 UPM786454:UPM786455 UZI786454:UZI786455 VJE786454:VJE786455 VTA786454:VTA786455 WCW786454:WCW786455 WMS786454:WMS786455 WWO786454:WWO786455 AG851990:AG851991 KC851990:KC851991 TY851990:TY851991 ADU851990:ADU851991 ANQ851990:ANQ851991 AXM851990:AXM851991 BHI851990:BHI851991 BRE851990:BRE851991 CBA851990:CBA851991 CKW851990:CKW851991 CUS851990:CUS851991 DEO851990:DEO851991 DOK851990:DOK851991 DYG851990:DYG851991 EIC851990:EIC851991 ERY851990:ERY851991 FBU851990:FBU851991 FLQ851990:FLQ851991 FVM851990:FVM851991 GFI851990:GFI851991 GPE851990:GPE851991 GZA851990:GZA851991 HIW851990:HIW851991 HSS851990:HSS851991 ICO851990:ICO851991 IMK851990:IMK851991 IWG851990:IWG851991 JGC851990:JGC851991 JPY851990:JPY851991 JZU851990:JZU851991 KJQ851990:KJQ851991 KTM851990:KTM851991 LDI851990:LDI851991 LNE851990:LNE851991 LXA851990:LXA851991 MGW851990:MGW851991 MQS851990:MQS851991 NAO851990:NAO851991 NKK851990:NKK851991 NUG851990:NUG851991 OEC851990:OEC851991 ONY851990:ONY851991 OXU851990:OXU851991 PHQ851990:PHQ851991 PRM851990:PRM851991 QBI851990:QBI851991 QLE851990:QLE851991 QVA851990:QVA851991 REW851990:REW851991 ROS851990:ROS851991 RYO851990:RYO851991 SIK851990:SIK851991 SSG851990:SSG851991 TCC851990:TCC851991 TLY851990:TLY851991 TVU851990:TVU851991 UFQ851990:UFQ851991 UPM851990:UPM851991 UZI851990:UZI851991 VJE851990:VJE851991 VTA851990:VTA851991 WCW851990:WCW851991 WMS851990:WMS851991 WWO851990:WWO851991 AG917526:AG917527 KC917526:KC917527 TY917526:TY917527 ADU917526:ADU917527 ANQ917526:ANQ917527 AXM917526:AXM917527 BHI917526:BHI917527 BRE917526:BRE917527 CBA917526:CBA917527 CKW917526:CKW917527 CUS917526:CUS917527 DEO917526:DEO917527 DOK917526:DOK917527 DYG917526:DYG917527 EIC917526:EIC917527 ERY917526:ERY917527 FBU917526:FBU917527 FLQ917526:FLQ917527 FVM917526:FVM917527 GFI917526:GFI917527 GPE917526:GPE917527 GZA917526:GZA917527 HIW917526:HIW917527 HSS917526:HSS917527 ICO917526:ICO917527 IMK917526:IMK917527 IWG917526:IWG917527 JGC917526:JGC917527 JPY917526:JPY917527 JZU917526:JZU917527 KJQ917526:KJQ917527 KTM917526:KTM917527 LDI917526:LDI917527 LNE917526:LNE917527 LXA917526:LXA917527 MGW917526:MGW917527 MQS917526:MQS917527 NAO917526:NAO917527 NKK917526:NKK917527 NUG917526:NUG917527 OEC917526:OEC917527 ONY917526:ONY917527 OXU917526:OXU917527 PHQ917526:PHQ917527 PRM917526:PRM917527 QBI917526:QBI917527 QLE917526:QLE917527 QVA917526:QVA917527 REW917526:REW917527 ROS917526:ROS917527 RYO917526:RYO917527 SIK917526:SIK917527 SSG917526:SSG917527 TCC917526:TCC917527 TLY917526:TLY917527 TVU917526:TVU917527 UFQ917526:UFQ917527 UPM917526:UPM917527 UZI917526:UZI917527 VJE917526:VJE917527 VTA917526:VTA917527 WCW917526:WCW917527 WMS917526:WMS917527 WWO917526:WWO917527 AG983062:AG983063 KC983062:KC983063 TY983062:TY983063 ADU983062:ADU983063 ANQ983062:ANQ983063 AXM983062:AXM983063 BHI983062:BHI983063 BRE983062:BRE983063 CBA983062:CBA983063 CKW983062:CKW983063 CUS983062:CUS983063 DEO983062:DEO983063 DOK983062:DOK983063 DYG983062:DYG983063 EIC983062:EIC983063 ERY983062:ERY983063 FBU983062:FBU983063 FLQ983062:FLQ983063 FVM983062:FVM983063 GFI983062:GFI983063 GPE983062:GPE983063 GZA983062:GZA983063 HIW983062:HIW983063 HSS983062:HSS983063 ICO983062:ICO983063 IMK983062:IMK983063 IWG983062:IWG983063 JGC983062:JGC983063 JPY983062:JPY983063 JZU983062:JZU983063 KJQ983062:KJQ983063 KTM983062:KTM983063 LDI983062:LDI983063 LNE983062:LNE983063 LXA983062:LXA983063 MGW983062:MGW983063 MQS983062:MQS983063 NAO983062:NAO983063 NKK983062:NKK983063 NUG983062:NUG983063 OEC983062:OEC983063 ONY983062:ONY983063 OXU983062:OXU983063 PHQ983062:PHQ983063 PRM983062:PRM983063 QBI983062:QBI983063 QLE983062:QLE983063 QVA983062:QVA983063 REW983062:REW983063 ROS983062:ROS983063 RYO983062:RYO983063 SIK983062:SIK983063 SSG983062:SSG983063 TCC983062:TCC983063 TLY983062:TLY983063 TVU983062:TVU983063 UFQ983062:UFQ983063 UPM983062:UPM983063 UZI983062:UZI983063 VJE983062:VJE983063 VTA983062:VTA983063 WCW983062:WCW983063 WMS983062:WMS983063" xr:uid="{00000000-0002-0000-0800-000000000000}">
      <formula1>"x"</formula1>
      <formula2>0</formula2>
    </dataValidation>
    <dataValidation type="list" showDropDown="1" showInputMessage="1" showErrorMessage="1" error="Vyznačí sa iba  x" prompt="_x000a_   Vyznačí sa x,     _x000a_ ak ide o riadnu_x000a_účtovnú závierku" sqref="WXE983078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U22:U23 JQ22:JQ23 TM22:TM23 ADI22:ADI23 ANE22:ANE23 AXA22:AXA23 BGW22:BGW23 BQS22:BQS23 CAO22:CAO23 CKK22:CKK23 CUG22:CUG23 DEC22:DEC23 DNY22:DNY23 DXU22:DXU23 EHQ22:EHQ23 ERM22:ERM23 FBI22:FBI23 FLE22:FLE23 FVA22:FVA23 GEW22:GEW23 GOS22:GOS23 GYO22:GYO23 HIK22:HIK23 HSG22:HSG23 ICC22:ICC23 ILY22:ILY23 IVU22:IVU23 JFQ22:JFQ23 JPM22:JPM23 JZI22:JZI23 KJE22:KJE23 KTA22:KTA23 LCW22:LCW23 LMS22:LMS23 LWO22:LWO23 MGK22:MGK23 MQG22:MQG23 NAC22:NAC23 NJY22:NJY23 NTU22:NTU23 ODQ22:ODQ23 ONM22:ONM23 OXI22:OXI23 PHE22:PHE23 PRA22:PRA23 QAW22:QAW23 QKS22:QKS23 QUO22:QUO23 REK22:REK23 ROG22:ROG23 RYC22:RYC23 SHY22:SHY23 SRU22:SRU23 TBQ22:TBQ23 TLM22:TLM23 TVI22:TVI23 UFE22:UFE23 UPA22:UPA23 UYW22:UYW23 VIS22:VIS23 VSO22:VSO23 WCK22:WCK23 WMG22:WMG23 WWC22:WWC23 U65558:U65559 JQ65558:JQ65559 TM65558:TM65559 ADI65558:ADI65559 ANE65558:ANE65559 AXA65558:AXA65559 BGW65558:BGW65559 BQS65558:BQS65559 CAO65558:CAO65559 CKK65558:CKK65559 CUG65558:CUG65559 DEC65558:DEC65559 DNY65558:DNY65559 DXU65558:DXU65559 EHQ65558:EHQ65559 ERM65558:ERM65559 FBI65558:FBI65559 FLE65558:FLE65559 FVA65558:FVA65559 GEW65558:GEW65559 GOS65558:GOS65559 GYO65558:GYO65559 HIK65558:HIK65559 HSG65558:HSG65559 ICC65558:ICC65559 ILY65558:ILY65559 IVU65558:IVU65559 JFQ65558:JFQ65559 JPM65558:JPM65559 JZI65558:JZI65559 KJE65558:KJE65559 KTA65558:KTA65559 LCW65558:LCW65559 LMS65558:LMS65559 LWO65558:LWO65559 MGK65558:MGK65559 MQG65558:MQG65559 NAC65558:NAC65559 NJY65558:NJY65559 NTU65558:NTU65559 ODQ65558:ODQ65559 ONM65558:ONM65559 OXI65558:OXI65559 PHE65558:PHE65559 PRA65558:PRA65559 QAW65558:QAW65559 QKS65558:QKS65559 QUO65558:QUO65559 REK65558:REK65559 ROG65558:ROG65559 RYC65558:RYC65559 SHY65558:SHY65559 SRU65558:SRU65559 TBQ65558:TBQ65559 TLM65558:TLM65559 TVI65558:TVI65559 UFE65558:UFE65559 UPA65558:UPA65559 UYW65558:UYW65559 VIS65558:VIS65559 VSO65558:VSO65559 WCK65558:WCK65559 WMG65558:WMG65559 WWC65558:WWC65559 U131094:U131095 JQ131094:JQ131095 TM131094:TM131095 ADI131094:ADI131095 ANE131094:ANE131095 AXA131094:AXA131095 BGW131094:BGW131095 BQS131094:BQS131095 CAO131094:CAO131095 CKK131094:CKK131095 CUG131094:CUG131095 DEC131094:DEC131095 DNY131094:DNY131095 DXU131094:DXU131095 EHQ131094:EHQ131095 ERM131094:ERM131095 FBI131094:FBI131095 FLE131094:FLE131095 FVA131094:FVA131095 GEW131094:GEW131095 GOS131094:GOS131095 GYO131094:GYO131095 HIK131094:HIK131095 HSG131094:HSG131095 ICC131094:ICC131095 ILY131094:ILY131095 IVU131094:IVU131095 JFQ131094:JFQ131095 JPM131094:JPM131095 JZI131094:JZI131095 KJE131094:KJE131095 KTA131094:KTA131095 LCW131094:LCW131095 LMS131094:LMS131095 LWO131094:LWO131095 MGK131094:MGK131095 MQG131094:MQG131095 NAC131094:NAC131095 NJY131094:NJY131095 NTU131094:NTU131095 ODQ131094:ODQ131095 ONM131094:ONM131095 OXI131094:OXI131095 PHE131094:PHE131095 PRA131094:PRA131095 QAW131094:QAW131095 QKS131094:QKS131095 QUO131094:QUO131095 REK131094:REK131095 ROG131094:ROG131095 RYC131094:RYC131095 SHY131094:SHY131095 SRU131094:SRU131095 TBQ131094:TBQ131095 TLM131094:TLM131095 TVI131094:TVI131095 UFE131094:UFE131095 UPA131094:UPA131095 UYW131094:UYW131095 VIS131094:VIS131095 VSO131094:VSO131095 WCK131094:WCK131095 WMG131094:WMG131095 WWC131094:WWC131095 U196630:U196631 JQ196630:JQ196631 TM196630:TM196631 ADI196630:ADI196631 ANE196630:ANE196631 AXA196630:AXA196631 BGW196630:BGW196631 BQS196630:BQS196631 CAO196630:CAO196631 CKK196630:CKK196631 CUG196630:CUG196631 DEC196630:DEC196631 DNY196630:DNY196631 DXU196630:DXU196631 EHQ196630:EHQ196631 ERM196630:ERM196631 FBI196630:FBI196631 FLE196630:FLE196631 FVA196630:FVA196631 GEW196630:GEW196631 GOS196630:GOS196631 GYO196630:GYO196631 HIK196630:HIK196631 HSG196630:HSG196631 ICC196630:ICC196631 ILY196630:ILY196631 IVU196630:IVU196631 JFQ196630:JFQ196631 JPM196630:JPM196631 JZI196630:JZI196631 KJE196630:KJE196631 KTA196630:KTA196631 LCW196630:LCW196631 LMS196630:LMS196631 LWO196630:LWO196631 MGK196630:MGK196631 MQG196630:MQG196631 NAC196630:NAC196631 NJY196630:NJY196631 NTU196630:NTU196631 ODQ196630:ODQ196631 ONM196630:ONM196631 OXI196630:OXI196631 PHE196630:PHE196631 PRA196630:PRA196631 QAW196630:QAW196631 QKS196630:QKS196631 QUO196630:QUO196631 REK196630:REK196631 ROG196630:ROG196631 RYC196630:RYC196631 SHY196630:SHY196631 SRU196630:SRU196631 TBQ196630:TBQ196631 TLM196630:TLM196631 TVI196630:TVI196631 UFE196630:UFE196631 UPA196630:UPA196631 UYW196630:UYW196631 VIS196630:VIS196631 VSO196630:VSO196631 WCK196630:WCK196631 WMG196630:WMG196631 WWC196630:WWC196631 U262166:U262167 JQ262166:JQ262167 TM262166:TM262167 ADI262166:ADI262167 ANE262166:ANE262167 AXA262166:AXA262167 BGW262166:BGW262167 BQS262166:BQS262167 CAO262166:CAO262167 CKK262166:CKK262167 CUG262166:CUG262167 DEC262166:DEC262167 DNY262166:DNY262167 DXU262166:DXU262167 EHQ262166:EHQ262167 ERM262166:ERM262167 FBI262166:FBI262167 FLE262166:FLE262167 FVA262166:FVA262167 GEW262166:GEW262167 GOS262166:GOS262167 GYO262166:GYO262167 HIK262166:HIK262167 HSG262166:HSG262167 ICC262166:ICC262167 ILY262166:ILY262167 IVU262166:IVU262167 JFQ262166:JFQ262167 JPM262166:JPM262167 JZI262166:JZI262167 KJE262166:KJE262167 KTA262166:KTA262167 LCW262166:LCW262167 LMS262166:LMS262167 LWO262166:LWO262167 MGK262166:MGK262167 MQG262166:MQG262167 NAC262166:NAC262167 NJY262166:NJY262167 NTU262166:NTU262167 ODQ262166:ODQ262167 ONM262166:ONM262167 OXI262166:OXI262167 PHE262166:PHE262167 PRA262166:PRA262167 QAW262166:QAW262167 QKS262166:QKS262167 QUO262166:QUO262167 REK262166:REK262167 ROG262166:ROG262167 RYC262166:RYC262167 SHY262166:SHY262167 SRU262166:SRU262167 TBQ262166:TBQ262167 TLM262166:TLM262167 TVI262166:TVI262167 UFE262166:UFE262167 UPA262166:UPA262167 UYW262166:UYW262167 VIS262166:VIS262167 VSO262166:VSO262167 WCK262166:WCK262167 WMG262166:WMG262167 WWC262166:WWC262167 U327702:U327703 JQ327702:JQ327703 TM327702:TM327703 ADI327702:ADI327703 ANE327702:ANE327703 AXA327702:AXA327703 BGW327702:BGW327703 BQS327702:BQS327703 CAO327702:CAO327703 CKK327702:CKK327703 CUG327702:CUG327703 DEC327702:DEC327703 DNY327702:DNY327703 DXU327702:DXU327703 EHQ327702:EHQ327703 ERM327702:ERM327703 FBI327702:FBI327703 FLE327702:FLE327703 FVA327702:FVA327703 GEW327702:GEW327703 GOS327702:GOS327703 GYO327702:GYO327703 HIK327702:HIK327703 HSG327702:HSG327703 ICC327702:ICC327703 ILY327702:ILY327703 IVU327702:IVU327703 JFQ327702:JFQ327703 JPM327702:JPM327703 JZI327702:JZI327703 KJE327702:KJE327703 KTA327702:KTA327703 LCW327702:LCW327703 LMS327702:LMS327703 LWO327702:LWO327703 MGK327702:MGK327703 MQG327702:MQG327703 NAC327702:NAC327703 NJY327702:NJY327703 NTU327702:NTU327703 ODQ327702:ODQ327703 ONM327702:ONM327703 OXI327702:OXI327703 PHE327702:PHE327703 PRA327702:PRA327703 QAW327702:QAW327703 QKS327702:QKS327703 QUO327702:QUO327703 REK327702:REK327703 ROG327702:ROG327703 RYC327702:RYC327703 SHY327702:SHY327703 SRU327702:SRU327703 TBQ327702:TBQ327703 TLM327702:TLM327703 TVI327702:TVI327703 UFE327702:UFE327703 UPA327702:UPA327703 UYW327702:UYW327703 VIS327702:VIS327703 VSO327702:VSO327703 WCK327702:WCK327703 WMG327702:WMG327703 WWC327702:WWC327703 U393238:U393239 JQ393238:JQ393239 TM393238:TM393239 ADI393238:ADI393239 ANE393238:ANE393239 AXA393238:AXA393239 BGW393238:BGW393239 BQS393238:BQS393239 CAO393238:CAO393239 CKK393238:CKK393239 CUG393238:CUG393239 DEC393238:DEC393239 DNY393238:DNY393239 DXU393238:DXU393239 EHQ393238:EHQ393239 ERM393238:ERM393239 FBI393238:FBI393239 FLE393238:FLE393239 FVA393238:FVA393239 GEW393238:GEW393239 GOS393238:GOS393239 GYO393238:GYO393239 HIK393238:HIK393239 HSG393238:HSG393239 ICC393238:ICC393239 ILY393238:ILY393239 IVU393238:IVU393239 JFQ393238:JFQ393239 JPM393238:JPM393239 JZI393238:JZI393239 KJE393238:KJE393239 KTA393238:KTA393239 LCW393238:LCW393239 LMS393238:LMS393239 LWO393238:LWO393239 MGK393238:MGK393239 MQG393238:MQG393239 NAC393238:NAC393239 NJY393238:NJY393239 NTU393238:NTU393239 ODQ393238:ODQ393239 ONM393238:ONM393239 OXI393238:OXI393239 PHE393238:PHE393239 PRA393238:PRA393239 QAW393238:QAW393239 QKS393238:QKS393239 QUO393238:QUO393239 REK393238:REK393239 ROG393238:ROG393239 RYC393238:RYC393239 SHY393238:SHY393239 SRU393238:SRU393239 TBQ393238:TBQ393239 TLM393238:TLM393239 TVI393238:TVI393239 UFE393238:UFE393239 UPA393238:UPA393239 UYW393238:UYW393239 VIS393238:VIS393239 VSO393238:VSO393239 WCK393238:WCK393239 WMG393238:WMG393239 WWC393238:WWC393239 U458774:U458775 JQ458774:JQ458775 TM458774:TM458775 ADI458774:ADI458775 ANE458774:ANE458775 AXA458774:AXA458775 BGW458774:BGW458775 BQS458774:BQS458775 CAO458774:CAO458775 CKK458774:CKK458775 CUG458774:CUG458775 DEC458774:DEC458775 DNY458774:DNY458775 DXU458774:DXU458775 EHQ458774:EHQ458775 ERM458774:ERM458775 FBI458774:FBI458775 FLE458774:FLE458775 FVA458774:FVA458775 GEW458774:GEW458775 GOS458774:GOS458775 GYO458774:GYO458775 HIK458774:HIK458775 HSG458774:HSG458775 ICC458774:ICC458775 ILY458774:ILY458775 IVU458774:IVU458775 JFQ458774:JFQ458775 JPM458774:JPM458775 JZI458774:JZI458775 KJE458774:KJE458775 KTA458774:KTA458775 LCW458774:LCW458775 LMS458774:LMS458775 LWO458774:LWO458775 MGK458774:MGK458775 MQG458774:MQG458775 NAC458774:NAC458775 NJY458774:NJY458775 NTU458774:NTU458775 ODQ458774:ODQ458775 ONM458774:ONM458775 OXI458774:OXI458775 PHE458774:PHE458775 PRA458774:PRA458775 QAW458774:QAW458775 QKS458774:QKS458775 QUO458774:QUO458775 REK458774:REK458775 ROG458774:ROG458775 RYC458774:RYC458775 SHY458774:SHY458775 SRU458774:SRU458775 TBQ458774:TBQ458775 TLM458774:TLM458775 TVI458774:TVI458775 UFE458774:UFE458775 UPA458774:UPA458775 UYW458774:UYW458775 VIS458774:VIS458775 VSO458774:VSO458775 WCK458774:WCK458775 WMG458774:WMG458775 WWC458774:WWC458775 U524310:U524311 JQ524310:JQ524311 TM524310:TM524311 ADI524310:ADI524311 ANE524310:ANE524311 AXA524310:AXA524311 BGW524310:BGW524311 BQS524310:BQS524311 CAO524310:CAO524311 CKK524310:CKK524311 CUG524310:CUG524311 DEC524310:DEC524311 DNY524310:DNY524311 DXU524310:DXU524311 EHQ524310:EHQ524311 ERM524310:ERM524311 FBI524310:FBI524311 FLE524310:FLE524311 FVA524310:FVA524311 GEW524310:GEW524311 GOS524310:GOS524311 GYO524310:GYO524311 HIK524310:HIK524311 HSG524310:HSG524311 ICC524310:ICC524311 ILY524310:ILY524311 IVU524310:IVU524311 JFQ524310:JFQ524311 JPM524310:JPM524311 JZI524310:JZI524311 KJE524310:KJE524311 KTA524310:KTA524311 LCW524310:LCW524311 LMS524310:LMS524311 LWO524310:LWO524311 MGK524310:MGK524311 MQG524310:MQG524311 NAC524310:NAC524311 NJY524310:NJY524311 NTU524310:NTU524311 ODQ524310:ODQ524311 ONM524310:ONM524311 OXI524310:OXI524311 PHE524310:PHE524311 PRA524310:PRA524311 QAW524310:QAW524311 QKS524310:QKS524311 QUO524310:QUO524311 REK524310:REK524311 ROG524310:ROG524311 RYC524310:RYC524311 SHY524310:SHY524311 SRU524310:SRU524311 TBQ524310:TBQ524311 TLM524310:TLM524311 TVI524310:TVI524311 UFE524310:UFE524311 UPA524310:UPA524311 UYW524310:UYW524311 VIS524310:VIS524311 VSO524310:VSO524311 WCK524310:WCK524311 WMG524310:WMG524311 WWC524310:WWC524311 U589846:U589847 JQ589846:JQ589847 TM589846:TM589847 ADI589846:ADI589847 ANE589846:ANE589847 AXA589846:AXA589847 BGW589846:BGW589847 BQS589846:BQS589847 CAO589846:CAO589847 CKK589846:CKK589847 CUG589846:CUG589847 DEC589846:DEC589847 DNY589846:DNY589847 DXU589846:DXU589847 EHQ589846:EHQ589847 ERM589846:ERM589847 FBI589846:FBI589847 FLE589846:FLE589847 FVA589846:FVA589847 GEW589846:GEW589847 GOS589846:GOS589847 GYO589846:GYO589847 HIK589846:HIK589847 HSG589846:HSG589847 ICC589846:ICC589847 ILY589846:ILY589847 IVU589846:IVU589847 JFQ589846:JFQ589847 JPM589846:JPM589847 JZI589846:JZI589847 KJE589846:KJE589847 KTA589846:KTA589847 LCW589846:LCW589847 LMS589846:LMS589847 LWO589846:LWO589847 MGK589846:MGK589847 MQG589846:MQG589847 NAC589846:NAC589847 NJY589846:NJY589847 NTU589846:NTU589847 ODQ589846:ODQ589847 ONM589846:ONM589847 OXI589846:OXI589847 PHE589846:PHE589847 PRA589846:PRA589847 QAW589846:QAW589847 QKS589846:QKS589847 QUO589846:QUO589847 REK589846:REK589847 ROG589846:ROG589847 RYC589846:RYC589847 SHY589846:SHY589847 SRU589846:SRU589847 TBQ589846:TBQ589847 TLM589846:TLM589847 TVI589846:TVI589847 UFE589846:UFE589847 UPA589846:UPA589847 UYW589846:UYW589847 VIS589846:VIS589847 VSO589846:VSO589847 WCK589846:WCK589847 WMG589846:WMG589847 WWC589846:WWC589847 U655382:U655383 JQ655382:JQ655383 TM655382:TM655383 ADI655382:ADI655383 ANE655382:ANE655383 AXA655382:AXA655383 BGW655382:BGW655383 BQS655382:BQS655383 CAO655382:CAO655383 CKK655382:CKK655383 CUG655382:CUG655383 DEC655382:DEC655383 DNY655382:DNY655383 DXU655382:DXU655383 EHQ655382:EHQ655383 ERM655382:ERM655383 FBI655382:FBI655383 FLE655382:FLE655383 FVA655382:FVA655383 GEW655382:GEW655383 GOS655382:GOS655383 GYO655382:GYO655383 HIK655382:HIK655383 HSG655382:HSG655383 ICC655382:ICC655383 ILY655382:ILY655383 IVU655382:IVU655383 JFQ655382:JFQ655383 JPM655382:JPM655383 JZI655382:JZI655383 KJE655382:KJE655383 KTA655382:KTA655383 LCW655382:LCW655383 LMS655382:LMS655383 LWO655382:LWO655383 MGK655382:MGK655383 MQG655382:MQG655383 NAC655382:NAC655383 NJY655382:NJY655383 NTU655382:NTU655383 ODQ655382:ODQ655383 ONM655382:ONM655383 OXI655382:OXI655383 PHE655382:PHE655383 PRA655382:PRA655383 QAW655382:QAW655383 QKS655382:QKS655383 QUO655382:QUO655383 REK655382:REK655383 ROG655382:ROG655383 RYC655382:RYC655383 SHY655382:SHY655383 SRU655382:SRU655383 TBQ655382:TBQ655383 TLM655382:TLM655383 TVI655382:TVI655383 UFE655382:UFE655383 UPA655382:UPA655383 UYW655382:UYW655383 VIS655382:VIS655383 VSO655382:VSO655383 WCK655382:WCK655383 WMG655382:WMG655383 WWC655382:WWC655383 U720918:U720919 JQ720918:JQ720919 TM720918:TM720919 ADI720918:ADI720919 ANE720918:ANE720919 AXA720918:AXA720919 BGW720918:BGW720919 BQS720918:BQS720919 CAO720918:CAO720919 CKK720918:CKK720919 CUG720918:CUG720919 DEC720918:DEC720919 DNY720918:DNY720919 DXU720918:DXU720919 EHQ720918:EHQ720919 ERM720918:ERM720919 FBI720918:FBI720919 FLE720918:FLE720919 FVA720918:FVA720919 GEW720918:GEW720919 GOS720918:GOS720919 GYO720918:GYO720919 HIK720918:HIK720919 HSG720918:HSG720919 ICC720918:ICC720919 ILY720918:ILY720919 IVU720918:IVU720919 JFQ720918:JFQ720919 JPM720918:JPM720919 JZI720918:JZI720919 KJE720918:KJE720919 KTA720918:KTA720919 LCW720918:LCW720919 LMS720918:LMS720919 LWO720918:LWO720919 MGK720918:MGK720919 MQG720918:MQG720919 NAC720918:NAC720919 NJY720918:NJY720919 NTU720918:NTU720919 ODQ720918:ODQ720919 ONM720918:ONM720919 OXI720918:OXI720919 PHE720918:PHE720919 PRA720918:PRA720919 QAW720918:QAW720919 QKS720918:QKS720919 QUO720918:QUO720919 REK720918:REK720919 ROG720918:ROG720919 RYC720918:RYC720919 SHY720918:SHY720919 SRU720918:SRU720919 TBQ720918:TBQ720919 TLM720918:TLM720919 TVI720918:TVI720919 UFE720918:UFE720919 UPA720918:UPA720919 UYW720918:UYW720919 VIS720918:VIS720919 VSO720918:VSO720919 WCK720918:WCK720919 WMG720918:WMG720919 WWC720918:WWC720919 U786454:U786455 JQ786454:JQ786455 TM786454:TM786455 ADI786454:ADI786455 ANE786454:ANE786455 AXA786454:AXA786455 BGW786454:BGW786455 BQS786454:BQS786455 CAO786454:CAO786455 CKK786454:CKK786455 CUG786454:CUG786455 DEC786454:DEC786455 DNY786454:DNY786455 DXU786454:DXU786455 EHQ786454:EHQ786455 ERM786454:ERM786455 FBI786454:FBI786455 FLE786454:FLE786455 FVA786454:FVA786455 GEW786454:GEW786455 GOS786454:GOS786455 GYO786454:GYO786455 HIK786454:HIK786455 HSG786454:HSG786455 ICC786454:ICC786455 ILY786454:ILY786455 IVU786454:IVU786455 JFQ786454:JFQ786455 JPM786454:JPM786455 JZI786454:JZI786455 KJE786454:KJE786455 KTA786454:KTA786455 LCW786454:LCW786455 LMS786454:LMS786455 LWO786454:LWO786455 MGK786454:MGK786455 MQG786454:MQG786455 NAC786454:NAC786455 NJY786454:NJY786455 NTU786454:NTU786455 ODQ786454:ODQ786455 ONM786454:ONM786455 OXI786454:OXI786455 PHE786454:PHE786455 PRA786454:PRA786455 QAW786454:QAW786455 QKS786454:QKS786455 QUO786454:QUO786455 REK786454:REK786455 ROG786454:ROG786455 RYC786454:RYC786455 SHY786454:SHY786455 SRU786454:SRU786455 TBQ786454:TBQ786455 TLM786454:TLM786455 TVI786454:TVI786455 UFE786454:UFE786455 UPA786454:UPA786455 UYW786454:UYW786455 VIS786454:VIS786455 VSO786454:VSO786455 WCK786454:WCK786455 WMG786454:WMG786455 WWC786454:WWC786455 U851990:U851991 JQ851990:JQ851991 TM851990:TM851991 ADI851990:ADI851991 ANE851990:ANE851991 AXA851990:AXA851991 BGW851990:BGW851991 BQS851990:BQS851991 CAO851990:CAO851991 CKK851990:CKK851991 CUG851990:CUG851991 DEC851990:DEC851991 DNY851990:DNY851991 DXU851990:DXU851991 EHQ851990:EHQ851991 ERM851990:ERM851991 FBI851990:FBI851991 FLE851990:FLE851991 FVA851990:FVA851991 GEW851990:GEW851991 GOS851990:GOS851991 GYO851990:GYO851991 HIK851990:HIK851991 HSG851990:HSG851991 ICC851990:ICC851991 ILY851990:ILY851991 IVU851990:IVU851991 JFQ851990:JFQ851991 JPM851990:JPM851991 JZI851990:JZI851991 KJE851990:KJE851991 KTA851990:KTA851991 LCW851990:LCW851991 LMS851990:LMS851991 LWO851990:LWO851991 MGK851990:MGK851991 MQG851990:MQG851991 NAC851990:NAC851991 NJY851990:NJY851991 NTU851990:NTU851991 ODQ851990:ODQ851991 ONM851990:ONM851991 OXI851990:OXI851991 PHE851990:PHE851991 PRA851990:PRA851991 QAW851990:QAW851991 QKS851990:QKS851991 QUO851990:QUO851991 REK851990:REK851991 ROG851990:ROG851991 RYC851990:RYC851991 SHY851990:SHY851991 SRU851990:SRU851991 TBQ851990:TBQ851991 TLM851990:TLM851991 TVI851990:TVI851991 UFE851990:UFE851991 UPA851990:UPA851991 UYW851990:UYW851991 VIS851990:VIS851991 VSO851990:VSO851991 WCK851990:WCK851991 WMG851990:WMG851991 WWC851990:WWC851991 U917526:U917527 JQ917526:JQ917527 TM917526:TM917527 ADI917526:ADI917527 ANE917526:ANE917527 AXA917526:AXA917527 BGW917526:BGW917527 BQS917526:BQS917527 CAO917526:CAO917527 CKK917526:CKK917527 CUG917526:CUG917527 DEC917526:DEC917527 DNY917526:DNY917527 DXU917526:DXU917527 EHQ917526:EHQ917527 ERM917526:ERM917527 FBI917526:FBI917527 FLE917526:FLE917527 FVA917526:FVA917527 GEW917526:GEW917527 GOS917526:GOS917527 GYO917526:GYO917527 HIK917526:HIK917527 HSG917526:HSG917527 ICC917526:ICC917527 ILY917526:ILY917527 IVU917526:IVU917527 JFQ917526:JFQ917527 JPM917526:JPM917527 JZI917526:JZI917527 KJE917526:KJE917527 KTA917526:KTA917527 LCW917526:LCW917527 LMS917526:LMS917527 LWO917526:LWO917527 MGK917526:MGK917527 MQG917526:MQG917527 NAC917526:NAC917527 NJY917526:NJY917527 NTU917526:NTU917527 ODQ917526:ODQ917527 ONM917526:ONM917527 OXI917526:OXI917527 PHE917526:PHE917527 PRA917526:PRA917527 QAW917526:QAW917527 QKS917526:QKS917527 QUO917526:QUO917527 REK917526:REK917527 ROG917526:ROG917527 RYC917526:RYC917527 SHY917526:SHY917527 SRU917526:SRU917527 TBQ917526:TBQ917527 TLM917526:TLM917527 TVI917526:TVI917527 UFE917526:UFE917527 UPA917526:UPA917527 UYW917526:UYW917527 VIS917526:VIS917527 VSO917526:VSO917527 WCK917526:WCK917527 WMG917526:WMG917527 WWC917526:WWC917527 U983062:U983063 JQ983062:JQ983063 TM983062:TM983063 ADI983062:ADI983063 ANE983062:ANE983063 AXA983062:AXA983063 BGW983062:BGW983063 BQS983062:BQS983063 CAO983062:CAO983063 CKK983062:CKK983063 CUG983062:CUG983063 DEC983062:DEC983063 DNY983062:DNY983063 DXU983062:DXU983063 EHQ983062:EHQ983063 ERM983062:ERM983063 FBI983062:FBI983063 FLE983062:FLE983063 FVA983062:FVA983063 GEW983062:GEW983063 GOS983062:GOS983063 GYO983062:GYO983063 HIK983062:HIK983063 HSG983062:HSG983063 ICC983062:ICC983063 ILY983062:ILY983063 IVU983062:IVU983063 JFQ983062:JFQ983063 JPM983062:JPM983063 JZI983062:JZI983063 KJE983062:KJE983063 KTA983062:KTA983063 LCW983062:LCW983063 LMS983062:LMS983063 LWO983062:LWO983063 MGK983062:MGK983063 MQG983062:MQG983063 NAC983062:NAC983063 NJY983062:NJY983063 NTU983062:NTU983063 ODQ983062:ODQ983063 ONM983062:ONM983063 OXI983062:OXI983063 PHE983062:PHE983063 PRA983062:PRA983063 QAW983062:QAW983063 QKS983062:QKS983063 QUO983062:QUO983063 REK983062:REK983063 ROG983062:ROG983063 RYC983062:RYC983063 SHY983062:SHY983063 SRU983062:SRU983063 TBQ983062:TBQ983063 TLM983062:TLM983063 TVI983062:TVI983063 UFE983062:UFE983063 UPA983062:UPA983063 UYW983062:UYW983063 VIS983062:VIS983063 VSO983062:VSO983063 WCK983062:WCK983063 WMG983062:WMG983063 WWC983062:WWC983063 E38:E39 JA38:JA39 SW38:SW39 ACS38:ACS39 AMO38:AMO39 AWK38:AWK39 BGG38:BGG39 BQC38:BQC39 BZY38:BZY39 CJU38:CJU39 CTQ38:CTQ39 DDM38:DDM39 DNI38:DNI39 DXE38:DXE39 EHA38:EHA39 EQW38:EQW39 FAS38:FAS39 FKO38:FKO39 FUK38:FUK39 GEG38:GEG39 GOC38:GOC39 GXY38:GXY39 HHU38:HHU39 HRQ38:HRQ39 IBM38:IBM39 ILI38:ILI39 IVE38:IVE39 JFA38:JFA39 JOW38:JOW39 JYS38:JYS39 KIO38:KIO39 KSK38:KSK39 LCG38:LCG39 LMC38:LMC39 LVY38:LVY39 MFU38:MFU39 MPQ38:MPQ39 MZM38:MZM39 NJI38:NJI39 NTE38:NTE39 ODA38:ODA39 OMW38:OMW39 OWS38:OWS39 PGO38:PGO39 PQK38:PQK39 QAG38:QAG39 QKC38:QKC39 QTY38:QTY39 RDU38:RDU39 RNQ38:RNQ39 RXM38:RXM39 SHI38:SHI39 SRE38:SRE39 TBA38:TBA39 TKW38:TKW39 TUS38:TUS39 UEO38:UEO39 UOK38:UOK39 UYG38:UYG39 VIC38:VIC39 VRY38:VRY39 WBU38:WBU39 WLQ38:WLQ39 WVM38:WVM39 E65574:E65575 JA65574:JA65575 SW65574:SW65575 ACS65574:ACS65575 AMO65574:AMO65575 AWK65574:AWK65575 BGG65574:BGG65575 BQC65574:BQC65575 BZY65574:BZY65575 CJU65574:CJU65575 CTQ65574:CTQ65575 DDM65574:DDM65575 DNI65574:DNI65575 DXE65574:DXE65575 EHA65574:EHA65575 EQW65574:EQW65575 FAS65574:FAS65575 FKO65574:FKO65575 FUK65574:FUK65575 GEG65574:GEG65575 GOC65574:GOC65575 GXY65574:GXY65575 HHU65574:HHU65575 HRQ65574:HRQ65575 IBM65574:IBM65575 ILI65574:ILI65575 IVE65574:IVE65575 JFA65574:JFA65575 JOW65574:JOW65575 JYS65574:JYS65575 KIO65574:KIO65575 KSK65574:KSK65575 LCG65574:LCG65575 LMC65574:LMC65575 LVY65574:LVY65575 MFU65574:MFU65575 MPQ65574:MPQ65575 MZM65574:MZM65575 NJI65574:NJI65575 NTE65574:NTE65575 ODA65574:ODA65575 OMW65574:OMW65575 OWS65574:OWS65575 PGO65574:PGO65575 PQK65574:PQK65575 QAG65574:QAG65575 QKC65574:QKC65575 QTY65574:QTY65575 RDU65574:RDU65575 RNQ65574:RNQ65575 RXM65574:RXM65575 SHI65574:SHI65575 SRE65574:SRE65575 TBA65574:TBA65575 TKW65574:TKW65575 TUS65574:TUS65575 UEO65574:UEO65575 UOK65574:UOK65575 UYG65574:UYG65575 VIC65574:VIC65575 VRY65574:VRY65575 WBU65574:WBU65575 WLQ65574:WLQ65575 WVM65574:WVM65575 E131110:E131111 JA131110:JA131111 SW131110:SW131111 ACS131110:ACS131111 AMO131110:AMO131111 AWK131110:AWK131111 BGG131110:BGG131111 BQC131110:BQC131111 BZY131110:BZY131111 CJU131110:CJU131111 CTQ131110:CTQ131111 DDM131110:DDM131111 DNI131110:DNI131111 DXE131110:DXE131111 EHA131110:EHA131111 EQW131110:EQW131111 FAS131110:FAS131111 FKO131110:FKO131111 FUK131110:FUK131111 GEG131110:GEG131111 GOC131110:GOC131111 GXY131110:GXY131111 HHU131110:HHU131111 HRQ131110:HRQ131111 IBM131110:IBM131111 ILI131110:ILI131111 IVE131110:IVE131111 JFA131110:JFA131111 JOW131110:JOW131111 JYS131110:JYS131111 KIO131110:KIO131111 KSK131110:KSK131111 LCG131110:LCG131111 LMC131110:LMC131111 LVY131110:LVY131111 MFU131110:MFU131111 MPQ131110:MPQ131111 MZM131110:MZM131111 NJI131110:NJI131111 NTE131110:NTE131111 ODA131110:ODA131111 OMW131110:OMW131111 OWS131110:OWS131111 PGO131110:PGO131111 PQK131110:PQK131111 QAG131110:QAG131111 QKC131110:QKC131111 QTY131110:QTY131111 RDU131110:RDU131111 RNQ131110:RNQ131111 RXM131110:RXM131111 SHI131110:SHI131111 SRE131110:SRE131111 TBA131110:TBA131111 TKW131110:TKW131111 TUS131110:TUS131111 UEO131110:UEO131111 UOK131110:UOK131111 UYG131110:UYG131111 VIC131110:VIC131111 VRY131110:VRY131111 WBU131110:WBU131111 WLQ131110:WLQ131111 WVM131110:WVM131111 E196646:E196647 JA196646:JA196647 SW196646:SW196647 ACS196646:ACS196647 AMO196646:AMO196647 AWK196646:AWK196647 BGG196646:BGG196647 BQC196646:BQC196647 BZY196646:BZY196647 CJU196646:CJU196647 CTQ196646:CTQ196647 DDM196646:DDM196647 DNI196646:DNI196647 DXE196646:DXE196647 EHA196646:EHA196647 EQW196646:EQW196647 FAS196646:FAS196647 FKO196646:FKO196647 FUK196646:FUK196647 GEG196646:GEG196647 GOC196646:GOC196647 GXY196646:GXY196647 HHU196646:HHU196647 HRQ196646:HRQ196647 IBM196646:IBM196647 ILI196646:ILI196647 IVE196646:IVE196647 JFA196646:JFA196647 JOW196646:JOW196647 JYS196646:JYS196647 KIO196646:KIO196647 KSK196646:KSK196647 LCG196646:LCG196647 LMC196646:LMC196647 LVY196646:LVY196647 MFU196646:MFU196647 MPQ196646:MPQ196647 MZM196646:MZM196647 NJI196646:NJI196647 NTE196646:NTE196647 ODA196646:ODA196647 OMW196646:OMW196647 OWS196646:OWS196647 PGO196646:PGO196647 PQK196646:PQK196647 QAG196646:QAG196647 QKC196646:QKC196647 QTY196646:QTY196647 RDU196646:RDU196647 RNQ196646:RNQ196647 RXM196646:RXM196647 SHI196646:SHI196647 SRE196646:SRE196647 TBA196646:TBA196647 TKW196646:TKW196647 TUS196646:TUS196647 UEO196646:UEO196647 UOK196646:UOK196647 UYG196646:UYG196647 VIC196646:VIC196647 VRY196646:VRY196647 WBU196646:WBU196647 WLQ196646:WLQ196647 WVM196646:WVM196647 E262182:E262183 JA262182:JA262183 SW262182:SW262183 ACS262182:ACS262183 AMO262182:AMO262183 AWK262182:AWK262183 BGG262182:BGG262183 BQC262182:BQC262183 BZY262182:BZY262183 CJU262182:CJU262183 CTQ262182:CTQ262183 DDM262182:DDM262183 DNI262182:DNI262183 DXE262182:DXE262183 EHA262182:EHA262183 EQW262182:EQW262183 FAS262182:FAS262183 FKO262182:FKO262183 FUK262182:FUK262183 GEG262182:GEG262183 GOC262182:GOC262183 GXY262182:GXY262183 HHU262182:HHU262183 HRQ262182:HRQ262183 IBM262182:IBM262183 ILI262182:ILI262183 IVE262182:IVE262183 JFA262182:JFA262183 JOW262182:JOW262183 JYS262182:JYS262183 KIO262182:KIO262183 KSK262182:KSK262183 LCG262182:LCG262183 LMC262182:LMC262183 LVY262182:LVY262183 MFU262182:MFU262183 MPQ262182:MPQ262183 MZM262182:MZM262183 NJI262182:NJI262183 NTE262182:NTE262183 ODA262182:ODA262183 OMW262182:OMW262183 OWS262182:OWS262183 PGO262182:PGO262183 PQK262182:PQK262183 QAG262182:QAG262183 QKC262182:QKC262183 QTY262182:QTY262183 RDU262182:RDU262183 RNQ262182:RNQ262183 RXM262182:RXM262183 SHI262182:SHI262183 SRE262182:SRE262183 TBA262182:TBA262183 TKW262182:TKW262183 TUS262182:TUS262183 UEO262182:UEO262183 UOK262182:UOK262183 UYG262182:UYG262183 VIC262182:VIC262183 VRY262182:VRY262183 WBU262182:WBU262183 WLQ262182:WLQ262183 WVM262182:WVM262183 E327718:E327719 JA327718:JA327719 SW327718:SW327719 ACS327718:ACS327719 AMO327718:AMO327719 AWK327718:AWK327719 BGG327718:BGG327719 BQC327718:BQC327719 BZY327718:BZY327719 CJU327718:CJU327719 CTQ327718:CTQ327719 DDM327718:DDM327719 DNI327718:DNI327719 DXE327718:DXE327719 EHA327718:EHA327719 EQW327718:EQW327719 FAS327718:FAS327719 FKO327718:FKO327719 FUK327718:FUK327719 GEG327718:GEG327719 GOC327718:GOC327719 GXY327718:GXY327719 HHU327718:HHU327719 HRQ327718:HRQ327719 IBM327718:IBM327719 ILI327718:ILI327719 IVE327718:IVE327719 JFA327718:JFA327719 JOW327718:JOW327719 JYS327718:JYS327719 KIO327718:KIO327719 KSK327718:KSK327719 LCG327718:LCG327719 LMC327718:LMC327719 LVY327718:LVY327719 MFU327718:MFU327719 MPQ327718:MPQ327719 MZM327718:MZM327719 NJI327718:NJI327719 NTE327718:NTE327719 ODA327718:ODA327719 OMW327718:OMW327719 OWS327718:OWS327719 PGO327718:PGO327719 PQK327718:PQK327719 QAG327718:QAG327719 QKC327718:QKC327719 QTY327718:QTY327719 RDU327718:RDU327719 RNQ327718:RNQ327719 RXM327718:RXM327719 SHI327718:SHI327719 SRE327718:SRE327719 TBA327718:TBA327719 TKW327718:TKW327719 TUS327718:TUS327719 UEO327718:UEO327719 UOK327718:UOK327719 UYG327718:UYG327719 VIC327718:VIC327719 VRY327718:VRY327719 WBU327718:WBU327719 WLQ327718:WLQ327719 WVM327718:WVM327719 E393254:E393255 JA393254:JA393255 SW393254:SW393255 ACS393254:ACS393255 AMO393254:AMO393255 AWK393254:AWK393255 BGG393254:BGG393255 BQC393254:BQC393255 BZY393254:BZY393255 CJU393254:CJU393255 CTQ393254:CTQ393255 DDM393254:DDM393255 DNI393254:DNI393255 DXE393254:DXE393255 EHA393254:EHA393255 EQW393254:EQW393255 FAS393254:FAS393255 FKO393254:FKO393255 FUK393254:FUK393255 GEG393254:GEG393255 GOC393254:GOC393255 GXY393254:GXY393255 HHU393254:HHU393255 HRQ393254:HRQ393255 IBM393254:IBM393255 ILI393254:ILI393255 IVE393254:IVE393255 JFA393254:JFA393255 JOW393254:JOW393255 JYS393254:JYS393255 KIO393254:KIO393255 KSK393254:KSK393255 LCG393254:LCG393255 LMC393254:LMC393255 LVY393254:LVY393255 MFU393254:MFU393255 MPQ393254:MPQ393255 MZM393254:MZM393255 NJI393254:NJI393255 NTE393254:NTE393255 ODA393254:ODA393255 OMW393254:OMW393255 OWS393254:OWS393255 PGO393254:PGO393255 PQK393254:PQK393255 QAG393254:QAG393255 QKC393254:QKC393255 QTY393254:QTY393255 RDU393254:RDU393255 RNQ393254:RNQ393255 RXM393254:RXM393255 SHI393254:SHI393255 SRE393254:SRE393255 TBA393254:TBA393255 TKW393254:TKW393255 TUS393254:TUS393255 UEO393254:UEO393255 UOK393254:UOK393255 UYG393254:UYG393255 VIC393254:VIC393255 VRY393254:VRY393255 WBU393254:WBU393255 WLQ393254:WLQ393255 WVM393254:WVM393255 E458790:E458791 JA458790:JA458791 SW458790:SW458791 ACS458790:ACS458791 AMO458790:AMO458791 AWK458790:AWK458791 BGG458790:BGG458791 BQC458790:BQC458791 BZY458790:BZY458791 CJU458790:CJU458791 CTQ458790:CTQ458791 DDM458790:DDM458791 DNI458790:DNI458791 DXE458790:DXE458791 EHA458790:EHA458791 EQW458790:EQW458791 FAS458790:FAS458791 FKO458790:FKO458791 FUK458790:FUK458791 GEG458790:GEG458791 GOC458790:GOC458791 GXY458790:GXY458791 HHU458790:HHU458791 HRQ458790:HRQ458791 IBM458790:IBM458791 ILI458790:ILI458791 IVE458790:IVE458791 JFA458790:JFA458791 JOW458790:JOW458791 JYS458790:JYS458791 KIO458790:KIO458791 KSK458790:KSK458791 LCG458790:LCG458791 LMC458790:LMC458791 LVY458790:LVY458791 MFU458790:MFU458791 MPQ458790:MPQ458791 MZM458790:MZM458791 NJI458790:NJI458791 NTE458790:NTE458791 ODA458790:ODA458791 OMW458790:OMW458791 OWS458790:OWS458791 PGO458790:PGO458791 PQK458790:PQK458791 QAG458790:QAG458791 QKC458790:QKC458791 QTY458790:QTY458791 RDU458790:RDU458791 RNQ458790:RNQ458791 RXM458790:RXM458791 SHI458790:SHI458791 SRE458790:SRE458791 TBA458790:TBA458791 TKW458790:TKW458791 TUS458790:TUS458791 UEO458790:UEO458791 UOK458790:UOK458791 UYG458790:UYG458791 VIC458790:VIC458791 VRY458790:VRY458791 WBU458790:WBU458791 WLQ458790:WLQ458791 WVM458790:WVM458791 E524326:E524327 JA524326:JA524327 SW524326:SW524327 ACS524326:ACS524327 AMO524326:AMO524327 AWK524326:AWK524327 BGG524326:BGG524327 BQC524326:BQC524327 BZY524326:BZY524327 CJU524326:CJU524327 CTQ524326:CTQ524327 DDM524326:DDM524327 DNI524326:DNI524327 DXE524326:DXE524327 EHA524326:EHA524327 EQW524326:EQW524327 FAS524326:FAS524327 FKO524326:FKO524327 FUK524326:FUK524327 GEG524326:GEG524327 GOC524326:GOC524327 GXY524326:GXY524327 HHU524326:HHU524327 HRQ524326:HRQ524327 IBM524326:IBM524327 ILI524326:ILI524327 IVE524326:IVE524327 JFA524326:JFA524327 JOW524326:JOW524327 JYS524326:JYS524327 KIO524326:KIO524327 KSK524326:KSK524327 LCG524326:LCG524327 LMC524326:LMC524327 LVY524326:LVY524327 MFU524326:MFU524327 MPQ524326:MPQ524327 MZM524326:MZM524327 NJI524326:NJI524327 NTE524326:NTE524327 ODA524326:ODA524327 OMW524326:OMW524327 OWS524326:OWS524327 PGO524326:PGO524327 PQK524326:PQK524327 QAG524326:QAG524327 QKC524326:QKC524327 QTY524326:QTY524327 RDU524326:RDU524327 RNQ524326:RNQ524327 RXM524326:RXM524327 SHI524326:SHI524327 SRE524326:SRE524327 TBA524326:TBA524327 TKW524326:TKW524327 TUS524326:TUS524327 UEO524326:UEO524327 UOK524326:UOK524327 UYG524326:UYG524327 VIC524326:VIC524327 VRY524326:VRY524327 WBU524326:WBU524327 WLQ524326:WLQ524327 WVM524326:WVM524327 E589862:E589863 JA589862:JA589863 SW589862:SW589863 ACS589862:ACS589863 AMO589862:AMO589863 AWK589862:AWK589863 BGG589862:BGG589863 BQC589862:BQC589863 BZY589862:BZY589863 CJU589862:CJU589863 CTQ589862:CTQ589863 DDM589862:DDM589863 DNI589862:DNI589863 DXE589862:DXE589863 EHA589862:EHA589863 EQW589862:EQW589863 FAS589862:FAS589863 FKO589862:FKO589863 FUK589862:FUK589863 GEG589862:GEG589863 GOC589862:GOC589863 GXY589862:GXY589863 HHU589862:HHU589863 HRQ589862:HRQ589863 IBM589862:IBM589863 ILI589862:ILI589863 IVE589862:IVE589863 JFA589862:JFA589863 JOW589862:JOW589863 JYS589862:JYS589863 KIO589862:KIO589863 KSK589862:KSK589863 LCG589862:LCG589863 LMC589862:LMC589863 LVY589862:LVY589863 MFU589862:MFU589863 MPQ589862:MPQ589863 MZM589862:MZM589863 NJI589862:NJI589863 NTE589862:NTE589863 ODA589862:ODA589863 OMW589862:OMW589863 OWS589862:OWS589863 PGO589862:PGO589863 PQK589862:PQK589863 QAG589862:QAG589863 QKC589862:QKC589863 QTY589862:QTY589863 RDU589862:RDU589863 RNQ589862:RNQ589863 RXM589862:RXM589863 SHI589862:SHI589863 SRE589862:SRE589863 TBA589862:TBA589863 TKW589862:TKW589863 TUS589862:TUS589863 UEO589862:UEO589863 UOK589862:UOK589863 UYG589862:UYG589863 VIC589862:VIC589863 VRY589862:VRY589863 WBU589862:WBU589863 WLQ589862:WLQ589863 WVM589862:WVM589863 E655398:E655399 JA655398:JA655399 SW655398:SW655399 ACS655398:ACS655399 AMO655398:AMO655399 AWK655398:AWK655399 BGG655398:BGG655399 BQC655398:BQC655399 BZY655398:BZY655399 CJU655398:CJU655399 CTQ655398:CTQ655399 DDM655398:DDM655399 DNI655398:DNI655399 DXE655398:DXE655399 EHA655398:EHA655399 EQW655398:EQW655399 FAS655398:FAS655399 FKO655398:FKO655399 FUK655398:FUK655399 GEG655398:GEG655399 GOC655398:GOC655399 GXY655398:GXY655399 HHU655398:HHU655399 HRQ655398:HRQ655399 IBM655398:IBM655399 ILI655398:ILI655399 IVE655398:IVE655399 JFA655398:JFA655399 JOW655398:JOW655399 JYS655398:JYS655399 KIO655398:KIO655399 KSK655398:KSK655399 LCG655398:LCG655399 LMC655398:LMC655399 LVY655398:LVY655399 MFU655398:MFU655399 MPQ655398:MPQ655399 MZM655398:MZM655399 NJI655398:NJI655399 NTE655398:NTE655399 ODA655398:ODA655399 OMW655398:OMW655399 OWS655398:OWS655399 PGO655398:PGO655399 PQK655398:PQK655399 QAG655398:QAG655399 QKC655398:QKC655399 QTY655398:QTY655399 RDU655398:RDU655399 RNQ655398:RNQ655399 RXM655398:RXM655399 SHI655398:SHI655399 SRE655398:SRE655399 TBA655398:TBA655399 TKW655398:TKW655399 TUS655398:TUS655399 UEO655398:UEO655399 UOK655398:UOK655399 UYG655398:UYG655399 VIC655398:VIC655399 VRY655398:VRY655399 WBU655398:WBU655399 WLQ655398:WLQ655399 WVM655398:WVM655399 E720934:E720935 JA720934:JA720935 SW720934:SW720935 ACS720934:ACS720935 AMO720934:AMO720935 AWK720934:AWK720935 BGG720934:BGG720935 BQC720934:BQC720935 BZY720934:BZY720935 CJU720934:CJU720935 CTQ720934:CTQ720935 DDM720934:DDM720935 DNI720934:DNI720935 DXE720934:DXE720935 EHA720934:EHA720935 EQW720934:EQW720935 FAS720934:FAS720935 FKO720934:FKO720935 FUK720934:FUK720935 GEG720934:GEG720935 GOC720934:GOC720935 GXY720934:GXY720935 HHU720934:HHU720935 HRQ720934:HRQ720935 IBM720934:IBM720935 ILI720934:ILI720935 IVE720934:IVE720935 JFA720934:JFA720935 JOW720934:JOW720935 JYS720934:JYS720935 KIO720934:KIO720935 KSK720934:KSK720935 LCG720934:LCG720935 LMC720934:LMC720935 LVY720934:LVY720935 MFU720934:MFU720935 MPQ720934:MPQ720935 MZM720934:MZM720935 NJI720934:NJI720935 NTE720934:NTE720935 ODA720934:ODA720935 OMW720934:OMW720935 OWS720934:OWS720935 PGO720934:PGO720935 PQK720934:PQK720935 QAG720934:QAG720935 QKC720934:QKC720935 QTY720934:QTY720935 RDU720934:RDU720935 RNQ720934:RNQ720935 RXM720934:RXM720935 SHI720934:SHI720935 SRE720934:SRE720935 TBA720934:TBA720935 TKW720934:TKW720935 TUS720934:TUS720935 UEO720934:UEO720935 UOK720934:UOK720935 UYG720934:UYG720935 VIC720934:VIC720935 VRY720934:VRY720935 WBU720934:WBU720935 WLQ720934:WLQ720935 WVM720934:WVM720935 E786470:E786471 JA786470:JA786471 SW786470:SW786471 ACS786470:ACS786471 AMO786470:AMO786471 AWK786470:AWK786471 BGG786470:BGG786471 BQC786470:BQC786471 BZY786470:BZY786471 CJU786470:CJU786471 CTQ786470:CTQ786471 DDM786470:DDM786471 DNI786470:DNI786471 DXE786470:DXE786471 EHA786470:EHA786471 EQW786470:EQW786471 FAS786470:FAS786471 FKO786470:FKO786471 FUK786470:FUK786471 GEG786470:GEG786471 GOC786470:GOC786471 GXY786470:GXY786471 HHU786470:HHU786471 HRQ786470:HRQ786471 IBM786470:IBM786471 ILI786470:ILI786471 IVE786470:IVE786471 JFA786470:JFA786471 JOW786470:JOW786471 JYS786470:JYS786471 KIO786470:KIO786471 KSK786470:KSK786471 LCG786470:LCG786471 LMC786470:LMC786471 LVY786470:LVY786471 MFU786470:MFU786471 MPQ786470:MPQ786471 MZM786470:MZM786471 NJI786470:NJI786471 NTE786470:NTE786471 ODA786470:ODA786471 OMW786470:OMW786471 OWS786470:OWS786471 PGO786470:PGO786471 PQK786470:PQK786471 QAG786470:QAG786471 QKC786470:QKC786471 QTY786470:QTY786471 RDU786470:RDU786471 RNQ786470:RNQ786471 RXM786470:RXM786471 SHI786470:SHI786471 SRE786470:SRE786471 TBA786470:TBA786471 TKW786470:TKW786471 TUS786470:TUS786471 UEO786470:UEO786471 UOK786470:UOK786471 UYG786470:UYG786471 VIC786470:VIC786471 VRY786470:VRY786471 WBU786470:WBU786471 WLQ786470:WLQ786471 WVM786470:WVM786471 E852006:E852007 JA852006:JA852007 SW852006:SW852007 ACS852006:ACS852007 AMO852006:AMO852007 AWK852006:AWK852007 BGG852006:BGG852007 BQC852006:BQC852007 BZY852006:BZY852007 CJU852006:CJU852007 CTQ852006:CTQ852007 DDM852006:DDM852007 DNI852006:DNI852007 DXE852006:DXE852007 EHA852006:EHA852007 EQW852006:EQW852007 FAS852006:FAS852007 FKO852006:FKO852007 FUK852006:FUK852007 GEG852006:GEG852007 GOC852006:GOC852007 GXY852006:GXY852007 HHU852006:HHU852007 HRQ852006:HRQ852007 IBM852006:IBM852007 ILI852006:ILI852007 IVE852006:IVE852007 JFA852006:JFA852007 JOW852006:JOW852007 JYS852006:JYS852007 KIO852006:KIO852007 KSK852006:KSK852007 LCG852006:LCG852007 LMC852006:LMC852007 LVY852006:LVY852007 MFU852006:MFU852007 MPQ852006:MPQ852007 MZM852006:MZM852007 NJI852006:NJI852007 NTE852006:NTE852007 ODA852006:ODA852007 OMW852006:OMW852007 OWS852006:OWS852007 PGO852006:PGO852007 PQK852006:PQK852007 QAG852006:QAG852007 QKC852006:QKC852007 QTY852006:QTY852007 RDU852006:RDU852007 RNQ852006:RNQ852007 RXM852006:RXM852007 SHI852006:SHI852007 SRE852006:SRE852007 TBA852006:TBA852007 TKW852006:TKW852007 TUS852006:TUS852007 UEO852006:UEO852007 UOK852006:UOK852007 UYG852006:UYG852007 VIC852006:VIC852007 VRY852006:VRY852007 WBU852006:WBU852007 WLQ852006:WLQ852007 WVM852006:WVM852007 E917542:E917543 JA917542:JA917543 SW917542:SW917543 ACS917542:ACS917543 AMO917542:AMO917543 AWK917542:AWK917543 BGG917542:BGG917543 BQC917542:BQC917543 BZY917542:BZY917543 CJU917542:CJU917543 CTQ917542:CTQ917543 DDM917542:DDM917543 DNI917542:DNI917543 DXE917542:DXE917543 EHA917542:EHA917543 EQW917542:EQW917543 FAS917542:FAS917543 FKO917542:FKO917543 FUK917542:FUK917543 GEG917542:GEG917543 GOC917542:GOC917543 GXY917542:GXY917543 HHU917542:HHU917543 HRQ917542:HRQ917543 IBM917542:IBM917543 ILI917542:ILI917543 IVE917542:IVE917543 JFA917542:JFA917543 JOW917542:JOW917543 JYS917542:JYS917543 KIO917542:KIO917543 KSK917542:KSK917543 LCG917542:LCG917543 LMC917542:LMC917543 LVY917542:LVY917543 MFU917542:MFU917543 MPQ917542:MPQ917543 MZM917542:MZM917543 NJI917542:NJI917543 NTE917542:NTE917543 ODA917542:ODA917543 OMW917542:OMW917543 OWS917542:OWS917543 PGO917542:PGO917543 PQK917542:PQK917543 QAG917542:QAG917543 QKC917542:QKC917543 QTY917542:QTY917543 RDU917542:RDU917543 RNQ917542:RNQ917543 RXM917542:RXM917543 SHI917542:SHI917543 SRE917542:SRE917543 TBA917542:TBA917543 TKW917542:TKW917543 TUS917542:TUS917543 UEO917542:UEO917543 UOK917542:UOK917543 UYG917542:UYG917543 VIC917542:VIC917543 VRY917542:VRY917543 WBU917542:WBU917543 WLQ917542:WLQ917543 WVM917542:WVM917543 E983078:E983079 JA983078:JA983079 SW983078:SW983079 ACS983078:ACS983079 AMO983078:AMO983079 AWK983078:AWK983079 BGG983078:BGG983079 BQC983078:BQC983079 BZY983078:BZY983079 CJU983078:CJU983079 CTQ983078:CTQ983079 DDM983078:DDM983079 DNI983078:DNI983079 DXE983078:DXE983079 EHA983078:EHA983079 EQW983078:EQW983079 FAS983078:FAS983079 FKO983078:FKO983079 FUK983078:FUK983079 GEG983078:GEG983079 GOC983078:GOC983079 GXY983078:GXY983079 HHU983078:HHU983079 HRQ983078:HRQ983079 IBM983078:IBM983079 ILI983078:ILI983079 IVE983078:IVE983079 JFA983078:JFA983079 JOW983078:JOW983079 JYS983078:JYS983079 KIO983078:KIO983079 KSK983078:KSK983079 LCG983078:LCG983079 LMC983078:LMC983079 LVY983078:LVY983079 MFU983078:MFU983079 MPQ983078:MPQ983079 MZM983078:MZM983079 NJI983078:NJI983079 NTE983078:NTE983079 ODA983078:ODA983079 OMW983078:OMW983079 OWS983078:OWS983079 PGO983078:PGO983079 PQK983078:PQK983079 QAG983078:QAG983079 QKC983078:QKC983079 QTY983078:QTY983079 RDU983078:RDU983079 RNQ983078:RNQ983079 RXM983078:RXM983079 SHI983078:SHI983079 SRE983078:SRE983079 TBA983078:TBA983079 TKW983078:TKW983079 TUS983078:TUS983079 UEO983078:UEO983079 UOK983078:UOK983079 UYG983078:UYG983079 VIC983078:VIC983079 VRY983078:VRY983079 WBU983078:WBU983079 WLQ983078:WLQ983079 WVM983078:WVM983079 Y38:Z38 JU38:JV38 TQ38:TR38 ADM38:ADN38 ANI38:ANJ38 AXE38:AXF38 BHA38:BHB38 BQW38:BQX38 CAS38:CAT38 CKO38:CKP38 CUK38:CUL38 DEG38:DEH38 DOC38:DOD38 DXY38:DXZ38 EHU38:EHV38 ERQ38:ERR38 FBM38:FBN38 FLI38:FLJ38 FVE38:FVF38 GFA38:GFB38 GOW38:GOX38 GYS38:GYT38 HIO38:HIP38 HSK38:HSL38 ICG38:ICH38 IMC38:IMD38 IVY38:IVZ38 JFU38:JFV38 JPQ38:JPR38 JZM38:JZN38 KJI38:KJJ38 KTE38:KTF38 LDA38:LDB38 LMW38:LMX38 LWS38:LWT38 MGO38:MGP38 MQK38:MQL38 NAG38:NAH38 NKC38:NKD38 NTY38:NTZ38 ODU38:ODV38 ONQ38:ONR38 OXM38:OXN38 PHI38:PHJ38 PRE38:PRF38 QBA38:QBB38 QKW38:QKX38 QUS38:QUT38 REO38:REP38 ROK38:ROL38 RYG38:RYH38 SIC38:SID38 SRY38:SRZ38 TBU38:TBV38 TLQ38:TLR38 TVM38:TVN38 UFI38:UFJ38 UPE38:UPF38 UZA38:UZB38 VIW38:VIX38 VSS38:VST38 WCO38:WCP38 WMK38:WML38 WWG38:WWH38 Y65574:Z65574 JU65574:JV65574 TQ65574:TR65574 ADM65574:ADN65574 ANI65574:ANJ65574 AXE65574:AXF65574 BHA65574:BHB65574 BQW65574:BQX65574 CAS65574:CAT65574 CKO65574:CKP65574 CUK65574:CUL65574 DEG65574:DEH65574 DOC65574:DOD65574 DXY65574:DXZ65574 EHU65574:EHV65574 ERQ65574:ERR65574 FBM65574:FBN65574 FLI65574:FLJ65574 FVE65574:FVF65574 GFA65574:GFB65574 GOW65574:GOX65574 GYS65574:GYT65574 HIO65574:HIP65574 HSK65574:HSL65574 ICG65574:ICH65574 IMC65574:IMD65574 IVY65574:IVZ65574 JFU65574:JFV65574 JPQ65574:JPR65574 JZM65574:JZN65574 KJI65574:KJJ65574 KTE65574:KTF65574 LDA65574:LDB65574 LMW65574:LMX65574 LWS65574:LWT65574 MGO65574:MGP65574 MQK65574:MQL65574 NAG65574:NAH65574 NKC65574:NKD65574 NTY65574:NTZ65574 ODU65574:ODV65574 ONQ65574:ONR65574 OXM65574:OXN65574 PHI65574:PHJ65574 PRE65574:PRF65574 QBA65574:QBB65574 QKW65574:QKX65574 QUS65574:QUT65574 REO65574:REP65574 ROK65574:ROL65574 RYG65574:RYH65574 SIC65574:SID65574 SRY65574:SRZ65574 TBU65574:TBV65574 TLQ65574:TLR65574 TVM65574:TVN65574 UFI65574:UFJ65574 UPE65574:UPF65574 UZA65574:UZB65574 VIW65574:VIX65574 VSS65574:VST65574 WCO65574:WCP65574 WMK65574:WML65574 WWG65574:WWH65574 Y131110:Z131110 JU131110:JV131110 TQ131110:TR131110 ADM131110:ADN131110 ANI131110:ANJ131110 AXE131110:AXF131110 BHA131110:BHB131110 BQW131110:BQX131110 CAS131110:CAT131110 CKO131110:CKP131110 CUK131110:CUL131110 DEG131110:DEH131110 DOC131110:DOD131110 DXY131110:DXZ131110 EHU131110:EHV131110 ERQ131110:ERR131110 FBM131110:FBN131110 FLI131110:FLJ131110 FVE131110:FVF131110 GFA131110:GFB131110 GOW131110:GOX131110 GYS131110:GYT131110 HIO131110:HIP131110 HSK131110:HSL131110 ICG131110:ICH131110 IMC131110:IMD131110 IVY131110:IVZ131110 JFU131110:JFV131110 JPQ131110:JPR131110 JZM131110:JZN131110 KJI131110:KJJ131110 KTE131110:KTF131110 LDA131110:LDB131110 LMW131110:LMX131110 LWS131110:LWT131110 MGO131110:MGP131110 MQK131110:MQL131110 NAG131110:NAH131110 NKC131110:NKD131110 NTY131110:NTZ131110 ODU131110:ODV131110 ONQ131110:ONR131110 OXM131110:OXN131110 PHI131110:PHJ131110 PRE131110:PRF131110 QBA131110:QBB131110 QKW131110:QKX131110 QUS131110:QUT131110 REO131110:REP131110 ROK131110:ROL131110 RYG131110:RYH131110 SIC131110:SID131110 SRY131110:SRZ131110 TBU131110:TBV131110 TLQ131110:TLR131110 TVM131110:TVN131110 UFI131110:UFJ131110 UPE131110:UPF131110 UZA131110:UZB131110 VIW131110:VIX131110 VSS131110:VST131110 WCO131110:WCP131110 WMK131110:WML131110 WWG131110:WWH131110 Y196646:Z196646 JU196646:JV196646 TQ196646:TR196646 ADM196646:ADN196646 ANI196646:ANJ196646 AXE196646:AXF196646 BHA196646:BHB196646 BQW196646:BQX196646 CAS196646:CAT196646 CKO196646:CKP196646 CUK196646:CUL196646 DEG196646:DEH196646 DOC196646:DOD196646 DXY196646:DXZ196646 EHU196646:EHV196646 ERQ196646:ERR196646 FBM196646:FBN196646 FLI196646:FLJ196646 FVE196646:FVF196646 GFA196646:GFB196646 GOW196646:GOX196646 GYS196646:GYT196646 HIO196646:HIP196646 HSK196646:HSL196646 ICG196646:ICH196646 IMC196646:IMD196646 IVY196646:IVZ196646 JFU196646:JFV196646 JPQ196646:JPR196646 JZM196646:JZN196646 KJI196646:KJJ196646 KTE196646:KTF196646 LDA196646:LDB196646 LMW196646:LMX196646 LWS196646:LWT196646 MGO196646:MGP196646 MQK196646:MQL196646 NAG196646:NAH196646 NKC196646:NKD196646 NTY196646:NTZ196646 ODU196646:ODV196646 ONQ196646:ONR196646 OXM196646:OXN196646 PHI196646:PHJ196646 PRE196646:PRF196646 QBA196646:QBB196646 QKW196646:QKX196646 QUS196646:QUT196646 REO196646:REP196646 ROK196646:ROL196646 RYG196646:RYH196646 SIC196646:SID196646 SRY196646:SRZ196646 TBU196646:TBV196646 TLQ196646:TLR196646 TVM196646:TVN196646 UFI196646:UFJ196646 UPE196646:UPF196646 UZA196646:UZB196646 VIW196646:VIX196646 VSS196646:VST196646 WCO196646:WCP196646 WMK196646:WML196646 WWG196646:WWH196646 Y262182:Z262182 JU262182:JV262182 TQ262182:TR262182 ADM262182:ADN262182 ANI262182:ANJ262182 AXE262182:AXF262182 BHA262182:BHB262182 BQW262182:BQX262182 CAS262182:CAT262182 CKO262182:CKP262182 CUK262182:CUL262182 DEG262182:DEH262182 DOC262182:DOD262182 DXY262182:DXZ262182 EHU262182:EHV262182 ERQ262182:ERR262182 FBM262182:FBN262182 FLI262182:FLJ262182 FVE262182:FVF262182 GFA262182:GFB262182 GOW262182:GOX262182 GYS262182:GYT262182 HIO262182:HIP262182 HSK262182:HSL262182 ICG262182:ICH262182 IMC262182:IMD262182 IVY262182:IVZ262182 JFU262182:JFV262182 JPQ262182:JPR262182 JZM262182:JZN262182 KJI262182:KJJ262182 KTE262182:KTF262182 LDA262182:LDB262182 LMW262182:LMX262182 LWS262182:LWT262182 MGO262182:MGP262182 MQK262182:MQL262182 NAG262182:NAH262182 NKC262182:NKD262182 NTY262182:NTZ262182 ODU262182:ODV262182 ONQ262182:ONR262182 OXM262182:OXN262182 PHI262182:PHJ262182 PRE262182:PRF262182 QBA262182:QBB262182 QKW262182:QKX262182 QUS262182:QUT262182 REO262182:REP262182 ROK262182:ROL262182 RYG262182:RYH262182 SIC262182:SID262182 SRY262182:SRZ262182 TBU262182:TBV262182 TLQ262182:TLR262182 TVM262182:TVN262182 UFI262182:UFJ262182 UPE262182:UPF262182 UZA262182:UZB262182 VIW262182:VIX262182 VSS262182:VST262182 WCO262182:WCP262182 WMK262182:WML262182 WWG262182:WWH262182 Y327718:Z327718 JU327718:JV327718 TQ327718:TR327718 ADM327718:ADN327718 ANI327718:ANJ327718 AXE327718:AXF327718 BHA327718:BHB327718 BQW327718:BQX327718 CAS327718:CAT327718 CKO327718:CKP327718 CUK327718:CUL327718 DEG327718:DEH327718 DOC327718:DOD327718 DXY327718:DXZ327718 EHU327718:EHV327718 ERQ327718:ERR327718 FBM327718:FBN327718 FLI327718:FLJ327718 FVE327718:FVF327718 GFA327718:GFB327718 GOW327718:GOX327718 GYS327718:GYT327718 HIO327718:HIP327718 HSK327718:HSL327718 ICG327718:ICH327718 IMC327718:IMD327718 IVY327718:IVZ327718 JFU327718:JFV327718 JPQ327718:JPR327718 JZM327718:JZN327718 KJI327718:KJJ327718 KTE327718:KTF327718 LDA327718:LDB327718 LMW327718:LMX327718 LWS327718:LWT327718 MGO327718:MGP327718 MQK327718:MQL327718 NAG327718:NAH327718 NKC327718:NKD327718 NTY327718:NTZ327718 ODU327718:ODV327718 ONQ327718:ONR327718 OXM327718:OXN327718 PHI327718:PHJ327718 PRE327718:PRF327718 QBA327718:QBB327718 QKW327718:QKX327718 QUS327718:QUT327718 REO327718:REP327718 ROK327718:ROL327718 RYG327718:RYH327718 SIC327718:SID327718 SRY327718:SRZ327718 TBU327718:TBV327718 TLQ327718:TLR327718 TVM327718:TVN327718 UFI327718:UFJ327718 UPE327718:UPF327718 UZA327718:UZB327718 VIW327718:VIX327718 VSS327718:VST327718 WCO327718:WCP327718 WMK327718:WML327718 WWG327718:WWH327718 Y393254:Z393254 JU393254:JV393254 TQ393254:TR393254 ADM393254:ADN393254 ANI393254:ANJ393254 AXE393254:AXF393254 BHA393254:BHB393254 BQW393254:BQX393254 CAS393254:CAT393254 CKO393254:CKP393254 CUK393254:CUL393254 DEG393254:DEH393254 DOC393254:DOD393254 DXY393254:DXZ393254 EHU393254:EHV393254 ERQ393254:ERR393254 FBM393254:FBN393254 FLI393254:FLJ393254 FVE393254:FVF393254 GFA393254:GFB393254 GOW393254:GOX393254 GYS393254:GYT393254 HIO393254:HIP393254 HSK393254:HSL393254 ICG393254:ICH393254 IMC393254:IMD393254 IVY393254:IVZ393254 JFU393254:JFV393254 JPQ393254:JPR393254 JZM393254:JZN393254 KJI393254:KJJ393254 KTE393254:KTF393254 LDA393254:LDB393254 LMW393254:LMX393254 LWS393254:LWT393254 MGO393254:MGP393254 MQK393254:MQL393254 NAG393254:NAH393254 NKC393254:NKD393254 NTY393254:NTZ393254 ODU393254:ODV393254 ONQ393254:ONR393254 OXM393254:OXN393254 PHI393254:PHJ393254 PRE393254:PRF393254 QBA393254:QBB393254 QKW393254:QKX393254 QUS393254:QUT393254 REO393254:REP393254 ROK393254:ROL393254 RYG393254:RYH393254 SIC393254:SID393254 SRY393254:SRZ393254 TBU393254:TBV393254 TLQ393254:TLR393254 TVM393254:TVN393254 UFI393254:UFJ393254 UPE393254:UPF393254 UZA393254:UZB393254 VIW393254:VIX393254 VSS393254:VST393254 WCO393254:WCP393254 WMK393254:WML393254 WWG393254:WWH393254 Y458790:Z458790 JU458790:JV458790 TQ458790:TR458790 ADM458790:ADN458790 ANI458790:ANJ458790 AXE458790:AXF458790 BHA458790:BHB458790 BQW458790:BQX458790 CAS458790:CAT458790 CKO458790:CKP458790 CUK458790:CUL458790 DEG458790:DEH458790 DOC458790:DOD458790 DXY458790:DXZ458790 EHU458790:EHV458790 ERQ458790:ERR458790 FBM458790:FBN458790 FLI458790:FLJ458790 FVE458790:FVF458790 GFA458790:GFB458790 GOW458790:GOX458790 GYS458790:GYT458790 HIO458790:HIP458790 HSK458790:HSL458790 ICG458790:ICH458790 IMC458790:IMD458790 IVY458790:IVZ458790 JFU458790:JFV458790 JPQ458790:JPR458790 JZM458790:JZN458790 KJI458790:KJJ458790 KTE458790:KTF458790 LDA458790:LDB458790 LMW458790:LMX458790 LWS458790:LWT458790 MGO458790:MGP458790 MQK458790:MQL458790 NAG458790:NAH458790 NKC458790:NKD458790 NTY458790:NTZ458790 ODU458790:ODV458790 ONQ458790:ONR458790 OXM458790:OXN458790 PHI458790:PHJ458790 PRE458790:PRF458790 QBA458790:QBB458790 QKW458790:QKX458790 QUS458790:QUT458790 REO458790:REP458790 ROK458790:ROL458790 RYG458790:RYH458790 SIC458790:SID458790 SRY458790:SRZ458790 TBU458790:TBV458790 TLQ458790:TLR458790 TVM458790:TVN458790 UFI458790:UFJ458790 UPE458790:UPF458790 UZA458790:UZB458790 VIW458790:VIX458790 VSS458790:VST458790 WCO458790:WCP458790 WMK458790:WML458790 WWG458790:WWH458790 Y524326:Z524326 JU524326:JV524326 TQ524326:TR524326 ADM524326:ADN524326 ANI524326:ANJ524326 AXE524326:AXF524326 BHA524326:BHB524326 BQW524326:BQX524326 CAS524326:CAT524326 CKO524326:CKP524326 CUK524326:CUL524326 DEG524326:DEH524326 DOC524326:DOD524326 DXY524326:DXZ524326 EHU524326:EHV524326 ERQ524326:ERR524326 FBM524326:FBN524326 FLI524326:FLJ524326 FVE524326:FVF524326 GFA524326:GFB524326 GOW524326:GOX524326 GYS524326:GYT524326 HIO524326:HIP524326 HSK524326:HSL524326 ICG524326:ICH524326 IMC524326:IMD524326 IVY524326:IVZ524326 JFU524326:JFV524326 JPQ524326:JPR524326 JZM524326:JZN524326 KJI524326:KJJ524326 KTE524326:KTF524326 LDA524326:LDB524326 LMW524326:LMX524326 LWS524326:LWT524326 MGO524326:MGP524326 MQK524326:MQL524326 NAG524326:NAH524326 NKC524326:NKD524326 NTY524326:NTZ524326 ODU524326:ODV524326 ONQ524326:ONR524326 OXM524326:OXN524326 PHI524326:PHJ524326 PRE524326:PRF524326 QBA524326:QBB524326 QKW524326:QKX524326 QUS524326:QUT524326 REO524326:REP524326 ROK524326:ROL524326 RYG524326:RYH524326 SIC524326:SID524326 SRY524326:SRZ524326 TBU524326:TBV524326 TLQ524326:TLR524326 TVM524326:TVN524326 UFI524326:UFJ524326 UPE524326:UPF524326 UZA524326:UZB524326 VIW524326:VIX524326 VSS524326:VST524326 WCO524326:WCP524326 WMK524326:WML524326 WWG524326:WWH524326 Y589862:Z589862 JU589862:JV589862 TQ589862:TR589862 ADM589862:ADN589862 ANI589862:ANJ589862 AXE589862:AXF589862 BHA589862:BHB589862 BQW589862:BQX589862 CAS589862:CAT589862 CKO589862:CKP589862 CUK589862:CUL589862 DEG589862:DEH589862 DOC589862:DOD589862 DXY589862:DXZ589862 EHU589862:EHV589862 ERQ589862:ERR589862 FBM589862:FBN589862 FLI589862:FLJ589862 FVE589862:FVF589862 GFA589862:GFB589862 GOW589862:GOX589862 GYS589862:GYT589862 HIO589862:HIP589862 HSK589862:HSL589862 ICG589862:ICH589862 IMC589862:IMD589862 IVY589862:IVZ589862 JFU589862:JFV589862 JPQ589862:JPR589862 JZM589862:JZN589862 KJI589862:KJJ589862 KTE589862:KTF589862 LDA589862:LDB589862 LMW589862:LMX589862 LWS589862:LWT589862 MGO589862:MGP589862 MQK589862:MQL589862 NAG589862:NAH589862 NKC589862:NKD589862 NTY589862:NTZ589862 ODU589862:ODV589862 ONQ589862:ONR589862 OXM589862:OXN589862 PHI589862:PHJ589862 PRE589862:PRF589862 QBA589862:QBB589862 QKW589862:QKX589862 QUS589862:QUT589862 REO589862:REP589862 ROK589862:ROL589862 RYG589862:RYH589862 SIC589862:SID589862 SRY589862:SRZ589862 TBU589862:TBV589862 TLQ589862:TLR589862 TVM589862:TVN589862 UFI589862:UFJ589862 UPE589862:UPF589862 UZA589862:UZB589862 VIW589862:VIX589862 VSS589862:VST589862 WCO589862:WCP589862 WMK589862:WML589862 WWG589862:WWH589862 Y655398:Z655398 JU655398:JV655398 TQ655398:TR655398 ADM655398:ADN655398 ANI655398:ANJ655398 AXE655398:AXF655398 BHA655398:BHB655398 BQW655398:BQX655398 CAS655398:CAT655398 CKO655398:CKP655398 CUK655398:CUL655398 DEG655398:DEH655398 DOC655398:DOD655398 DXY655398:DXZ655398 EHU655398:EHV655398 ERQ655398:ERR655398 FBM655398:FBN655398 FLI655398:FLJ655398 FVE655398:FVF655398 GFA655398:GFB655398 GOW655398:GOX655398 GYS655398:GYT655398 HIO655398:HIP655398 HSK655398:HSL655398 ICG655398:ICH655398 IMC655398:IMD655398 IVY655398:IVZ655398 JFU655398:JFV655398 JPQ655398:JPR655398 JZM655398:JZN655398 KJI655398:KJJ655398 KTE655398:KTF655398 LDA655398:LDB655398 LMW655398:LMX655398 LWS655398:LWT655398 MGO655398:MGP655398 MQK655398:MQL655398 NAG655398:NAH655398 NKC655398:NKD655398 NTY655398:NTZ655398 ODU655398:ODV655398 ONQ655398:ONR655398 OXM655398:OXN655398 PHI655398:PHJ655398 PRE655398:PRF655398 QBA655398:QBB655398 QKW655398:QKX655398 QUS655398:QUT655398 REO655398:REP655398 ROK655398:ROL655398 RYG655398:RYH655398 SIC655398:SID655398 SRY655398:SRZ655398 TBU655398:TBV655398 TLQ655398:TLR655398 TVM655398:TVN655398 UFI655398:UFJ655398 UPE655398:UPF655398 UZA655398:UZB655398 VIW655398:VIX655398 VSS655398:VST655398 WCO655398:WCP655398 WMK655398:WML655398 WWG655398:WWH655398 Y720934:Z720934 JU720934:JV720934 TQ720934:TR720934 ADM720934:ADN720934 ANI720934:ANJ720934 AXE720934:AXF720934 BHA720934:BHB720934 BQW720934:BQX720934 CAS720934:CAT720934 CKO720934:CKP720934 CUK720934:CUL720934 DEG720934:DEH720934 DOC720934:DOD720934 DXY720934:DXZ720934 EHU720934:EHV720934 ERQ720934:ERR720934 FBM720934:FBN720934 FLI720934:FLJ720934 FVE720934:FVF720934 GFA720934:GFB720934 GOW720934:GOX720934 GYS720934:GYT720934 HIO720934:HIP720934 HSK720934:HSL720934 ICG720934:ICH720934 IMC720934:IMD720934 IVY720934:IVZ720934 JFU720934:JFV720934 JPQ720934:JPR720934 JZM720934:JZN720934 KJI720934:KJJ720934 KTE720934:KTF720934 LDA720934:LDB720934 LMW720934:LMX720934 LWS720934:LWT720934 MGO720934:MGP720934 MQK720934:MQL720934 NAG720934:NAH720934 NKC720934:NKD720934 NTY720934:NTZ720934 ODU720934:ODV720934 ONQ720934:ONR720934 OXM720934:OXN720934 PHI720934:PHJ720934 PRE720934:PRF720934 QBA720934:QBB720934 QKW720934:QKX720934 QUS720934:QUT720934 REO720934:REP720934 ROK720934:ROL720934 RYG720934:RYH720934 SIC720934:SID720934 SRY720934:SRZ720934 TBU720934:TBV720934 TLQ720934:TLR720934 TVM720934:TVN720934 UFI720934:UFJ720934 UPE720934:UPF720934 UZA720934:UZB720934 VIW720934:VIX720934 VSS720934:VST720934 WCO720934:WCP720934 WMK720934:WML720934 WWG720934:WWH720934 Y786470:Z786470 JU786470:JV786470 TQ786470:TR786470 ADM786470:ADN786470 ANI786470:ANJ786470 AXE786470:AXF786470 BHA786470:BHB786470 BQW786470:BQX786470 CAS786470:CAT786470 CKO786470:CKP786470 CUK786470:CUL786470 DEG786470:DEH786470 DOC786470:DOD786470 DXY786470:DXZ786470 EHU786470:EHV786470 ERQ786470:ERR786470 FBM786470:FBN786470 FLI786470:FLJ786470 FVE786470:FVF786470 GFA786470:GFB786470 GOW786470:GOX786470 GYS786470:GYT786470 HIO786470:HIP786470 HSK786470:HSL786470 ICG786470:ICH786470 IMC786470:IMD786470 IVY786470:IVZ786470 JFU786470:JFV786470 JPQ786470:JPR786470 JZM786470:JZN786470 KJI786470:KJJ786470 KTE786470:KTF786470 LDA786470:LDB786470 LMW786470:LMX786470 LWS786470:LWT786470 MGO786470:MGP786470 MQK786470:MQL786470 NAG786470:NAH786470 NKC786470:NKD786470 NTY786470:NTZ786470 ODU786470:ODV786470 ONQ786470:ONR786470 OXM786470:OXN786470 PHI786470:PHJ786470 PRE786470:PRF786470 QBA786470:QBB786470 QKW786470:QKX786470 QUS786470:QUT786470 REO786470:REP786470 ROK786470:ROL786470 RYG786470:RYH786470 SIC786470:SID786470 SRY786470:SRZ786470 TBU786470:TBV786470 TLQ786470:TLR786470 TVM786470:TVN786470 UFI786470:UFJ786470 UPE786470:UPF786470 UZA786470:UZB786470 VIW786470:VIX786470 VSS786470:VST786470 WCO786470:WCP786470 WMK786470:WML786470 WWG786470:WWH786470 Y852006:Z852006 JU852006:JV852006 TQ852006:TR852006 ADM852006:ADN852006 ANI852006:ANJ852006 AXE852006:AXF852006 BHA852006:BHB852006 BQW852006:BQX852006 CAS852006:CAT852006 CKO852006:CKP852006 CUK852006:CUL852006 DEG852006:DEH852006 DOC852006:DOD852006 DXY852006:DXZ852006 EHU852006:EHV852006 ERQ852006:ERR852006 FBM852006:FBN852006 FLI852006:FLJ852006 FVE852006:FVF852006 GFA852006:GFB852006 GOW852006:GOX852006 GYS852006:GYT852006 HIO852006:HIP852006 HSK852006:HSL852006 ICG852006:ICH852006 IMC852006:IMD852006 IVY852006:IVZ852006 JFU852006:JFV852006 JPQ852006:JPR852006 JZM852006:JZN852006 KJI852006:KJJ852006 KTE852006:KTF852006 LDA852006:LDB852006 LMW852006:LMX852006 LWS852006:LWT852006 MGO852006:MGP852006 MQK852006:MQL852006 NAG852006:NAH852006 NKC852006:NKD852006 NTY852006:NTZ852006 ODU852006:ODV852006 ONQ852006:ONR852006 OXM852006:OXN852006 PHI852006:PHJ852006 PRE852006:PRF852006 QBA852006:QBB852006 QKW852006:QKX852006 QUS852006:QUT852006 REO852006:REP852006 ROK852006:ROL852006 RYG852006:RYH852006 SIC852006:SID852006 SRY852006:SRZ852006 TBU852006:TBV852006 TLQ852006:TLR852006 TVM852006:TVN852006 UFI852006:UFJ852006 UPE852006:UPF852006 UZA852006:UZB852006 VIW852006:VIX852006 VSS852006:VST852006 WCO852006:WCP852006 WMK852006:WML852006 WWG852006:WWH852006 Y917542:Z917542 JU917542:JV917542 TQ917542:TR917542 ADM917542:ADN917542 ANI917542:ANJ917542 AXE917542:AXF917542 BHA917542:BHB917542 BQW917542:BQX917542 CAS917542:CAT917542 CKO917542:CKP917542 CUK917542:CUL917542 DEG917542:DEH917542 DOC917542:DOD917542 DXY917542:DXZ917542 EHU917542:EHV917542 ERQ917542:ERR917542 FBM917542:FBN917542 FLI917542:FLJ917542 FVE917542:FVF917542 GFA917542:GFB917542 GOW917542:GOX917542 GYS917542:GYT917542 HIO917542:HIP917542 HSK917542:HSL917542 ICG917542:ICH917542 IMC917542:IMD917542 IVY917542:IVZ917542 JFU917542:JFV917542 JPQ917542:JPR917542 JZM917542:JZN917542 KJI917542:KJJ917542 KTE917542:KTF917542 LDA917542:LDB917542 LMW917542:LMX917542 LWS917542:LWT917542 MGO917542:MGP917542 MQK917542:MQL917542 NAG917542:NAH917542 NKC917542:NKD917542 NTY917542:NTZ917542 ODU917542:ODV917542 ONQ917542:ONR917542 OXM917542:OXN917542 PHI917542:PHJ917542 PRE917542:PRF917542 QBA917542:QBB917542 QKW917542:QKX917542 QUS917542:QUT917542 REO917542:REP917542 ROK917542:ROL917542 RYG917542:RYH917542 SIC917542:SID917542 SRY917542:SRZ917542 TBU917542:TBV917542 TLQ917542:TLR917542 TVM917542:TVN917542 UFI917542:UFJ917542 UPE917542:UPF917542 UZA917542:UZB917542 VIW917542:VIX917542 VSS917542:VST917542 WCO917542:WCP917542 WMK917542:WML917542 WWG917542:WWH917542 Y983078:Z983078 JU983078:JV983078 TQ983078:TR983078 ADM983078:ADN983078 ANI983078:ANJ983078 AXE983078:AXF983078 BHA983078:BHB983078 BQW983078:BQX983078 CAS983078:CAT983078 CKO983078:CKP983078 CUK983078:CUL983078 DEG983078:DEH983078 DOC983078:DOD983078 DXY983078:DXZ983078 EHU983078:EHV983078 ERQ983078:ERR983078 FBM983078:FBN983078 FLI983078:FLJ983078 FVE983078:FVF983078 GFA983078:GFB983078 GOW983078:GOX983078 GYS983078:GYT983078 HIO983078:HIP983078 HSK983078:HSL983078 ICG983078:ICH983078 IMC983078:IMD983078 IVY983078:IVZ983078 JFU983078:JFV983078 JPQ983078:JPR983078 JZM983078:JZN983078 KJI983078:KJJ983078 KTE983078:KTF983078 LDA983078:LDB983078 LMW983078:LMX983078 LWS983078:LWT983078 MGO983078:MGP983078 MQK983078:MQL983078 NAG983078:NAH983078 NKC983078:NKD983078 NTY983078:NTZ983078 ODU983078:ODV983078 ONQ983078:ONR983078 OXM983078:OXN983078 PHI983078:PHJ983078 PRE983078:PRF983078 QBA983078:QBB983078 QKW983078:QKX983078 QUS983078:QUT983078 REO983078:REP983078 ROK983078:ROL983078 RYG983078:RYH983078 SIC983078:SID983078 SRY983078:SRZ983078 TBU983078:TBV983078 TLQ983078:TLR983078 TVM983078:TVN983078 UFI983078:UFJ983078 UPE983078:UPF983078 UZA983078:UZB983078 VIW983078:VIX983078 VSS983078:VST983078 WCO983078:WCP983078 WMK983078:WML983078 WWG983078:WWH983078 AW38 KS38 UO38 AEK38 AOG38 AYC38 BHY38 BRU38 CBQ38 CLM38 CVI38 DFE38 DPA38 DYW38 EIS38 ESO38 FCK38 FMG38 FWC38 GFY38 GPU38 GZQ38 HJM38 HTI38 IDE38 INA38 IWW38 JGS38 JQO38 KAK38 KKG38 KUC38 LDY38 LNU38 LXQ38 MHM38 MRI38 NBE38 NLA38 NUW38 OES38 OOO38 OYK38 PIG38 PSC38 QBY38 QLU38 QVQ38 RFM38 RPI38 RZE38 SJA38 SSW38 TCS38 TMO38 TWK38 UGG38 UQC38 UZY38 VJU38 VTQ38 WDM38 WNI38 WXE38 AW65574 KS65574 UO65574 AEK65574 AOG65574 AYC65574 BHY65574 BRU65574 CBQ65574 CLM65574 CVI65574 DFE65574 DPA65574 DYW65574 EIS65574 ESO65574 FCK65574 FMG65574 FWC65574 GFY65574 GPU65574 GZQ65574 HJM65574 HTI65574 IDE65574 INA65574 IWW65574 JGS65574 JQO65574 KAK65574 KKG65574 KUC65574 LDY65574 LNU65574 LXQ65574 MHM65574 MRI65574 NBE65574 NLA65574 NUW65574 OES65574 OOO65574 OYK65574 PIG65574 PSC65574 QBY65574 QLU65574 QVQ65574 RFM65574 RPI65574 RZE65574 SJA65574 SSW65574 TCS65574 TMO65574 TWK65574 UGG65574 UQC65574 UZY65574 VJU65574 VTQ65574 WDM65574 WNI65574 WXE65574 AW131110 KS131110 UO131110 AEK131110 AOG131110 AYC131110 BHY131110 BRU131110 CBQ131110 CLM131110 CVI131110 DFE131110 DPA131110 DYW131110 EIS131110 ESO131110 FCK131110 FMG131110 FWC131110 GFY131110 GPU131110 GZQ131110 HJM131110 HTI131110 IDE131110 INA131110 IWW131110 JGS131110 JQO131110 KAK131110 KKG131110 KUC131110 LDY131110 LNU131110 LXQ131110 MHM131110 MRI131110 NBE131110 NLA131110 NUW131110 OES131110 OOO131110 OYK131110 PIG131110 PSC131110 QBY131110 QLU131110 QVQ131110 RFM131110 RPI131110 RZE131110 SJA131110 SSW131110 TCS131110 TMO131110 TWK131110 UGG131110 UQC131110 UZY131110 VJU131110 VTQ131110 WDM131110 WNI131110 WXE131110 AW196646 KS196646 UO196646 AEK196646 AOG196646 AYC196646 BHY196646 BRU196646 CBQ196646 CLM196646 CVI196646 DFE196646 DPA196646 DYW196646 EIS196646 ESO196646 FCK196646 FMG196646 FWC196646 GFY196646 GPU196646 GZQ196646 HJM196646 HTI196646 IDE196646 INA196646 IWW196646 JGS196646 JQO196646 KAK196646 KKG196646 KUC196646 LDY196646 LNU196646 LXQ196646 MHM196646 MRI196646 NBE196646 NLA196646 NUW196646 OES196646 OOO196646 OYK196646 PIG196646 PSC196646 QBY196646 QLU196646 QVQ196646 RFM196646 RPI196646 RZE196646 SJA196646 SSW196646 TCS196646 TMO196646 TWK196646 UGG196646 UQC196646 UZY196646 VJU196646 VTQ196646 WDM196646 WNI196646 WXE196646 AW262182 KS262182 UO262182 AEK262182 AOG262182 AYC262182 BHY262182 BRU262182 CBQ262182 CLM262182 CVI262182 DFE262182 DPA262182 DYW262182 EIS262182 ESO262182 FCK262182 FMG262182 FWC262182 GFY262182 GPU262182 GZQ262182 HJM262182 HTI262182 IDE262182 INA262182 IWW262182 JGS262182 JQO262182 KAK262182 KKG262182 KUC262182 LDY262182 LNU262182 LXQ262182 MHM262182 MRI262182 NBE262182 NLA262182 NUW262182 OES262182 OOO262182 OYK262182 PIG262182 PSC262182 QBY262182 QLU262182 QVQ262182 RFM262182 RPI262182 RZE262182 SJA262182 SSW262182 TCS262182 TMO262182 TWK262182 UGG262182 UQC262182 UZY262182 VJU262182 VTQ262182 WDM262182 WNI262182 WXE262182 AW327718 KS327718 UO327718 AEK327718 AOG327718 AYC327718 BHY327718 BRU327718 CBQ327718 CLM327718 CVI327718 DFE327718 DPA327718 DYW327718 EIS327718 ESO327718 FCK327718 FMG327718 FWC327718 GFY327718 GPU327718 GZQ327718 HJM327718 HTI327718 IDE327718 INA327718 IWW327718 JGS327718 JQO327718 KAK327718 KKG327718 KUC327718 LDY327718 LNU327718 LXQ327718 MHM327718 MRI327718 NBE327718 NLA327718 NUW327718 OES327718 OOO327718 OYK327718 PIG327718 PSC327718 QBY327718 QLU327718 QVQ327718 RFM327718 RPI327718 RZE327718 SJA327718 SSW327718 TCS327718 TMO327718 TWK327718 UGG327718 UQC327718 UZY327718 VJU327718 VTQ327718 WDM327718 WNI327718 WXE327718 AW393254 KS393254 UO393254 AEK393254 AOG393254 AYC393254 BHY393254 BRU393254 CBQ393254 CLM393254 CVI393254 DFE393254 DPA393254 DYW393254 EIS393254 ESO393254 FCK393254 FMG393254 FWC393254 GFY393254 GPU393254 GZQ393254 HJM393254 HTI393254 IDE393254 INA393254 IWW393254 JGS393254 JQO393254 KAK393254 KKG393254 KUC393254 LDY393254 LNU393254 LXQ393254 MHM393254 MRI393254 NBE393254 NLA393254 NUW393254 OES393254 OOO393254 OYK393254 PIG393254 PSC393254 QBY393254 QLU393254 QVQ393254 RFM393254 RPI393254 RZE393254 SJA393254 SSW393254 TCS393254 TMO393254 TWK393254 UGG393254 UQC393254 UZY393254 VJU393254 VTQ393254 WDM393254 WNI393254 WXE393254 AW458790 KS458790 UO458790 AEK458790 AOG458790 AYC458790 BHY458790 BRU458790 CBQ458790 CLM458790 CVI458790 DFE458790 DPA458790 DYW458790 EIS458790 ESO458790 FCK458790 FMG458790 FWC458790 GFY458790 GPU458790 GZQ458790 HJM458790 HTI458790 IDE458790 INA458790 IWW458790 JGS458790 JQO458790 KAK458790 KKG458790 KUC458790 LDY458790 LNU458790 LXQ458790 MHM458790 MRI458790 NBE458790 NLA458790 NUW458790 OES458790 OOO458790 OYK458790 PIG458790 PSC458790 QBY458790 QLU458790 QVQ458790 RFM458790 RPI458790 RZE458790 SJA458790 SSW458790 TCS458790 TMO458790 TWK458790 UGG458790 UQC458790 UZY458790 VJU458790 VTQ458790 WDM458790 WNI458790 WXE458790 AW524326 KS524326 UO524326 AEK524326 AOG524326 AYC524326 BHY524326 BRU524326 CBQ524326 CLM524326 CVI524326 DFE524326 DPA524326 DYW524326 EIS524326 ESO524326 FCK524326 FMG524326 FWC524326 GFY524326 GPU524326 GZQ524326 HJM524326 HTI524326 IDE524326 INA524326 IWW524326 JGS524326 JQO524326 KAK524326 KKG524326 KUC524326 LDY524326 LNU524326 LXQ524326 MHM524326 MRI524326 NBE524326 NLA524326 NUW524326 OES524326 OOO524326 OYK524326 PIG524326 PSC524326 QBY524326 QLU524326 QVQ524326 RFM524326 RPI524326 RZE524326 SJA524326 SSW524326 TCS524326 TMO524326 TWK524326 UGG524326 UQC524326 UZY524326 VJU524326 VTQ524326 WDM524326 WNI524326 WXE524326 AW589862 KS589862 UO589862 AEK589862 AOG589862 AYC589862 BHY589862 BRU589862 CBQ589862 CLM589862 CVI589862 DFE589862 DPA589862 DYW589862 EIS589862 ESO589862 FCK589862 FMG589862 FWC589862 GFY589862 GPU589862 GZQ589862 HJM589862 HTI589862 IDE589862 INA589862 IWW589862 JGS589862 JQO589862 KAK589862 KKG589862 KUC589862 LDY589862 LNU589862 LXQ589862 MHM589862 MRI589862 NBE589862 NLA589862 NUW589862 OES589862 OOO589862 OYK589862 PIG589862 PSC589862 QBY589862 QLU589862 QVQ589862 RFM589862 RPI589862 RZE589862 SJA589862 SSW589862 TCS589862 TMO589862 TWK589862 UGG589862 UQC589862 UZY589862 VJU589862 VTQ589862 WDM589862 WNI589862 WXE589862 AW655398 KS655398 UO655398 AEK655398 AOG655398 AYC655398 BHY655398 BRU655398 CBQ655398 CLM655398 CVI655398 DFE655398 DPA655398 DYW655398 EIS655398 ESO655398 FCK655398 FMG655398 FWC655398 GFY655398 GPU655398 GZQ655398 HJM655398 HTI655398 IDE655398 INA655398 IWW655398 JGS655398 JQO655398 KAK655398 KKG655398 KUC655398 LDY655398 LNU655398 LXQ655398 MHM655398 MRI655398 NBE655398 NLA655398 NUW655398 OES655398 OOO655398 OYK655398 PIG655398 PSC655398 QBY655398 QLU655398 QVQ655398 RFM655398 RPI655398 RZE655398 SJA655398 SSW655398 TCS655398 TMO655398 TWK655398 UGG655398 UQC655398 UZY655398 VJU655398 VTQ655398 WDM655398 WNI655398 WXE655398 AW720934 KS720934 UO720934 AEK720934 AOG720934 AYC720934 BHY720934 BRU720934 CBQ720934 CLM720934 CVI720934 DFE720934 DPA720934 DYW720934 EIS720934 ESO720934 FCK720934 FMG720934 FWC720934 GFY720934 GPU720934 GZQ720934 HJM720934 HTI720934 IDE720934 INA720934 IWW720934 JGS720934 JQO720934 KAK720934 KKG720934 KUC720934 LDY720934 LNU720934 LXQ720934 MHM720934 MRI720934 NBE720934 NLA720934 NUW720934 OES720934 OOO720934 OYK720934 PIG720934 PSC720934 QBY720934 QLU720934 QVQ720934 RFM720934 RPI720934 RZE720934 SJA720934 SSW720934 TCS720934 TMO720934 TWK720934 UGG720934 UQC720934 UZY720934 VJU720934 VTQ720934 WDM720934 WNI720934 WXE720934 AW786470 KS786470 UO786470 AEK786470 AOG786470 AYC786470 BHY786470 BRU786470 CBQ786470 CLM786470 CVI786470 DFE786470 DPA786470 DYW786470 EIS786470 ESO786470 FCK786470 FMG786470 FWC786470 GFY786470 GPU786470 GZQ786470 HJM786470 HTI786470 IDE786470 INA786470 IWW786470 JGS786470 JQO786470 KAK786470 KKG786470 KUC786470 LDY786470 LNU786470 LXQ786470 MHM786470 MRI786470 NBE786470 NLA786470 NUW786470 OES786470 OOO786470 OYK786470 PIG786470 PSC786470 QBY786470 QLU786470 QVQ786470 RFM786470 RPI786470 RZE786470 SJA786470 SSW786470 TCS786470 TMO786470 TWK786470 UGG786470 UQC786470 UZY786470 VJU786470 VTQ786470 WDM786470 WNI786470 WXE786470 AW852006 KS852006 UO852006 AEK852006 AOG852006 AYC852006 BHY852006 BRU852006 CBQ852006 CLM852006 CVI852006 DFE852006 DPA852006 DYW852006 EIS852006 ESO852006 FCK852006 FMG852006 FWC852006 GFY852006 GPU852006 GZQ852006 HJM852006 HTI852006 IDE852006 INA852006 IWW852006 JGS852006 JQO852006 KAK852006 KKG852006 KUC852006 LDY852006 LNU852006 LXQ852006 MHM852006 MRI852006 NBE852006 NLA852006 NUW852006 OES852006 OOO852006 OYK852006 PIG852006 PSC852006 QBY852006 QLU852006 QVQ852006 RFM852006 RPI852006 RZE852006 SJA852006 SSW852006 TCS852006 TMO852006 TWK852006 UGG852006 UQC852006 UZY852006 VJU852006 VTQ852006 WDM852006 WNI852006 WXE852006 AW917542 KS917542 UO917542 AEK917542 AOG917542 AYC917542 BHY917542 BRU917542 CBQ917542 CLM917542 CVI917542 DFE917542 DPA917542 DYW917542 EIS917542 ESO917542 FCK917542 FMG917542 FWC917542 GFY917542 GPU917542 GZQ917542 HJM917542 HTI917542 IDE917542 INA917542 IWW917542 JGS917542 JQO917542 KAK917542 KKG917542 KUC917542 LDY917542 LNU917542 LXQ917542 MHM917542 MRI917542 NBE917542 NLA917542 NUW917542 OES917542 OOO917542 OYK917542 PIG917542 PSC917542 QBY917542 QLU917542 QVQ917542 RFM917542 RPI917542 RZE917542 SJA917542 SSW917542 TCS917542 TMO917542 TWK917542 UGG917542 UQC917542 UZY917542 VJU917542 VTQ917542 WDM917542 WNI917542 WXE917542 AW983078 KS983078 UO983078 AEK983078 AOG983078 AYC983078 BHY983078 BRU983078 CBQ983078 CLM983078 CVI983078 DFE983078 DPA983078 DYW983078 EIS983078 ESO983078 FCK983078 FMG983078 FWC983078 GFY983078 GPU983078 GZQ983078 HJM983078 HTI983078 IDE983078 INA983078 IWW983078 JGS983078 JQO983078 KAK983078 KKG983078 KUC983078 LDY983078 LNU983078 LXQ983078 MHM983078 MRI983078 NBE983078 NLA983078 NUW983078 OES983078 OOO983078 OYK983078 PIG983078 PSC983078 QBY983078 QLU983078 QVQ983078 RFM983078 RPI983078 RZE983078 SJA983078 SSW983078 TCS983078 TMO983078 TWK983078 UGG983078 UQC983078 UZY983078 VJU983078 VTQ983078 WDM983078 WNI983078" xr:uid="{00000000-0002-0000-0800-000001000000}">
      <formula1>"x"</formula1>
      <formula2>0</formula2>
    </dataValidation>
    <dataValidation type="list" showDropDown="1" showInputMessage="1" showErrorMessage="1" error="Vyznačí sa iba  x" prompt="_x000a_    Vyznačí sa x,     _x000a_ak ide o schválenú_x000a_ účtovnú závierku" sqref="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WWU98306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xr:uid="{00000000-0002-0000-0800-000002000000}">
      <formula1>"x"</formula1>
      <formula2>0</formula2>
    </dataValidation>
    <dataValidation type="list" showDropDown="1" showInputMessage="1" showErrorMessage="1" error="Vyznačí sa iba  x" prompt="_x000a_    Vyznačí sa x,     _x000a_ak ide o mimoriadnu_x000a_  účtovnú závierku" sqref="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WWI983072 JW26 TS26 ADO26 ANK26 AXG26 BHC26 BQY26 CAU26 CKQ26 CUM26 DEI26 DOE26 DYA26 EHW26 ERS26 FBO26 FLK26 FVG26 GFC26 GOY26 GYU26 HIQ26 HSM26 ICI26 IME26 IWA26 JFW26 JPS26 JZO26 KJK26 KTG26 LDC26 LMY26 LWU26 MGQ26 MQM26 NAI26 NKE26 NUA26 ODW26 ONS26 OXO26 PHK26 PRG26 QBC26 QKY26 QUU26 REQ26 ROM26 RYI26 SIE26 SSA26 TBW26 TLS26 TVO26 UFK26 UPG26 UZC26 VIY26 VSU26 WCQ26 WMM26 WWI26 AA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AA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AA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AA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AA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AA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AA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AA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AA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AA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AA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AA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AA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AA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AA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WI983066 WMM98307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xr:uid="{00000000-0002-0000-0800-000003000000}">
      <formula1>"x"</formula1>
      <formula2>0</formula2>
    </dataValidation>
    <dataValidation type="list" showDropDown="1" showInputMessage="1" showErrorMessage="1" error="Vyznačí sa iba  x" prompt="_x000a_    Vyznačí sa x,     _x000a_ak ide o priebežnú_x000a_účtovnú závierku" sqref="U30:U32 JQ30:JQ32 TM30:TM32 ADI30:ADI32 ANE30:ANE32 AXA30:AXA32 BGW30:BGW32 BQS30:BQS32 CAO30:CAO32 CKK30:CKK32 CUG30:CUG32 DEC30:DEC32 DNY30:DNY32 DXU30:DXU32 EHQ30:EHQ32 ERM30:ERM32 FBI30:FBI32 FLE30:FLE32 FVA30:FVA32 GEW30:GEW32 GOS30:GOS32 GYO30:GYO32 HIK30:HIK32 HSG30:HSG32 ICC30:ICC32 ILY30:ILY32 IVU30:IVU32 JFQ30:JFQ32 JPM30:JPM32 JZI30:JZI32 KJE30:KJE32 KTA30:KTA32 LCW30:LCW32 LMS30:LMS32 LWO30:LWO32 MGK30:MGK32 MQG30:MQG32 NAC30:NAC32 NJY30:NJY32 NTU30:NTU32 ODQ30:ODQ32 ONM30:ONM32 OXI30:OXI32 PHE30:PHE32 PRA30:PRA32 QAW30:QAW32 QKS30:QKS32 QUO30:QUO32 REK30:REK32 ROG30:ROG32 RYC30:RYC32 SHY30:SHY32 SRU30:SRU32 TBQ30:TBQ32 TLM30:TLM32 TVI30:TVI32 UFE30:UFE32 UPA30:UPA32 UYW30:UYW32 VIS30:VIS32 VSO30:VSO32 WCK30:WCK32 WMG30:WMG32 WWC30:WWC32 U65566:U65568 JQ65566:JQ65568 TM65566:TM65568 ADI65566:ADI65568 ANE65566:ANE65568 AXA65566:AXA65568 BGW65566:BGW65568 BQS65566:BQS65568 CAO65566:CAO65568 CKK65566:CKK65568 CUG65566:CUG65568 DEC65566:DEC65568 DNY65566:DNY65568 DXU65566:DXU65568 EHQ65566:EHQ65568 ERM65566:ERM65568 FBI65566:FBI65568 FLE65566:FLE65568 FVA65566:FVA65568 GEW65566:GEW65568 GOS65566:GOS65568 GYO65566:GYO65568 HIK65566:HIK65568 HSG65566:HSG65568 ICC65566:ICC65568 ILY65566:ILY65568 IVU65566:IVU65568 JFQ65566:JFQ65568 JPM65566:JPM65568 JZI65566:JZI65568 KJE65566:KJE65568 KTA65566:KTA65568 LCW65566:LCW65568 LMS65566:LMS65568 LWO65566:LWO65568 MGK65566:MGK65568 MQG65566:MQG65568 NAC65566:NAC65568 NJY65566:NJY65568 NTU65566:NTU65568 ODQ65566:ODQ65568 ONM65566:ONM65568 OXI65566:OXI65568 PHE65566:PHE65568 PRA65566:PRA65568 QAW65566:QAW65568 QKS65566:QKS65568 QUO65566:QUO65568 REK65566:REK65568 ROG65566:ROG65568 RYC65566:RYC65568 SHY65566:SHY65568 SRU65566:SRU65568 TBQ65566:TBQ65568 TLM65566:TLM65568 TVI65566:TVI65568 UFE65566:UFE65568 UPA65566:UPA65568 UYW65566:UYW65568 VIS65566:VIS65568 VSO65566:VSO65568 WCK65566:WCK65568 WMG65566:WMG65568 WWC65566:WWC65568 U131102:U131104 JQ131102:JQ131104 TM131102:TM131104 ADI131102:ADI131104 ANE131102:ANE131104 AXA131102:AXA131104 BGW131102:BGW131104 BQS131102:BQS131104 CAO131102:CAO131104 CKK131102:CKK131104 CUG131102:CUG131104 DEC131102:DEC131104 DNY131102:DNY131104 DXU131102:DXU131104 EHQ131102:EHQ131104 ERM131102:ERM131104 FBI131102:FBI131104 FLE131102:FLE131104 FVA131102:FVA131104 GEW131102:GEW131104 GOS131102:GOS131104 GYO131102:GYO131104 HIK131102:HIK131104 HSG131102:HSG131104 ICC131102:ICC131104 ILY131102:ILY131104 IVU131102:IVU131104 JFQ131102:JFQ131104 JPM131102:JPM131104 JZI131102:JZI131104 KJE131102:KJE131104 KTA131102:KTA131104 LCW131102:LCW131104 LMS131102:LMS131104 LWO131102:LWO131104 MGK131102:MGK131104 MQG131102:MQG131104 NAC131102:NAC131104 NJY131102:NJY131104 NTU131102:NTU131104 ODQ131102:ODQ131104 ONM131102:ONM131104 OXI131102:OXI131104 PHE131102:PHE131104 PRA131102:PRA131104 QAW131102:QAW131104 QKS131102:QKS131104 QUO131102:QUO131104 REK131102:REK131104 ROG131102:ROG131104 RYC131102:RYC131104 SHY131102:SHY131104 SRU131102:SRU131104 TBQ131102:TBQ131104 TLM131102:TLM131104 TVI131102:TVI131104 UFE131102:UFE131104 UPA131102:UPA131104 UYW131102:UYW131104 VIS131102:VIS131104 VSO131102:VSO131104 WCK131102:WCK131104 WMG131102:WMG131104 WWC131102:WWC131104 U196638:U196640 JQ196638:JQ196640 TM196638:TM196640 ADI196638:ADI196640 ANE196638:ANE196640 AXA196638:AXA196640 BGW196638:BGW196640 BQS196638:BQS196640 CAO196638:CAO196640 CKK196638:CKK196640 CUG196638:CUG196640 DEC196638:DEC196640 DNY196638:DNY196640 DXU196638:DXU196640 EHQ196638:EHQ196640 ERM196638:ERM196640 FBI196638:FBI196640 FLE196638:FLE196640 FVA196638:FVA196640 GEW196638:GEW196640 GOS196638:GOS196640 GYO196638:GYO196640 HIK196638:HIK196640 HSG196638:HSG196640 ICC196638:ICC196640 ILY196638:ILY196640 IVU196638:IVU196640 JFQ196638:JFQ196640 JPM196638:JPM196640 JZI196638:JZI196640 KJE196638:KJE196640 KTA196638:KTA196640 LCW196638:LCW196640 LMS196638:LMS196640 LWO196638:LWO196640 MGK196638:MGK196640 MQG196638:MQG196640 NAC196638:NAC196640 NJY196638:NJY196640 NTU196638:NTU196640 ODQ196638:ODQ196640 ONM196638:ONM196640 OXI196638:OXI196640 PHE196638:PHE196640 PRA196638:PRA196640 QAW196638:QAW196640 QKS196638:QKS196640 QUO196638:QUO196640 REK196638:REK196640 ROG196638:ROG196640 RYC196638:RYC196640 SHY196638:SHY196640 SRU196638:SRU196640 TBQ196638:TBQ196640 TLM196638:TLM196640 TVI196638:TVI196640 UFE196638:UFE196640 UPA196638:UPA196640 UYW196638:UYW196640 VIS196638:VIS196640 VSO196638:VSO196640 WCK196638:WCK196640 WMG196638:WMG196640 WWC196638:WWC196640 U262174:U262176 JQ262174:JQ262176 TM262174:TM262176 ADI262174:ADI262176 ANE262174:ANE262176 AXA262174:AXA262176 BGW262174:BGW262176 BQS262174:BQS262176 CAO262174:CAO262176 CKK262174:CKK262176 CUG262174:CUG262176 DEC262174:DEC262176 DNY262174:DNY262176 DXU262174:DXU262176 EHQ262174:EHQ262176 ERM262174:ERM262176 FBI262174:FBI262176 FLE262174:FLE262176 FVA262174:FVA262176 GEW262174:GEW262176 GOS262174:GOS262176 GYO262174:GYO262176 HIK262174:HIK262176 HSG262174:HSG262176 ICC262174:ICC262176 ILY262174:ILY262176 IVU262174:IVU262176 JFQ262174:JFQ262176 JPM262174:JPM262176 JZI262174:JZI262176 KJE262174:KJE262176 KTA262174:KTA262176 LCW262174:LCW262176 LMS262174:LMS262176 LWO262174:LWO262176 MGK262174:MGK262176 MQG262174:MQG262176 NAC262174:NAC262176 NJY262174:NJY262176 NTU262174:NTU262176 ODQ262174:ODQ262176 ONM262174:ONM262176 OXI262174:OXI262176 PHE262174:PHE262176 PRA262174:PRA262176 QAW262174:QAW262176 QKS262174:QKS262176 QUO262174:QUO262176 REK262174:REK262176 ROG262174:ROG262176 RYC262174:RYC262176 SHY262174:SHY262176 SRU262174:SRU262176 TBQ262174:TBQ262176 TLM262174:TLM262176 TVI262174:TVI262176 UFE262174:UFE262176 UPA262174:UPA262176 UYW262174:UYW262176 VIS262174:VIS262176 VSO262174:VSO262176 WCK262174:WCK262176 WMG262174:WMG262176 WWC262174:WWC262176 U327710:U327712 JQ327710:JQ327712 TM327710:TM327712 ADI327710:ADI327712 ANE327710:ANE327712 AXA327710:AXA327712 BGW327710:BGW327712 BQS327710:BQS327712 CAO327710:CAO327712 CKK327710:CKK327712 CUG327710:CUG327712 DEC327710:DEC327712 DNY327710:DNY327712 DXU327710:DXU327712 EHQ327710:EHQ327712 ERM327710:ERM327712 FBI327710:FBI327712 FLE327710:FLE327712 FVA327710:FVA327712 GEW327710:GEW327712 GOS327710:GOS327712 GYO327710:GYO327712 HIK327710:HIK327712 HSG327710:HSG327712 ICC327710:ICC327712 ILY327710:ILY327712 IVU327710:IVU327712 JFQ327710:JFQ327712 JPM327710:JPM327712 JZI327710:JZI327712 KJE327710:KJE327712 KTA327710:KTA327712 LCW327710:LCW327712 LMS327710:LMS327712 LWO327710:LWO327712 MGK327710:MGK327712 MQG327710:MQG327712 NAC327710:NAC327712 NJY327710:NJY327712 NTU327710:NTU327712 ODQ327710:ODQ327712 ONM327710:ONM327712 OXI327710:OXI327712 PHE327710:PHE327712 PRA327710:PRA327712 QAW327710:QAW327712 QKS327710:QKS327712 QUO327710:QUO327712 REK327710:REK327712 ROG327710:ROG327712 RYC327710:RYC327712 SHY327710:SHY327712 SRU327710:SRU327712 TBQ327710:TBQ327712 TLM327710:TLM327712 TVI327710:TVI327712 UFE327710:UFE327712 UPA327710:UPA327712 UYW327710:UYW327712 VIS327710:VIS327712 VSO327710:VSO327712 WCK327710:WCK327712 WMG327710:WMG327712 WWC327710:WWC327712 U393246:U393248 JQ393246:JQ393248 TM393246:TM393248 ADI393246:ADI393248 ANE393246:ANE393248 AXA393246:AXA393248 BGW393246:BGW393248 BQS393246:BQS393248 CAO393246:CAO393248 CKK393246:CKK393248 CUG393246:CUG393248 DEC393246:DEC393248 DNY393246:DNY393248 DXU393246:DXU393248 EHQ393246:EHQ393248 ERM393246:ERM393248 FBI393246:FBI393248 FLE393246:FLE393248 FVA393246:FVA393248 GEW393246:GEW393248 GOS393246:GOS393248 GYO393246:GYO393248 HIK393246:HIK393248 HSG393246:HSG393248 ICC393246:ICC393248 ILY393246:ILY393248 IVU393246:IVU393248 JFQ393246:JFQ393248 JPM393246:JPM393248 JZI393246:JZI393248 KJE393246:KJE393248 KTA393246:KTA393248 LCW393246:LCW393248 LMS393246:LMS393248 LWO393246:LWO393248 MGK393246:MGK393248 MQG393246:MQG393248 NAC393246:NAC393248 NJY393246:NJY393248 NTU393246:NTU393248 ODQ393246:ODQ393248 ONM393246:ONM393248 OXI393246:OXI393248 PHE393246:PHE393248 PRA393246:PRA393248 QAW393246:QAW393248 QKS393246:QKS393248 QUO393246:QUO393248 REK393246:REK393248 ROG393246:ROG393248 RYC393246:RYC393248 SHY393246:SHY393248 SRU393246:SRU393248 TBQ393246:TBQ393248 TLM393246:TLM393248 TVI393246:TVI393248 UFE393246:UFE393248 UPA393246:UPA393248 UYW393246:UYW393248 VIS393246:VIS393248 VSO393246:VSO393248 WCK393246:WCK393248 WMG393246:WMG393248 WWC393246:WWC393248 U458782:U458784 JQ458782:JQ458784 TM458782:TM458784 ADI458782:ADI458784 ANE458782:ANE458784 AXA458782:AXA458784 BGW458782:BGW458784 BQS458782:BQS458784 CAO458782:CAO458784 CKK458782:CKK458784 CUG458782:CUG458784 DEC458782:DEC458784 DNY458782:DNY458784 DXU458782:DXU458784 EHQ458782:EHQ458784 ERM458782:ERM458784 FBI458782:FBI458784 FLE458782:FLE458784 FVA458782:FVA458784 GEW458782:GEW458784 GOS458782:GOS458784 GYO458782:GYO458784 HIK458782:HIK458784 HSG458782:HSG458784 ICC458782:ICC458784 ILY458782:ILY458784 IVU458782:IVU458784 JFQ458782:JFQ458784 JPM458782:JPM458784 JZI458782:JZI458784 KJE458782:KJE458784 KTA458782:KTA458784 LCW458782:LCW458784 LMS458782:LMS458784 LWO458782:LWO458784 MGK458782:MGK458784 MQG458782:MQG458784 NAC458782:NAC458784 NJY458782:NJY458784 NTU458782:NTU458784 ODQ458782:ODQ458784 ONM458782:ONM458784 OXI458782:OXI458784 PHE458782:PHE458784 PRA458782:PRA458784 QAW458782:QAW458784 QKS458782:QKS458784 QUO458782:QUO458784 REK458782:REK458784 ROG458782:ROG458784 RYC458782:RYC458784 SHY458782:SHY458784 SRU458782:SRU458784 TBQ458782:TBQ458784 TLM458782:TLM458784 TVI458782:TVI458784 UFE458782:UFE458784 UPA458782:UPA458784 UYW458782:UYW458784 VIS458782:VIS458784 VSO458782:VSO458784 WCK458782:WCK458784 WMG458782:WMG458784 WWC458782:WWC458784 U524318:U524320 JQ524318:JQ524320 TM524318:TM524320 ADI524318:ADI524320 ANE524318:ANE524320 AXA524318:AXA524320 BGW524318:BGW524320 BQS524318:BQS524320 CAO524318:CAO524320 CKK524318:CKK524320 CUG524318:CUG524320 DEC524318:DEC524320 DNY524318:DNY524320 DXU524318:DXU524320 EHQ524318:EHQ524320 ERM524318:ERM524320 FBI524318:FBI524320 FLE524318:FLE524320 FVA524318:FVA524320 GEW524318:GEW524320 GOS524318:GOS524320 GYO524318:GYO524320 HIK524318:HIK524320 HSG524318:HSG524320 ICC524318:ICC524320 ILY524318:ILY524320 IVU524318:IVU524320 JFQ524318:JFQ524320 JPM524318:JPM524320 JZI524318:JZI524320 KJE524318:KJE524320 KTA524318:KTA524320 LCW524318:LCW524320 LMS524318:LMS524320 LWO524318:LWO524320 MGK524318:MGK524320 MQG524318:MQG524320 NAC524318:NAC524320 NJY524318:NJY524320 NTU524318:NTU524320 ODQ524318:ODQ524320 ONM524318:ONM524320 OXI524318:OXI524320 PHE524318:PHE524320 PRA524318:PRA524320 QAW524318:QAW524320 QKS524318:QKS524320 QUO524318:QUO524320 REK524318:REK524320 ROG524318:ROG524320 RYC524318:RYC524320 SHY524318:SHY524320 SRU524318:SRU524320 TBQ524318:TBQ524320 TLM524318:TLM524320 TVI524318:TVI524320 UFE524318:UFE524320 UPA524318:UPA524320 UYW524318:UYW524320 VIS524318:VIS524320 VSO524318:VSO524320 WCK524318:WCK524320 WMG524318:WMG524320 WWC524318:WWC524320 U589854:U589856 JQ589854:JQ589856 TM589854:TM589856 ADI589854:ADI589856 ANE589854:ANE589856 AXA589854:AXA589856 BGW589854:BGW589856 BQS589854:BQS589856 CAO589854:CAO589856 CKK589854:CKK589856 CUG589854:CUG589856 DEC589854:DEC589856 DNY589854:DNY589856 DXU589854:DXU589856 EHQ589854:EHQ589856 ERM589854:ERM589856 FBI589854:FBI589856 FLE589854:FLE589856 FVA589854:FVA589856 GEW589854:GEW589856 GOS589854:GOS589856 GYO589854:GYO589856 HIK589854:HIK589856 HSG589854:HSG589856 ICC589854:ICC589856 ILY589854:ILY589856 IVU589854:IVU589856 JFQ589854:JFQ589856 JPM589854:JPM589856 JZI589854:JZI589856 KJE589854:KJE589856 KTA589854:KTA589856 LCW589854:LCW589856 LMS589854:LMS589856 LWO589854:LWO589856 MGK589854:MGK589856 MQG589854:MQG589856 NAC589854:NAC589856 NJY589854:NJY589856 NTU589854:NTU589856 ODQ589854:ODQ589856 ONM589854:ONM589856 OXI589854:OXI589856 PHE589854:PHE589856 PRA589854:PRA589856 QAW589854:QAW589856 QKS589854:QKS589856 QUO589854:QUO589856 REK589854:REK589856 ROG589854:ROG589856 RYC589854:RYC589856 SHY589854:SHY589856 SRU589854:SRU589856 TBQ589854:TBQ589856 TLM589854:TLM589856 TVI589854:TVI589856 UFE589854:UFE589856 UPA589854:UPA589856 UYW589854:UYW589856 VIS589854:VIS589856 VSO589854:VSO589856 WCK589854:WCK589856 WMG589854:WMG589856 WWC589854:WWC589856 U655390:U655392 JQ655390:JQ655392 TM655390:TM655392 ADI655390:ADI655392 ANE655390:ANE655392 AXA655390:AXA655392 BGW655390:BGW655392 BQS655390:BQS655392 CAO655390:CAO655392 CKK655390:CKK655392 CUG655390:CUG655392 DEC655390:DEC655392 DNY655390:DNY655392 DXU655390:DXU655392 EHQ655390:EHQ655392 ERM655390:ERM655392 FBI655390:FBI655392 FLE655390:FLE655392 FVA655390:FVA655392 GEW655390:GEW655392 GOS655390:GOS655392 GYO655390:GYO655392 HIK655390:HIK655392 HSG655390:HSG655392 ICC655390:ICC655392 ILY655390:ILY655392 IVU655390:IVU655392 JFQ655390:JFQ655392 JPM655390:JPM655392 JZI655390:JZI655392 KJE655390:KJE655392 KTA655390:KTA655392 LCW655390:LCW655392 LMS655390:LMS655392 LWO655390:LWO655392 MGK655390:MGK655392 MQG655390:MQG655392 NAC655390:NAC655392 NJY655390:NJY655392 NTU655390:NTU655392 ODQ655390:ODQ655392 ONM655390:ONM655392 OXI655390:OXI655392 PHE655390:PHE655392 PRA655390:PRA655392 QAW655390:QAW655392 QKS655390:QKS655392 QUO655390:QUO655392 REK655390:REK655392 ROG655390:ROG655392 RYC655390:RYC655392 SHY655390:SHY655392 SRU655390:SRU655392 TBQ655390:TBQ655392 TLM655390:TLM655392 TVI655390:TVI655392 UFE655390:UFE655392 UPA655390:UPA655392 UYW655390:UYW655392 VIS655390:VIS655392 VSO655390:VSO655392 WCK655390:WCK655392 WMG655390:WMG655392 WWC655390:WWC655392 U720926:U720928 JQ720926:JQ720928 TM720926:TM720928 ADI720926:ADI720928 ANE720926:ANE720928 AXA720926:AXA720928 BGW720926:BGW720928 BQS720926:BQS720928 CAO720926:CAO720928 CKK720926:CKK720928 CUG720926:CUG720928 DEC720926:DEC720928 DNY720926:DNY720928 DXU720926:DXU720928 EHQ720926:EHQ720928 ERM720926:ERM720928 FBI720926:FBI720928 FLE720926:FLE720928 FVA720926:FVA720928 GEW720926:GEW720928 GOS720926:GOS720928 GYO720926:GYO720928 HIK720926:HIK720928 HSG720926:HSG720928 ICC720926:ICC720928 ILY720926:ILY720928 IVU720926:IVU720928 JFQ720926:JFQ720928 JPM720926:JPM720928 JZI720926:JZI720928 KJE720926:KJE720928 KTA720926:KTA720928 LCW720926:LCW720928 LMS720926:LMS720928 LWO720926:LWO720928 MGK720926:MGK720928 MQG720926:MQG720928 NAC720926:NAC720928 NJY720926:NJY720928 NTU720926:NTU720928 ODQ720926:ODQ720928 ONM720926:ONM720928 OXI720926:OXI720928 PHE720926:PHE720928 PRA720926:PRA720928 QAW720926:QAW720928 QKS720926:QKS720928 QUO720926:QUO720928 REK720926:REK720928 ROG720926:ROG720928 RYC720926:RYC720928 SHY720926:SHY720928 SRU720926:SRU720928 TBQ720926:TBQ720928 TLM720926:TLM720928 TVI720926:TVI720928 UFE720926:UFE720928 UPA720926:UPA720928 UYW720926:UYW720928 VIS720926:VIS720928 VSO720926:VSO720928 WCK720926:WCK720928 WMG720926:WMG720928 WWC720926:WWC720928 U786462:U786464 JQ786462:JQ786464 TM786462:TM786464 ADI786462:ADI786464 ANE786462:ANE786464 AXA786462:AXA786464 BGW786462:BGW786464 BQS786462:BQS786464 CAO786462:CAO786464 CKK786462:CKK786464 CUG786462:CUG786464 DEC786462:DEC786464 DNY786462:DNY786464 DXU786462:DXU786464 EHQ786462:EHQ786464 ERM786462:ERM786464 FBI786462:FBI786464 FLE786462:FLE786464 FVA786462:FVA786464 GEW786462:GEW786464 GOS786462:GOS786464 GYO786462:GYO786464 HIK786462:HIK786464 HSG786462:HSG786464 ICC786462:ICC786464 ILY786462:ILY786464 IVU786462:IVU786464 JFQ786462:JFQ786464 JPM786462:JPM786464 JZI786462:JZI786464 KJE786462:KJE786464 KTA786462:KTA786464 LCW786462:LCW786464 LMS786462:LMS786464 LWO786462:LWO786464 MGK786462:MGK786464 MQG786462:MQG786464 NAC786462:NAC786464 NJY786462:NJY786464 NTU786462:NTU786464 ODQ786462:ODQ786464 ONM786462:ONM786464 OXI786462:OXI786464 PHE786462:PHE786464 PRA786462:PRA786464 QAW786462:QAW786464 QKS786462:QKS786464 QUO786462:QUO786464 REK786462:REK786464 ROG786462:ROG786464 RYC786462:RYC786464 SHY786462:SHY786464 SRU786462:SRU786464 TBQ786462:TBQ786464 TLM786462:TLM786464 TVI786462:TVI786464 UFE786462:UFE786464 UPA786462:UPA786464 UYW786462:UYW786464 VIS786462:VIS786464 VSO786462:VSO786464 WCK786462:WCK786464 WMG786462:WMG786464 WWC786462:WWC786464 U851998:U852000 JQ851998:JQ852000 TM851998:TM852000 ADI851998:ADI852000 ANE851998:ANE852000 AXA851998:AXA852000 BGW851998:BGW852000 BQS851998:BQS852000 CAO851998:CAO852000 CKK851998:CKK852000 CUG851998:CUG852000 DEC851998:DEC852000 DNY851998:DNY852000 DXU851998:DXU852000 EHQ851998:EHQ852000 ERM851998:ERM852000 FBI851998:FBI852000 FLE851998:FLE852000 FVA851998:FVA852000 GEW851998:GEW852000 GOS851998:GOS852000 GYO851998:GYO852000 HIK851998:HIK852000 HSG851998:HSG852000 ICC851998:ICC852000 ILY851998:ILY852000 IVU851998:IVU852000 JFQ851998:JFQ852000 JPM851998:JPM852000 JZI851998:JZI852000 KJE851998:KJE852000 KTA851998:KTA852000 LCW851998:LCW852000 LMS851998:LMS852000 LWO851998:LWO852000 MGK851998:MGK852000 MQG851998:MQG852000 NAC851998:NAC852000 NJY851998:NJY852000 NTU851998:NTU852000 ODQ851998:ODQ852000 ONM851998:ONM852000 OXI851998:OXI852000 PHE851998:PHE852000 PRA851998:PRA852000 QAW851998:QAW852000 QKS851998:QKS852000 QUO851998:QUO852000 REK851998:REK852000 ROG851998:ROG852000 RYC851998:RYC852000 SHY851998:SHY852000 SRU851998:SRU852000 TBQ851998:TBQ852000 TLM851998:TLM852000 TVI851998:TVI852000 UFE851998:UFE852000 UPA851998:UPA852000 UYW851998:UYW852000 VIS851998:VIS852000 VSO851998:VSO852000 WCK851998:WCK852000 WMG851998:WMG852000 WWC851998:WWC852000 U917534:U917536 JQ917534:JQ917536 TM917534:TM917536 ADI917534:ADI917536 ANE917534:ANE917536 AXA917534:AXA917536 BGW917534:BGW917536 BQS917534:BQS917536 CAO917534:CAO917536 CKK917534:CKK917536 CUG917534:CUG917536 DEC917534:DEC917536 DNY917534:DNY917536 DXU917534:DXU917536 EHQ917534:EHQ917536 ERM917534:ERM917536 FBI917534:FBI917536 FLE917534:FLE917536 FVA917534:FVA917536 GEW917534:GEW917536 GOS917534:GOS917536 GYO917534:GYO917536 HIK917534:HIK917536 HSG917534:HSG917536 ICC917534:ICC917536 ILY917534:ILY917536 IVU917534:IVU917536 JFQ917534:JFQ917536 JPM917534:JPM917536 JZI917534:JZI917536 KJE917534:KJE917536 KTA917534:KTA917536 LCW917534:LCW917536 LMS917534:LMS917536 LWO917534:LWO917536 MGK917534:MGK917536 MQG917534:MQG917536 NAC917534:NAC917536 NJY917534:NJY917536 NTU917534:NTU917536 ODQ917534:ODQ917536 ONM917534:ONM917536 OXI917534:OXI917536 PHE917534:PHE917536 PRA917534:PRA917536 QAW917534:QAW917536 QKS917534:QKS917536 QUO917534:QUO917536 REK917534:REK917536 ROG917534:ROG917536 RYC917534:RYC917536 SHY917534:SHY917536 SRU917534:SRU917536 TBQ917534:TBQ917536 TLM917534:TLM917536 TVI917534:TVI917536 UFE917534:UFE917536 UPA917534:UPA917536 UYW917534:UYW917536 VIS917534:VIS917536 VSO917534:VSO917536 WCK917534:WCK917536 WMG917534:WMG917536 WWC917534:WWC917536 U983070:U983072 JQ983070:JQ983072 TM983070:TM983072 ADI983070:ADI983072 ANE983070:ANE983072 AXA983070:AXA983072 BGW983070:BGW983072 BQS983070:BQS983072 CAO983070:CAO983072 CKK983070:CKK983072 CUG983070:CUG983072 DEC983070:DEC983072 DNY983070:DNY983072 DXU983070:DXU983072 EHQ983070:EHQ983072 ERM983070:ERM983072 FBI983070:FBI983072 FLE983070:FLE983072 FVA983070:FVA983072 GEW983070:GEW983072 GOS983070:GOS983072 GYO983070:GYO983072 HIK983070:HIK983072 HSG983070:HSG983072 ICC983070:ICC983072 ILY983070:ILY983072 IVU983070:IVU983072 JFQ983070:JFQ983072 JPM983070:JPM983072 JZI983070:JZI983072 KJE983070:KJE983072 KTA983070:KTA983072 LCW983070:LCW983072 LMS983070:LMS983072 LWO983070:LWO983072 MGK983070:MGK983072 MQG983070:MQG983072 NAC983070:NAC983072 NJY983070:NJY983072 NTU983070:NTU983072 ODQ983070:ODQ983072 ONM983070:ONM983072 OXI983070:OXI983072 PHE983070:PHE983072 PRA983070:PRA983072 QAW983070:QAW983072 QKS983070:QKS983072 QUO983070:QUO983072 REK983070:REK983072 ROG983070:ROG983072 RYC983070:RYC983072 SHY983070:SHY983072 SRU983070:SRU983072 TBQ983070:TBQ983072 TLM983070:TLM983072 TVI983070:TVI983072 UFE983070:UFE983072 UPA983070:UPA983072 UYW983070:UYW983072 VIS983070:VIS983072 VSO983070:VSO983072 WCK983070:WCK983072 WMG983070:WMG983072 WWC983070:WWC983072 U34 JQ34 TM34 ADI34 ANE34 AXA34 BGW34 BQS34 CAO34 CKK34 CUG34 DEC34 DNY34 DXU34 EHQ34 ERM34 FBI34 FLE34 FVA34 GEW34 GOS34 GYO34 HIK34 HSG34 ICC34 ILY34 IVU34 JFQ34 JPM34 JZI34 KJE34 KTA34 LCW34 LMS34 LWO34 MGK34 MQG34 NAC34 NJY34 NTU34 ODQ34 ONM34 OXI34 PHE34 PRA34 QAW34 QKS34 QUO34 REK34 ROG34 RYC34 SHY34 SRU34 TBQ34 TLM34 TVI34 UFE34 UPA34 UYW34 VIS34 VSO34 WCK34 WMG34 WWC34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xr:uid="{00000000-0002-0000-0800-000004000000}">
      <formula1>"x"</formula1>
      <formula2>0</formula2>
    </dataValidation>
    <dataValidation type="whole" showDropDown="1" showInputMessage="1" showErrorMessage="1" error="Môže byť iba číslica." prompt="Posledná číslica _x000a_     bežného _x000a_    účtovného _x000a_     obdobia." sqref="WWY983112:WWY983119 KO8:KO9 UK8:UK9 AEG8:AEG9 AOC8:AOC9 AXY8:AXY9 BHU8:BHU9 BRQ8:BRQ9 CBM8:CBM9 CLI8:CLI9 CVE8:CVE9 DFA8:DFA9 DOW8:DOW9 DYS8:DYS9 EIO8:EIO9 ESK8:ESK9 FCG8:FCG9 FMC8:FMC9 FVY8:FVY9 GFU8:GFU9 GPQ8:GPQ9 GZM8:GZM9 HJI8:HJI9 HTE8:HTE9 IDA8:IDA9 IMW8:IMW9 IWS8:IWS9 JGO8:JGO9 JQK8:JQK9 KAG8:KAG9 KKC8:KKC9 KTY8:KTY9 LDU8:LDU9 LNQ8:LNQ9 LXM8:LXM9 MHI8:MHI9 MRE8:MRE9 NBA8:NBA9 NKW8:NKW9 NUS8:NUS9 OEO8:OEO9 OOK8:OOK9 OYG8:OYG9 PIC8:PIC9 PRY8:PRY9 QBU8:QBU9 QLQ8:QLQ9 QVM8:QVM9 RFI8:RFI9 RPE8:RPE9 RZA8:RZA9 SIW8:SIW9 SSS8:SSS9 TCO8:TCO9 TMK8:TMK9 TWG8:TWG9 UGC8:UGC9 UPY8:UPY9 UZU8:UZU9 VJQ8:VJQ9 VTM8:VTM9 WDI8:WDI9 WNE8:WNE9 WXA8:WXA9 AS65544:AS65545 KO65544:KO65545 UK65544:UK65545 AEG65544:AEG65545 AOC65544:AOC65545 AXY65544:AXY65545 BHU65544:BHU65545 BRQ65544:BRQ65545 CBM65544:CBM65545 CLI65544:CLI65545 CVE65544:CVE65545 DFA65544:DFA65545 DOW65544:DOW65545 DYS65544:DYS65545 EIO65544:EIO65545 ESK65544:ESK65545 FCG65544:FCG65545 FMC65544:FMC65545 FVY65544:FVY65545 GFU65544:GFU65545 GPQ65544:GPQ65545 GZM65544:GZM65545 HJI65544:HJI65545 HTE65544:HTE65545 IDA65544:IDA65545 IMW65544:IMW65545 IWS65544:IWS65545 JGO65544:JGO65545 JQK65544:JQK65545 KAG65544:KAG65545 KKC65544:KKC65545 KTY65544:KTY65545 LDU65544:LDU65545 LNQ65544:LNQ65545 LXM65544:LXM65545 MHI65544:MHI65545 MRE65544:MRE65545 NBA65544:NBA65545 NKW65544:NKW65545 NUS65544:NUS65545 OEO65544:OEO65545 OOK65544:OOK65545 OYG65544:OYG65545 PIC65544:PIC65545 PRY65544:PRY65545 QBU65544:QBU65545 QLQ65544:QLQ65545 QVM65544:QVM65545 RFI65544:RFI65545 RPE65544:RPE65545 RZA65544:RZA65545 SIW65544:SIW65545 SSS65544:SSS65545 TCO65544:TCO65545 TMK65544:TMK65545 TWG65544:TWG65545 UGC65544:UGC65545 UPY65544:UPY65545 UZU65544:UZU65545 VJQ65544:VJQ65545 VTM65544:VTM65545 WDI65544:WDI65545 WNE65544:WNE65545 WXA65544:WXA65545 AS131080:AS131081 KO131080:KO131081 UK131080:UK131081 AEG131080:AEG131081 AOC131080:AOC131081 AXY131080:AXY131081 BHU131080:BHU131081 BRQ131080:BRQ131081 CBM131080:CBM131081 CLI131080:CLI131081 CVE131080:CVE131081 DFA131080:DFA131081 DOW131080:DOW131081 DYS131080:DYS131081 EIO131080:EIO131081 ESK131080:ESK131081 FCG131080:FCG131081 FMC131080:FMC131081 FVY131080:FVY131081 GFU131080:GFU131081 GPQ131080:GPQ131081 GZM131080:GZM131081 HJI131080:HJI131081 HTE131080:HTE131081 IDA131080:IDA131081 IMW131080:IMW131081 IWS131080:IWS131081 JGO131080:JGO131081 JQK131080:JQK131081 KAG131080:KAG131081 KKC131080:KKC131081 KTY131080:KTY131081 LDU131080:LDU131081 LNQ131080:LNQ131081 LXM131080:LXM131081 MHI131080:MHI131081 MRE131080:MRE131081 NBA131080:NBA131081 NKW131080:NKW131081 NUS131080:NUS131081 OEO131080:OEO131081 OOK131080:OOK131081 OYG131080:OYG131081 PIC131080:PIC131081 PRY131080:PRY131081 QBU131080:QBU131081 QLQ131080:QLQ131081 QVM131080:QVM131081 RFI131080:RFI131081 RPE131080:RPE131081 RZA131080:RZA131081 SIW131080:SIW131081 SSS131080:SSS131081 TCO131080:TCO131081 TMK131080:TMK131081 TWG131080:TWG131081 UGC131080:UGC131081 UPY131080:UPY131081 UZU131080:UZU131081 VJQ131080:VJQ131081 VTM131080:VTM131081 WDI131080:WDI131081 WNE131080:WNE131081 WXA131080:WXA131081 AS196616:AS196617 KO196616:KO196617 UK196616:UK196617 AEG196616:AEG196617 AOC196616:AOC196617 AXY196616:AXY196617 BHU196616:BHU196617 BRQ196616:BRQ196617 CBM196616:CBM196617 CLI196616:CLI196617 CVE196616:CVE196617 DFA196616:DFA196617 DOW196616:DOW196617 DYS196616:DYS196617 EIO196616:EIO196617 ESK196616:ESK196617 FCG196616:FCG196617 FMC196616:FMC196617 FVY196616:FVY196617 GFU196616:GFU196617 GPQ196616:GPQ196617 GZM196616:GZM196617 HJI196616:HJI196617 HTE196616:HTE196617 IDA196616:IDA196617 IMW196616:IMW196617 IWS196616:IWS196617 JGO196616:JGO196617 JQK196616:JQK196617 KAG196616:KAG196617 KKC196616:KKC196617 KTY196616:KTY196617 LDU196616:LDU196617 LNQ196616:LNQ196617 LXM196616:LXM196617 MHI196616:MHI196617 MRE196616:MRE196617 NBA196616:NBA196617 NKW196616:NKW196617 NUS196616:NUS196617 OEO196616:OEO196617 OOK196616:OOK196617 OYG196616:OYG196617 PIC196616:PIC196617 PRY196616:PRY196617 QBU196616:QBU196617 QLQ196616:QLQ196617 QVM196616:QVM196617 RFI196616:RFI196617 RPE196616:RPE196617 RZA196616:RZA196617 SIW196616:SIW196617 SSS196616:SSS196617 TCO196616:TCO196617 TMK196616:TMK196617 TWG196616:TWG196617 UGC196616:UGC196617 UPY196616:UPY196617 UZU196616:UZU196617 VJQ196616:VJQ196617 VTM196616:VTM196617 WDI196616:WDI196617 WNE196616:WNE196617 WXA196616:WXA196617 AS262152:AS262153 KO262152:KO262153 UK262152:UK262153 AEG262152:AEG262153 AOC262152:AOC262153 AXY262152:AXY262153 BHU262152:BHU262153 BRQ262152:BRQ262153 CBM262152:CBM262153 CLI262152:CLI262153 CVE262152:CVE262153 DFA262152:DFA262153 DOW262152:DOW262153 DYS262152:DYS262153 EIO262152:EIO262153 ESK262152:ESK262153 FCG262152:FCG262153 FMC262152:FMC262153 FVY262152:FVY262153 GFU262152:GFU262153 GPQ262152:GPQ262153 GZM262152:GZM262153 HJI262152:HJI262153 HTE262152:HTE262153 IDA262152:IDA262153 IMW262152:IMW262153 IWS262152:IWS262153 JGO262152:JGO262153 JQK262152:JQK262153 KAG262152:KAG262153 KKC262152:KKC262153 KTY262152:KTY262153 LDU262152:LDU262153 LNQ262152:LNQ262153 LXM262152:LXM262153 MHI262152:MHI262153 MRE262152:MRE262153 NBA262152:NBA262153 NKW262152:NKW262153 NUS262152:NUS262153 OEO262152:OEO262153 OOK262152:OOK262153 OYG262152:OYG262153 PIC262152:PIC262153 PRY262152:PRY262153 QBU262152:QBU262153 QLQ262152:QLQ262153 QVM262152:QVM262153 RFI262152:RFI262153 RPE262152:RPE262153 RZA262152:RZA262153 SIW262152:SIW262153 SSS262152:SSS262153 TCO262152:TCO262153 TMK262152:TMK262153 TWG262152:TWG262153 UGC262152:UGC262153 UPY262152:UPY262153 UZU262152:UZU262153 VJQ262152:VJQ262153 VTM262152:VTM262153 WDI262152:WDI262153 WNE262152:WNE262153 WXA262152:WXA262153 AS327688:AS327689 KO327688:KO327689 UK327688:UK327689 AEG327688:AEG327689 AOC327688:AOC327689 AXY327688:AXY327689 BHU327688:BHU327689 BRQ327688:BRQ327689 CBM327688:CBM327689 CLI327688:CLI327689 CVE327688:CVE327689 DFA327688:DFA327689 DOW327688:DOW327689 DYS327688:DYS327689 EIO327688:EIO327689 ESK327688:ESK327689 FCG327688:FCG327689 FMC327688:FMC327689 FVY327688:FVY327689 GFU327688:GFU327689 GPQ327688:GPQ327689 GZM327688:GZM327689 HJI327688:HJI327689 HTE327688:HTE327689 IDA327688:IDA327689 IMW327688:IMW327689 IWS327688:IWS327689 JGO327688:JGO327689 JQK327688:JQK327689 KAG327688:KAG327689 KKC327688:KKC327689 KTY327688:KTY327689 LDU327688:LDU327689 LNQ327688:LNQ327689 LXM327688:LXM327689 MHI327688:MHI327689 MRE327688:MRE327689 NBA327688:NBA327689 NKW327688:NKW327689 NUS327688:NUS327689 OEO327688:OEO327689 OOK327688:OOK327689 OYG327688:OYG327689 PIC327688:PIC327689 PRY327688:PRY327689 QBU327688:QBU327689 QLQ327688:QLQ327689 QVM327688:QVM327689 RFI327688:RFI327689 RPE327688:RPE327689 RZA327688:RZA327689 SIW327688:SIW327689 SSS327688:SSS327689 TCO327688:TCO327689 TMK327688:TMK327689 TWG327688:TWG327689 UGC327688:UGC327689 UPY327688:UPY327689 UZU327688:UZU327689 VJQ327688:VJQ327689 VTM327688:VTM327689 WDI327688:WDI327689 WNE327688:WNE327689 WXA327688:WXA327689 AS393224:AS393225 KO393224:KO393225 UK393224:UK393225 AEG393224:AEG393225 AOC393224:AOC393225 AXY393224:AXY393225 BHU393224:BHU393225 BRQ393224:BRQ393225 CBM393224:CBM393225 CLI393224:CLI393225 CVE393224:CVE393225 DFA393224:DFA393225 DOW393224:DOW393225 DYS393224:DYS393225 EIO393224:EIO393225 ESK393224:ESK393225 FCG393224:FCG393225 FMC393224:FMC393225 FVY393224:FVY393225 GFU393224:GFU393225 GPQ393224:GPQ393225 GZM393224:GZM393225 HJI393224:HJI393225 HTE393224:HTE393225 IDA393224:IDA393225 IMW393224:IMW393225 IWS393224:IWS393225 JGO393224:JGO393225 JQK393224:JQK393225 KAG393224:KAG393225 KKC393224:KKC393225 KTY393224:KTY393225 LDU393224:LDU393225 LNQ393224:LNQ393225 LXM393224:LXM393225 MHI393224:MHI393225 MRE393224:MRE393225 NBA393224:NBA393225 NKW393224:NKW393225 NUS393224:NUS393225 OEO393224:OEO393225 OOK393224:OOK393225 OYG393224:OYG393225 PIC393224:PIC393225 PRY393224:PRY393225 QBU393224:QBU393225 QLQ393224:QLQ393225 QVM393224:QVM393225 RFI393224:RFI393225 RPE393224:RPE393225 RZA393224:RZA393225 SIW393224:SIW393225 SSS393224:SSS393225 TCO393224:TCO393225 TMK393224:TMK393225 TWG393224:TWG393225 UGC393224:UGC393225 UPY393224:UPY393225 UZU393224:UZU393225 VJQ393224:VJQ393225 VTM393224:VTM393225 WDI393224:WDI393225 WNE393224:WNE393225 WXA393224:WXA393225 AS458760:AS458761 KO458760:KO458761 UK458760:UK458761 AEG458760:AEG458761 AOC458760:AOC458761 AXY458760:AXY458761 BHU458760:BHU458761 BRQ458760:BRQ458761 CBM458760:CBM458761 CLI458760:CLI458761 CVE458760:CVE458761 DFA458760:DFA458761 DOW458760:DOW458761 DYS458760:DYS458761 EIO458760:EIO458761 ESK458760:ESK458761 FCG458760:FCG458761 FMC458760:FMC458761 FVY458760:FVY458761 GFU458760:GFU458761 GPQ458760:GPQ458761 GZM458760:GZM458761 HJI458760:HJI458761 HTE458760:HTE458761 IDA458760:IDA458761 IMW458760:IMW458761 IWS458760:IWS458761 JGO458760:JGO458761 JQK458760:JQK458761 KAG458760:KAG458761 KKC458760:KKC458761 KTY458760:KTY458761 LDU458760:LDU458761 LNQ458760:LNQ458761 LXM458760:LXM458761 MHI458760:MHI458761 MRE458760:MRE458761 NBA458760:NBA458761 NKW458760:NKW458761 NUS458760:NUS458761 OEO458760:OEO458761 OOK458760:OOK458761 OYG458760:OYG458761 PIC458760:PIC458761 PRY458760:PRY458761 QBU458760:QBU458761 QLQ458760:QLQ458761 QVM458760:QVM458761 RFI458760:RFI458761 RPE458760:RPE458761 RZA458760:RZA458761 SIW458760:SIW458761 SSS458760:SSS458761 TCO458760:TCO458761 TMK458760:TMK458761 TWG458760:TWG458761 UGC458760:UGC458761 UPY458760:UPY458761 UZU458760:UZU458761 VJQ458760:VJQ458761 VTM458760:VTM458761 WDI458760:WDI458761 WNE458760:WNE458761 WXA458760:WXA458761 AS524296:AS524297 KO524296:KO524297 UK524296:UK524297 AEG524296:AEG524297 AOC524296:AOC524297 AXY524296:AXY524297 BHU524296:BHU524297 BRQ524296:BRQ524297 CBM524296:CBM524297 CLI524296:CLI524297 CVE524296:CVE524297 DFA524296:DFA524297 DOW524296:DOW524297 DYS524296:DYS524297 EIO524296:EIO524297 ESK524296:ESK524297 FCG524296:FCG524297 FMC524296:FMC524297 FVY524296:FVY524297 GFU524296:GFU524297 GPQ524296:GPQ524297 GZM524296:GZM524297 HJI524296:HJI524297 HTE524296:HTE524297 IDA524296:IDA524297 IMW524296:IMW524297 IWS524296:IWS524297 JGO524296:JGO524297 JQK524296:JQK524297 KAG524296:KAG524297 KKC524296:KKC524297 KTY524296:KTY524297 LDU524296:LDU524297 LNQ524296:LNQ524297 LXM524296:LXM524297 MHI524296:MHI524297 MRE524296:MRE524297 NBA524296:NBA524297 NKW524296:NKW524297 NUS524296:NUS524297 OEO524296:OEO524297 OOK524296:OOK524297 OYG524296:OYG524297 PIC524296:PIC524297 PRY524296:PRY524297 QBU524296:QBU524297 QLQ524296:QLQ524297 QVM524296:QVM524297 RFI524296:RFI524297 RPE524296:RPE524297 RZA524296:RZA524297 SIW524296:SIW524297 SSS524296:SSS524297 TCO524296:TCO524297 TMK524296:TMK524297 TWG524296:TWG524297 UGC524296:UGC524297 UPY524296:UPY524297 UZU524296:UZU524297 VJQ524296:VJQ524297 VTM524296:VTM524297 WDI524296:WDI524297 WNE524296:WNE524297 WXA524296:WXA524297 AS589832:AS589833 KO589832:KO589833 UK589832:UK589833 AEG589832:AEG589833 AOC589832:AOC589833 AXY589832:AXY589833 BHU589832:BHU589833 BRQ589832:BRQ589833 CBM589832:CBM589833 CLI589832:CLI589833 CVE589832:CVE589833 DFA589832:DFA589833 DOW589832:DOW589833 DYS589832:DYS589833 EIO589832:EIO589833 ESK589832:ESK589833 FCG589832:FCG589833 FMC589832:FMC589833 FVY589832:FVY589833 GFU589832:GFU589833 GPQ589832:GPQ589833 GZM589832:GZM589833 HJI589832:HJI589833 HTE589832:HTE589833 IDA589832:IDA589833 IMW589832:IMW589833 IWS589832:IWS589833 JGO589832:JGO589833 JQK589832:JQK589833 KAG589832:KAG589833 KKC589832:KKC589833 KTY589832:KTY589833 LDU589832:LDU589833 LNQ589832:LNQ589833 LXM589832:LXM589833 MHI589832:MHI589833 MRE589832:MRE589833 NBA589832:NBA589833 NKW589832:NKW589833 NUS589832:NUS589833 OEO589832:OEO589833 OOK589832:OOK589833 OYG589832:OYG589833 PIC589832:PIC589833 PRY589832:PRY589833 QBU589832:QBU589833 QLQ589832:QLQ589833 QVM589832:QVM589833 RFI589832:RFI589833 RPE589832:RPE589833 RZA589832:RZA589833 SIW589832:SIW589833 SSS589832:SSS589833 TCO589832:TCO589833 TMK589832:TMK589833 TWG589832:TWG589833 UGC589832:UGC589833 UPY589832:UPY589833 UZU589832:UZU589833 VJQ589832:VJQ589833 VTM589832:VTM589833 WDI589832:WDI589833 WNE589832:WNE589833 WXA589832:WXA589833 AS655368:AS655369 KO655368:KO655369 UK655368:UK655369 AEG655368:AEG655369 AOC655368:AOC655369 AXY655368:AXY655369 BHU655368:BHU655369 BRQ655368:BRQ655369 CBM655368:CBM655369 CLI655368:CLI655369 CVE655368:CVE655369 DFA655368:DFA655369 DOW655368:DOW655369 DYS655368:DYS655369 EIO655368:EIO655369 ESK655368:ESK655369 FCG655368:FCG655369 FMC655368:FMC655369 FVY655368:FVY655369 GFU655368:GFU655369 GPQ655368:GPQ655369 GZM655368:GZM655369 HJI655368:HJI655369 HTE655368:HTE655369 IDA655368:IDA655369 IMW655368:IMW655369 IWS655368:IWS655369 JGO655368:JGO655369 JQK655368:JQK655369 KAG655368:KAG655369 KKC655368:KKC655369 KTY655368:KTY655369 LDU655368:LDU655369 LNQ655368:LNQ655369 LXM655368:LXM655369 MHI655368:MHI655369 MRE655368:MRE655369 NBA655368:NBA655369 NKW655368:NKW655369 NUS655368:NUS655369 OEO655368:OEO655369 OOK655368:OOK655369 OYG655368:OYG655369 PIC655368:PIC655369 PRY655368:PRY655369 QBU655368:QBU655369 QLQ655368:QLQ655369 QVM655368:QVM655369 RFI655368:RFI655369 RPE655368:RPE655369 RZA655368:RZA655369 SIW655368:SIW655369 SSS655368:SSS655369 TCO655368:TCO655369 TMK655368:TMK655369 TWG655368:TWG655369 UGC655368:UGC655369 UPY655368:UPY655369 UZU655368:UZU655369 VJQ655368:VJQ655369 VTM655368:VTM655369 WDI655368:WDI655369 WNE655368:WNE655369 WXA655368:WXA655369 AS720904:AS720905 KO720904:KO720905 UK720904:UK720905 AEG720904:AEG720905 AOC720904:AOC720905 AXY720904:AXY720905 BHU720904:BHU720905 BRQ720904:BRQ720905 CBM720904:CBM720905 CLI720904:CLI720905 CVE720904:CVE720905 DFA720904:DFA720905 DOW720904:DOW720905 DYS720904:DYS720905 EIO720904:EIO720905 ESK720904:ESK720905 FCG720904:FCG720905 FMC720904:FMC720905 FVY720904:FVY720905 GFU720904:GFU720905 GPQ720904:GPQ720905 GZM720904:GZM720905 HJI720904:HJI720905 HTE720904:HTE720905 IDA720904:IDA720905 IMW720904:IMW720905 IWS720904:IWS720905 JGO720904:JGO720905 JQK720904:JQK720905 KAG720904:KAG720905 KKC720904:KKC720905 KTY720904:KTY720905 LDU720904:LDU720905 LNQ720904:LNQ720905 LXM720904:LXM720905 MHI720904:MHI720905 MRE720904:MRE720905 NBA720904:NBA720905 NKW720904:NKW720905 NUS720904:NUS720905 OEO720904:OEO720905 OOK720904:OOK720905 OYG720904:OYG720905 PIC720904:PIC720905 PRY720904:PRY720905 QBU720904:QBU720905 QLQ720904:QLQ720905 QVM720904:QVM720905 RFI720904:RFI720905 RPE720904:RPE720905 RZA720904:RZA720905 SIW720904:SIW720905 SSS720904:SSS720905 TCO720904:TCO720905 TMK720904:TMK720905 TWG720904:TWG720905 UGC720904:UGC720905 UPY720904:UPY720905 UZU720904:UZU720905 VJQ720904:VJQ720905 VTM720904:VTM720905 WDI720904:WDI720905 WNE720904:WNE720905 WXA720904:WXA720905 AS786440:AS786441 KO786440:KO786441 UK786440:UK786441 AEG786440:AEG786441 AOC786440:AOC786441 AXY786440:AXY786441 BHU786440:BHU786441 BRQ786440:BRQ786441 CBM786440:CBM786441 CLI786440:CLI786441 CVE786440:CVE786441 DFA786440:DFA786441 DOW786440:DOW786441 DYS786440:DYS786441 EIO786440:EIO786441 ESK786440:ESK786441 FCG786440:FCG786441 FMC786440:FMC786441 FVY786440:FVY786441 GFU786440:GFU786441 GPQ786440:GPQ786441 GZM786440:GZM786441 HJI786440:HJI786441 HTE786440:HTE786441 IDA786440:IDA786441 IMW786440:IMW786441 IWS786440:IWS786441 JGO786440:JGO786441 JQK786440:JQK786441 KAG786440:KAG786441 KKC786440:KKC786441 KTY786440:KTY786441 LDU786440:LDU786441 LNQ786440:LNQ786441 LXM786440:LXM786441 MHI786440:MHI786441 MRE786440:MRE786441 NBA786440:NBA786441 NKW786440:NKW786441 NUS786440:NUS786441 OEO786440:OEO786441 OOK786440:OOK786441 OYG786440:OYG786441 PIC786440:PIC786441 PRY786440:PRY786441 QBU786440:QBU786441 QLQ786440:QLQ786441 QVM786440:QVM786441 RFI786440:RFI786441 RPE786440:RPE786441 RZA786440:RZA786441 SIW786440:SIW786441 SSS786440:SSS786441 TCO786440:TCO786441 TMK786440:TMK786441 TWG786440:TWG786441 UGC786440:UGC786441 UPY786440:UPY786441 UZU786440:UZU786441 VJQ786440:VJQ786441 VTM786440:VTM786441 WDI786440:WDI786441 WNE786440:WNE786441 WXA786440:WXA786441 AS851976:AS851977 KO851976:KO851977 UK851976:UK851977 AEG851976:AEG851977 AOC851976:AOC851977 AXY851976:AXY851977 BHU851976:BHU851977 BRQ851976:BRQ851977 CBM851976:CBM851977 CLI851976:CLI851977 CVE851976:CVE851977 DFA851976:DFA851977 DOW851976:DOW851977 DYS851976:DYS851977 EIO851976:EIO851977 ESK851976:ESK851977 FCG851976:FCG851977 FMC851976:FMC851977 FVY851976:FVY851977 GFU851976:GFU851977 GPQ851976:GPQ851977 GZM851976:GZM851977 HJI851976:HJI851977 HTE851976:HTE851977 IDA851976:IDA851977 IMW851976:IMW851977 IWS851976:IWS851977 JGO851976:JGO851977 JQK851976:JQK851977 KAG851976:KAG851977 KKC851976:KKC851977 KTY851976:KTY851977 LDU851976:LDU851977 LNQ851976:LNQ851977 LXM851976:LXM851977 MHI851976:MHI851977 MRE851976:MRE851977 NBA851976:NBA851977 NKW851976:NKW851977 NUS851976:NUS851977 OEO851976:OEO851977 OOK851976:OOK851977 OYG851976:OYG851977 PIC851976:PIC851977 PRY851976:PRY851977 QBU851976:QBU851977 QLQ851976:QLQ851977 QVM851976:QVM851977 RFI851976:RFI851977 RPE851976:RPE851977 RZA851976:RZA851977 SIW851976:SIW851977 SSS851976:SSS851977 TCO851976:TCO851977 TMK851976:TMK851977 TWG851976:TWG851977 UGC851976:UGC851977 UPY851976:UPY851977 UZU851976:UZU851977 VJQ851976:VJQ851977 VTM851976:VTM851977 WDI851976:WDI851977 WNE851976:WNE851977 WXA851976:WXA851977 AS917512:AS917513 KO917512:KO917513 UK917512:UK917513 AEG917512:AEG917513 AOC917512:AOC917513 AXY917512:AXY917513 BHU917512:BHU917513 BRQ917512:BRQ917513 CBM917512:CBM917513 CLI917512:CLI917513 CVE917512:CVE917513 DFA917512:DFA917513 DOW917512:DOW917513 DYS917512:DYS917513 EIO917512:EIO917513 ESK917512:ESK917513 FCG917512:FCG917513 FMC917512:FMC917513 FVY917512:FVY917513 GFU917512:GFU917513 GPQ917512:GPQ917513 GZM917512:GZM917513 HJI917512:HJI917513 HTE917512:HTE917513 IDA917512:IDA917513 IMW917512:IMW917513 IWS917512:IWS917513 JGO917512:JGO917513 JQK917512:JQK917513 KAG917512:KAG917513 KKC917512:KKC917513 KTY917512:KTY917513 LDU917512:LDU917513 LNQ917512:LNQ917513 LXM917512:LXM917513 MHI917512:MHI917513 MRE917512:MRE917513 NBA917512:NBA917513 NKW917512:NKW917513 NUS917512:NUS917513 OEO917512:OEO917513 OOK917512:OOK917513 OYG917512:OYG917513 PIC917512:PIC917513 PRY917512:PRY917513 QBU917512:QBU917513 QLQ917512:QLQ917513 QVM917512:QVM917513 RFI917512:RFI917513 RPE917512:RPE917513 RZA917512:RZA917513 SIW917512:SIW917513 SSS917512:SSS917513 TCO917512:TCO917513 TMK917512:TMK917513 TWG917512:TWG917513 UGC917512:UGC917513 UPY917512:UPY917513 UZU917512:UZU917513 VJQ917512:VJQ917513 VTM917512:VTM917513 WDI917512:WDI917513 WNE917512:WNE917513 WXA917512:WXA917513 AS983048:AS983049 KO983048:KO983049 UK983048:UK983049 AEG983048:AEG983049 AOC983048:AOC983049 AXY983048:AXY983049 BHU983048:BHU983049 BRQ983048:BRQ983049 CBM983048:CBM983049 CLI983048:CLI983049 CVE983048:CVE983049 DFA983048:DFA983049 DOW983048:DOW983049 DYS983048:DYS983049 EIO983048:EIO983049 ESK983048:ESK983049 FCG983048:FCG983049 FMC983048:FMC983049 FVY983048:FVY983049 GFU983048:GFU983049 GPQ983048:GPQ983049 GZM983048:GZM983049 HJI983048:HJI983049 HTE983048:HTE983049 IDA983048:IDA983049 IMW983048:IMW983049 IWS983048:IWS983049 JGO983048:JGO983049 JQK983048:JQK983049 KAG983048:KAG983049 KKC983048:KKC983049 KTY983048:KTY983049 LDU983048:LDU983049 LNQ983048:LNQ983049 LXM983048:LXM983049 MHI983048:MHI983049 MRE983048:MRE983049 NBA983048:NBA983049 NKW983048:NKW983049 NUS983048:NUS983049 OEO983048:OEO983049 OOK983048:OOK983049 OYG983048:OYG983049 PIC983048:PIC983049 PRY983048:PRY983049 QBU983048:QBU983049 QLQ983048:QLQ983049 QVM983048:QVM983049 RFI983048:RFI983049 RPE983048:RPE983049 RZA983048:RZA983049 SIW983048:SIW983049 SSS983048:SSS983049 TCO983048:TCO983049 TMK983048:TMK983049 TWG983048:TWG983049 UGC983048:UGC983049 UPY983048:UPY983049 UZU983048:UZU983049 VJQ983048:VJQ983049 VTM983048:VTM983049 WDI983048:WDI983049 WNE983048:WNE983049 WXA983048:WXA983049 WNC983112:WNC983119 JQ72:JQ79 TM72:TM79 ADI72:ADI79 ANE72:ANE79 AXA72:AXA79 BGW72:BGW79 BQS72:BQS79 CAO72:CAO79 CKK72:CKK79 CUG72:CUG79 DEC72:DEC79 DNY72:DNY79 DXU72:DXU79 EHQ72:EHQ79 ERM72:ERM79 FBI72:FBI79 FLE72:FLE79 FVA72:FVA79 GEW72:GEW79 GOS72:GOS79 GYO72:GYO79 HIK72:HIK79 HSG72:HSG79 ICC72:ICC79 ILY72:ILY79 IVU72:IVU79 JFQ72:JFQ79 JPM72:JPM79 JZI72:JZI79 KJE72:KJE79 KTA72:KTA79 LCW72:LCW79 LMS72:LMS79 LWO72:LWO79 MGK72:MGK79 MQG72:MQG79 NAC72:NAC79 NJY72:NJY79 NTU72:NTU79 ODQ72:ODQ79 ONM72:ONM79 OXI72:OXI79 PHE72:PHE79 PRA72:PRA79 QAW72:QAW79 QKS72:QKS79 QUO72:QUO79 REK72:REK79 ROG72:ROG79 RYC72:RYC79 SHY72:SHY79 SRU72:SRU79 TBQ72:TBQ79 TLM72:TLM79 TVI72:TVI79 UFE72:UFE79 UPA72:UPA79 UYW72:UYW79 VIS72:VIS79 VSO72:VSO79 WCK72:WCK79 WMG72:WMG79 WWC72:WWC79 U65608:U65615 JQ65608:JQ65615 TM65608:TM65615 ADI65608:ADI65615 ANE65608:ANE65615 AXA65608:AXA65615 BGW65608:BGW65615 BQS65608:BQS65615 CAO65608:CAO65615 CKK65608:CKK65615 CUG65608:CUG65615 DEC65608:DEC65615 DNY65608:DNY65615 DXU65608:DXU65615 EHQ65608:EHQ65615 ERM65608:ERM65615 FBI65608:FBI65615 FLE65608:FLE65615 FVA65608:FVA65615 GEW65608:GEW65615 GOS65608:GOS65615 GYO65608:GYO65615 HIK65608:HIK65615 HSG65608:HSG65615 ICC65608:ICC65615 ILY65608:ILY65615 IVU65608:IVU65615 JFQ65608:JFQ65615 JPM65608:JPM65615 JZI65608:JZI65615 KJE65608:KJE65615 KTA65608:KTA65615 LCW65608:LCW65615 LMS65608:LMS65615 LWO65608:LWO65615 MGK65608:MGK65615 MQG65608:MQG65615 NAC65608:NAC65615 NJY65608:NJY65615 NTU65608:NTU65615 ODQ65608:ODQ65615 ONM65608:ONM65615 OXI65608:OXI65615 PHE65608:PHE65615 PRA65608:PRA65615 QAW65608:QAW65615 QKS65608:QKS65615 QUO65608:QUO65615 REK65608:REK65615 ROG65608:ROG65615 RYC65608:RYC65615 SHY65608:SHY65615 SRU65608:SRU65615 TBQ65608:TBQ65615 TLM65608:TLM65615 TVI65608:TVI65615 UFE65608:UFE65615 UPA65608:UPA65615 UYW65608:UYW65615 VIS65608:VIS65615 VSO65608:VSO65615 WCK65608:WCK65615 WMG65608:WMG65615 WWC65608:WWC65615 U131144:U131151 JQ131144:JQ131151 TM131144:TM131151 ADI131144:ADI131151 ANE131144:ANE131151 AXA131144:AXA131151 BGW131144:BGW131151 BQS131144:BQS131151 CAO131144:CAO131151 CKK131144:CKK131151 CUG131144:CUG131151 DEC131144:DEC131151 DNY131144:DNY131151 DXU131144:DXU131151 EHQ131144:EHQ131151 ERM131144:ERM131151 FBI131144:FBI131151 FLE131144:FLE131151 FVA131144:FVA131151 GEW131144:GEW131151 GOS131144:GOS131151 GYO131144:GYO131151 HIK131144:HIK131151 HSG131144:HSG131151 ICC131144:ICC131151 ILY131144:ILY131151 IVU131144:IVU131151 JFQ131144:JFQ131151 JPM131144:JPM131151 JZI131144:JZI131151 KJE131144:KJE131151 KTA131144:KTA131151 LCW131144:LCW131151 LMS131144:LMS131151 LWO131144:LWO131151 MGK131144:MGK131151 MQG131144:MQG131151 NAC131144:NAC131151 NJY131144:NJY131151 NTU131144:NTU131151 ODQ131144:ODQ131151 ONM131144:ONM131151 OXI131144:OXI131151 PHE131144:PHE131151 PRA131144:PRA131151 QAW131144:QAW131151 QKS131144:QKS131151 QUO131144:QUO131151 REK131144:REK131151 ROG131144:ROG131151 RYC131144:RYC131151 SHY131144:SHY131151 SRU131144:SRU131151 TBQ131144:TBQ131151 TLM131144:TLM131151 TVI131144:TVI131151 UFE131144:UFE131151 UPA131144:UPA131151 UYW131144:UYW131151 VIS131144:VIS131151 VSO131144:VSO131151 WCK131144:WCK131151 WMG131144:WMG131151 WWC131144:WWC131151 U196680:U196687 JQ196680:JQ196687 TM196680:TM196687 ADI196680:ADI196687 ANE196680:ANE196687 AXA196680:AXA196687 BGW196680:BGW196687 BQS196680:BQS196687 CAO196680:CAO196687 CKK196680:CKK196687 CUG196680:CUG196687 DEC196680:DEC196687 DNY196680:DNY196687 DXU196680:DXU196687 EHQ196680:EHQ196687 ERM196680:ERM196687 FBI196680:FBI196687 FLE196680:FLE196687 FVA196680:FVA196687 GEW196680:GEW196687 GOS196680:GOS196687 GYO196680:GYO196687 HIK196680:HIK196687 HSG196680:HSG196687 ICC196680:ICC196687 ILY196680:ILY196687 IVU196680:IVU196687 JFQ196680:JFQ196687 JPM196680:JPM196687 JZI196680:JZI196687 KJE196680:KJE196687 KTA196680:KTA196687 LCW196680:LCW196687 LMS196680:LMS196687 LWO196680:LWO196687 MGK196680:MGK196687 MQG196680:MQG196687 NAC196680:NAC196687 NJY196680:NJY196687 NTU196680:NTU196687 ODQ196680:ODQ196687 ONM196680:ONM196687 OXI196680:OXI196687 PHE196680:PHE196687 PRA196680:PRA196687 QAW196680:QAW196687 QKS196680:QKS196687 QUO196680:QUO196687 REK196680:REK196687 ROG196680:ROG196687 RYC196680:RYC196687 SHY196680:SHY196687 SRU196680:SRU196687 TBQ196680:TBQ196687 TLM196680:TLM196687 TVI196680:TVI196687 UFE196680:UFE196687 UPA196680:UPA196687 UYW196680:UYW196687 VIS196680:VIS196687 VSO196680:VSO196687 WCK196680:WCK196687 WMG196680:WMG196687 WWC196680:WWC196687 U262216:U262223 JQ262216:JQ262223 TM262216:TM262223 ADI262216:ADI262223 ANE262216:ANE262223 AXA262216:AXA262223 BGW262216:BGW262223 BQS262216:BQS262223 CAO262216:CAO262223 CKK262216:CKK262223 CUG262216:CUG262223 DEC262216:DEC262223 DNY262216:DNY262223 DXU262216:DXU262223 EHQ262216:EHQ262223 ERM262216:ERM262223 FBI262216:FBI262223 FLE262216:FLE262223 FVA262216:FVA262223 GEW262216:GEW262223 GOS262216:GOS262223 GYO262216:GYO262223 HIK262216:HIK262223 HSG262216:HSG262223 ICC262216:ICC262223 ILY262216:ILY262223 IVU262216:IVU262223 JFQ262216:JFQ262223 JPM262216:JPM262223 JZI262216:JZI262223 KJE262216:KJE262223 KTA262216:KTA262223 LCW262216:LCW262223 LMS262216:LMS262223 LWO262216:LWO262223 MGK262216:MGK262223 MQG262216:MQG262223 NAC262216:NAC262223 NJY262216:NJY262223 NTU262216:NTU262223 ODQ262216:ODQ262223 ONM262216:ONM262223 OXI262216:OXI262223 PHE262216:PHE262223 PRA262216:PRA262223 QAW262216:QAW262223 QKS262216:QKS262223 QUO262216:QUO262223 REK262216:REK262223 ROG262216:ROG262223 RYC262216:RYC262223 SHY262216:SHY262223 SRU262216:SRU262223 TBQ262216:TBQ262223 TLM262216:TLM262223 TVI262216:TVI262223 UFE262216:UFE262223 UPA262216:UPA262223 UYW262216:UYW262223 VIS262216:VIS262223 VSO262216:VSO262223 WCK262216:WCK262223 WMG262216:WMG262223 WWC262216:WWC262223 U327752:U327759 JQ327752:JQ327759 TM327752:TM327759 ADI327752:ADI327759 ANE327752:ANE327759 AXA327752:AXA327759 BGW327752:BGW327759 BQS327752:BQS327759 CAO327752:CAO327759 CKK327752:CKK327759 CUG327752:CUG327759 DEC327752:DEC327759 DNY327752:DNY327759 DXU327752:DXU327759 EHQ327752:EHQ327759 ERM327752:ERM327759 FBI327752:FBI327759 FLE327752:FLE327759 FVA327752:FVA327759 GEW327752:GEW327759 GOS327752:GOS327759 GYO327752:GYO327759 HIK327752:HIK327759 HSG327752:HSG327759 ICC327752:ICC327759 ILY327752:ILY327759 IVU327752:IVU327759 JFQ327752:JFQ327759 JPM327752:JPM327759 JZI327752:JZI327759 KJE327752:KJE327759 KTA327752:KTA327759 LCW327752:LCW327759 LMS327752:LMS327759 LWO327752:LWO327759 MGK327752:MGK327759 MQG327752:MQG327759 NAC327752:NAC327759 NJY327752:NJY327759 NTU327752:NTU327759 ODQ327752:ODQ327759 ONM327752:ONM327759 OXI327752:OXI327759 PHE327752:PHE327759 PRA327752:PRA327759 QAW327752:QAW327759 QKS327752:QKS327759 QUO327752:QUO327759 REK327752:REK327759 ROG327752:ROG327759 RYC327752:RYC327759 SHY327752:SHY327759 SRU327752:SRU327759 TBQ327752:TBQ327759 TLM327752:TLM327759 TVI327752:TVI327759 UFE327752:UFE327759 UPA327752:UPA327759 UYW327752:UYW327759 VIS327752:VIS327759 VSO327752:VSO327759 WCK327752:WCK327759 WMG327752:WMG327759 WWC327752:WWC327759 U393288:U393295 JQ393288:JQ393295 TM393288:TM393295 ADI393288:ADI393295 ANE393288:ANE393295 AXA393288:AXA393295 BGW393288:BGW393295 BQS393288:BQS393295 CAO393288:CAO393295 CKK393288:CKK393295 CUG393288:CUG393295 DEC393288:DEC393295 DNY393288:DNY393295 DXU393288:DXU393295 EHQ393288:EHQ393295 ERM393288:ERM393295 FBI393288:FBI393295 FLE393288:FLE393295 FVA393288:FVA393295 GEW393288:GEW393295 GOS393288:GOS393295 GYO393288:GYO393295 HIK393288:HIK393295 HSG393288:HSG393295 ICC393288:ICC393295 ILY393288:ILY393295 IVU393288:IVU393295 JFQ393288:JFQ393295 JPM393288:JPM393295 JZI393288:JZI393295 KJE393288:KJE393295 KTA393288:KTA393295 LCW393288:LCW393295 LMS393288:LMS393295 LWO393288:LWO393295 MGK393288:MGK393295 MQG393288:MQG393295 NAC393288:NAC393295 NJY393288:NJY393295 NTU393288:NTU393295 ODQ393288:ODQ393295 ONM393288:ONM393295 OXI393288:OXI393295 PHE393288:PHE393295 PRA393288:PRA393295 QAW393288:QAW393295 QKS393288:QKS393295 QUO393288:QUO393295 REK393288:REK393295 ROG393288:ROG393295 RYC393288:RYC393295 SHY393288:SHY393295 SRU393288:SRU393295 TBQ393288:TBQ393295 TLM393288:TLM393295 TVI393288:TVI393295 UFE393288:UFE393295 UPA393288:UPA393295 UYW393288:UYW393295 VIS393288:VIS393295 VSO393288:VSO393295 WCK393288:WCK393295 WMG393288:WMG393295 WWC393288:WWC393295 U458824:U458831 JQ458824:JQ458831 TM458824:TM458831 ADI458824:ADI458831 ANE458824:ANE458831 AXA458824:AXA458831 BGW458824:BGW458831 BQS458824:BQS458831 CAO458824:CAO458831 CKK458824:CKK458831 CUG458824:CUG458831 DEC458824:DEC458831 DNY458824:DNY458831 DXU458824:DXU458831 EHQ458824:EHQ458831 ERM458824:ERM458831 FBI458824:FBI458831 FLE458824:FLE458831 FVA458824:FVA458831 GEW458824:GEW458831 GOS458824:GOS458831 GYO458824:GYO458831 HIK458824:HIK458831 HSG458824:HSG458831 ICC458824:ICC458831 ILY458824:ILY458831 IVU458824:IVU458831 JFQ458824:JFQ458831 JPM458824:JPM458831 JZI458824:JZI458831 KJE458824:KJE458831 KTA458824:KTA458831 LCW458824:LCW458831 LMS458824:LMS458831 LWO458824:LWO458831 MGK458824:MGK458831 MQG458824:MQG458831 NAC458824:NAC458831 NJY458824:NJY458831 NTU458824:NTU458831 ODQ458824:ODQ458831 ONM458824:ONM458831 OXI458824:OXI458831 PHE458824:PHE458831 PRA458824:PRA458831 QAW458824:QAW458831 QKS458824:QKS458831 QUO458824:QUO458831 REK458824:REK458831 ROG458824:ROG458831 RYC458824:RYC458831 SHY458824:SHY458831 SRU458824:SRU458831 TBQ458824:TBQ458831 TLM458824:TLM458831 TVI458824:TVI458831 UFE458824:UFE458831 UPA458824:UPA458831 UYW458824:UYW458831 VIS458824:VIS458831 VSO458824:VSO458831 WCK458824:WCK458831 WMG458824:WMG458831 WWC458824:WWC458831 U524360:U524367 JQ524360:JQ524367 TM524360:TM524367 ADI524360:ADI524367 ANE524360:ANE524367 AXA524360:AXA524367 BGW524360:BGW524367 BQS524360:BQS524367 CAO524360:CAO524367 CKK524360:CKK524367 CUG524360:CUG524367 DEC524360:DEC524367 DNY524360:DNY524367 DXU524360:DXU524367 EHQ524360:EHQ524367 ERM524360:ERM524367 FBI524360:FBI524367 FLE524360:FLE524367 FVA524360:FVA524367 GEW524360:GEW524367 GOS524360:GOS524367 GYO524360:GYO524367 HIK524360:HIK524367 HSG524360:HSG524367 ICC524360:ICC524367 ILY524360:ILY524367 IVU524360:IVU524367 JFQ524360:JFQ524367 JPM524360:JPM524367 JZI524360:JZI524367 KJE524360:KJE524367 KTA524360:KTA524367 LCW524360:LCW524367 LMS524360:LMS524367 LWO524360:LWO524367 MGK524360:MGK524367 MQG524360:MQG524367 NAC524360:NAC524367 NJY524360:NJY524367 NTU524360:NTU524367 ODQ524360:ODQ524367 ONM524360:ONM524367 OXI524360:OXI524367 PHE524360:PHE524367 PRA524360:PRA524367 QAW524360:QAW524367 QKS524360:QKS524367 QUO524360:QUO524367 REK524360:REK524367 ROG524360:ROG524367 RYC524360:RYC524367 SHY524360:SHY524367 SRU524360:SRU524367 TBQ524360:TBQ524367 TLM524360:TLM524367 TVI524360:TVI524367 UFE524360:UFE524367 UPA524360:UPA524367 UYW524360:UYW524367 VIS524360:VIS524367 VSO524360:VSO524367 WCK524360:WCK524367 WMG524360:WMG524367 WWC524360:WWC524367 U589896:U589903 JQ589896:JQ589903 TM589896:TM589903 ADI589896:ADI589903 ANE589896:ANE589903 AXA589896:AXA589903 BGW589896:BGW589903 BQS589896:BQS589903 CAO589896:CAO589903 CKK589896:CKK589903 CUG589896:CUG589903 DEC589896:DEC589903 DNY589896:DNY589903 DXU589896:DXU589903 EHQ589896:EHQ589903 ERM589896:ERM589903 FBI589896:FBI589903 FLE589896:FLE589903 FVA589896:FVA589903 GEW589896:GEW589903 GOS589896:GOS589903 GYO589896:GYO589903 HIK589896:HIK589903 HSG589896:HSG589903 ICC589896:ICC589903 ILY589896:ILY589903 IVU589896:IVU589903 JFQ589896:JFQ589903 JPM589896:JPM589903 JZI589896:JZI589903 KJE589896:KJE589903 KTA589896:KTA589903 LCW589896:LCW589903 LMS589896:LMS589903 LWO589896:LWO589903 MGK589896:MGK589903 MQG589896:MQG589903 NAC589896:NAC589903 NJY589896:NJY589903 NTU589896:NTU589903 ODQ589896:ODQ589903 ONM589896:ONM589903 OXI589896:OXI589903 PHE589896:PHE589903 PRA589896:PRA589903 QAW589896:QAW589903 QKS589896:QKS589903 QUO589896:QUO589903 REK589896:REK589903 ROG589896:ROG589903 RYC589896:RYC589903 SHY589896:SHY589903 SRU589896:SRU589903 TBQ589896:TBQ589903 TLM589896:TLM589903 TVI589896:TVI589903 UFE589896:UFE589903 UPA589896:UPA589903 UYW589896:UYW589903 VIS589896:VIS589903 VSO589896:VSO589903 WCK589896:WCK589903 WMG589896:WMG589903 WWC589896:WWC589903 U655432:U655439 JQ655432:JQ655439 TM655432:TM655439 ADI655432:ADI655439 ANE655432:ANE655439 AXA655432:AXA655439 BGW655432:BGW655439 BQS655432:BQS655439 CAO655432:CAO655439 CKK655432:CKK655439 CUG655432:CUG655439 DEC655432:DEC655439 DNY655432:DNY655439 DXU655432:DXU655439 EHQ655432:EHQ655439 ERM655432:ERM655439 FBI655432:FBI655439 FLE655432:FLE655439 FVA655432:FVA655439 GEW655432:GEW655439 GOS655432:GOS655439 GYO655432:GYO655439 HIK655432:HIK655439 HSG655432:HSG655439 ICC655432:ICC655439 ILY655432:ILY655439 IVU655432:IVU655439 JFQ655432:JFQ655439 JPM655432:JPM655439 JZI655432:JZI655439 KJE655432:KJE655439 KTA655432:KTA655439 LCW655432:LCW655439 LMS655432:LMS655439 LWO655432:LWO655439 MGK655432:MGK655439 MQG655432:MQG655439 NAC655432:NAC655439 NJY655432:NJY655439 NTU655432:NTU655439 ODQ655432:ODQ655439 ONM655432:ONM655439 OXI655432:OXI655439 PHE655432:PHE655439 PRA655432:PRA655439 QAW655432:QAW655439 QKS655432:QKS655439 QUO655432:QUO655439 REK655432:REK655439 ROG655432:ROG655439 RYC655432:RYC655439 SHY655432:SHY655439 SRU655432:SRU655439 TBQ655432:TBQ655439 TLM655432:TLM655439 TVI655432:TVI655439 UFE655432:UFE655439 UPA655432:UPA655439 UYW655432:UYW655439 VIS655432:VIS655439 VSO655432:VSO655439 WCK655432:WCK655439 WMG655432:WMG655439 WWC655432:WWC655439 U720968:U720975 JQ720968:JQ720975 TM720968:TM720975 ADI720968:ADI720975 ANE720968:ANE720975 AXA720968:AXA720975 BGW720968:BGW720975 BQS720968:BQS720975 CAO720968:CAO720975 CKK720968:CKK720975 CUG720968:CUG720975 DEC720968:DEC720975 DNY720968:DNY720975 DXU720968:DXU720975 EHQ720968:EHQ720975 ERM720968:ERM720975 FBI720968:FBI720975 FLE720968:FLE720975 FVA720968:FVA720975 GEW720968:GEW720975 GOS720968:GOS720975 GYO720968:GYO720975 HIK720968:HIK720975 HSG720968:HSG720975 ICC720968:ICC720975 ILY720968:ILY720975 IVU720968:IVU720975 JFQ720968:JFQ720975 JPM720968:JPM720975 JZI720968:JZI720975 KJE720968:KJE720975 KTA720968:KTA720975 LCW720968:LCW720975 LMS720968:LMS720975 LWO720968:LWO720975 MGK720968:MGK720975 MQG720968:MQG720975 NAC720968:NAC720975 NJY720968:NJY720975 NTU720968:NTU720975 ODQ720968:ODQ720975 ONM720968:ONM720975 OXI720968:OXI720975 PHE720968:PHE720975 PRA720968:PRA720975 QAW720968:QAW720975 QKS720968:QKS720975 QUO720968:QUO720975 REK720968:REK720975 ROG720968:ROG720975 RYC720968:RYC720975 SHY720968:SHY720975 SRU720968:SRU720975 TBQ720968:TBQ720975 TLM720968:TLM720975 TVI720968:TVI720975 UFE720968:UFE720975 UPA720968:UPA720975 UYW720968:UYW720975 VIS720968:VIS720975 VSO720968:VSO720975 WCK720968:WCK720975 WMG720968:WMG720975 WWC720968:WWC720975 U786504:U786511 JQ786504:JQ786511 TM786504:TM786511 ADI786504:ADI786511 ANE786504:ANE786511 AXA786504:AXA786511 BGW786504:BGW786511 BQS786504:BQS786511 CAO786504:CAO786511 CKK786504:CKK786511 CUG786504:CUG786511 DEC786504:DEC786511 DNY786504:DNY786511 DXU786504:DXU786511 EHQ786504:EHQ786511 ERM786504:ERM786511 FBI786504:FBI786511 FLE786504:FLE786511 FVA786504:FVA786511 GEW786504:GEW786511 GOS786504:GOS786511 GYO786504:GYO786511 HIK786504:HIK786511 HSG786504:HSG786511 ICC786504:ICC786511 ILY786504:ILY786511 IVU786504:IVU786511 JFQ786504:JFQ786511 JPM786504:JPM786511 JZI786504:JZI786511 KJE786504:KJE786511 KTA786504:KTA786511 LCW786504:LCW786511 LMS786504:LMS786511 LWO786504:LWO786511 MGK786504:MGK786511 MQG786504:MQG786511 NAC786504:NAC786511 NJY786504:NJY786511 NTU786504:NTU786511 ODQ786504:ODQ786511 ONM786504:ONM786511 OXI786504:OXI786511 PHE786504:PHE786511 PRA786504:PRA786511 QAW786504:QAW786511 QKS786504:QKS786511 QUO786504:QUO786511 REK786504:REK786511 ROG786504:ROG786511 RYC786504:RYC786511 SHY786504:SHY786511 SRU786504:SRU786511 TBQ786504:TBQ786511 TLM786504:TLM786511 TVI786504:TVI786511 UFE786504:UFE786511 UPA786504:UPA786511 UYW786504:UYW786511 VIS786504:VIS786511 VSO786504:VSO786511 WCK786504:WCK786511 WMG786504:WMG786511 WWC786504:WWC786511 U852040:U852047 JQ852040:JQ852047 TM852040:TM852047 ADI852040:ADI852047 ANE852040:ANE852047 AXA852040:AXA852047 BGW852040:BGW852047 BQS852040:BQS852047 CAO852040:CAO852047 CKK852040:CKK852047 CUG852040:CUG852047 DEC852040:DEC852047 DNY852040:DNY852047 DXU852040:DXU852047 EHQ852040:EHQ852047 ERM852040:ERM852047 FBI852040:FBI852047 FLE852040:FLE852047 FVA852040:FVA852047 GEW852040:GEW852047 GOS852040:GOS852047 GYO852040:GYO852047 HIK852040:HIK852047 HSG852040:HSG852047 ICC852040:ICC852047 ILY852040:ILY852047 IVU852040:IVU852047 JFQ852040:JFQ852047 JPM852040:JPM852047 JZI852040:JZI852047 KJE852040:KJE852047 KTA852040:KTA852047 LCW852040:LCW852047 LMS852040:LMS852047 LWO852040:LWO852047 MGK852040:MGK852047 MQG852040:MQG852047 NAC852040:NAC852047 NJY852040:NJY852047 NTU852040:NTU852047 ODQ852040:ODQ852047 ONM852040:ONM852047 OXI852040:OXI852047 PHE852040:PHE852047 PRA852040:PRA852047 QAW852040:QAW852047 QKS852040:QKS852047 QUO852040:QUO852047 REK852040:REK852047 ROG852040:ROG852047 RYC852040:RYC852047 SHY852040:SHY852047 SRU852040:SRU852047 TBQ852040:TBQ852047 TLM852040:TLM852047 TVI852040:TVI852047 UFE852040:UFE852047 UPA852040:UPA852047 UYW852040:UYW852047 VIS852040:VIS852047 VSO852040:VSO852047 WCK852040:WCK852047 WMG852040:WMG852047 WWC852040:WWC852047 U917576:U917583 JQ917576:JQ917583 TM917576:TM917583 ADI917576:ADI917583 ANE917576:ANE917583 AXA917576:AXA917583 BGW917576:BGW917583 BQS917576:BQS917583 CAO917576:CAO917583 CKK917576:CKK917583 CUG917576:CUG917583 DEC917576:DEC917583 DNY917576:DNY917583 DXU917576:DXU917583 EHQ917576:EHQ917583 ERM917576:ERM917583 FBI917576:FBI917583 FLE917576:FLE917583 FVA917576:FVA917583 GEW917576:GEW917583 GOS917576:GOS917583 GYO917576:GYO917583 HIK917576:HIK917583 HSG917576:HSG917583 ICC917576:ICC917583 ILY917576:ILY917583 IVU917576:IVU917583 JFQ917576:JFQ917583 JPM917576:JPM917583 JZI917576:JZI917583 KJE917576:KJE917583 KTA917576:KTA917583 LCW917576:LCW917583 LMS917576:LMS917583 LWO917576:LWO917583 MGK917576:MGK917583 MQG917576:MQG917583 NAC917576:NAC917583 NJY917576:NJY917583 NTU917576:NTU917583 ODQ917576:ODQ917583 ONM917576:ONM917583 OXI917576:OXI917583 PHE917576:PHE917583 PRA917576:PRA917583 QAW917576:QAW917583 QKS917576:QKS917583 QUO917576:QUO917583 REK917576:REK917583 ROG917576:ROG917583 RYC917576:RYC917583 SHY917576:SHY917583 SRU917576:SRU917583 TBQ917576:TBQ917583 TLM917576:TLM917583 TVI917576:TVI917583 UFE917576:UFE917583 UPA917576:UPA917583 UYW917576:UYW917583 VIS917576:VIS917583 VSO917576:VSO917583 WCK917576:WCK917583 WMG917576:WMG917583 WWC917576:WWC917583 U983112:U983119 JQ983112:JQ983119 TM983112:TM983119 ADI983112:ADI983119 ANE983112:ANE983119 AXA983112:AXA983119 BGW983112:BGW983119 BQS983112:BQS983119 CAO983112:CAO983119 CKK983112:CKK983119 CUG983112:CUG983119 DEC983112:DEC983119 DNY983112:DNY983119 DXU983112:DXU983119 EHQ983112:EHQ983119 ERM983112:ERM983119 FBI983112:FBI983119 FLE983112:FLE983119 FVA983112:FVA983119 GEW983112:GEW983119 GOS983112:GOS983119 GYO983112:GYO983119 HIK983112:HIK983119 HSG983112:HSG983119 ICC983112:ICC983119 ILY983112:ILY983119 IVU983112:IVU983119 JFQ983112:JFQ983119 JPM983112:JPM983119 JZI983112:JZI983119 KJE983112:KJE983119 KTA983112:KTA983119 LCW983112:LCW983119 LMS983112:LMS983119 LWO983112:LWO983119 MGK983112:MGK983119 MQG983112:MQG983119 NAC983112:NAC983119 NJY983112:NJY983119 NTU983112:NTU983119 ODQ983112:ODQ983119 ONM983112:ONM983119 OXI983112:OXI983119 PHE983112:PHE983119 PRA983112:PRA983119 QAW983112:QAW983119 QKS983112:QKS983119 QUO983112:QUO983119 REK983112:REK983119 ROG983112:ROG983119 RYC983112:RYC983119 SHY983112:SHY983119 SRU983112:SRU983119 TBQ983112:TBQ983119 TLM983112:TLM983119 TVI983112:TVI983119 UFE983112:UFE983119 UPA983112:UPA983119 UYW983112:UYW983119 VIS983112:VIS983119 VSO983112:VSO983119 WCK983112:WCK983119 WMG983112:WMG983119 WWC983112:WWC983119 U74:U79 KM72:KM79 UI72:UI79 AEE72:AEE79 AOA72:AOA79 AXW72:AXW79 BHS72:BHS79 BRO72:BRO79 CBK72:CBK79 CLG72:CLG79 CVC72:CVC79 DEY72:DEY79 DOU72:DOU79 DYQ72:DYQ79 EIM72:EIM79 ESI72:ESI79 FCE72:FCE79 FMA72:FMA79 FVW72:FVW79 GFS72:GFS79 GPO72:GPO79 GZK72:GZK79 HJG72:HJG79 HTC72:HTC79 ICY72:ICY79 IMU72:IMU79 IWQ72:IWQ79 JGM72:JGM79 JQI72:JQI79 KAE72:KAE79 KKA72:KKA79 KTW72:KTW79 LDS72:LDS79 LNO72:LNO79 LXK72:LXK79 MHG72:MHG79 MRC72:MRC79 NAY72:NAY79 NKU72:NKU79 NUQ72:NUQ79 OEM72:OEM79 OOI72:OOI79 OYE72:OYE79 PIA72:PIA79 PRW72:PRW79 QBS72:QBS79 QLO72:QLO79 QVK72:QVK79 RFG72:RFG79 RPC72:RPC79 RYY72:RYY79 SIU72:SIU79 SSQ72:SSQ79 TCM72:TCM79 TMI72:TMI79 TWE72:TWE79 UGA72:UGA79 UPW72:UPW79 UZS72:UZS79 VJO72:VJO79 VTK72:VTK79 WDG72:WDG79 WNC72:WNC79 WWY72:WWY79 AQ65608:AQ65615 KM65608:KM65615 UI65608:UI65615 AEE65608:AEE65615 AOA65608:AOA65615 AXW65608:AXW65615 BHS65608:BHS65615 BRO65608:BRO65615 CBK65608:CBK65615 CLG65608:CLG65615 CVC65608:CVC65615 DEY65608:DEY65615 DOU65608:DOU65615 DYQ65608:DYQ65615 EIM65608:EIM65615 ESI65608:ESI65615 FCE65608:FCE65615 FMA65608:FMA65615 FVW65608:FVW65615 GFS65608:GFS65615 GPO65608:GPO65615 GZK65608:GZK65615 HJG65608:HJG65615 HTC65608:HTC65615 ICY65608:ICY65615 IMU65608:IMU65615 IWQ65608:IWQ65615 JGM65608:JGM65615 JQI65608:JQI65615 KAE65608:KAE65615 KKA65608:KKA65615 KTW65608:KTW65615 LDS65608:LDS65615 LNO65608:LNO65615 LXK65608:LXK65615 MHG65608:MHG65615 MRC65608:MRC65615 NAY65608:NAY65615 NKU65608:NKU65615 NUQ65608:NUQ65615 OEM65608:OEM65615 OOI65608:OOI65615 OYE65608:OYE65615 PIA65608:PIA65615 PRW65608:PRW65615 QBS65608:QBS65615 QLO65608:QLO65615 QVK65608:QVK65615 RFG65608:RFG65615 RPC65608:RPC65615 RYY65608:RYY65615 SIU65608:SIU65615 SSQ65608:SSQ65615 TCM65608:TCM65615 TMI65608:TMI65615 TWE65608:TWE65615 UGA65608:UGA65615 UPW65608:UPW65615 UZS65608:UZS65615 VJO65608:VJO65615 VTK65608:VTK65615 WDG65608:WDG65615 WNC65608:WNC65615 WWY65608:WWY65615 AQ131144:AQ131151 KM131144:KM131151 UI131144:UI131151 AEE131144:AEE131151 AOA131144:AOA131151 AXW131144:AXW131151 BHS131144:BHS131151 BRO131144:BRO131151 CBK131144:CBK131151 CLG131144:CLG131151 CVC131144:CVC131151 DEY131144:DEY131151 DOU131144:DOU131151 DYQ131144:DYQ131151 EIM131144:EIM131151 ESI131144:ESI131151 FCE131144:FCE131151 FMA131144:FMA131151 FVW131144:FVW131151 GFS131144:GFS131151 GPO131144:GPO131151 GZK131144:GZK131151 HJG131144:HJG131151 HTC131144:HTC131151 ICY131144:ICY131151 IMU131144:IMU131151 IWQ131144:IWQ131151 JGM131144:JGM131151 JQI131144:JQI131151 KAE131144:KAE131151 KKA131144:KKA131151 KTW131144:KTW131151 LDS131144:LDS131151 LNO131144:LNO131151 LXK131144:LXK131151 MHG131144:MHG131151 MRC131144:MRC131151 NAY131144:NAY131151 NKU131144:NKU131151 NUQ131144:NUQ131151 OEM131144:OEM131151 OOI131144:OOI131151 OYE131144:OYE131151 PIA131144:PIA131151 PRW131144:PRW131151 QBS131144:QBS131151 QLO131144:QLO131151 QVK131144:QVK131151 RFG131144:RFG131151 RPC131144:RPC131151 RYY131144:RYY131151 SIU131144:SIU131151 SSQ131144:SSQ131151 TCM131144:TCM131151 TMI131144:TMI131151 TWE131144:TWE131151 UGA131144:UGA131151 UPW131144:UPW131151 UZS131144:UZS131151 VJO131144:VJO131151 VTK131144:VTK131151 WDG131144:WDG131151 WNC131144:WNC131151 WWY131144:WWY131151 AQ196680:AQ196687 KM196680:KM196687 UI196680:UI196687 AEE196680:AEE196687 AOA196680:AOA196687 AXW196680:AXW196687 BHS196680:BHS196687 BRO196680:BRO196687 CBK196680:CBK196687 CLG196680:CLG196687 CVC196680:CVC196687 DEY196680:DEY196687 DOU196680:DOU196687 DYQ196680:DYQ196687 EIM196680:EIM196687 ESI196680:ESI196687 FCE196680:FCE196687 FMA196680:FMA196687 FVW196680:FVW196687 GFS196680:GFS196687 GPO196680:GPO196687 GZK196680:GZK196687 HJG196680:HJG196687 HTC196680:HTC196687 ICY196680:ICY196687 IMU196680:IMU196687 IWQ196680:IWQ196687 JGM196680:JGM196687 JQI196680:JQI196687 KAE196680:KAE196687 KKA196680:KKA196687 KTW196680:KTW196687 LDS196680:LDS196687 LNO196680:LNO196687 LXK196680:LXK196687 MHG196680:MHG196687 MRC196680:MRC196687 NAY196680:NAY196687 NKU196680:NKU196687 NUQ196680:NUQ196687 OEM196680:OEM196687 OOI196680:OOI196687 OYE196680:OYE196687 PIA196680:PIA196687 PRW196680:PRW196687 QBS196680:QBS196687 QLO196680:QLO196687 QVK196680:QVK196687 RFG196680:RFG196687 RPC196680:RPC196687 RYY196680:RYY196687 SIU196680:SIU196687 SSQ196680:SSQ196687 TCM196680:TCM196687 TMI196680:TMI196687 TWE196680:TWE196687 UGA196680:UGA196687 UPW196680:UPW196687 UZS196680:UZS196687 VJO196680:VJO196687 VTK196680:VTK196687 WDG196680:WDG196687 WNC196680:WNC196687 WWY196680:WWY196687 AQ262216:AQ262223 KM262216:KM262223 UI262216:UI262223 AEE262216:AEE262223 AOA262216:AOA262223 AXW262216:AXW262223 BHS262216:BHS262223 BRO262216:BRO262223 CBK262216:CBK262223 CLG262216:CLG262223 CVC262216:CVC262223 DEY262216:DEY262223 DOU262216:DOU262223 DYQ262216:DYQ262223 EIM262216:EIM262223 ESI262216:ESI262223 FCE262216:FCE262223 FMA262216:FMA262223 FVW262216:FVW262223 GFS262216:GFS262223 GPO262216:GPO262223 GZK262216:GZK262223 HJG262216:HJG262223 HTC262216:HTC262223 ICY262216:ICY262223 IMU262216:IMU262223 IWQ262216:IWQ262223 JGM262216:JGM262223 JQI262216:JQI262223 KAE262216:KAE262223 KKA262216:KKA262223 KTW262216:KTW262223 LDS262216:LDS262223 LNO262216:LNO262223 LXK262216:LXK262223 MHG262216:MHG262223 MRC262216:MRC262223 NAY262216:NAY262223 NKU262216:NKU262223 NUQ262216:NUQ262223 OEM262216:OEM262223 OOI262216:OOI262223 OYE262216:OYE262223 PIA262216:PIA262223 PRW262216:PRW262223 QBS262216:QBS262223 QLO262216:QLO262223 QVK262216:QVK262223 RFG262216:RFG262223 RPC262216:RPC262223 RYY262216:RYY262223 SIU262216:SIU262223 SSQ262216:SSQ262223 TCM262216:TCM262223 TMI262216:TMI262223 TWE262216:TWE262223 UGA262216:UGA262223 UPW262216:UPW262223 UZS262216:UZS262223 VJO262216:VJO262223 VTK262216:VTK262223 WDG262216:WDG262223 WNC262216:WNC262223 WWY262216:WWY262223 AQ327752:AQ327759 KM327752:KM327759 UI327752:UI327759 AEE327752:AEE327759 AOA327752:AOA327759 AXW327752:AXW327759 BHS327752:BHS327759 BRO327752:BRO327759 CBK327752:CBK327759 CLG327752:CLG327759 CVC327752:CVC327759 DEY327752:DEY327759 DOU327752:DOU327759 DYQ327752:DYQ327759 EIM327752:EIM327759 ESI327752:ESI327759 FCE327752:FCE327759 FMA327752:FMA327759 FVW327752:FVW327759 GFS327752:GFS327759 GPO327752:GPO327759 GZK327752:GZK327759 HJG327752:HJG327759 HTC327752:HTC327759 ICY327752:ICY327759 IMU327752:IMU327759 IWQ327752:IWQ327759 JGM327752:JGM327759 JQI327752:JQI327759 KAE327752:KAE327759 KKA327752:KKA327759 KTW327752:KTW327759 LDS327752:LDS327759 LNO327752:LNO327759 LXK327752:LXK327759 MHG327752:MHG327759 MRC327752:MRC327759 NAY327752:NAY327759 NKU327752:NKU327759 NUQ327752:NUQ327759 OEM327752:OEM327759 OOI327752:OOI327759 OYE327752:OYE327759 PIA327752:PIA327759 PRW327752:PRW327759 QBS327752:QBS327759 QLO327752:QLO327759 QVK327752:QVK327759 RFG327752:RFG327759 RPC327752:RPC327759 RYY327752:RYY327759 SIU327752:SIU327759 SSQ327752:SSQ327759 TCM327752:TCM327759 TMI327752:TMI327759 TWE327752:TWE327759 UGA327752:UGA327759 UPW327752:UPW327759 UZS327752:UZS327759 VJO327752:VJO327759 VTK327752:VTK327759 WDG327752:WDG327759 WNC327752:WNC327759 WWY327752:WWY327759 AQ393288:AQ393295 KM393288:KM393295 UI393288:UI393295 AEE393288:AEE393295 AOA393288:AOA393295 AXW393288:AXW393295 BHS393288:BHS393295 BRO393288:BRO393295 CBK393288:CBK393295 CLG393288:CLG393295 CVC393288:CVC393295 DEY393288:DEY393295 DOU393288:DOU393295 DYQ393288:DYQ393295 EIM393288:EIM393295 ESI393288:ESI393295 FCE393288:FCE393295 FMA393288:FMA393295 FVW393288:FVW393295 GFS393288:GFS393295 GPO393288:GPO393295 GZK393288:GZK393295 HJG393288:HJG393295 HTC393288:HTC393295 ICY393288:ICY393295 IMU393288:IMU393295 IWQ393288:IWQ393295 JGM393288:JGM393295 JQI393288:JQI393295 KAE393288:KAE393295 KKA393288:KKA393295 KTW393288:KTW393295 LDS393288:LDS393295 LNO393288:LNO393295 LXK393288:LXK393295 MHG393288:MHG393295 MRC393288:MRC393295 NAY393288:NAY393295 NKU393288:NKU393295 NUQ393288:NUQ393295 OEM393288:OEM393295 OOI393288:OOI393295 OYE393288:OYE393295 PIA393288:PIA393295 PRW393288:PRW393295 QBS393288:QBS393295 QLO393288:QLO393295 QVK393288:QVK393295 RFG393288:RFG393295 RPC393288:RPC393295 RYY393288:RYY393295 SIU393288:SIU393295 SSQ393288:SSQ393295 TCM393288:TCM393295 TMI393288:TMI393295 TWE393288:TWE393295 UGA393288:UGA393295 UPW393288:UPW393295 UZS393288:UZS393295 VJO393288:VJO393295 VTK393288:VTK393295 WDG393288:WDG393295 WNC393288:WNC393295 WWY393288:WWY393295 AQ458824:AQ458831 KM458824:KM458831 UI458824:UI458831 AEE458824:AEE458831 AOA458824:AOA458831 AXW458824:AXW458831 BHS458824:BHS458831 BRO458824:BRO458831 CBK458824:CBK458831 CLG458824:CLG458831 CVC458824:CVC458831 DEY458824:DEY458831 DOU458824:DOU458831 DYQ458824:DYQ458831 EIM458824:EIM458831 ESI458824:ESI458831 FCE458824:FCE458831 FMA458824:FMA458831 FVW458824:FVW458831 GFS458824:GFS458831 GPO458824:GPO458831 GZK458824:GZK458831 HJG458824:HJG458831 HTC458824:HTC458831 ICY458824:ICY458831 IMU458824:IMU458831 IWQ458824:IWQ458831 JGM458824:JGM458831 JQI458824:JQI458831 KAE458824:KAE458831 KKA458824:KKA458831 KTW458824:KTW458831 LDS458824:LDS458831 LNO458824:LNO458831 LXK458824:LXK458831 MHG458824:MHG458831 MRC458824:MRC458831 NAY458824:NAY458831 NKU458824:NKU458831 NUQ458824:NUQ458831 OEM458824:OEM458831 OOI458824:OOI458831 OYE458824:OYE458831 PIA458824:PIA458831 PRW458824:PRW458831 QBS458824:QBS458831 QLO458824:QLO458831 QVK458824:QVK458831 RFG458824:RFG458831 RPC458824:RPC458831 RYY458824:RYY458831 SIU458824:SIU458831 SSQ458824:SSQ458831 TCM458824:TCM458831 TMI458824:TMI458831 TWE458824:TWE458831 UGA458824:UGA458831 UPW458824:UPW458831 UZS458824:UZS458831 VJO458824:VJO458831 VTK458824:VTK458831 WDG458824:WDG458831 WNC458824:WNC458831 WWY458824:WWY458831 AQ524360:AQ524367 KM524360:KM524367 UI524360:UI524367 AEE524360:AEE524367 AOA524360:AOA524367 AXW524360:AXW524367 BHS524360:BHS524367 BRO524360:BRO524367 CBK524360:CBK524367 CLG524360:CLG524367 CVC524360:CVC524367 DEY524360:DEY524367 DOU524360:DOU524367 DYQ524360:DYQ524367 EIM524360:EIM524367 ESI524360:ESI524367 FCE524360:FCE524367 FMA524360:FMA524367 FVW524360:FVW524367 GFS524360:GFS524367 GPO524360:GPO524367 GZK524360:GZK524367 HJG524360:HJG524367 HTC524360:HTC524367 ICY524360:ICY524367 IMU524360:IMU524367 IWQ524360:IWQ524367 JGM524360:JGM524367 JQI524360:JQI524367 KAE524360:KAE524367 KKA524360:KKA524367 KTW524360:KTW524367 LDS524360:LDS524367 LNO524360:LNO524367 LXK524360:LXK524367 MHG524360:MHG524367 MRC524360:MRC524367 NAY524360:NAY524367 NKU524360:NKU524367 NUQ524360:NUQ524367 OEM524360:OEM524367 OOI524360:OOI524367 OYE524360:OYE524367 PIA524360:PIA524367 PRW524360:PRW524367 QBS524360:QBS524367 QLO524360:QLO524367 QVK524360:QVK524367 RFG524360:RFG524367 RPC524360:RPC524367 RYY524360:RYY524367 SIU524360:SIU524367 SSQ524360:SSQ524367 TCM524360:TCM524367 TMI524360:TMI524367 TWE524360:TWE524367 UGA524360:UGA524367 UPW524360:UPW524367 UZS524360:UZS524367 VJO524360:VJO524367 VTK524360:VTK524367 WDG524360:WDG524367 WNC524360:WNC524367 WWY524360:WWY524367 AQ589896:AQ589903 KM589896:KM589903 UI589896:UI589903 AEE589896:AEE589903 AOA589896:AOA589903 AXW589896:AXW589903 BHS589896:BHS589903 BRO589896:BRO589903 CBK589896:CBK589903 CLG589896:CLG589903 CVC589896:CVC589903 DEY589896:DEY589903 DOU589896:DOU589903 DYQ589896:DYQ589903 EIM589896:EIM589903 ESI589896:ESI589903 FCE589896:FCE589903 FMA589896:FMA589903 FVW589896:FVW589903 GFS589896:GFS589903 GPO589896:GPO589903 GZK589896:GZK589903 HJG589896:HJG589903 HTC589896:HTC589903 ICY589896:ICY589903 IMU589896:IMU589903 IWQ589896:IWQ589903 JGM589896:JGM589903 JQI589896:JQI589903 KAE589896:KAE589903 KKA589896:KKA589903 KTW589896:KTW589903 LDS589896:LDS589903 LNO589896:LNO589903 LXK589896:LXK589903 MHG589896:MHG589903 MRC589896:MRC589903 NAY589896:NAY589903 NKU589896:NKU589903 NUQ589896:NUQ589903 OEM589896:OEM589903 OOI589896:OOI589903 OYE589896:OYE589903 PIA589896:PIA589903 PRW589896:PRW589903 QBS589896:QBS589903 QLO589896:QLO589903 QVK589896:QVK589903 RFG589896:RFG589903 RPC589896:RPC589903 RYY589896:RYY589903 SIU589896:SIU589903 SSQ589896:SSQ589903 TCM589896:TCM589903 TMI589896:TMI589903 TWE589896:TWE589903 UGA589896:UGA589903 UPW589896:UPW589903 UZS589896:UZS589903 VJO589896:VJO589903 VTK589896:VTK589903 WDG589896:WDG589903 WNC589896:WNC589903 WWY589896:WWY589903 AQ655432:AQ655439 KM655432:KM655439 UI655432:UI655439 AEE655432:AEE655439 AOA655432:AOA655439 AXW655432:AXW655439 BHS655432:BHS655439 BRO655432:BRO655439 CBK655432:CBK655439 CLG655432:CLG655439 CVC655432:CVC655439 DEY655432:DEY655439 DOU655432:DOU655439 DYQ655432:DYQ655439 EIM655432:EIM655439 ESI655432:ESI655439 FCE655432:FCE655439 FMA655432:FMA655439 FVW655432:FVW655439 GFS655432:GFS655439 GPO655432:GPO655439 GZK655432:GZK655439 HJG655432:HJG655439 HTC655432:HTC655439 ICY655432:ICY655439 IMU655432:IMU655439 IWQ655432:IWQ655439 JGM655432:JGM655439 JQI655432:JQI655439 KAE655432:KAE655439 KKA655432:KKA655439 KTW655432:KTW655439 LDS655432:LDS655439 LNO655432:LNO655439 LXK655432:LXK655439 MHG655432:MHG655439 MRC655432:MRC655439 NAY655432:NAY655439 NKU655432:NKU655439 NUQ655432:NUQ655439 OEM655432:OEM655439 OOI655432:OOI655439 OYE655432:OYE655439 PIA655432:PIA655439 PRW655432:PRW655439 QBS655432:QBS655439 QLO655432:QLO655439 QVK655432:QVK655439 RFG655432:RFG655439 RPC655432:RPC655439 RYY655432:RYY655439 SIU655432:SIU655439 SSQ655432:SSQ655439 TCM655432:TCM655439 TMI655432:TMI655439 TWE655432:TWE655439 UGA655432:UGA655439 UPW655432:UPW655439 UZS655432:UZS655439 VJO655432:VJO655439 VTK655432:VTK655439 WDG655432:WDG655439 WNC655432:WNC655439 WWY655432:WWY655439 AQ720968:AQ720975 KM720968:KM720975 UI720968:UI720975 AEE720968:AEE720975 AOA720968:AOA720975 AXW720968:AXW720975 BHS720968:BHS720975 BRO720968:BRO720975 CBK720968:CBK720975 CLG720968:CLG720975 CVC720968:CVC720975 DEY720968:DEY720975 DOU720968:DOU720975 DYQ720968:DYQ720975 EIM720968:EIM720975 ESI720968:ESI720975 FCE720968:FCE720975 FMA720968:FMA720975 FVW720968:FVW720975 GFS720968:GFS720975 GPO720968:GPO720975 GZK720968:GZK720975 HJG720968:HJG720975 HTC720968:HTC720975 ICY720968:ICY720975 IMU720968:IMU720975 IWQ720968:IWQ720975 JGM720968:JGM720975 JQI720968:JQI720975 KAE720968:KAE720975 KKA720968:KKA720975 KTW720968:KTW720975 LDS720968:LDS720975 LNO720968:LNO720975 LXK720968:LXK720975 MHG720968:MHG720975 MRC720968:MRC720975 NAY720968:NAY720975 NKU720968:NKU720975 NUQ720968:NUQ720975 OEM720968:OEM720975 OOI720968:OOI720975 OYE720968:OYE720975 PIA720968:PIA720975 PRW720968:PRW720975 QBS720968:QBS720975 QLO720968:QLO720975 QVK720968:QVK720975 RFG720968:RFG720975 RPC720968:RPC720975 RYY720968:RYY720975 SIU720968:SIU720975 SSQ720968:SSQ720975 TCM720968:TCM720975 TMI720968:TMI720975 TWE720968:TWE720975 UGA720968:UGA720975 UPW720968:UPW720975 UZS720968:UZS720975 VJO720968:VJO720975 VTK720968:VTK720975 WDG720968:WDG720975 WNC720968:WNC720975 WWY720968:WWY720975 AQ786504:AQ786511 KM786504:KM786511 UI786504:UI786511 AEE786504:AEE786511 AOA786504:AOA786511 AXW786504:AXW786511 BHS786504:BHS786511 BRO786504:BRO786511 CBK786504:CBK786511 CLG786504:CLG786511 CVC786504:CVC786511 DEY786504:DEY786511 DOU786504:DOU786511 DYQ786504:DYQ786511 EIM786504:EIM786511 ESI786504:ESI786511 FCE786504:FCE786511 FMA786504:FMA786511 FVW786504:FVW786511 GFS786504:GFS786511 GPO786504:GPO786511 GZK786504:GZK786511 HJG786504:HJG786511 HTC786504:HTC786511 ICY786504:ICY786511 IMU786504:IMU786511 IWQ786504:IWQ786511 JGM786504:JGM786511 JQI786504:JQI786511 KAE786504:KAE786511 KKA786504:KKA786511 KTW786504:KTW786511 LDS786504:LDS786511 LNO786504:LNO786511 LXK786504:LXK786511 MHG786504:MHG786511 MRC786504:MRC786511 NAY786504:NAY786511 NKU786504:NKU786511 NUQ786504:NUQ786511 OEM786504:OEM786511 OOI786504:OOI786511 OYE786504:OYE786511 PIA786504:PIA786511 PRW786504:PRW786511 QBS786504:QBS786511 QLO786504:QLO786511 QVK786504:QVK786511 RFG786504:RFG786511 RPC786504:RPC786511 RYY786504:RYY786511 SIU786504:SIU786511 SSQ786504:SSQ786511 TCM786504:TCM786511 TMI786504:TMI786511 TWE786504:TWE786511 UGA786504:UGA786511 UPW786504:UPW786511 UZS786504:UZS786511 VJO786504:VJO786511 VTK786504:VTK786511 WDG786504:WDG786511 WNC786504:WNC786511 WWY786504:WWY786511 AQ852040:AQ852047 KM852040:KM852047 UI852040:UI852047 AEE852040:AEE852047 AOA852040:AOA852047 AXW852040:AXW852047 BHS852040:BHS852047 BRO852040:BRO852047 CBK852040:CBK852047 CLG852040:CLG852047 CVC852040:CVC852047 DEY852040:DEY852047 DOU852040:DOU852047 DYQ852040:DYQ852047 EIM852040:EIM852047 ESI852040:ESI852047 FCE852040:FCE852047 FMA852040:FMA852047 FVW852040:FVW852047 GFS852040:GFS852047 GPO852040:GPO852047 GZK852040:GZK852047 HJG852040:HJG852047 HTC852040:HTC852047 ICY852040:ICY852047 IMU852040:IMU852047 IWQ852040:IWQ852047 JGM852040:JGM852047 JQI852040:JQI852047 KAE852040:KAE852047 KKA852040:KKA852047 KTW852040:KTW852047 LDS852040:LDS852047 LNO852040:LNO852047 LXK852040:LXK852047 MHG852040:MHG852047 MRC852040:MRC852047 NAY852040:NAY852047 NKU852040:NKU852047 NUQ852040:NUQ852047 OEM852040:OEM852047 OOI852040:OOI852047 OYE852040:OYE852047 PIA852040:PIA852047 PRW852040:PRW852047 QBS852040:QBS852047 QLO852040:QLO852047 QVK852040:QVK852047 RFG852040:RFG852047 RPC852040:RPC852047 RYY852040:RYY852047 SIU852040:SIU852047 SSQ852040:SSQ852047 TCM852040:TCM852047 TMI852040:TMI852047 TWE852040:TWE852047 UGA852040:UGA852047 UPW852040:UPW852047 UZS852040:UZS852047 VJO852040:VJO852047 VTK852040:VTK852047 WDG852040:WDG852047 WNC852040:WNC852047 WWY852040:WWY852047 AQ917576:AQ917583 KM917576:KM917583 UI917576:UI917583 AEE917576:AEE917583 AOA917576:AOA917583 AXW917576:AXW917583 BHS917576:BHS917583 BRO917576:BRO917583 CBK917576:CBK917583 CLG917576:CLG917583 CVC917576:CVC917583 DEY917576:DEY917583 DOU917576:DOU917583 DYQ917576:DYQ917583 EIM917576:EIM917583 ESI917576:ESI917583 FCE917576:FCE917583 FMA917576:FMA917583 FVW917576:FVW917583 GFS917576:GFS917583 GPO917576:GPO917583 GZK917576:GZK917583 HJG917576:HJG917583 HTC917576:HTC917583 ICY917576:ICY917583 IMU917576:IMU917583 IWQ917576:IWQ917583 JGM917576:JGM917583 JQI917576:JQI917583 KAE917576:KAE917583 KKA917576:KKA917583 KTW917576:KTW917583 LDS917576:LDS917583 LNO917576:LNO917583 LXK917576:LXK917583 MHG917576:MHG917583 MRC917576:MRC917583 NAY917576:NAY917583 NKU917576:NKU917583 NUQ917576:NUQ917583 OEM917576:OEM917583 OOI917576:OOI917583 OYE917576:OYE917583 PIA917576:PIA917583 PRW917576:PRW917583 QBS917576:QBS917583 QLO917576:QLO917583 QVK917576:QVK917583 RFG917576:RFG917583 RPC917576:RPC917583 RYY917576:RYY917583 SIU917576:SIU917583 SSQ917576:SSQ917583 TCM917576:TCM917583 TMI917576:TMI917583 TWE917576:TWE917583 UGA917576:UGA917583 UPW917576:UPW917583 UZS917576:UZS917583 VJO917576:VJO917583 VTK917576:VTK917583 WDG917576:WDG917583 WNC917576:WNC917583 WWY917576:WWY917583 AQ983112:AQ983119 KM983112:KM983119 UI983112:UI983119 AEE983112:AEE983119 AOA983112:AOA983119 AXW983112:AXW983119 BHS983112:BHS983119 BRO983112:BRO983119 CBK983112:CBK983119 CLG983112:CLG983119 CVC983112:CVC983119 DEY983112:DEY983119 DOU983112:DOU983119 DYQ983112:DYQ983119 EIM983112:EIM983119 ESI983112:ESI983119 FCE983112:FCE983119 FMA983112:FMA983119 FVW983112:FVW983119 GFS983112:GFS983119 GPO983112:GPO983119 GZK983112:GZK983119 HJG983112:HJG983119 HTC983112:HTC983119 ICY983112:ICY983119 IMU983112:IMU983119 IWQ983112:IWQ983119 JGM983112:JGM983119 JQI983112:JQI983119 KAE983112:KAE983119 KKA983112:KKA983119 KTW983112:KTW983119 LDS983112:LDS983119 LNO983112:LNO983119 LXK983112:LXK983119 MHG983112:MHG983119 MRC983112:MRC983119 NAY983112:NAY983119 NKU983112:NKU983119 NUQ983112:NUQ983119 OEM983112:OEM983119 OOI983112:OOI983119 OYE983112:OYE983119 PIA983112:PIA983119 PRW983112:PRW983119 QBS983112:QBS983119 QLO983112:QLO983119 QVK983112:QVK983119 RFG983112:RFG983119 RPC983112:RPC983119 RYY983112:RYY983119 SIU983112:SIU983119 SSQ983112:SSQ983119 TCM983112:TCM983119 TMI983112:TMI983119 TWE983112:TWE983119 UGA983112:UGA983119 UPW983112:UPW983119 UZS983112:UZS983119 VJO983112:VJO983119 VTK983112:VTK983119 WDG983112:WDG983119 AQ74:AQ79" xr:uid="{00000000-0002-0000-0800-000005000000}">
      <formula1>0</formula1>
      <formula2>9</formula2>
    </dataValidation>
    <dataValidation type="whole" showDropDown="1" showInputMessage="1" showErrorMessage="1" errorTitle="A" error="Môže byť iba 0 alebo 1" prompt="Musí byť _x000a_    iba _x000a_0 alebo 1" sqref="WWM983112 KC8:KC9 TY8:TY9 ADU8:ADU9 ANQ8:ANQ9 AXM8:AXM9 BHI8:BHI9 BRE8:BRE9 CBA8:CBA9 CKW8:CKW9 CUS8:CUS9 DEO8:DEO9 DOK8:DOK9 DYG8:DYG9 EIC8:EIC9 ERY8:ERY9 FBU8:FBU9 FLQ8:FLQ9 FVM8:FVM9 GFI8:GFI9 GPE8:GPE9 GZA8:GZA9 HIW8:HIW9 HSS8:HSS9 ICO8:ICO9 IMK8:IMK9 IWG8:IWG9 JGC8:JGC9 JPY8:JPY9 JZU8:JZU9 KJQ8:KJQ9 KTM8:KTM9 LDI8:LDI9 LNE8:LNE9 LXA8:LXA9 MGW8:MGW9 MQS8:MQS9 NAO8:NAO9 NKK8:NKK9 NUG8:NUG9 OEC8:OEC9 ONY8:ONY9 OXU8:OXU9 PHQ8:PHQ9 PRM8:PRM9 QBI8:QBI9 QLE8:QLE9 QVA8:QVA9 REW8:REW9 ROS8:ROS9 RYO8:RYO9 SIK8:SIK9 SSG8:SSG9 TCC8:TCC9 TLY8:TLY9 TVU8:TVU9 UFQ8:UFQ9 UPM8:UPM9 UZI8:UZI9 VJE8:VJE9 VTA8:VTA9 WCW8:WCW9 WMS8:WMS9 WWO8:WWO9 AG65544:AG65545 KC65544:KC65545 TY65544:TY65545 ADU65544:ADU65545 ANQ65544:ANQ65545 AXM65544:AXM65545 BHI65544:BHI65545 BRE65544:BRE65545 CBA65544:CBA65545 CKW65544:CKW65545 CUS65544:CUS65545 DEO65544:DEO65545 DOK65544:DOK65545 DYG65544:DYG65545 EIC65544:EIC65545 ERY65544:ERY65545 FBU65544:FBU65545 FLQ65544:FLQ65545 FVM65544:FVM65545 GFI65544:GFI65545 GPE65544:GPE65545 GZA65544:GZA65545 HIW65544:HIW65545 HSS65544:HSS65545 ICO65544:ICO65545 IMK65544:IMK65545 IWG65544:IWG65545 JGC65544:JGC65545 JPY65544:JPY65545 JZU65544:JZU65545 KJQ65544:KJQ65545 KTM65544:KTM65545 LDI65544:LDI65545 LNE65544:LNE65545 LXA65544:LXA65545 MGW65544:MGW65545 MQS65544:MQS65545 NAO65544:NAO65545 NKK65544:NKK65545 NUG65544:NUG65545 OEC65544:OEC65545 ONY65544:ONY65545 OXU65544:OXU65545 PHQ65544:PHQ65545 PRM65544:PRM65545 QBI65544:QBI65545 QLE65544:QLE65545 QVA65544:QVA65545 REW65544:REW65545 ROS65544:ROS65545 RYO65544:RYO65545 SIK65544:SIK65545 SSG65544:SSG65545 TCC65544:TCC65545 TLY65544:TLY65545 TVU65544:TVU65545 UFQ65544:UFQ65545 UPM65544:UPM65545 UZI65544:UZI65545 VJE65544:VJE65545 VTA65544:VTA65545 WCW65544:WCW65545 WMS65544:WMS65545 WWO65544:WWO65545 AG131080:AG131081 KC131080:KC131081 TY131080:TY131081 ADU131080:ADU131081 ANQ131080:ANQ131081 AXM131080:AXM131081 BHI131080:BHI131081 BRE131080:BRE131081 CBA131080:CBA131081 CKW131080:CKW131081 CUS131080:CUS131081 DEO131080:DEO131081 DOK131080:DOK131081 DYG131080:DYG131081 EIC131080:EIC131081 ERY131080:ERY131081 FBU131080:FBU131081 FLQ131080:FLQ131081 FVM131080:FVM131081 GFI131080:GFI131081 GPE131080:GPE131081 GZA131080:GZA131081 HIW131080:HIW131081 HSS131080:HSS131081 ICO131080:ICO131081 IMK131080:IMK131081 IWG131080:IWG131081 JGC131080:JGC131081 JPY131080:JPY131081 JZU131080:JZU131081 KJQ131080:KJQ131081 KTM131080:KTM131081 LDI131080:LDI131081 LNE131080:LNE131081 LXA131080:LXA131081 MGW131080:MGW131081 MQS131080:MQS131081 NAO131080:NAO131081 NKK131080:NKK131081 NUG131080:NUG131081 OEC131080:OEC131081 ONY131080:ONY131081 OXU131080:OXU131081 PHQ131080:PHQ131081 PRM131080:PRM131081 QBI131080:QBI131081 QLE131080:QLE131081 QVA131080:QVA131081 REW131080:REW131081 ROS131080:ROS131081 RYO131080:RYO131081 SIK131080:SIK131081 SSG131080:SSG131081 TCC131080:TCC131081 TLY131080:TLY131081 TVU131080:TVU131081 UFQ131080:UFQ131081 UPM131080:UPM131081 UZI131080:UZI131081 VJE131080:VJE131081 VTA131080:VTA131081 WCW131080:WCW131081 WMS131080:WMS131081 WWO131080:WWO131081 AG196616:AG196617 KC196616:KC196617 TY196616:TY196617 ADU196616:ADU196617 ANQ196616:ANQ196617 AXM196616:AXM196617 BHI196616:BHI196617 BRE196616:BRE196617 CBA196616:CBA196617 CKW196616:CKW196617 CUS196616:CUS196617 DEO196616:DEO196617 DOK196616:DOK196617 DYG196616:DYG196617 EIC196616:EIC196617 ERY196616:ERY196617 FBU196616:FBU196617 FLQ196616:FLQ196617 FVM196616:FVM196617 GFI196616:GFI196617 GPE196616:GPE196617 GZA196616:GZA196617 HIW196616:HIW196617 HSS196616:HSS196617 ICO196616:ICO196617 IMK196616:IMK196617 IWG196616:IWG196617 JGC196616:JGC196617 JPY196616:JPY196617 JZU196616:JZU196617 KJQ196616:KJQ196617 KTM196616:KTM196617 LDI196616:LDI196617 LNE196616:LNE196617 LXA196616:LXA196617 MGW196616:MGW196617 MQS196616:MQS196617 NAO196616:NAO196617 NKK196616:NKK196617 NUG196616:NUG196617 OEC196616:OEC196617 ONY196616:ONY196617 OXU196616:OXU196617 PHQ196616:PHQ196617 PRM196616:PRM196617 QBI196616:QBI196617 QLE196616:QLE196617 QVA196616:QVA196617 REW196616:REW196617 ROS196616:ROS196617 RYO196616:RYO196617 SIK196616:SIK196617 SSG196616:SSG196617 TCC196616:TCC196617 TLY196616:TLY196617 TVU196616:TVU196617 UFQ196616:UFQ196617 UPM196616:UPM196617 UZI196616:UZI196617 VJE196616:VJE196617 VTA196616:VTA196617 WCW196616:WCW196617 WMS196616:WMS196617 WWO196616:WWO196617 AG262152:AG262153 KC262152:KC262153 TY262152:TY262153 ADU262152:ADU262153 ANQ262152:ANQ262153 AXM262152:AXM262153 BHI262152:BHI262153 BRE262152:BRE262153 CBA262152:CBA262153 CKW262152:CKW262153 CUS262152:CUS262153 DEO262152:DEO262153 DOK262152:DOK262153 DYG262152:DYG262153 EIC262152:EIC262153 ERY262152:ERY262153 FBU262152:FBU262153 FLQ262152:FLQ262153 FVM262152:FVM262153 GFI262152:GFI262153 GPE262152:GPE262153 GZA262152:GZA262153 HIW262152:HIW262153 HSS262152:HSS262153 ICO262152:ICO262153 IMK262152:IMK262153 IWG262152:IWG262153 JGC262152:JGC262153 JPY262152:JPY262153 JZU262152:JZU262153 KJQ262152:KJQ262153 KTM262152:KTM262153 LDI262152:LDI262153 LNE262152:LNE262153 LXA262152:LXA262153 MGW262152:MGW262153 MQS262152:MQS262153 NAO262152:NAO262153 NKK262152:NKK262153 NUG262152:NUG262153 OEC262152:OEC262153 ONY262152:ONY262153 OXU262152:OXU262153 PHQ262152:PHQ262153 PRM262152:PRM262153 QBI262152:QBI262153 QLE262152:QLE262153 QVA262152:QVA262153 REW262152:REW262153 ROS262152:ROS262153 RYO262152:RYO262153 SIK262152:SIK262153 SSG262152:SSG262153 TCC262152:TCC262153 TLY262152:TLY262153 TVU262152:TVU262153 UFQ262152:UFQ262153 UPM262152:UPM262153 UZI262152:UZI262153 VJE262152:VJE262153 VTA262152:VTA262153 WCW262152:WCW262153 WMS262152:WMS262153 WWO262152:WWO262153 AG327688:AG327689 KC327688:KC327689 TY327688:TY327689 ADU327688:ADU327689 ANQ327688:ANQ327689 AXM327688:AXM327689 BHI327688:BHI327689 BRE327688:BRE327689 CBA327688:CBA327689 CKW327688:CKW327689 CUS327688:CUS327689 DEO327688:DEO327689 DOK327688:DOK327689 DYG327688:DYG327689 EIC327688:EIC327689 ERY327688:ERY327689 FBU327688:FBU327689 FLQ327688:FLQ327689 FVM327688:FVM327689 GFI327688:GFI327689 GPE327688:GPE327689 GZA327688:GZA327689 HIW327688:HIW327689 HSS327688:HSS327689 ICO327688:ICO327689 IMK327688:IMK327689 IWG327688:IWG327689 JGC327688:JGC327689 JPY327688:JPY327689 JZU327688:JZU327689 KJQ327688:KJQ327689 KTM327688:KTM327689 LDI327688:LDI327689 LNE327688:LNE327689 LXA327688:LXA327689 MGW327688:MGW327689 MQS327688:MQS327689 NAO327688:NAO327689 NKK327688:NKK327689 NUG327688:NUG327689 OEC327688:OEC327689 ONY327688:ONY327689 OXU327688:OXU327689 PHQ327688:PHQ327689 PRM327688:PRM327689 QBI327688:QBI327689 QLE327688:QLE327689 QVA327688:QVA327689 REW327688:REW327689 ROS327688:ROS327689 RYO327688:RYO327689 SIK327688:SIK327689 SSG327688:SSG327689 TCC327688:TCC327689 TLY327688:TLY327689 TVU327688:TVU327689 UFQ327688:UFQ327689 UPM327688:UPM327689 UZI327688:UZI327689 VJE327688:VJE327689 VTA327688:VTA327689 WCW327688:WCW327689 WMS327688:WMS327689 WWO327688:WWO327689 AG393224:AG393225 KC393224:KC393225 TY393224:TY393225 ADU393224:ADU393225 ANQ393224:ANQ393225 AXM393224:AXM393225 BHI393224:BHI393225 BRE393224:BRE393225 CBA393224:CBA393225 CKW393224:CKW393225 CUS393224:CUS393225 DEO393224:DEO393225 DOK393224:DOK393225 DYG393224:DYG393225 EIC393224:EIC393225 ERY393224:ERY393225 FBU393224:FBU393225 FLQ393224:FLQ393225 FVM393224:FVM393225 GFI393224:GFI393225 GPE393224:GPE393225 GZA393224:GZA393225 HIW393224:HIW393225 HSS393224:HSS393225 ICO393224:ICO393225 IMK393224:IMK393225 IWG393224:IWG393225 JGC393224:JGC393225 JPY393224:JPY393225 JZU393224:JZU393225 KJQ393224:KJQ393225 KTM393224:KTM393225 LDI393224:LDI393225 LNE393224:LNE393225 LXA393224:LXA393225 MGW393224:MGW393225 MQS393224:MQS393225 NAO393224:NAO393225 NKK393224:NKK393225 NUG393224:NUG393225 OEC393224:OEC393225 ONY393224:ONY393225 OXU393224:OXU393225 PHQ393224:PHQ393225 PRM393224:PRM393225 QBI393224:QBI393225 QLE393224:QLE393225 QVA393224:QVA393225 REW393224:REW393225 ROS393224:ROS393225 RYO393224:RYO393225 SIK393224:SIK393225 SSG393224:SSG393225 TCC393224:TCC393225 TLY393224:TLY393225 TVU393224:TVU393225 UFQ393224:UFQ393225 UPM393224:UPM393225 UZI393224:UZI393225 VJE393224:VJE393225 VTA393224:VTA393225 WCW393224:WCW393225 WMS393224:WMS393225 WWO393224:WWO393225 AG458760:AG458761 KC458760:KC458761 TY458760:TY458761 ADU458760:ADU458761 ANQ458760:ANQ458761 AXM458760:AXM458761 BHI458760:BHI458761 BRE458760:BRE458761 CBA458760:CBA458761 CKW458760:CKW458761 CUS458760:CUS458761 DEO458760:DEO458761 DOK458760:DOK458761 DYG458760:DYG458761 EIC458760:EIC458761 ERY458760:ERY458761 FBU458760:FBU458761 FLQ458760:FLQ458761 FVM458760:FVM458761 GFI458760:GFI458761 GPE458760:GPE458761 GZA458760:GZA458761 HIW458760:HIW458761 HSS458760:HSS458761 ICO458760:ICO458761 IMK458760:IMK458761 IWG458760:IWG458761 JGC458760:JGC458761 JPY458760:JPY458761 JZU458760:JZU458761 KJQ458760:KJQ458761 KTM458760:KTM458761 LDI458760:LDI458761 LNE458760:LNE458761 LXA458760:LXA458761 MGW458760:MGW458761 MQS458760:MQS458761 NAO458760:NAO458761 NKK458760:NKK458761 NUG458760:NUG458761 OEC458760:OEC458761 ONY458760:ONY458761 OXU458760:OXU458761 PHQ458760:PHQ458761 PRM458760:PRM458761 QBI458760:QBI458761 QLE458760:QLE458761 QVA458760:QVA458761 REW458760:REW458761 ROS458760:ROS458761 RYO458760:RYO458761 SIK458760:SIK458761 SSG458760:SSG458761 TCC458760:TCC458761 TLY458760:TLY458761 TVU458760:TVU458761 UFQ458760:UFQ458761 UPM458760:UPM458761 UZI458760:UZI458761 VJE458760:VJE458761 VTA458760:VTA458761 WCW458760:WCW458761 WMS458760:WMS458761 WWO458760:WWO458761 AG524296:AG524297 KC524296:KC524297 TY524296:TY524297 ADU524296:ADU524297 ANQ524296:ANQ524297 AXM524296:AXM524297 BHI524296:BHI524297 BRE524296:BRE524297 CBA524296:CBA524297 CKW524296:CKW524297 CUS524296:CUS524297 DEO524296:DEO524297 DOK524296:DOK524297 DYG524296:DYG524297 EIC524296:EIC524297 ERY524296:ERY524297 FBU524296:FBU524297 FLQ524296:FLQ524297 FVM524296:FVM524297 GFI524296:GFI524297 GPE524296:GPE524297 GZA524296:GZA524297 HIW524296:HIW524297 HSS524296:HSS524297 ICO524296:ICO524297 IMK524296:IMK524297 IWG524296:IWG524297 JGC524296:JGC524297 JPY524296:JPY524297 JZU524296:JZU524297 KJQ524296:KJQ524297 KTM524296:KTM524297 LDI524296:LDI524297 LNE524296:LNE524297 LXA524296:LXA524297 MGW524296:MGW524297 MQS524296:MQS524297 NAO524296:NAO524297 NKK524296:NKK524297 NUG524296:NUG524297 OEC524296:OEC524297 ONY524296:ONY524297 OXU524296:OXU524297 PHQ524296:PHQ524297 PRM524296:PRM524297 QBI524296:QBI524297 QLE524296:QLE524297 QVA524296:QVA524297 REW524296:REW524297 ROS524296:ROS524297 RYO524296:RYO524297 SIK524296:SIK524297 SSG524296:SSG524297 TCC524296:TCC524297 TLY524296:TLY524297 TVU524296:TVU524297 UFQ524296:UFQ524297 UPM524296:UPM524297 UZI524296:UZI524297 VJE524296:VJE524297 VTA524296:VTA524297 WCW524296:WCW524297 WMS524296:WMS524297 WWO524296:WWO524297 AG589832:AG589833 KC589832:KC589833 TY589832:TY589833 ADU589832:ADU589833 ANQ589832:ANQ589833 AXM589832:AXM589833 BHI589832:BHI589833 BRE589832:BRE589833 CBA589832:CBA589833 CKW589832:CKW589833 CUS589832:CUS589833 DEO589832:DEO589833 DOK589832:DOK589833 DYG589832:DYG589833 EIC589832:EIC589833 ERY589832:ERY589833 FBU589832:FBU589833 FLQ589832:FLQ589833 FVM589832:FVM589833 GFI589832:GFI589833 GPE589832:GPE589833 GZA589832:GZA589833 HIW589832:HIW589833 HSS589832:HSS589833 ICO589832:ICO589833 IMK589832:IMK589833 IWG589832:IWG589833 JGC589832:JGC589833 JPY589832:JPY589833 JZU589832:JZU589833 KJQ589832:KJQ589833 KTM589832:KTM589833 LDI589832:LDI589833 LNE589832:LNE589833 LXA589832:LXA589833 MGW589832:MGW589833 MQS589832:MQS589833 NAO589832:NAO589833 NKK589832:NKK589833 NUG589832:NUG589833 OEC589832:OEC589833 ONY589832:ONY589833 OXU589832:OXU589833 PHQ589832:PHQ589833 PRM589832:PRM589833 QBI589832:QBI589833 QLE589832:QLE589833 QVA589832:QVA589833 REW589832:REW589833 ROS589832:ROS589833 RYO589832:RYO589833 SIK589832:SIK589833 SSG589832:SSG589833 TCC589832:TCC589833 TLY589832:TLY589833 TVU589832:TVU589833 UFQ589832:UFQ589833 UPM589832:UPM589833 UZI589832:UZI589833 VJE589832:VJE589833 VTA589832:VTA589833 WCW589832:WCW589833 WMS589832:WMS589833 WWO589832:WWO589833 AG655368:AG655369 KC655368:KC655369 TY655368:TY655369 ADU655368:ADU655369 ANQ655368:ANQ655369 AXM655368:AXM655369 BHI655368:BHI655369 BRE655368:BRE655369 CBA655368:CBA655369 CKW655368:CKW655369 CUS655368:CUS655369 DEO655368:DEO655369 DOK655368:DOK655369 DYG655368:DYG655369 EIC655368:EIC655369 ERY655368:ERY655369 FBU655368:FBU655369 FLQ655368:FLQ655369 FVM655368:FVM655369 GFI655368:GFI655369 GPE655368:GPE655369 GZA655368:GZA655369 HIW655368:HIW655369 HSS655368:HSS655369 ICO655368:ICO655369 IMK655368:IMK655369 IWG655368:IWG655369 JGC655368:JGC655369 JPY655368:JPY655369 JZU655368:JZU655369 KJQ655368:KJQ655369 KTM655368:KTM655369 LDI655368:LDI655369 LNE655368:LNE655369 LXA655368:LXA655369 MGW655368:MGW655369 MQS655368:MQS655369 NAO655368:NAO655369 NKK655368:NKK655369 NUG655368:NUG655369 OEC655368:OEC655369 ONY655368:ONY655369 OXU655368:OXU655369 PHQ655368:PHQ655369 PRM655368:PRM655369 QBI655368:QBI655369 QLE655368:QLE655369 QVA655368:QVA655369 REW655368:REW655369 ROS655368:ROS655369 RYO655368:RYO655369 SIK655368:SIK655369 SSG655368:SSG655369 TCC655368:TCC655369 TLY655368:TLY655369 TVU655368:TVU655369 UFQ655368:UFQ655369 UPM655368:UPM655369 UZI655368:UZI655369 VJE655368:VJE655369 VTA655368:VTA655369 WCW655368:WCW655369 WMS655368:WMS655369 WWO655368:WWO655369 AG720904:AG720905 KC720904:KC720905 TY720904:TY720905 ADU720904:ADU720905 ANQ720904:ANQ720905 AXM720904:AXM720905 BHI720904:BHI720905 BRE720904:BRE720905 CBA720904:CBA720905 CKW720904:CKW720905 CUS720904:CUS720905 DEO720904:DEO720905 DOK720904:DOK720905 DYG720904:DYG720905 EIC720904:EIC720905 ERY720904:ERY720905 FBU720904:FBU720905 FLQ720904:FLQ720905 FVM720904:FVM720905 GFI720904:GFI720905 GPE720904:GPE720905 GZA720904:GZA720905 HIW720904:HIW720905 HSS720904:HSS720905 ICO720904:ICO720905 IMK720904:IMK720905 IWG720904:IWG720905 JGC720904:JGC720905 JPY720904:JPY720905 JZU720904:JZU720905 KJQ720904:KJQ720905 KTM720904:KTM720905 LDI720904:LDI720905 LNE720904:LNE720905 LXA720904:LXA720905 MGW720904:MGW720905 MQS720904:MQS720905 NAO720904:NAO720905 NKK720904:NKK720905 NUG720904:NUG720905 OEC720904:OEC720905 ONY720904:ONY720905 OXU720904:OXU720905 PHQ720904:PHQ720905 PRM720904:PRM720905 QBI720904:QBI720905 QLE720904:QLE720905 QVA720904:QVA720905 REW720904:REW720905 ROS720904:ROS720905 RYO720904:RYO720905 SIK720904:SIK720905 SSG720904:SSG720905 TCC720904:TCC720905 TLY720904:TLY720905 TVU720904:TVU720905 UFQ720904:UFQ720905 UPM720904:UPM720905 UZI720904:UZI720905 VJE720904:VJE720905 VTA720904:VTA720905 WCW720904:WCW720905 WMS720904:WMS720905 WWO720904:WWO720905 AG786440:AG786441 KC786440:KC786441 TY786440:TY786441 ADU786440:ADU786441 ANQ786440:ANQ786441 AXM786440:AXM786441 BHI786440:BHI786441 BRE786440:BRE786441 CBA786440:CBA786441 CKW786440:CKW786441 CUS786440:CUS786441 DEO786440:DEO786441 DOK786440:DOK786441 DYG786440:DYG786441 EIC786440:EIC786441 ERY786440:ERY786441 FBU786440:FBU786441 FLQ786440:FLQ786441 FVM786440:FVM786441 GFI786440:GFI786441 GPE786440:GPE786441 GZA786440:GZA786441 HIW786440:HIW786441 HSS786440:HSS786441 ICO786440:ICO786441 IMK786440:IMK786441 IWG786440:IWG786441 JGC786440:JGC786441 JPY786440:JPY786441 JZU786440:JZU786441 KJQ786440:KJQ786441 KTM786440:KTM786441 LDI786440:LDI786441 LNE786440:LNE786441 LXA786440:LXA786441 MGW786440:MGW786441 MQS786440:MQS786441 NAO786440:NAO786441 NKK786440:NKK786441 NUG786440:NUG786441 OEC786440:OEC786441 ONY786440:ONY786441 OXU786440:OXU786441 PHQ786440:PHQ786441 PRM786440:PRM786441 QBI786440:QBI786441 QLE786440:QLE786441 QVA786440:QVA786441 REW786440:REW786441 ROS786440:ROS786441 RYO786440:RYO786441 SIK786440:SIK786441 SSG786440:SSG786441 TCC786440:TCC786441 TLY786440:TLY786441 TVU786440:TVU786441 UFQ786440:UFQ786441 UPM786440:UPM786441 UZI786440:UZI786441 VJE786440:VJE786441 VTA786440:VTA786441 WCW786440:WCW786441 WMS786440:WMS786441 WWO786440:WWO786441 AG851976:AG851977 KC851976:KC851977 TY851976:TY851977 ADU851976:ADU851977 ANQ851976:ANQ851977 AXM851976:AXM851977 BHI851976:BHI851977 BRE851976:BRE851977 CBA851976:CBA851977 CKW851976:CKW851977 CUS851976:CUS851977 DEO851976:DEO851977 DOK851976:DOK851977 DYG851976:DYG851977 EIC851976:EIC851977 ERY851976:ERY851977 FBU851976:FBU851977 FLQ851976:FLQ851977 FVM851976:FVM851977 GFI851976:GFI851977 GPE851976:GPE851977 GZA851976:GZA851977 HIW851976:HIW851977 HSS851976:HSS851977 ICO851976:ICO851977 IMK851976:IMK851977 IWG851976:IWG851977 JGC851976:JGC851977 JPY851976:JPY851977 JZU851976:JZU851977 KJQ851976:KJQ851977 KTM851976:KTM851977 LDI851976:LDI851977 LNE851976:LNE851977 LXA851976:LXA851977 MGW851976:MGW851977 MQS851976:MQS851977 NAO851976:NAO851977 NKK851976:NKK851977 NUG851976:NUG851977 OEC851976:OEC851977 ONY851976:ONY851977 OXU851976:OXU851977 PHQ851976:PHQ851977 PRM851976:PRM851977 QBI851976:QBI851977 QLE851976:QLE851977 QVA851976:QVA851977 REW851976:REW851977 ROS851976:ROS851977 RYO851976:RYO851977 SIK851976:SIK851977 SSG851976:SSG851977 TCC851976:TCC851977 TLY851976:TLY851977 TVU851976:TVU851977 UFQ851976:UFQ851977 UPM851976:UPM851977 UZI851976:UZI851977 VJE851976:VJE851977 VTA851976:VTA851977 WCW851976:WCW851977 WMS851976:WMS851977 WWO851976:WWO851977 AG917512:AG917513 KC917512:KC917513 TY917512:TY917513 ADU917512:ADU917513 ANQ917512:ANQ917513 AXM917512:AXM917513 BHI917512:BHI917513 BRE917512:BRE917513 CBA917512:CBA917513 CKW917512:CKW917513 CUS917512:CUS917513 DEO917512:DEO917513 DOK917512:DOK917513 DYG917512:DYG917513 EIC917512:EIC917513 ERY917512:ERY917513 FBU917512:FBU917513 FLQ917512:FLQ917513 FVM917512:FVM917513 GFI917512:GFI917513 GPE917512:GPE917513 GZA917512:GZA917513 HIW917512:HIW917513 HSS917512:HSS917513 ICO917512:ICO917513 IMK917512:IMK917513 IWG917512:IWG917513 JGC917512:JGC917513 JPY917512:JPY917513 JZU917512:JZU917513 KJQ917512:KJQ917513 KTM917512:KTM917513 LDI917512:LDI917513 LNE917512:LNE917513 LXA917512:LXA917513 MGW917512:MGW917513 MQS917512:MQS917513 NAO917512:NAO917513 NKK917512:NKK917513 NUG917512:NUG917513 OEC917512:OEC917513 ONY917512:ONY917513 OXU917512:OXU917513 PHQ917512:PHQ917513 PRM917512:PRM917513 QBI917512:QBI917513 QLE917512:QLE917513 QVA917512:QVA917513 REW917512:REW917513 ROS917512:ROS917513 RYO917512:RYO917513 SIK917512:SIK917513 SSG917512:SSG917513 TCC917512:TCC917513 TLY917512:TLY917513 TVU917512:TVU917513 UFQ917512:UFQ917513 UPM917512:UPM917513 UZI917512:UZI917513 VJE917512:VJE917513 VTA917512:VTA917513 WCW917512:WCW917513 WMS917512:WMS917513 WWO917512:WWO917513 AG983048:AG983049 KC983048:KC983049 TY983048:TY983049 ADU983048:ADU983049 ANQ983048:ANQ983049 AXM983048:AXM983049 BHI983048:BHI983049 BRE983048:BRE983049 CBA983048:CBA983049 CKW983048:CKW983049 CUS983048:CUS983049 DEO983048:DEO983049 DOK983048:DOK983049 DYG983048:DYG983049 EIC983048:EIC983049 ERY983048:ERY983049 FBU983048:FBU983049 FLQ983048:FLQ983049 FVM983048:FVM983049 GFI983048:GFI983049 GPE983048:GPE983049 GZA983048:GZA983049 HIW983048:HIW983049 HSS983048:HSS983049 ICO983048:ICO983049 IMK983048:IMK983049 IWG983048:IWG983049 JGC983048:JGC983049 JPY983048:JPY983049 JZU983048:JZU983049 KJQ983048:KJQ983049 KTM983048:KTM983049 LDI983048:LDI983049 LNE983048:LNE983049 LXA983048:LXA983049 MGW983048:MGW983049 MQS983048:MQS983049 NAO983048:NAO983049 NKK983048:NKK983049 NUG983048:NUG983049 OEC983048:OEC983049 ONY983048:ONY983049 OXU983048:OXU983049 PHQ983048:PHQ983049 PRM983048:PRM983049 QBI983048:QBI983049 QLE983048:QLE983049 QVA983048:QVA983049 REW983048:REW983049 ROS983048:ROS983049 RYO983048:RYO983049 SIK983048:SIK983049 SSG983048:SSG983049 TCC983048:TCC983049 TLY983048:TLY983049 TVU983048:TVU983049 UFQ983048:UFQ983049 UPM983048:UPM983049 UZI983048:UZI983049 VJE983048:VJE983049 VTA983048:VTA983049 WCW983048:WCW983049 WMS983048:WMS983049 WWO983048:WWO983049 WMQ983112 JE72:JE79 TA72:TA79 ACW72:ACW79 AMS72:AMS79 AWO72:AWO79 BGK72:BGK79 BQG72:BQG79 CAC72:CAC79 CJY72:CJY79 CTU72:CTU79 DDQ72:DDQ79 DNM72:DNM79 DXI72:DXI79 EHE72:EHE79 ERA72:ERA79 FAW72:FAW79 FKS72:FKS79 FUO72:FUO79 GEK72:GEK79 GOG72:GOG79 GYC72:GYC79 HHY72:HHY79 HRU72:HRU79 IBQ72:IBQ79 ILM72:ILM79 IVI72:IVI79 JFE72:JFE79 JPA72:JPA79 JYW72:JYW79 KIS72:KIS79 KSO72:KSO79 LCK72:LCK79 LMG72:LMG79 LWC72:LWC79 MFY72:MFY79 MPU72:MPU79 MZQ72:MZQ79 NJM72:NJM79 NTI72:NTI79 ODE72:ODE79 ONA72:ONA79 OWW72:OWW79 PGS72:PGS79 PQO72:PQO79 QAK72:QAK79 QKG72:QKG79 QUC72:QUC79 RDY72:RDY79 RNU72:RNU79 RXQ72:RXQ79 SHM72:SHM79 SRI72:SRI79 TBE72:TBE79 TLA72:TLA79 TUW72:TUW79 UES72:UES79 UOO72:UOO79 UYK72:UYK79 VIG72:VIG79 VSC72:VSC79 WBY72:WBY79 WLU72:WLU79 WVQ72:WVQ79 I65608:I65615 JE65608:JE65615 TA65608:TA65615 ACW65608:ACW65615 AMS65608:AMS65615 AWO65608:AWO65615 BGK65608:BGK65615 BQG65608:BQG65615 CAC65608:CAC65615 CJY65608:CJY65615 CTU65608:CTU65615 DDQ65608:DDQ65615 DNM65608:DNM65615 DXI65608:DXI65615 EHE65608:EHE65615 ERA65608:ERA65615 FAW65608:FAW65615 FKS65608:FKS65615 FUO65608:FUO65615 GEK65608:GEK65615 GOG65608:GOG65615 GYC65608:GYC65615 HHY65608:HHY65615 HRU65608:HRU65615 IBQ65608:IBQ65615 ILM65608:ILM65615 IVI65608:IVI65615 JFE65608:JFE65615 JPA65608:JPA65615 JYW65608:JYW65615 KIS65608:KIS65615 KSO65608:KSO65615 LCK65608:LCK65615 LMG65608:LMG65615 LWC65608:LWC65615 MFY65608:MFY65615 MPU65608:MPU65615 MZQ65608:MZQ65615 NJM65608:NJM65615 NTI65608:NTI65615 ODE65608:ODE65615 ONA65608:ONA65615 OWW65608:OWW65615 PGS65608:PGS65615 PQO65608:PQO65615 QAK65608:QAK65615 QKG65608:QKG65615 QUC65608:QUC65615 RDY65608:RDY65615 RNU65608:RNU65615 RXQ65608:RXQ65615 SHM65608:SHM65615 SRI65608:SRI65615 TBE65608:TBE65615 TLA65608:TLA65615 TUW65608:TUW65615 UES65608:UES65615 UOO65608:UOO65615 UYK65608:UYK65615 VIG65608:VIG65615 VSC65608:VSC65615 WBY65608:WBY65615 WLU65608:WLU65615 WVQ65608:WVQ65615 I131144:I131151 JE131144:JE131151 TA131144:TA131151 ACW131144:ACW131151 AMS131144:AMS131151 AWO131144:AWO131151 BGK131144:BGK131151 BQG131144:BQG131151 CAC131144:CAC131151 CJY131144:CJY131151 CTU131144:CTU131151 DDQ131144:DDQ131151 DNM131144:DNM131151 DXI131144:DXI131151 EHE131144:EHE131151 ERA131144:ERA131151 FAW131144:FAW131151 FKS131144:FKS131151 FUO131144:FUO131151 GEK131144:GEK131151 GOG131144:GOG131151 GYC131144:GYC131151 HHY131144:HHY131151 HRU131144:HRU131151 IBQ131144:IBQ131151 ILM131144:ILM131151 IVI131144:IVI131151 JFE131144:JFE131151 JPA131144:JPA131151 JYW131144:JYW131151 KIS131144:KIS131151 KSO131144:KSO131151 LCK131144:LCK131151 LMG131144:LMG131151 LWC131144:LWC131151 MFY131144:MFY131151 MPU131144:MPU131151 MZQ131144:MZQ131151 NJM131144:NJM131151 NTI131144:NTI131151 ODE131144:ODE131151 ONA131144:ONA131151 OWW131144:OWW131151 PGS131144:PGS131151 PQO131144:PQO131151 QAK131144:QAK131151 QKG131144:QKG131151 QUC131144:QUC131151 RDY131144:RDY131151 RNU131144:RNU131151 RXQ131144:RXQ131151 SHM131144:SHM131151 SRI131144:SRI131151 TBE131144:TBE131151 TLA131144:TLA131151 TUW131144:TUW131151 UES131144:UES131151 UOO131144:UOO131151 UYK131144:UYK131151 VIG131144:VIG131151 VSC131144:VSC131151 WBY131144:WBY131151 WLU131144:WLU131151 WVQ131144:WVQ131151 I196680:I196687 JE196680:JE196687 TA196680:TA196687 ACW196680:ACW196687 AMS196680:AMS196687 AWO196680:AWO196687 BGK196680:BGK196687 BQG196680:BQG196687 CAC196680:CAC196687 CJY196680:CJY196687 CTU196680:CTU196687 DDQ196680:DDQ196687 DNM196680:DNM196687 DXI196680:DXI196687 EHE196680:EHE196687 ERA196680:ERA196687 FAW196680:FAW196687 FKS196680:FKS196687 FUO196680:FUO196687 GEK196680:GEK196687 GOG196680:GOG196687 GYC196680:GYC196687 HHY196680:HHY196687 HRU196680:HRU196687 IBQ196680:IBQ196687 ILM196680:ILM196687 IVI196680:IVI196687 JFE196680:JFE196687 JPA196680:JPA196687 JYW196680:JYW196687 KIS196680:KIS196687 KSO196680:KSO196687 LCK196680:LCK196687 LMG196680:LMG196687 LWC196680:LWC196687 MFY196680:MFY196687 MPU196680:MPU196687 MZQ196680:MZQ196687 NJM196680:NJM196687 NTI196680:NTI196687 ODE196680:ODE196687 ONA196680:ONA196687 OWW196680:OWW196687 PGS196680:PGS196687 PQO196680:PQO196687 QAK196680:QAK196687 QKG196680:QKG196687 QUC196680:QUC196687 RDY196680:RDY196687 RNU196680:RNU196687 RXQ196680:RXQ196687 SHM196680:SHM196687 SRI196680:SRI196687 TBE196680:TBE196687 TLA196680:TLA196687 TUW196680:TUW196687 UES196680:UES196687 UOO196680:UOO196687 UYK196680:UYK196687 VIG196680:VIG196687 VSC196680:VSC196687 WBY196680:WBY196687 WLU196680:WLU196687 WVQ196680:WVQ196687 I262216:I262223 JE262216:JE262223 TA262216:TA262223 ACW262216:ACW262223 AMS262216:AMS262223 AWO262216:AWO262223 BGK262216:BGK262223 BQG262216:BQG262223 CAC262216:CAC262223 CJY262216:CJY262223 CTU262216:CTU262223 DDQ262216:DDQ262223 DNM262216:DNM262223 DXI262216:DXI262223 EHE262216:EHE262223 ERA262216:ERA262223 FAW262216:FAW262223 FKS262216:FKS262223 FUO262216:FUO262223 GEK262216:GEK262223 GOG262216:GOG262223 GYC262216:GYC262223 HHY262216:HHY262223 HRU262216:HRU262223 IBQ262216:IBQ262223 ILM262216:ILM262223 IVI262216:IVI262223 JFE262216:JFE262223 JPA262216:JPA262223 JYW262216:JYW262223 KIS262216:KIS262223 KSO262216:KSO262223 LCK262216:LCK262223 LMG262216:LMG262223 LWC262216:LWC262223 MFY262216:MFY262223 MPU262216:MPU262223 MZQ262216:MZQ262223 NJM262216:NJM262223 NTI262216:NTI262223 ODE262216:ODE262223 ONA262216:ONA262223 OWW262216:OWW262223 PGS262216:PGS262223 PQO262216:PQO262223 QAK262216:QAK262223 QKG262216:QKG262223 QUC262216:QUC262223 RDY262216:RDY262223 RNU262216:RNU262223 RXQ262216:RXQ262223 SHM262216:SHM262223 SRI262216:SRI262223 TBE262216:TBE262223 TLA262216:TLA262223 TUW262216:TUW262223 UES262216:UES262223 UOO262216:UOO262223 UYK262216:UYK262223 VIG262216:VIG262223 VSC262216:VSC262223 WBY262216:WBY262223 WLU262216:WLU262223 WVQ262216:WVQ262223 I327752:I327759 JE327752:JE327759 TA327752:TA327759 ACW327752:ACW327759 AMS327752:AMS327759 AWO327752:AWO327759 BGK327752:BGK327759 BQG327752:BQG327759 CAC327752:CAC327759 CJY327752:CJY327759 CTU327752:CTU327759 DDQ327752:DDQ327759 DNM327752:DNM327759 DXI327752:DXI327759 EHE327752:EHE327759 ERA327752:ERA327759 FAW327752:FAW327759 FKS327752:FKS327759 FUO327752:FUO327759 GEK327752:GEK327759 GOG327752:GOG327759 GYC327752:GYC327759 HHY327752:HHY327759 HRU327752:HRU327759 IBQ327752:IBQ327759 ILM327752:ILM327759 IVI327752:IVI327759 JFE327752:JFE327759 JPA327752:JPA327759 JYW327752:JYW327759 KIS327752:KIS327759 KSO327752:KSO327759 LCK327752:LCK327759 LMG327752:LMG327759 LWC327752:LWC327759 MFY327752:MFY327759 MPU327752:MPU327759 MZQ327752:MZQ327759 NJM327752:NJM327759 NTI327752:NTI327759 ODE327752:ODE327759 ONA327752:ONA327759 OWW327752:OWW327759 PGS327752:PGS327759 PQO327752:PQO327759 QAK327752:QAK327759 QKG327752:QKG327759 QUC327752:QUC327759 RDY327752:RDY327759 RNU327752:RNU327759 RXQ327752:RXQ327759 SHM327752:SHM327759 SRI327752:SRI327759 TBE327752:TBE327759 TLA327752:TLA327759 TUW327752:TUW327759 UES327752:UES327759 UOO327752:UOO327759 UYK327752:UYK327759 VIG327752:VIG327759 VSC327752:VSC327759 WBY327752:WBY327759 WLU327752:WLU327759 WVQ327752:WVQ327759 I393288:I393295 JE393288:JE393295 TA393288:TA393295 ACW393288:ACW393295 AMS393288:AMS393295 AWO393288:AWO393295 BGK393288:BGK393295 BQG393288:BQG393295 CAC393288:CAC393295 CJY393288:CJY393295 CTU393288:CTU393295 DDQ393288:DDQ393295 DNM393288:DNM393295 DXI393288:DXI393295 EHE393288:EHE393295 ERA393288:ERA393295 FAW393288:FAW393295 FKS393288:FKS393295 FUO393288:FUO393295 GEK393288:GEK393295 GOG393288:GOG393295 GYC393288:GYC393295 HHY393288:HHY393295 HRU393288:HRU393295 IBQ393288:IBQ393295 ILM393288:ILM393295 IVI393288:IVI393295 JFE393288:JFE393295 JPA393288:JPA393295 JYW393288:JYW393295 KIS393288:KIS393295 KSO393288:KSO393295 LCK393288:LCK393295 LMG393288:LMG393295 LWC393288:LWC393295 MFY393288:MFY393295 MPU393288:MPU393295 MZQ393288:MZQ393295 NJM393288:NJM393295 NTI393288:NTI393295 ODE393288:ODE393295 ONA393288:ONA393295 OWW393288:OWW393295 PGS393288:PGS393295 PQO393288:PQO393295 QAK393288:QAK393295 QKG393288:QKG393295 QUC393288:QUC393295 RDY393288:RDY393295 RNU393288:RNU393295 RXQ393288:RXQ393295 SHM393288:SHM393295 SRI393288:SRI393295 TBE393288:TBE393295 TLA393288:TLA393295 TUW393288:TUW393295 UES393288:UES393295 UOO393288:UOO393295 UYK393288:UYK393295 VIG393288:VIG393295 VSC393288:VSC393295 WBY393288:WBY393295 WLU393288:WLU393295 WVQ393288:WVQ393295 I458824:I458831 JE458824:JE458831 TA458824:TA458831 ACW458824:ACW458831 AMS458824:AMS458831 AWO458824:AWO458831 BGK458824:BGK458831 BQG458824:BQG458831 CAC458824:CAC458831 CJY458824:CJY458831 CTU458824:CTU458831 DDQ458824:DDQ458831 DNM458824:DNM458831 DXI458824:DXI458831 EHE458824:EHE458831 ERA458824:ERA458831 FAW458824:FAW458831 FKS458824:FKS458831 FUO458824:FUO458831 GEK458824:GEK458831 GOG458824:GOG458831 GYC458824:GYC458831 HHY458824:HHY458831 HRU458824:HRU458831 IBQ458824:IBQ458831 ILM458824:ILM458831 IVI458824:IVI458831 JFE458824:JFE458831 JPA458824:JPA458831 JYW458824:JYW458831 KIS458824:KIS458831 KSO458824:KSO458831 LCK458824:LCK458831 LMG458824:LMG458831 LWC458824:LWC458831 MFY458824:MFY458831 MPU458824:MPU458831 MZQ458824:MZQ458831 NJM458824:NJM458831 NTI458824:NTI458831 ODE458824:ODE458831 ONA458824:ONA458831 OWW458824:OWW458831 PGS458824:PGS458831 PQO458824:PQO458831 QAK458824:QAK458831 QKG458824:QKG458831 QUC458824:QUC458831 RDY458824:RDY458831 RNU458824:RNU458831 RXQ458824:RXQ458831 SHM458824:SHM458831 SRI458824:SRI458831 TBE458824:TBE458831 TLA458824:TLA458831 TUW458824:TUW458831 UES458824:UES458831 UOO458824:UOO458831 UYK458824:UYK458831 VIG458824:VIG458831 VSC458824:VSC458831 WBY458824:WBY458831 WLU458824:WLU458831 WVQ458824:WVQ458831 I524360:I524367 JE524360:JE524367 TA524360:TA524367 ACW524360:ACW524367 AMS524360:AMS524367 AWO524360:AWO524367 BGK524360:BGK524367 BQG524360:BQG524367 CAC524360:CAC524367 CJY524360:CJY524367 CTU524360:CTU524367 DDQ524360:DDQ524367 DNM524360:DNM524367 DXI524360:DXI524367 EHE524360:EHE524367 ERA524360:ERA524367 FAW524360:FAW524367 FKS524360:FKS524367 FUO524360:FUO524367 GEK524360:GEK524367 GOG524360:GOG524367 GYC524360:GYC524367 HHY524360:HHY524367 HRU524360:HRU524367 IBQ524360:IBQ524367 ILM524360:ILM524367 IVI524360:IVI524367 JFE524360:JFE524367 JPA524360:JPA524367 JYW524360:JYW524367 KIS524360:KIS524367 KSO524360:KSO524367 LCK524360:LCK524367 LMG524360:LMG524367 LWC524360:LWC524367 MFY524360:MFY524367 MPU524360:MPU524367 MZQ524360:MZQ524367 NJM524360:NJM524367 NTI524360:NTI524367 ODE524360:ODE524367 ONA524360:ONA524367 OWW524360:OWW524367 PGS524360:PGS524367 PQO524360:PQO524367 QAK524360:QAK524367 QKG524360:QKG524367 QUC524360:QUC524367 RDY524360:RDY524367 RNU524360:RNU524367 RXQ524360:RXQ524367 SHM524360:SHM524367 SRI524360:SRI524367 TBE524360:TBE524367 TLA524360:TLA524367 TUW524360:TUW524367 UES524360:UES524367 UOO524360:UOO524367 UYK524360:UYK524367 VIG524360:VIG524367 VSC524360:VSC524367 WBY524360:WBY524367 WLU524360:WLU524367 WVQ524360:WVQ524367 I589896:I589903 JE589896:JE589903 TA589896:TA589903 ACW589896:ACW589903 AMS589896:AMS589903 AWO589896:AWO589903 BGK589896:BGK589903 BQG589896:BQG589903 CAC589896:CAC589903 CJY589896:CJY589903 CTU589896:CTU589903 DDQ589896:DDQ589903 DNM589896:DNM589903 DXI589896:DXI589903 EHE589896:EHE589903 ERA589896:ERA589903 FAW589896:FAW589903 FKS589896:FKS589903 FUO589896:FUO589903 GEK589896:GEK589903 GOG589896:GOG589903 GYC589896:GYC589903 HHY589896:HHY589903 HRU589896:HRU589903 IBQ589896:IBQ589903 ILM589896:ILM589903 IVI589896:IVI589903 JFE589896:JFE589903 JPA589896:JPA589903 JYW589896:JYW589903 KIS589896:KIS589903 KSO589896:KSO589903 LCK589896:LCK589903 LMG589896:LMG589903 LWC589896:LWC589903 MFY589896:MFY589903 MPU589896:MPU589903 MZQ589896:MZQ589903 NJM589896:NJM589903 NTI589896:NTI589903 ODE589896:ODE589903 ONA589896:ONA589903 OWW589896:OWW589903 PGS589896:PGS589903 PQO589896:PQO589903 QAK589896:QAK589903 QKG589896:QKG589903 QUC589896:QUC589903 RDY589896:RDY589903 RNU589896:RNU589903 RXQ589896:RXQ589903 SHM589896:SHM589903 SRI589896:SRI589903 TBE589896:TBE589903 TLA589896:TLA589903 TUW589896:TUW589903 UES589896:UES589903 UOO589896:UOO589903 UYK589896:UYK589903 VIG589896:VIG589903 VSC589896:VSC589903 WBY589896:WBY589903 WLU589896:WLU589903 WVQ589896:WVQ589903 I655432:I655439 JE655432:JE655439 TA655432:TA655439 ACW655432:ACW655439 AMS655432:AMS655439 AWO655432:AWO655439 BGK655432:BGK655439 BQG655432:BQG655439 CAC655432:CAC655439 CJY655432:CJY655439 CTU655432:CTU655439 DDQ655432:DDQ655439 DNM655432:DNM655439 DXI655432:DXI655439 EHE655432:EHE655439 ERA655432:ERA655439 FAW655432:FAW655439 FKS655432:FKS655439 FUO655432:FUO655439 GEK655432:GEK655439 GOG655432:GOG655439 GYC655432:GYC655439 HHY655432:HHY655439 HRU655432:HRU655439 IBQ655432:IBQ655439 ILM655432:ILM655439 IVI655432:IVI655439 JFE655432:JFE655439 JPA655432:JPA655439 JYW655432:JYW655439 KIS655432:KIS655439 KSO655432:KSO655439 LCK655432:LCK655439 LMG655432:LMG655439 LWC655432:LWC655439 MFY655432:MFY655439 MPU655432:MPU655439 MZQ655432:MZQ655439 NJM655432:NJM655439 NTI655432:NTI655439 ODE655432:ODE655439 ONA655432:ONA655439 OWW655432:OWW655439 PGS655432:PGS655439 PQO655432:PQO655439 QAK655432:QAK655439 QKG655432:QKG655439 QUC655432:QUC655439 RDY655432:RDY655439 RNU655432:RNU655439 RXQ655432:RXQ655439 SHM655432:SHM655439 SRI655432:SRI655439 TBE655432:TBE655439 TLA655432:TLA655439 TUW655432:TUW655439 UES655432:UES655439 UOO655432:UOO655439 UYK655432:UYK655439 VIG655432:VIG655439 VSC655432:VSC655439 WBY655432:WBY655439 WLU655432:WLU655439 WVQ655432:WVQ655439 I720968:I720975 JE720968:JE720975 TA720968:TA720975 ACW720968:ACW720975 AMS720968:AMS720975 AWO720968:AWO720975 BGK720968:BGK720975 BQG720968:BQG720975 CAC720968:CAC720975 CJY720968:CJY720975 CTU720968:CTU720975 DDQ720968:DDQ720975 DNM720968:DNM720975 DXI720968:DXI720975 EHE720968:EHE720975 ERA720968:ERA720975 FAW720968:FAW720975 FKS720968:FKS720975 FUO720968:FUO720975 GEK720968:GEK720975 GOG720968:GOG720975 GYC720968:GYC720975 HHY720968:HHY720975 HRU720968:HRU720975 IBQ720968:IBQ720975 ILM720968:ILM720975 IVI720968:IVI720975 JFE720968:JFE720975 JPA720968:JPA720975 JYW720968:JYW720975 KIS720968:KIS720975 KSO720968:KSO720975 LCK720968:LCK720975 LMG720968:LMG720975 LWC720968:LWC720975 MFY720968:MFY720975 MPU720968:MPU720975 MZQ720968:MZQ720975 NJM720968:NJM720975 NTI720968:NTI720975 ODE720968:ODE720975 ONA720968:ONA720975 OWW720968:OWW720975 PGS720968:PGS720975 PQO720968:PQO720975 QAK720968:QAK720975 QKG720968:QKG720975 QUC720968:QUC720975 RDY720968:RDY720975 RNU720968:RNU720975 RXQ720968:RXQ720975 SHM720968:SHM720975 SRI720968:SRI720975 TBE720968:TBE720975 TLA720968:TLA720975 TUW720968:TUW720975 UES720968:UES720975 UOO720968:UOO720975 UYK720968:UYK720975 VIG720968:VIG720975 VSC720968:VSC720975 WBY720968:WBY720975 WLU720968:WLU720975 WVQ720968:WVQ720975 I786504:I786511 JE786504:JE786511 TA786504:TA786511 ACW786504:ACW786511 AMS786504:AMS786511 AWO786504:AWO786511 BGK786504:BGK786511 BQG786504:BQG786511 CAC786504:CAC786511 CJY786504:CJY786511 CTU786504:CTU786511 DDQ786504:DDQ786511 DNM786504:DNM786511 DXI786504:DXI786511 EHE786504:EHE786511 ERA786504:ERA786511 FAW786504:FAW786511 FKS786504:FKS786511 FUO786504:FUO786511 GEK786504:GEK786511 GOG786504:GOG786511 GYC786504:GYC786511 HHY786504:HHY786511 HRU786504:HRU786511 IBQ786504:IBQ786511 ILM786504:ILM786511 IVI786504:IVI786511 JFE786504:JFE786511 JPA786504:JPA786511 JYW786504:JYW786511 KIS786504:KIS786511 KSO786504:KSO786511 LCK786504:LCK786511 LMG786504:LMG786511 LWC786504:LWC786511 MFY786504:MFY786511 MPU786504:MPU786511 MZQ786504:MZQ786511 NJM786504:NJM786511 NTI786504:NTI786511 ODE786504:ODE786511 ONA786504:ONA786511 OWW786504:OWW786511 PGS786504:PGS786511 PQO786504:PQO786511 QAK786504:QAK786511 QKG786504:QKG786511 QUC786504:QUC786511 RDY786504:RDY786511 RNU786504:RNU786511 RXQ786504:RXQ786511 SHM786504:SHM786511 SRI786504:SRI786511 TBE786504:TBE786511 TLA786504:TLA786511 TUW786504:TUW786511 UES786504:UES786511 UOO786504:UOO786511 UYK786504:UYK786511 VIG786504:VIG786511 VSC786504:VSC786511 WBY786504:WBY786511 WLU786504:WLU786511 WVQ786504:WVQ786511 I852040:I852047 JE852040:JE852047 TA852040:TA852047 ACW852040:ACW852047 AMS852040:AMS852047 AWO852040:AWO852047 BGK852040:BGK852047 BQG852040:BQG852047 CAC852040:CAC852047 CJY852040:CJY852047 CTU852040:CTU852047 DDQ852040:DDQ852047 DNM852040:DNM852047 DXI852040:DXI852047 EHE852040:EHE852047 ERA852040:ERA852047 FAW852040:FAW852047 FKS852040:FKS852047 FUO852040:FUO852047 GEK852040:GEK852047 GOG852040:GOG852047 GYC852040:GYC852047 HHY852040:HHY852047 HRU852040:HRU852047 IBQ852040:IBQ852047 ILM852040:ILM852047 IVI852040:IVI852047 JFE852040:JFE852047 JPA852040:JPA852047 JYW852040:JYW852047 KIS852040:KIS852047 KSO852040:KSO852047 LCK852040:LCK852047 LMG852040:LMG852047 LWC852040:LWC852047 MFY852040:MFY852047 MPU852040:MPU852047 MZQ852040:MZQ852047 NJM852040:NJM852047 NTI852040:NTI852047 ODE852040:ODE852047 ONA852040:ONA852047 OWW852040:OWW852047 PGS852040:PGS852047 PQO852040:PQO852047 QAK852040:QAK852047 QKG852040:QKG852047 QUC852040:QUC852047 RDY852040:RDY852047 RNU852040:RNU852047 RXQ852040:RXQ852047 SHM852040:SHM852047 SRI852040:SRI852047 TBE852040:TBE852047 TLA852040:TLA852047 TUW852040:TUW852047 UES852040:UES852047 UOO852040:UOO852047 UYK852040:UYK852047 VIG852040:VIG852047 VSC852040:VSC852047 WBY852040:WBY852047 WLU852040:WLU852047 WVQ852040:WVQ852047 I917576:I917583 JE917576:JE917583 TA917576:TA917583 ACW917576:ACW917583 AMS917576:AMS917583 AWO917576:AWO917583 BGK917576:BGK917583 BQG917576:BQG917583 CAC917576:CAC917583 CJY917576:CJY917583 CTU917576:CTU917583 DDQ917576:DDQ917583 DNM917576:DNM917583 DXI917576:DXI917583 EHE917576:EHE917583 ERA917576:ERA917583 FAW917576:FAW917583 FKS917576:FKS917583 FUO917576:FUO917583 GEK917576:GEK917583 GOG917576:GOG917583 GYC917576:GYC917583 HHY917576:HHY917583 HRU917576:HRU917583 IBQ917576:IBQ917583 ILM917576:ILM917583 IVI917576:IVI917583 JFE917576:JFE917583 JPA917576:JPA917583 JYW917576:JYW917583 KIS917576:KIS917583 KSO917576:KSO917583 LCK917576:LCK917583 LMG917576:LMG917583 LWC917576:LWC917583 MFY917576:MFY917583 MPU917576:MPU917583 MZQ917576:MZQ917583 NJM917576:NJM917583 NTI917576:NTI917583 ODE917576:ODE917583 ONA917576:ONA917583 OWW917576:OWW917583 PGS917576:PGS917583 PQO917576:PQO917583 QAK917576:QAK917583 QKG917576:QKG917583 QUC917576:QUC917583 RDY917576:RDY917583 RNU917576:RNU917583 RXQ917576:RXQ917583 SHM917576:SHM917583 SRI917576:SRI917583 TBE917576:TBE917583 TLA917576:TLA917583 TUW917576:TUW917583 UES917576:UES917583 UOO917576:UOO917583 UYK917576:UYK917583 VIG917576:VIG917583 VSC917576:VSC917583 WBY917576:WBY917583 WLU917576:WLU917583 WVQ917576:WVQ917583 I983112:I983119 JE983112:JE983119 TA983112:TA983119 ACW983112:ACW983119 AMS983112:AMS983119 AWO983112:AWO983119 BGK983112:BGK983119 BQG983112:BQG983119 CAC983112:CAC983119 CJY983112:CJY983119 CTU983112:CTU983119 DDQ983112:DDQ983119 DNM983112:DNM983119 DXI983112:DXI983119 EHE983112:EHE983119 ERA983112:ERA983119 FAW983112:FAW983119 FKS983112:FKS983119 FUO983112:FUO983119 GEK983112:GEK983119 GOG983112:GOG983119 GYC983112:GYC983119 HHY983112:HHY983119 HRU983112:HRU983119 IBQ983112:IBQ983119 ILM983112:ILM983119 IVI983112:IVI983119 JFE983112:JFE983119 JPA983112:JPA983119 JYW983112:JYW983119 KIS983112:KIS983119 KSO983112:KSO983119 LCK983112:LCK983119 LMG983112:LMG983119 LWC983112:LWC983119 MFY983112:MFY983119 MPU983112:MPU983119 MZQ983112:MZQ983119 NJM983112:NJM983119 NTI983112:NTI983119 ODE983112:ODE983119 ONA983112:ONA983119 OWW983112:OWW983119 PGS983112:PGS983119 PQO983112:PQO983119 QAK983112:QAK983119 QKG983112:QKG983119 QUC983112:QUC983119 RDY983112:RDY983119 RNU983112:RNU983119 RXQ983112:RXQ983119 SHM983112:SHM983119 SRI983112:SRI983119 TBE983112:TBE983119 TLA983112:TLA983119 TUW983112:TUW983119 UES983112:UES983119 UOO983112:UOO983119 UYK983112:UYK983119 VIG983112:VIG983119 VSC983112:VSC983119 WBY983112:WBY983119 WLU983112:WLU983119 WVQ983112:WVQ983119 I74:I79 KA72 TW72 ADS72 ANO72 AXK72 BHG72 BRC72 CAY72 CKU72 CUQ72 DEM72 DOI72 DYE72 EIA72 ERW72 FBS72 FLO72 FVK72 GFG72 GPC72 GYY72 HIU72 HSQ72 ICM72 IMI72 IWE72 JGA72 JPW72 JZS72 KJO72 KTK72 LDG72 LNC72 LWY72 MGU72 MQQ72 NAM72 NKI72 NUE72 OEA72 ONW72 OXS72 PHO72 PRK72 QBG72 QLC72 QUY72 REU72 ROQ72 RYM72 SII72 SSE72 TCA72 TLW72 TVS72 UFO72 UPK72 UZG72 VJC72 VSY72 WCU72 WMQ72 WWM72 AE65608 KA65608 TW65608 ADS65608 ANO65608 AXK65608 BHG65608 BRC65608 CAY65608 CKU65608 CUQ65608 DEM65608 DOI65608 DYE65608 EIA65608 ERW65608 FBS65608 FLO65608 FVK65608 GFG65608 GPC65608 GYY65608 HIU65608 HSQ65608 ICM65608 IMI65608 IWE65608 JGA65608 JPW65608 JZS65608 KJO65608 KTK65608 LDG65608 LNC65608 LWY65608 MGU65608 MQQ65608 NAM65608 NKI65608 NUE65608 OEA65608 ONW65608 OXS65608 PHO65608 PRK65608 QBG65608 QLC65608 QUY65608 REU65608 ROQ65608 RYM65608 SII65608 SSE65608 TCA65608 TLW65608 TVS65608 UFO65608 UPK65608 UZG65608 VJC65608 VSY65608 WCU65608 WMQ65608 WWM65608 AE131144 KA131144 TW131144 ADS131144 ANO131144 AXK131144 BHG131144 BRC131144 CAY131144 CKU131144 CUQ131144 DEM131144 DOI131144 DYE131144 EIA131144 ERW131144 FBS131144 FLO131144 FVK131144 GFG131144 GPC131144 GYY131144 HIU131144 HSQ131144 ICM131144 IMI131144 IWE131144 JGA131144 JPW131144 JZS131144 KJO131144 KTK131144 LDG131144 LNC131144 LWY131144 MGU131144 MQQ131144 NAM131144 NKI131144 NUE131144 OEA131144 ONW131144 OXS131144 PHO131144 PRK131144 QBG131144 QLC131144 QUY131144 REU131144 ROQ131144 RYM131144 SII131144 SSE131144 TCA131144 TLW131144 TVS131144 UFO131144 UPK131144 UZG131144 VJC131144 VSY131144 WCU131144 WMQ131144 WWM131144 AE196680 KA196680 TW196680 ADS196680 ANO196680 AXK196680 BHG196680 BRC196680 CAY196680 CKU196680 CUQ196680 DEM196680 DOI196680 DYE196680 EIA196680 ERW196680 FBS196680 FLO196680 FVK196680 GFG196680 GPC196680 GYY196680 HIU196680 HSQ196680 ICM196680 IMI196680 IWE196680 JGA196680 JPW196680 JZS196680 KJO196680 KTK196680 LDG196680 LNC196680 LWY196680 MGU196680 MQQ196680 NAM196680 NKI196680 NUE196680 OEA196680 ONW196680 OXS196680 PHO196680 PRK196680 QBG196680 QLC196680 QUY196680 REU196680 ROQ196680 RYM196680 SII196680 SSE196680 TCA196680 TLW196680 TVS196680 UFO196680 UPK196680 UZG196680 VJC196680 VSY196680 WCU196680 WMQ196680 WWM196680 AE262216 KA262216 TW262216 ADS262216 ANO262216 AXK262216 BHG262216 BRC262216 CAY262216 CKU262216 CUQ262216 DEM262216 DOI262216 DYE262216 EIA262216 ERW262216 FBS262216 FLO262216 FVK262216 GFG262216 GPC262216 GYY262216 HIU262216 HSQ262216 ICM262216 IMI262216 IWE262216 JGA262216 JPW262216 JZS262216 KJO262216 KTK262216 LDG262216 LNC262216 LWY262216 MGU262216 MQQ262216 NAM262216 NKI262216 NUE262216 OEA262216 ONW262216 OXS262216 PHO262216 PRK262216 QBG262216 QLC262216 QUY262216 REU262216 ROQ262216 RYM262216 SII262216 SSE262216 TCA262216 TLW262216 TVS262216 UFO262216 UPK262216 UZG262216 VJC262216 VSY262216 WCU262216 WMQ262216 WWM262216 AE327752 KA327752 TW327752 ADS327752 ANO327752 AXK327752 BHG327752 BRC327752 CAY327752 CKU327752 CUQ327752 DEM327752 DOI327752 DYE327752 EIA327752 ERW327752 FBS327752 FLO327752 FVK327752 GFG327752 GPC327752 GYY327752 HIU327752 HSQ327752 ICM327752 IMI327752 IWE327752 JGA327752 JPW327752 JZS327752 KJO327752 KTK327752 LDG327752 LNC327752 LWY327752 MGU327752 MQQ327752 NAM327752 NKI327752 NUE327752 OEA327752 ONW327752 OXS327752 PHO327752 PRK327752 QBG327752 QLC327752 QUY327752 REU327752 ROQ327752 RYM327752 SII327752 SSE327752 TCA327752 TLW327752 TVS327752 UFO327752 UPK327752 UZG327752 VJC327752 VSY327752 WCU327752 WMQ327752 WWM327752 AE393288 KA393288 TW393288 ADS393288 ANO393288 AXK393288 BHG393288 BRC393288 CAY393288 CKU393288 CUQ393288 DEM393288 DOI393288 DYE393288 EIA393288 ERW393288 FBS393288 FLO393288 FVK393288 GFG393288 GPC393288 GYY393288 HIU393288 HSQ393288 ICM393288 IMI393288 IWE393288 JGA393288 JPW393288 JZS393288 KJO393288 KTK393288 LDG393288 LNC393288 LWY393288 MGU393288 MQQ393288 NAM393288 NKI393288 NUE393288 OEA393288 ONW393288 OXS393288 PHO393288 PRK393288 QBG393288 QLC393288 QUY393288 REU393288 ROQ393288 RYM393288 SII393288 SSE393288 TCA393288 TLW393288 TVS393288 UFO393288 UPK393288 UZG393288 VJC393288 VSY393288 WCU393288 WMQ393288 WWM393288 AE458824 KA458824 TW458824 ADS458824 ANO458824 AXK458824 BHG458824 BRC458824 CAY458824 CKU458824 CUQ458824 DEM458824 DOI458824 DYE458824 EIA458824 ERW458824 FBS458824 FLO458824 FVK458824 GFG458824 GPC458824 GYY458824 HIU458824 HSQ458824 ICM458824 IMI458824 IWE458824 JGA458824 JPW458824 JZS458824 KJO458824 KTK458824 LDG458824 LNC458824 LWY458824 MGU458824 MQQ458824 NAM458824 NKI458824 NUE458824 OEA458824 ONW458824 OXS458824 PHO458824 PRK458824 QBG458824 QLC458824 QUY458824 REU458824 ROQ458824 RYM458824 SII458824 SSE458824 TCA458824 TLW458824 TVS458824 UFO458824 UPK458824 UZG458824 VJC458824 VSY458824 WCU458824 WMQ458824 WWM458824 AE524360 KA524360 TW524360 ADS524360 ANO524360 AXK524360 BHG524360 BRC524360 CAY524360 CKU524360 CUQ524360 DEM524360 DOI524360 DYE524360 EIA524360 ERW524360 FBS524360 FLO524360 FVK524360 GFG524360 GPC524360 GYY524360 HIU524360 HSQ524360 ICM524360 IMI524360 IWE524360 JGA524360 JPW524360 JZS524360 KJO524360 KTK524360 LDG524360 LNC524360 LWY524360 MGU524360 MQQ524360 NAM524360 NKI524360 NUE524360 OEA524360 ONW524360 OXS524360 PHO524360 PRK524360 QBG524360 QLC524360 QUY524360 REU524360 ROQ524360 RYM524360 SII524360 SSE524360 TCA524360 TLW524360 TVS524360 UFO524360 UPK524360 UZG524360 VJC524360 VSY524360 WCU524360 WMQ524360 WWM524360 AE589896 KA589896 TW589896 ADS589896 ANO589896 AXK589896 BHG589896 BRC589896 CAY589896 CKU589896 CUQ589896 DEM589896 DOI589896 DYE589896 EIA589896 ERW589896 FBS589896 FLO589896 FVK589896 GFG589896 GPC589896 GYY589896 HIU589896 HSQ589896 ICM589896 IMI589896 IWE589896 JGA589896 JPW589896 JZS589896 KJO589896 KTK589896 LDG589896 LNC589896 LWY589896 MGU589896 MQQ589896 NAM589896 NKI589896 NUE589896 OEA589896 ONW589896 OXS589896 PHO589896 PRK589896 QBG589896 QLC589896 QUY589896 REU589896 ROQ589896 RYM589896 SII589896 SSE589896 TCA589896 TLW589896 TVS589896 UFO589896 UPK589896 UZG589896 VJC589896 VSY589896 WCU589896 WMQ589896 WWM589896 AE655432 KA655432 TW655432 ADS655432 ANO655432 AXK655432 BHG655432 BRC655432 CAY655432 CKU655432 CUQ655432 DEM655432 DOI655432 DYE655432 EIA655432 ERW655432 FBS655432 FLO655432 FVK655432 GFG655432 GPC655432 GYY655432 HIU655432 HSQ655432 ICM655432 IMI655432 IWE655432 JGA655432 JPW655432 JZS655432 KJO655432 KTK655432 LDG655432 LNC655432 LWY655432 MGU655432 MQQ655432 NAM655432 NKI655432 NUE655432 OEA655432 ONW655432 OXS655432 PHO655432 PRK655432 QBG655432 QLC655432 QUY655432 REU655432 ROQ655432 RYM655432 SII655432 SSE655432 TCA655432 TLW655432 TVS655432 UFO655432 UPK655432 UZG655432 VJC655432 VSY655432 WCU655432 WMQ655432 WWM655432 AE720968 KA720968 TW720968 ADS720968 ANO720968 AXK720968 BHG720968 BRC720968 CAY720968 CKU720968 CUQ720968 DEM720968 DOI720968 DYE720968 EIA720968 ERW720968 FBS720968 FLO720968 FVK720968 GFG720968 GPC720968 GYY720968 HIU720968 HSQ720968 ICM720968 IMI720968 IWE720968 JGA720968 JPW720968 JZS720968 KJO720968 KTK720968 LDG720968 LNC720968 LWY720968 MGU720968 MQQ720968 NAM720968 NKI720968 NUE720968 OEA720968 ONW720968 OXS720968 PHO720968 PRK720968 QBG720968 QLC720968 QUY720968 REU720968 ROQ720968 RYM720968 SII720968 SSE720968 TCA720968 TLW720968 TVS720968 UFO720968 UPK720968 UZG720968 VJC720968 VSY720968 WCU720968 WMQ720968 WWM720968 AE786504 KA786504 TW786504 ADS786504 ANO786504 AXK786504 BHG786504 BRC786504 CAY786504 CKU786504 CUQ786504 DEM786504 DOI786504 DYE786504 EIA786504 ERW786504 FBS786504 FLO786504 FVK786504 GFG786504 GPC786504 GYY786504 HIU786504 HSQ786504 ICM786504 IMI786504 IWE786504 JGA786504 JPW786504 JZS786504 KJO786504 KTK786504 LDG786504 LNC786504 LWY786504 MGU786504 MQQ786504 NAM786504 NKI786504 NUE786504 OEA786504 ONW786504 OXS786504 PHO786504 PRK786504 QBG786504 QLC786504 QUY786504 REU786504 ROQ786504 RYM786504 SII786504 SSE786504 TCA786504 TLW786504 TVS786504 UFO786504 UPK786504 UZG786504 VJC786504 VSY786504 WCU786504 WMQ786504 WWM786504 AE852040 KA852040 TW852040 ADS852040 ANO852040 AXK852040 BHG852040 BRC852040 CAY852040 CKU852040 CUQ852040 DEM852040 DOI852040 DYE852040 EIA852040 ERW852040 FBS852040 FLO852040 FVK852040 GFG852040 GPC852040 GYY852040 HIU852040 HSQ852040 ICM852040 IMI852040 IWE852040 JGA852040 JPW852040 JZS852040 KJO852040 KTK852040 LDG852040 LNC852040 LWY852040 MGU852040 MQQ852040 NAM852040 NKI852040 NUE852040 OEA852040 ONW852040 OXS852040 PHO852040 PRK852040 QBG852040 QLC852040 QUY852040 REU852040 ROQ852040 RYM852040 SII852040 SSE852040 TCA852040 TLW852040 TVS852040 UFO852040 UPK852040 UZG852040 VJC852040 VSY852040 WCU852040 WMQ852040 WWM852040 AE917576 KA917576 TW917576 ADS917576 ANO917576 AXK917576 BHG917576 BRC917576 CAY917576 CKU917576 CUQ917576 DEM917576 DOI917576 DYE917576 EIA917576 ERW917576 FBS917576 FLO917576 FVK917576 GFG917576 GPC917576 GYY917576 HIU917576 HSQ917576 ICM917576 IMI917576 IWE917576 JGA917576 JPW917576 JZS917576 KJO917576 KTK917576 LDG917576 LNC917576 LWY917576 MGU917576 MQQ917576 NAM917576 NKI917576 NUE917576 OEA917576 ONW917576 OXS917576 PHO917576 PRK917576 QBG917576 QLC917576 QUY917576 REU917576 ROQ917576 RYM917576 SII917576 SSE917576 TCA917576 TLW917576 TVS917576 UFO917576 UPK917576 UZG917576 VJC917576 VSY917576 WCU917576 WMQ917576 WWM917576 AE983112 KA983112 TW983112 ADS983112 ANO983112 AXK983112 BHG983112 BRC983112 CAY983112 CKU983112 CUQ983112 DEM983112 DOI983112 DYE983112 EIA983112 ERW983112 FBS983112 FLO983112 FVK983112 GFG983112 GPC983112 GYY983112 HIU983112 HSQ983112 ICM983112 IMI983112 IWE983112 JGA983112 JPW983112 JZS983112 KJO983112 KTK983112 LDG983112 LNC983112 LWY983112 MGU983112 MQQ983112 NAM983112 NKI983112 NUE983112 OEA983112 ONW983112 OXS983112 PHO983112 PRK983112 QBG983112 QLC983112 QUY983112 REU983112 ROQ983112 RYM983112 SII983112 SSE983112 TCA983112 TLW983112 TVS983112 UFO983112 UPK983112 UZG983112 VJC983112 VSY983112 WCU983112" xr:uid="{00000000-0002-0000-0800-000006000000}">
      <formula1>0</formula1>
      <formula2>1</formula2>
    </dataValidation>
    <dataValidation type="whole" showDropDown="1" showInputMessage="1" showErrorMessage="1" errorTitle="A" error="Môže byť iba 0, 1, 2, 3" prompt="Musí byť _x000a_    iba _x000a_0, 1, 2, 3" sqref="WWL983112:WWL983119 JW8:JW9 TS8:TS9 ADO8:ADO9 ANK8:ANK9 AXG8:AXG9 BHC8:BHC9 BQY8:BQY9 CAU8:CAU9 CKQ8:CKQ9 CUM8:CUM9 DEI8:DEI9 DOE8:DOE9 DYA8:DYA9 EHW8:EHW9 ERS8:ERS9 FBO8:FBO9 FLK8:FLK9 FVG8:FVG9 GFC8:GFC9 GOY8:GOY9 GYU8:GYU9 HIQ8:HIQ9 HSM8:HSM9 ICI8:ICI9 IME8:IME9 IWA8:IWA9 JFW8:JFW9 JPS8:JPS9 JZO8:JZO9 KJK8:KJK9 KTG8:KTG9 LDC8:LDC9 LMY8:LMY9 LWU8:LWU9 MGQ8:MGQ9 MQM8:MQM9 NAI8:NAI9 NKE8:NKE9 NUA8:NUA9 ODW8:ODW9 ONS8:ONS9 OXO8:OXO9 PHK8:PHK9 PRG8:PRG9 QBC8:QBC9 QKY8:QKY9 QUU8:QUU9 REQ8:REQ9 ROM8:ROM9 RYI8:RYI9 SIE8:SIE9 SSA8:SSA9 TBW8:TBW9 TLS8:TLS9 TVO8:TVO9 UFK8:UFK9 UPG8:UPG9 UZC8:UZC9 VIY8:VIY9 VSU8:VSU9 WCQ8:WCQ9 WMM8:WMM9 WWI8:WWI9 AA65544:AA65545 JW65544:JW65545 TS65544:TS65545 ADO65544:ADO65545 ANK65544:ANK65545 AXG65544:AXG65545 BHC65544:BHC65545 BQY65544:BQY65545 CAU65544:CAU65545 CKQ65544:CKQ65545 CUM65544:CUM65545 DEI65544:DEI65545 DOE65544:DOE65545 DYA65544:DYA65545 EHW65544:EHW65545 ERS65544:ERS65545 FBO65544:FBO65545 FLK65544:FLK65545 FVG65544:FVG65545 GFC65544:GFC65545 GOY65544:GOY65545 GYU65544:GYU65545 HIQ65544:HIQ65545 HSM65544:HSM65545 ICI65544:ICI65545 IME65544:IME65545 IWA65544:IWA65545 JFW65544:JFW65545 JPS65544:JPS65545 JZO65544:JZO65545 KJK65544:KJK65545 KTG65544:KTG65545 LDC65544:LDC65545 LMY65544:LMY65545 LWU65544:LWU65545 MGQ65544:MGQ65545 MQM65544:MQM65545 NAI65544:NAI65545 NKE65544:NKE65545 NUA65544:NUA65545 ODW65544:ODW65545 ONS65544:ONS65545 OXO65544:OXO65545 PHK65544:PHK65545 PRG65544:PRG65545 QBC65544:QBC65545 QKY65544:QKY65545 QUU65544:QUU65545 REQ65544:REQ65545 ROM65544:ROM65545 RYI65544:RYI65545 SIE65544:SIE65545 SSA65544:SSA65545 TBW65544:TBW65545 TLS65544:TLS65545 TVO65544:TVO65545 UFK65544:UFK65545 UPG65544:UPG65545 UZC65544:UZC65545 VIY65544:VIY65545 VSU65544:VSU65545 WCQ65544:WCQ65545 WMM65544:WMM65545 WWI65544:WWI65545 AA131080:AA131081 JW131080:JW131081 TS131080:TS131081 ADO131080:ADO131081 ANK131080:ANK131081 AXG131080:AXG131081 BHC131080:BHC131081 BQY131080:BQY131081 CAU131080:CAU131081 CKQ131080:CKQ131081 CUM131080:CUM131081 DEI131080:DEI131081 DOE131080:DOE131081 DYA131080:DYA131081 EHW131080:EHW131081 ERS131080:ERS131081 FBO131080:FBO131081 FLK131080:FLK131081 FVG131080:FVG131081 GFC131080:GFC131081 GOY131080:GOY131081 GYU131080:GYU131081 HIQ131080:HIQ131081 HSM131080:HSM131081 ICI131080:ICI131081 IME131080:IME131081 IWA131080:IWA131081 JFW131080:JFW131081 JPS131080:JPS131081 JZO131080:JZO131081 KJK131080:KJK131081 KTG131080:KTG131081 LDC131080:LDC131081 LMY131080:LMY131081 LWU131080:LWU131081 MGQ131080:MGQ131081 MQM131080:MQM131081 NAI131080:NAI131081 NKE131080:NKE131081 NUA131080:NUA131081 ODW131080:ODW131081 ONS131080:ONS131081 OXO131080:OXO131081 PHK131080:PHK131081 PRG131080:PRG131081 QBC131080:QBC131081 QKY131080:QKY131081 QUU131080:QUU131081 REQ131080:REQ131081 ROM131080:ROM131081 RYI131080:RYI131081 SIE131080:SIE131081 SSA131080:SSA131081 TBW131080:TBW131081 TLS131080:TLS131081 TVO131080:TVO131081 UFK131080:UFK131081 UPG131080:UPG131081 UZC131080:UZC131081 VIY131080:VIY131081 VSU131080:VSU131081 WCQ131080:WCQ131081 WMM131080:WMM131081 WWI131080:WWI131081 AA196616:AA196617 JW196616:JW196617 TS196616:TS196617 ADO196616:ADO196617 ANK196616:ANK196617 AXG196616:AXG196617 BHC196616:BHC196617 BQY196616:BQY196617 CAU196616:CAU196617 CKQ196616:CKQ196617 CUM196616:CUM196617 DEI196616:DEI196617 DOE196616:DOE196617 DYA196616:DYA196617 EHW196616:EHW196617 ERS196616:ERS196617 FBO196616:FBO196617 FLK196616:FLK196617 FVG196616:FVG196617 GFC196616:GFC196617 GOY196616:GOY196617 GYU196616:GYU196617 HIQ196616:HIQ196617 HSM196616:HSM196617 ICI196616:ICI196617 IME196616:IME196617 IWA196616:IWA196617 JFW196616:JFW196617 JPS196616:JPS196617 JZO196616:JZO196617 KJK196616:KJK196617 KTG196616:KTG196617 LDC196616:LDC196617 LMY196616:LMY196617 LWU196616:LWU196617 MGQ196616:MGQ196617 MQM196616:MQM196617 NAI196616:NAI196617 NKE196616:NKE196617 NUA196616:NUA196617 ODW196616:ODW196617 ONS196616:ONS196617 OXO196616:OXO196617 PHK196616:PHK196617 PRG196616:PRG196617 QBC196616:QBC196617 QKY196616:QKY196617 QUU196616:QUU196617 REQ196616:REQ196617 ROM196616:ROM196617 RYI196616:RYI196617 SIE196616:SIE196617 SSA196616:SSA196617 TBW196616:TBW196617 TLS196616:TLS196617 TVO196616:TVO196617 UFK196616:UFK196617 UPG196616:UPG196617 UZC196616:UZC196617 VIY196616:VIY196617 VSU196616:VSU196617 WCQ196616:WCQ196617 WMM196616:WMM196617 WWI196616:WWI196617 AA262152:AA262153 JW262152:JW262153 TS262152:TS262153 ADO262152:ADO262153 ANK262152:ANK262153 AXG262152:AXG262153 BHC262152:BHC262153 BQY262152:BQY262153 CAU262152:CAU262153 CKQ262152:CKQ262153 CUM262152:CUM262153 DEI262152:DEI262153 DOE262152:DOE262153 DYA262152:DYA262153 EHW262152:EHW262153 ERS262152:ERS262153 FBO262152:FBO262153 FLK262152:FLK262153 FVG262152:FVG262153 GFC262152:GFC262153 GOY262152:GOY262153 GYU262152:GYU262153 HIQ262152:HIQ262153 HSM262152:HSM262153 ICI262152:ICI262153 IME262152:IME262153 IWA262152:IWA262153 JFW262152:JFW262153 JPS262152:JPS262153 JZO262152:JZO262153 KJK262152:KJK262153 KTG262152:KTG262153 LDC262152:LDC262153 LMY262152:LMY262153 LWU262152:LWU262153 MGQ262152:MGQ262153 MQM262152:MQM262153 NAI262152:NAI262153 NKE262152:NKE262153 NUA262152:NUA262153 ODW262152:ODW262153 ONS262152:ONS262153 OXO262152:OXO262153 PHK262152:PHK262153 PRG262152:PRG262153 QBC262152:QBC262153 QKY262152:QKY262153 QUU262152:QUU262153 REQ262152:REQ262153 ROM262152:ROM262153 RYI262152:RYI262153 SIE262152:SIE262153 SSA262152:SSA262153 TBW262152:TBW262153 TLS262152:TLS262153 TVO262152:TVO262153 UFK262152:UFK262153 UPG262152:UPG262153 UZC262152:UZC262153 VIY262152:VIY262153 VSU262152:VSU262153 WCQ262152:WCQ262153 WMM262152:WMM262153 WWI262152:WWI262153 AA327688:AA327689 JW327688:JW327689 TS327688:TS327689 ADO327688:ADO327689 ANK327688:ANK327689 AXG327688:AXG327689 BHC327688:BHC327689 BQY327688:BQY327689 CAU327688:CAU327689 CKQ327688:CKQ327689 CUM327688:CUM327689 DEI327688:DEI327689 DOE327688:DOE327689 DYA327688:DYA327689 EHW327688:EHW327689 ERS327688:ERS327689 FBO327688:FBO327689 FLK327688:FLK327689 FVG327688:FVG327689 GFC327688:GFC327689 GOY327688:GOY327689 GYU327688:GYU327689 HIQ327688:HIQ327689 HSM327688:HSM327689 ICI327688:ICI327689 IME327688:IME327689 IWA327688:IWA327689 JFW327688:JFW327689 JPS327688:JPS327689 JZO327688:JZO327689 KJK327688:KJK327689 KTG327688:KTG327689 LDC327688:LDC327689 LMY327688:LMY327689 LWU327688:LWU327689 MGQ327688:MGQ327689 MQM327688:MQM327689 NAI327688:NAI327689 NKE327688:NKE327689 NUA327688:NUA327689 ODW327688:ODW327689 ONS327688:ONS327689 OXO327688:OXO327689 PHK327688:PHK327689 PRG327688:PRG327689 QBC327688:QBC327689 QKY327688:QKY327689 QUU327688:QUU327689 REQ327688:REQ327689 ROM327688:ROM327689 RYI327688:RYI327689 SIE327688:SIE327689 SSA327688:SSA327689 TBW327688:TBW327689 TLS327688:TLS327689 TVO327688:TVO327689 UFK327688:UFK327689 UPG327688:UPG327689 UZC327688:UZC327689 VIY327688:VIY327689 VSU327688:VSU327689 WCQ327688:WCQ327689 WMM327688:WMM327689 WWI327688:WWI327689 AA393224:AA393225 JW393224:JW393225 TS393224:TS393225 ADO393224:ADO393225 ANK393224:ANK393225 AXG393224:AXG393225 BHC393224:BHC393225 BQY393224:BQY393225 CAU393224:CAU393225 CKQ393224:CKQ393225 CUM393224:CUM393225 DEI393224:DEI393225 DOE393224:DOE393225 DYA393224:DYA393225 EHW393224:EHW393225 ERS393224:ERS393225 FBO393224:FBO393225 FLK393224:FLK393225 FVG393224:FVG393225 GFC393224:GFC393225 GOY393224:GOY393225 GYU393224:GYU393225 HIQ393224:HIQ393225 HSM393224:HSM393225 ICI393224:ICI393225 IME393224:IME393225 IWA393224:IWA393225 JFW393224:JFW393225 JPS393224:JPS393225 JZO393224:JZO393225 KJK393224:KJK393225 KTG393224:KTG393225 LDC393224:LDC393225 LMY393224:LMY393225 LWU393224:LWU393225 MGQ393224:MGQ393225 MQM393224:MQM393225 NAI393224:NAI393225 NKE393224:NKE393225 NUA393224:NUA393225 ODW393224:ODW393225 ONS393224:ONS393225 OXO393224:OXO393225 PHK393224:PHK393225 PRG393224:PRG393225 QBC393224:QBC393225 QKY393224:QKY393225 QUU393224:QUU393225 REQ393224:REQ393225 ROM393224:ROM393225 RYI393224:RYI393225 SIE393224:SIE393225 SSA393224:SSA393225 TBW393224:TBW393225 TLS393224:TLS393225 TVO393224:TVO393225 UFK393224:UFK393225 UPG393224:UPG393225 UZC393224:UZC393225 VIY393224:VIY393225 VSU393224:VSU393225 WCQ393224:WCQ393225 WMM393224:WMM393225 WWI393224:WWI393225 AA458760:AA458761 JW458760:JW458761 TS458760:TS458761 ADO458760:ADO458761 ANK458760:ANK458761 AXG458760:AXG458761 BHC458760:BHC458761 BQY458760:BQY458761 CAU458760:CAU458761 CKQ458760:CKQ458761 CUM458760:CUM458761 DEI458760:DEI458761 DOE458760:DOE458761 DYA458760:DYA458761 EHW458760:EHW458761 ERS458760:ERS458761 FBO458760:FBO458761 FLK458760:FLK458761 FVG458760:FVG458761 GFC458760:GFC458761 GOY458760:GOY458761 GYU458760:GYU458761 HIQ458760:HIQ458761 HSM458760:HSM458761 ICI458760:ICI458761 IME458760:IME458761 IWA458760:IWA458761 JFW458760:JFW458761 JPS458760:JPS458761 JZO458760:JZO458761 KJK458760:KJK458761 KTG458760:KTG458761 LDC458760:LDC458761 LMY458760:LMY458761 LWU458760:LWU458761 MGQ458760:MGQ458761 MQM458760:MQM458761 NAI458760:NAI458761 NKE458760:NKE458761 NUA458760:NUA458761 ODW458760:ODW458761 ONS458760:ONS458761 OXO458760:OXO458761 PHK458760:PHK458761 PRG458760:PRG458761 QBC458760:QBC458761 QKY458760:QKY458761 QUU458760:QUU458761 REQ458760:REQ458761 ROM458760:ROM458761 RYI458760:RYI458761 SIE458760:SIE458761 SSA458760:SSA458761 TBW458760:TBW458761 TLS458760:TLS458761 TVO458760:TVO458761 UFK458760:UFK458761 UPG458760:UPG458761 UZC458760:UZC458761 VIY458760:VIY458761 VSU458760:VSU458761 WCQ458760:WCQ458761 WMM458760:WMM458761 WWI458760:WWI458761 AA524296:AA524297 JW524296:JW524297 TS524296:TS524297 ADO524296:ADO524297 ANK524296:ANK524297 AXG524296:AXG524297 BHC524296:BHC524297 BQY524296:BQY524297 CAU524296:CAU524297 CKQ524296:CKQ524297 CUM524296:CUM524297 DEI524296:DEI524297 DOE524296:DOE524297 DYA524296:DYA524297 EHW524296:EHW524297 ERS524296:ERS524297 FBO524296:FBO524297 FLK524296:FLK524297 FVG524296:FVG524297 GFC524296:GFC524297 GOY524296:GOY524297 GYU524296:GYU524297 HIQ524296:HIQ524297 HSM524296:HSM524297 ICI524296:ICI524297 IME524296:IME524297 IWA524296:IWA524297 JFW524296:JFW524297 JPS524296:JPS524297 JZO524296:JZO524297 KJK524296:KJK524297 KTG524296:KTG524297 LDC524296:LDC524297 LMY524296:LMY524297 LWU524296:LWU524297 MGQ524296:MGQ524297 MQM524296:MQM524297 NAI524296:NAI524297 NKE524296:NKE524297 NUA524296:NUA524297 ODW524296:ODW524297 ONS524296:ONS524297 OXO524296:OXO524297 PHK524296:PHK524297 PRG524296:PRG524297 QBC524296:QBC524297 QKY524296:QKY524297 QUU524296:QUU524297 REQ524296:REQ524297 ROM524296:ROM524297 RYI524296:RYI524297 SIE524296:SIE524297 SSA524296:SSA524297 TBW524296:TBW524297 TLS524296:TLS524297 TVO524296:TVO524297 UFK524296:UFK524297 UPG524296:UPG524297 UZC524296:UZC524297 VIY524296:VIY524297 VSU524296:VSU524297 WCQ524296:WCQ524297 WMM524296:WMM524297 WWI524296:WWI524297 AA589832:AA589833 JW589832:JW589833 TS589832:TS589833 ADO589832:ADO589833 ANK589832:ANK589833 AXG589832:AXG589833 BHC589832:BHC589833 BQY589832:BQY589833 CAU589832:CAU589833 CKQ589832:CKQ589833 CUM589832:CUM589833 DEI589832:DEI589833 DOE589832:DOE589833 DYA589832:DYA589833 EHW589832:EHW589833 ERS589832:ERS589833 FBO589832:FBO589833 FLK589832:FLK589833 FVG589832:FVG589833 GFC589832:GFC589833 GOY589832:GOY589833 GYU589832:GYU589833 HIQ589832:HIQ589833 HSM589832:HSM589833 ICI589832:ICI589833 IME589832:IME589833 IWA589832:IWA589833 JFW589832:JFW589833 JPS589832:JPS589833 JZO589832:JZO589833 KJK589832:KJK589833 KTG589832:KTG589833 LDC589832:LDC589833 LMY589832:LMY589833 LWU589832:LWU589833 MGQ589832:MGQ589833 MQM589832:MQM589833 NAI589832:NAI589833 NKE589832:NKE589833 NUA589832:NUA589833 ODW589832:ODW589833 ONS589832:ONS589833 OXO589832:OXO589833 PHK589832:PHK589833 PRG589832:PRG589833 QBC589832:QBC589833 QKY589832:QKY589833 QUU589832:QUU589833 REQ589832:REQ589833 ROM589832:ROM589833 RYI589832:RYI589833 SIE589832:SIE589833 SSA589832:SSA589833 TBW589832:TBW589833 TLS589832:TLS589833 TVO589832:TVO589833 UFK589832:UFK589833 UPG589832:UPG589833 UZC589832:UZC589833 VIY589832:VIY589833 VSU589832:VSU589833 WCQ589832:WCQ589833 WMM589832:WMM589833 WWI589832:WWI589833 AA655368:AA655369 JW655368:JW655369 TS655368:TS655369 ADO655368:ADO655369 ANK655368:ANK655369 AXG655368:AXG655369 BHC655368:BHC655369 BQY655368:BQY655369 CAU655368:CAU655369 CKQ655368:CKQ655369 CUM655368:CUM655369 DEI655368:DEI655369 DOE655368:DOE655369 DYA655368:DYA655369 EHW655368:EHW655369 ERS655368:ERS655369 FBO655368:FBO655369 FLK655368:FLK655369 FVG655368:FVG655369 GFC655368:GFC655369 GOY655368:GOY655369 GYU655368:GYU655369 HIQ655368:HIQ655369 HSM655368:HSM655369 ICI655368:ICI655369 IME655368:IME655369 IWA655368:IWA655369 JFW655368:JFW655369 JPS655368:JPS655369 JZO655368:JZO655369 KJK655368:KJK655369 KTG655368:KTG655369 LDC655368:LDC655369 LMY655368:LMY655369 LWU655368:LWU655369 MGQ655368:MGQ655369 MQM655368:MQM655369 NAI655368:NAI655369 NKE655368:NKE655369 NUA655368:NUA655369 ODW655368:ODW655369 ONS655368:ONS655369 OXO655368:OXO655369 PHK655368:PHK655369 PRG655368:PRG655369 QBC655368:QBC655369 QKY655368:QKY655369 QUU655368:QUU655369 REQ655368:REQ655369 ROM655368:ROM655369 RYI655368:RYI655369 SIE655368:SIE655369 SSA655368:SSA655369 TBW655368:TBW655369 TLS655368:TLS655369 TVO655368:TVO655369 UFK655368:UFK655369 UPG655368:UPG655369 UZC655368:UZC655369 VIY655368:VIY655369 VSU655368:VSU655369 WCQ655368:WCQ655369 WMM655368:WMM655369 WWI655368:WWI655369 AA720904:AA720905 JW720904:JW720905 TS720904:TS720905 ADO720904:ADO720905 ANK720904:ANK720905 AXG720904:AXG720905 BHC720904:BHC720905 BQY720904:BQY720905 CAU720904:CAU720905 CKQ720904:CKQ720905 CUM720904:CUM720905 DEI720904:DEI720905 DOE720904:DOE720905 DYA720904:DYA720905 EHW720904:EHW720905 ERS720904:ERS720905 FBO720904:FBO720905 FLK720904:FLK720905 FVG720904:FVG720905 GFC720904:GFC720905 GOY720904:GOY720905 GYU720904:GYU720905 HIQ720904:HIQ720905 HSM720904:HSM720905 ICI720904:ICI720905 IME720904:IME720905 IWA720904:IWA720905 JFW720904:JFW720905 JPS720904:JPS720905 JZO720904:JZO720905 KJK720904:KJK720905 KTG720904:KTG720905 LDC720904:LDC720905 LMY720904:LMY720905 LWU720904:LWU720905 MGQ720904:MGQ720905 MQM720904:MQM720905 NAI720904:NAI720905 NKE720904:NKE720905 NUA720904:NUA720905 ODW720904:ODW720905 ONS720904:ONS720905 OXO720904:OXO720905 PHK720904:PHK720905 PRG720904:PRG720905 QBC720904:QBC720905 QKY720904:QKY720905 QUU720904:QUU720905 REQ720904:REQ720905 ROM720904:ROM720905 RYI720904:RYI720905 SIE720904:SIE720905 SSA720904:SSA720905 TBW720904:TBW720905 TLS720904:TLS720905 TVO720904:TVO720905 UFK720904:UFK720905 UPG720904:UPG720905 UZC720904:UZC720905 VIY720904:VIY720905 VSU720904:VSU720905 WCQ720904:WCQ720905 WMM720904:WMM720905 WWI720904:WWI720905 AA786440:AA786441 JW786440:JW786441 TS786440:TS786441 ADO786440:ADO786441 ANK786440:ANK786441 AXG786440:AXG786441 BHC786440:BHC786441 BQY786440:BQY786441 CAU786440:CAU786441 CKQ786440:CKQ786441 CUM786440:CUM786441 DEI786440:DEI786441 DOE786440:DOE786441 DYA786440:DYA786441 EHW786440:EHW786441 ERS786440:ERS786441 FBO786440:FBO786441 FLK786440:FLK786441 FVG786440:FVG786441 GFC786440:GFC786441 GOY786440:GOY786441 GYU786440:GYU786441 HIQ786440:HIQ786441 HSM786440:HSM786441 ICI786440:ICI786441 IME786440:IME786441 IWA786440:IWA786441 JFW786440:JFW786441 JPS786440:JPS786441 JZO786440:JZO786441 KJK786440:KJK786441 KTG786440:KTG786441 LDC786440:LDC786441 LMY786440:LMY786441 LWU786440:LWU786441 MGQ786440:MGQ786441 MQM786440:MQM786441 NAI786440:NAI786441 NKE786440:NKE786441 NUA786440:NUA786441 ODW786440:ODW786441 ONS786440:ONS786441 OXO786440:OXO786441 PHK786440:PHK786441 PRG786440:PRG786441 QBC786440:QBC786441 QKY786440:QKY786441 QUU786440:QUU786441 REQ786440:REQ786441 ROM786440:ROM786441 RYI786440:RYI786441 SIE786440:SIE786441 SSA786440:SSA786441 TBW786440:TBW786441 TLS786440:TLS786441 TVO786440:TVO786441 UFK786440:UFK786441 UPG786440:UPG786441 UZC786440:UZC786441 VIY786440:VIY786441 VSU786440:VSU786441 WCQ786440:WCQ786441 WMM786440:WMM786441 WWI786440:WWI786441 AA851976:AA851977 JW851976:JW851977 TS851976:TS851977 ADO851976:ADO851977 ANK851976:ANK851977 AXG851976:AXG851977 BHC851976:BHC851977 BQY851976:BQY851977 CAU851976:CAU851977 CKQ851976:CKQ851977 CUM851976:CUM851977 DEI851976:DEI851977 DOE851976:DOE851977 DYA851976:DYA851977 EHW851976:EHW851977 ERS851976:ERS851977 FBO851976:FBO851977 FLK851976:FLK851977 FVG851976:FVG851977 GFC851976:GFC851977 GOY851976:GOY851977 GYU851976:GYU851977 HIQ851976:HIQ851977 HSM851976:HSM851977 ICI851976:ICI851977 IME851976:IME851977 IWA851976:IWA851977 JFW851976:JFW851977 JPS851976:JPS851977 JZO851976:JZO851977 KJK851976:KJK851977 KTG851976:KTG851977 LDC851976:LDC851977 LMY851976:LMY851977 LWU851976:LWU851977 MGQ851976:MGQ851977 MQM851976:MQM851977 NAI851976:NAI851977 NKE851976:NKE851977 NUA851976:NUA851977 ODW851976:ODW851977 ONS851976:ONS851977 OXO851976:OXO851977 PHK851976:PHK851977 PRG851976:PRG851977 QBC851976:QBC851977 QKY851976:QKY851977 QUU851976:QUU851977 REQ851976:REQ851977 ROM851976:ROM851977 RYI851976:RYI851977 SIE851976:SIE851977 SSA851976:SSA851977 TBW851976:TBW851977 TLS851976:TLS851977 TVO851976:TVO851977 UFK851976:UFK851977 UPG851976:UPG851977 UZC851976:UZC851977 VIY851976:VIY851977 VSU851976:VSU851977 WCQ851976:WCQ851977 WMM851976:WMM851977 WWI851976:WWI851977 AA917512:AA917513 JW917512:JW917513 TS917512:TS917513 ADO917512:ADO917513 ANK917512:ANK917513 AXG917512:AXG917513 BHC917512:BHC917513 BQY917512:BQY917513 CAU917512:CAU917513 CKQ917512:CKQ917513 CUM917512:CUM917513 DEI917512:DEI917513 DOE917512:DOE917513 DYA917512:DYA917513 EHW917512:EHW917513 ERS917512:ERS917513 FBO917512:FBO917513 FLK917512:FLK917513 FVG917512:FVG917513 GFC917512:GFC917513 GOY917512:GOY917513 GYU917512:GYU917513 HIQ917512:HIQ917513 HSM917512:HSM917513 ICI917512:ICI917513 IME917512:IME917513 IWA917512:IWA917513 JFW917512:JFW917513 JPS917512:JPS917513 JZO917512:JZO917513 KJK917512:KJK917513 KTG917512:KTG917513 LDC917512:LDC917513 LMY917512:LMY917513 LWU917512:LWU917513 MGQ917512:MGQ917513 MQM917512:MQM917513 NAI917512:NAI917513 NKE917512:NKE917513 NUA917512:NUA917513 ODW917512:ODW917513 ONS917512:ONS917513 OXO917512:OXO917513 PHK917512:PHK917513 PRG917512:PRG917513 QBC917512:QBC917513 QKY917512:QKY917513 QUU917512:QUU917513 REQ917512:REQ917513 ROM917512:ROM917513 RYI917512:RYI917513 SIE917512:SIE917513 SSA917512:SSA917513 TBW917512:TBW917513 TLS917512:TLS917513 TVO917512:TVO917513 UFK917512:UFK917513 UPG917512:UPG917513 UZC917512:UZC917513 VIY917512:VIY917513 VSU917512:VSU917513 WCQ917512:WCQ917513 WMM917512:WMM917513 WWI917512:WWI917513 AA983048:AA983049 JW983048:JW983049 TS983048:TS983049 ADO983048:ADO983049 ANK983048:ANK983049 AXG983048:AXG983049 BHC983048:BHC983049 BQY983048:BQY983049 CAU983048:CAU983049 CKQ983048:CKQ983049 CUM983048:CUM983049 DEI983048:DEI983049 DOE983048:DOE983049 DYA983048:DYA983049 EHW983048:EHW983049 ERS983048:ERS983049 FBO983048:FBO983049 FLK983048:FLK983049 FVG983048:FVG983049 GFC983048:GFC983049 GOY983048:GOY983049 GYU983048:GYU983049 HIQ983048:HIQ983049 HSM983048:HSM983049 ICI983048:ICI983049 IME983048:IME983049 IWA983048:IWA983049 JFW983048:JFW983049 JPS983048:JPS983049 JZO983048:JZO983049 KJK983048:KJK983049 KTG983048:KTG983049 LDC983048:LDC983049 LMY983048:LMY983049 LWU983048:LWU983049 MGQ983048:MGQ983049 MQM983048:MQM983049 NAI983048:NAI983049 NKE983048:NKE983049 NUA983048:NUA983049 ODW983048:ODW983049 ONS983048:ONS983049 OXO983048:OXO983049 PHK983048:PHK983049 PRG983048:PRG983049 QBC983048:QBC983049 QKY983048:QKY983049 QUU983048:QUU983049 REQ983048:REQ983049 ROM983048:ROM983049 RYI983048:RYI983049 SIE983048:SIE983049 SSA983048:SSA983049 TBW983048:TBW983049 TLS983048:TLS983049 TVO983048:TVO983049 UFK983048:UFK983049 UPG983048:UPG983049 UZC983048:UZC983049 VIY983048:VIY983049 VSU983048:VSU983049 WCQ983048:WCQ983049 WMM983048:WMM983049 WWI983048:WWI983049 WMP983112:WMP983119 IY72:IY79 SU72:SU79 ACQ72:ACQ79 AMM72:AMM79 AWI72:AWI79 BGE72:BGE79 BQA72:BQA79 BZW72:BZW79 CJS72:CJS79 CTO72:CTO79 DDK72:DDK79 DNG72:DNG79 DXC72:DXC79 EGY72:EGY79 EQU72:EQU79 FAQ72:FAQ79 FKM72:FKM79 FUI72:FUI79 GEE72:GEE79 GOA72:GOA79 GXW72:GXW79 HHS72:HHS79 HRO72:HRO79 IBK72:IBK79 ILG72:ILG79 IVC72:IVC79 JEY72:JEY79 JOU72:JOU79 JYQ72:JYQ79 KIM72:KIM79 KSI72:KSI79 LCE72:LCE79 LMA72:LMA79 LVW72:LVW79 MFS72:MFS79 MPO72:MPO79 MZK72:MZK79 NJG72:NJG79 NTC72:NTC79 OCY72:OCY79 OMU72:OMU79 OWQ72:OWQ79 PGM72:PGM79 PQI72:PQI79 QAE72:QAE79 QKA72:QKA79 QTW72:QTW79 RDS72:RDS79 RNO72:RNO79 RXK72:RXK79 SHG72:SHG79 SRC72:SRC79 TAY72:TAY79 TKU72:TKU79 TUQ72:TUQ79 UEM72:UEM79 UOI72:UOI79 UYE72:UYE79 VIA72:VIA79 VRW72:VRW79 WBS72:WBS79 WLO72:WLO79 WVK72:WVK79 C65608:C65615 IY65608:IY65615 SU65608:SU65615 ACQ65608:ACQ65615 AMM65608:AMM65615 AWI65608:AWI65615 BGE65608:BGE65615 BQA65608:BQA65615 BZW65608:BZW65615 CJS65608:CJS65615 CTO65608:CTO65615 DDK65608:DDK65615 DNG65608:DNG65615 DXC65608:DXC65615 EGY65608:EGY65615 EQU65608:EQU65615 FAQ65608:FAQ65615 FKM65608:FKM65615 FUI65608:FUI65615 GEE65608:GEE65615 GOA65608:GOA65615 GXW65608:GXW65615 HHS65608:HHS65615 HRO65608:HRO65615 IBK65608:IBK65615 ILG65608:ILG65615 IVC65608:IVC65615 JEY65608:JEY65615 JOU65608:JOU65615 JYQ65608:JYQ65615 KIM65608:KIM65615 KSI65608:KSI65615 LCE65608:LCE65615 LMA65608:LMA65615 LVW65608:LVW65615 MFS65608:MFS65615 MPO65608:MPO65615 MZK65608:MZK65615 NJG65608:NJG65615 NTC65608:NTC65615 OCY65608:OCY65615 OMU65608:OMU65615 OWQ65608:OWQ65615 PGM65608:PGM65615 PQI65608:PQI65615 QAE65608:QAE65615 QKA65608:QKA65615 QTW65608:QTW65615 RDS65608:RDS65615 RNO65608:RNO65615 RXK65608:RXK65615 SHG65608:SHG65615 SRC65608:SRC65615 TAY65608:TAY65615 TKU65608:TKU65615 TUQ65608:TUQ65615 UEM65608:UEM65615 UOI65608:UOI65615 UYE65608:UYE65615 VIA65608:VIA65615 VRW65608:VRW65615 WBS65608:WBS65615 WLO65608:WLO65615 WVK65608:WVK65615 C131144:C131151 IY131144:IY131151 SU131144:SU131151 ACQ131144:ACQ131151 AMM131144:AMM131151 AWI131144:AWI131151 BGE131144:BGE131151 BQA131144:BQA131151 BZW131144:BZW131151 CJS131144:CJS131151 CTO131144:CTO131151 DDK131144:DDK131151 DNG131144:DNG131151 DXC131144:DXC131151 EGY131144:EGY131151 EQU131144:EQU131151 FAQ131144:FAQ131151 FKM131144:FKM131151 FUI131144:FUI131151 GEE131144:GEE131151 GOA131144:GOA131151 GXW131144:GXW131151 HHS131144:HHS131151 HRO131144:HRO131151 IBK131144:IBK131151 ILG131144:ILG131151 IVC131144:IVC131151 JEY131144:JEY131151 JOU131144:JOU131151 JYQ131144:JYQ131151 KIM131144:KIM131151 KSI131144:KSI131151 LCE131144:LCE131151 LMA131144:LMA131151 LVW131144:LVW131151 MFS131144:MFS131151 MPO131144:MPO131151 MZK131144:MZK131151 NJG131144:NJG131151 NTC131144:NTC131151 OCY131144:OCY131151 OMU131144:OMU131151 OWQ131144:OWQ131151 PGM131144:PGM131151 PQI131144:PQI131151 QAE131144:QAE131151 QKA131144:QKA131151 QTW131144:QTW131151 RDS131144:RDS131151 RNO131144:RNO131151 RXK131144:RXK131151 SHG131144:SHG131151 SRC131144:SRC131151 TAY131144:TAY131151 TKU131144:TKU131151 TUQ131144:TUQ131151 UEM131144:UEM131151 UOI131144:UOI131151 UYE131144:UYE131151 VIA131144:VIA131151 VRW131144:VRW131151 WBS131144:WBS131151 WLO131144:WLO131151 WVK131144:WVK131151 C196680:C196687 IY196680:IY196687 SU196680:SU196687 ACQ196680:ACQ196687 AMM196680:AMM196687 AWI196680:AWI196687 BGE196680:BGE196687 BQA196680:BQA196687 BZW196680:BZW196687 CJS196680:CJS196687 CTO196680:CTO196687 DDK196680:DDK196687 DNG196680:DNG196687 DXC196680:DXC196687 EGY196680:EGY196687 EQU196680:EQU196687 FAQ196680:FAQ196687 FKM196680:FKM196687 FUI196680:FUI196687 GEE196680:GEE196687 GOA196680:GOA196687 GXW196680:GXW196687 HHS196680:HHS196687 HRO196680:HRO196687 IBK196680:IBK196687 ILG196680:ILG196687 IVC196680:IVC196687 JEY196680:JEY196687 JOU196680:JOU196687 JYQ196680:JYQ196687 KIM196680:KIM196687 KSI196680:KSI196687 LCE196680:LCE196687 LMA196680:LMA196687 LVW196680:LVW196687 MFS196680:MFS196687 MPO196680:MPO196687 MZK196680:MZK196687 NJG196680:NJG196687 NTC196680:NTC196687 OCY196680:OCY196687 OMU196680:OMU196687 OWQ196680:OWQ196687 PGM196680:PGM196687 PQI196680:PQI196687 QAE196680:QAE196687 QKA196680:QKA196687 QTW196680:QTW196687 RDS196680:RDS196687 RNO196680:RNO196687 RXK196680:RXK196687 SHG196680:SHG196687 SRC196680:SRC196687 TAY196680:TAY196687 TKU196680:TKU196687 TUQ196680:TUQ196687 UEM196680:UEM196687 UOI196680:UOI196687 UYE196680:UYE196687 VIA196680:VIA196687 VRW196680:VRW196687 WBS196680:WBS196687 WLO196680:WLO196687 WVK196680:WVK196687 C262216:C262223 IY262216:IY262223 SU262216:SU262223 ACQ262216:ACQ262223 AMM262216:AMM262223 AWI262216:AWI262223 BGE262216:BGE262223 BQA262216:BQA262223 BZW262216:BZW262223 CJS262216:CJS262223 CTO262216:CTO262223 DDK262216:DDK262223 DNG262216:DNG262223 DXC262216:DXC262223 EGY262216:EGY262223 EQU262216:EQU262223 FAQ262216:FAQ262223 FKM262216:FKM262223 FUI262216:FUI262223 GEE262216:GEE262223 GOA262216:GOA262223 GXW262216:GXW262223 HHS262216:HHS262223 HRO262216:HRO262223 IBK262216:IBK262223 ILG262216:ILG262223 IVC262216:IVC262223 JEY262216:JEY262223 JOU262216:JOU262223 JYQ262216:JYQ262223 KIM262216:KIM262223 KSI262216:KSI262223 LCE262216:LCE262223 LMA262216:LMA262223 LVW262216:LVW262223 MFS262216:MFS262223 MPO262216:MPO262223 MZK262216:MZK262223 NJG262216:NJG262223 NTC262216:NTC262223 OCY262216:OCY262223 OMU262216:OMU262223 OWQ262216:OWQ262223 PGM262216:PGM262223 PQI262216:PQI262223 QAE262216:QAE262223 QKA262216:QKA262223 QTW262216:QTW262223 RDS262216:RDS262223 RNO262216:RNO262223 RXK262216:RXK262223 SHG262216:SHG262223 SRC262216:SRC262223 TAY262216:TAY262223 TKU262216:TKU262223 TUQ262216:TUQ262223 UEM262216:UEM262223 UOI262216:UOI262223 UYE262216:UYE262223 VIA262216:VIA262223 VRW262216:VRW262223 WBS262216:WBS262223 WLO262216:WLO262223 WVK262216:WVK262223 C327752:C327759 IY327752:IY327759 SU327752:SU327759 ACQ327752:ACQ327759 AMM327752:AMM327759 AWI327752:AWI327759 BGE327752:BGE327759 BQA327752:BQA327759 BZW327752:BZW327759 CJS327752:CJS327759 CTO327752:CTO327759 DDK327752:DDK327759 DNG327752:DNG327759 DXC327752:DXC327759 EGY327752:EGY327759 EQU327752:EQU327759 FAQ327752:FAQ327759 FKM327752:FKM327759 FUI327752:FUI327759 GEE327752:GEE327759 GOA327752:GOA327759 GXW327752:GXW327759 HHS327752:HHS327759 HRO327752:HRO327759 IBK327752:IBK327759 ILG327752:ILG327759 IVC327752:IVC327759 JEY327752:JEY327759 JOU327752:JOU327759 JYQ327752:JYQ327759 KIM327752:KIM327759 KSI327752:KSI327759 LCE327752:LCE327759 LMA327752:LMA327759 LVW327752:LVW327759 MFS327752:MFS327759 MPO327752:MPO327759 MZK327752:MZK327759 NJG327752:NJG327759 NTC327752:NTC327759 OCY327752:OCY327759 OMU327752:OMU327759 OWQ327752:OWQ327759 PGM327752:PGM327759 PQI327752:PQI327759 QAE327752:QAE327759 QKA327752:QKA327759 QTW327752:QTW327759 RDS327752:RDS327759 RNO327752:RNO327759 RXK327752:RXK327759 SHG327752:SHG327759 SRC327752:SRC327759 TAY327752:TAY327759 TKU327752:TKU327759 TUQ327752:TUQ327759 UEM327752:UEM327759 UOI327752:UOI327759 UYE327752:UYE327759 VIA327752:VIA327759 VRW327752:VRW327759 WBS327752:WBS327759 WLO327752:WLO327759 WVK327752:WVK327759 C393288:C393295 IY393288:IY393295 SU393288:SU393295 ACQ393288:ACQ393295 AMM393288:AMM393295 AWI393288:AWI393295 BGE393288:BGE393295 BQA393288:BQA393295 BZW393288:BZW393295 CJS393288:CJS393295 CTO393288:CTO393295 DDK393288:DDK393295 DNG393288:DNG393295 DXC393288:DXC393295 EGY393288:EGY393295 EQU393288:EQU393295 FAQ393288:FAQ393295 FKM393288:FKM393295 FUI393288:FUI393295 GEE393288:GEE393295 GOA393288:GOA393295 GXW393288:GXW393295 HHS393288:HHS393295 HRO393288:HRO393295 IBK393288:IBK393295 ILG393288:ILG393295 IVC393288:IVC393295 JEY393288:JEY393295 JOU393288:JOU393295 JYQ393288:JYQ393295 KIM393288:KIM393295 KSI393288:KSI393295 LCE393288:LCE393295 LMA393288:LMA393295 LVW393288:LVW393295 MFS393288:MFS393295 MPO393288:MPO393295 MZK393288:MZK393295 NJG393288:NJG393295 NTC393288:NTC393295 OCY393288:OCY393295 OMU393288:OMU393295 OWQ393288:OWQ393295 PGM393288:PGM393295 PQI393288:PQI393295 QAE393288:QAE393295 QKA393288:QKA393295 QTW393288:QTW393295 RDS393288:RDS393295 RNO393288:RNO393295 RXK393288:RXK393295 SHG393288:SHG393295 SRC393288:SRC393295 TAY393288:TAY393295 TKU393288:TKU393295 TUQ393288:TUQ393295 UEM393288:UEM393295 UOI393288:UOI393295 UYE393288:UYE393295 VIA393288:VIA393295 VRW393288:VRW393295 WBS393288:WBS393295 WLO393288:WLO393295 WVK393288:WVK393295 C458824:C458831 IY458824:IY458831 SU458824:SU458831 ACQ458824:ACQ458831 AMM458824:AMM458831 AWI458824:AWI458831 BGE458824:BGE458831 BQA458824:BQA458831 BZW458824:BZW458831 CJS458824:CJS458831 CTO458824:CTO458831 DDK458824:DDK458831 DNG458824:DNG458831 DXC458824:DXC458831 EGY458824:EGY458831 EQU458824:EQU458831 FAQ458824:FAQ458831 FKM458824:FKM458831 FUI458824:FUI458831 GEE458824:GEE458831 GOA458824:GOA458831 GXW458824:GXW458831 HHS458824:HHS458831 HRO458824:HRO458831 IBK458824:IBK458831 ILG458824:ILG458831 IVC458824:IVC458831 JEY458824:JEY458831 JOU458824:JOU458831 JYQ458824:JYQ458831 KIM458824:KIM458831 KSI458824:KSI458831 LCE458824:LCE458831 LMA458824:LMA458831 LVW458824:LVW458831 MFS458824:MFS458831 MPO458824:MPO458831 MZK458824:MZK458831 NJG458824:NJG458831 NTC458824:NTC458831 OCY458824:OCY458831 OMU458824:OMU458831 OWQ458824:OWQ458831 PGM458824:PGM458831 PQI458824:PQI458831 QAE458824:QAE458831 QKA458824:QKA458831 QTW458824:QTW458831 RDS458824:RDS458831 RNO458824:RNO458831 RXK458824:RXK458831 SHG458824:SHG458831 SRC458824:SRC458831 TAY458824:TAY458831 TKU458824:TKU458831 TUQ458824:TUQ458831 UEM458824:UEM458831 UOI458824:UOI458831 UYE458824:UYE458831 VIA458824:VIA458831 VRW458824:VRW458831 WBS458824:WBS458831 WLO458824:WLO458831 WVK458824:WVK458831 C524360:C524367 IY524360:IY524367 SU524360:SU524367 ACQ524360:ACQ524367 AMM524360:AMM524367 AWI524360:AWI524367 BGE524360:BGE524367 BQA524360:BQA524367 BZW524360:BZW524367 CJS524360:CJS524367 CTO524360:CTO524367 DDK524360:DDK524367 DNG524360:DNG524367 DXC524360:DXC524367 EGY524360:EGY524367 EQU524360:EQU524367 FAQ524360:FAQ524367 FKM524360:FKM524367 FUI524360:FUI524367 GEE524360:GEE524367 GOA524360:GOA524367 GXW524360:GXW524367 HHS524360:HHS524367 HRO524360:HRO524367 IBK524360:IBK524367 ILG524360:ILG524367 IVC524360:IVC524367 JEY524360:JEY524367 JOU524360:JOU524367 JYQ524360:JYQ524367 KIM524360:KIM524367 KSI524360:KSI524367 LCE524360:LCE524367 LMA524360:LMA524367 LVW524360:LVW524367 MFS524360:MFS524367 MPO524360:MPO524367 MZK524360:MZK524367 NJG524360:NJG524367 NTC524360:NTC524367 OCY524360:OCY524367 OMU524360:OMU524367 OWQ524360:OWQ524367 PGM524360:PGM524367 PQI524360:PQI524367 QAE524360:QAE524367 QKA524360:QKA524367 QTW524360:QTW524367 RDS524360:RDS524367 RNO524360:RNO524367 RXK524360:RXK524367 SHG524360:SHG524367 SRC524360:SRC524367 TAY524360:TAY524367 TKU524360:TKU524367 TUQ524360:TUQ524367 UEM524360:UEM524367 UOI524360:UOI524367 UYE524360:UYE524367 VIA524360:VIA524367 VRW524360:VRW524367 WBS524360:WBS524367 WLO524360:WLO524367 WVK524360:WVK524367 C589896:C589903 IY589896:IY589903 SU589896:SU589903 ACQ589896:ACQ589903 AMM589896:AMM589903 AWI589896:AWI589903 BGE589896:BGE589903 BQA589896:BQA589903 BZW589896:BZW589903 CJS589896:CJS589903 CTO589896:CTO589903 DDK589896:DDK589903 DNG589896:DNG589903 DXC589896:DXC589903 EGY589896:EGY589903 EQU589896:EQU589903 FAQ589896:FAQ589903 FKM589896:FKM589903 FUI589896:FUI589903 GEE589896:GEE589903 GOA589896:GOA589903 GXW589896:GXW589903 HHS589896:HHS589903 HRO589896:HRO589903 IBK589896:IBK589903 ILG589896:ILG589903 IVC589896:IVC589903 JEY589896:JEY589903 JOU589896:JOU589903 JYQ589896:JYQ589903 KIM589896:KIM589903 KSI589896:KSI589903 LCE589896:LCE589903 LMA589896:LMA589903 LVW589896:LVW589903 MFS589896:MFS589903 MPO589896:MPO589903 MZK589896:MZK589903 NJG589896:NJG589903 NTC589896:NTC589903 OCY589896:OCY589903 OMU589896:OMU589903 OWQ589896:OWQ589903 PGM589896:PGM589903 PQI589896:PQI589903 QAE589896:QAE589903 QKA589896:QKA589903 QTW589896:QTW589903 RDS589896:RDS589903 RNO589896:RNO589903 RXK589896:RXK589903 SHG589896:SHG589903 SRC589896:SRC589903 TAY589896:TAY589903 TKU589896:TKU589903 TUQ589896:TUQ589903 UEM589896:UEM589903 UOI589896:UOI589903 UYE589896:UYE589903 VIA589896:VIA589903 VRW589896:VRW589903 WBS589896:WBS589903 WLO589896:WLO589903 WVK589896:WVK589903 C655432:C655439 IY655432:IY655439 SU655432:SU655439 ACQ655432:ACQ655439 AMM655432:AMM655439 AWI655432:AWI655439 BGE655432:BGE655439 BQA655432:BQA655439 BZW655432:BZW655439 CJS655432:CJS655439 CTO655432:CTO655439 DDK655432:DDK655439 DNG655432:DNG655439 DXC655432:DXC655439 EGY655432:EGY655439 EQU655432:EQU655439 FAQ655432:FAQ655439 FKM655432:FKM655439 FUI655432:FUI655439 GEE655432:GEE655439 GOA655432:GOA655439 GXW655432:GXW655439 HHS655432:HHS655439 HRO655432:HRO655439 IBK655432:IBK655439 ILG655432:ILG655439 IVC655432:IVC655439 JEY655432:JEY655439 JOU655432:JOU655439 JYQ655432:JYQ655439 KIM655432:KIM655439 KSI655432:KSI655439 LCE655432:LCE655439 LMA655432:LMA655439 LVW655432:LVW655439 MFS655432:MFS655439 MPO655432:MPO655439 MZK655432:MZK655439 NJG655432:NJG655439 NTC655432:NTC655439 OCY655432:OCY655439 OMU655432:OMU655439 OWQ655432:OWQ655439 PGM655432:PGM655439 PQI655432:PQI655439 QAE655432:QAE655439 QKA655432:QKA655439 QTW655432:QTW655439 RDS655432:RDS655439 RNO655432:RNO655439 RXK655432:RXK655439 SHG655432:SHG655439 SRC655432:SRC655439 TAY655432:TAY655439 TKU655432:TKU655439 TUQ655432:TUQ655439 UEM655432:UEM655439 UOI655432:UOI655439 UYE655432:UYE655439 VIA655432:VIA655439 VRW655432:VRW655439 WBS655432:WBS655439 WLO655432:WLO655439 WVK655432:WVK655439 C720968:C720975 IY720968:IY720975 SU720968:SU720975 ACQ720968:ACQ720975 AMM720968:AMM720975 AWI720968:AWI720975 BGE720968:BGE720975 BQA720968:BQA720975 BZW720968:BZW720975 CJS720968:CJS720975 CTO720968:CTO720975 DDK720968:DDK720975 DNG720968:DNG720975 DXC720968:DXC720975 EGY720968:EGY720975 EQU720968:EQU720975 FAQ720968:FAQ720975 FKM720968:FKM720975 FUI720968:FUI720975 GEE720968:GEE720975 GOA720968:GOA720975 GXW720968:GXW720975 HHS720968:HHS720975 HRO720968:HRO720975 IBK720968:IBK720975 ILG720968:ILG720975 IVC720968:IVC720975 JEY720968:JEY720975 JOU720968:JOU720975 JYQ720968:JYQ720975 KIM720968:KIM720975 KSI720968:KSI720975 LCE720968:LCE720975 LMA720968:LMA720975 LVW720968:LVW720975 MFS720968:MFS720975 MPO720968:MPO720975 MZK720968:MZK720975 NJG720968:NJG720975 NTC720968:NTC720975 OCY720968:OCY720975 OMU720968:OMU720975 OWQ720968:OWQ720975 PGM720968:PGM720975 PQI720968:PQI720975 QAE720968:QAE720975 QKA720968:QKA720975 QTW720968:QTW720975 RDS720968:RDS720975 RNO720968:RNO720975 RXK720968:RXK720975 SHG720968:SHG720975 SRC720968:SRC720975 TAY720968:TAY720975 TKU720968:TKU720975 TUQ720968:TUQ720975 UEM720968:UEM720975 UOI720968:UOI720975 UYE720968:UYE720975 VIA720968:VIA720975 VRW720968:VRW720975 WBS720968:WBS720975 WLO720968:WLO720975 WVK720968:WVK720975 C786504:C786511 IY786504:IY786511 SU786504:SU786511 ACQ786504:ACQ786511 AMM786504:AMM786511 AWI786504:AWI786511 BGE786504:BGE786511 BQA786504:BQA786511 BZW786504:BZW786511 CJS786504:CJS786511 CTO786504:CTO786511 DDK786504:DDK786511 DNG786504:DNG786511 DXC786504:DXC786511 EGY786504:EGY786511 EQU786504:EQU786511 FAQ786504:FAQ786511 FKM786504:FKM786511 FUI786504:FUI786511 GEE786504:GEE786511 GOA786504:GOA786511 GXW786504:GXW786511 HHS786504:HHS786511 HRO786504:HRO786511 IBK786504:IBK786511 ILG786504:ILG786511 IVC786504:IVC786511 JEY786504:JEY786511 JOU786504:JOU786511 JYQ786504:JYQ786511 KIM786504:KIM786511 KSI786504:KSI786511 LCE786504:LCE786511 LMA786504:LMA786511 LVW786504:LVW786511 MFS786504:MFS786511 MPO786504:MPO786511 MZK786504:MZK786511 NJG786504:NJG786511 NTC786504:NTC786511 OCY786504:OCY786511 OMU786504:OMU786511 OWQ786504:OWQ786511 PGM786504:PGM786511 PQI786504:PQI786511 QAE786504:QAE786511 QKA786504:QKA786511 QTW786504:QTW786511 RDS786504:RDS786511 RNO786504:RNO786511 RXK786504:RXK786511 SHG786504:SHG786511 SRC786504:SRC786511 TAY786504:TAY786511 TKU786504:TKU786511 TUQ786504:TUQ786511 UEM786504:UEM786511 UOI786504:UOI786511 UYE786504:UYE786511 VIA786504:VIA786511 VRW786504:VRW786511 WBS786504:WBS786511 WLO786504:WLO786511 WVK786504:WVK786511 C852040:C852047 IY852040:IY852047 SU852040:SU852047 ACQ852040:ACQ852047 AMM852040:AMM852047 AWI852040:AWI852047 BGE852040:BGE852047 BQA852040:BQA852047 BZW852040:BZW852047 CJS852040:CJS852047 CTO852040:CTO852047 DDK852040:DDK852047 DNG852040:DNG852047 DXC852040:DXC852047 EGY852040:EGY852047 EQU852040:EQU852047 FAQ852040:FAQ852047 FKM852040:FKM852047 FUI852040:FUI852047 GEE852040:GEE852047 GOA852040:GOA852047 GXW852040:GXW852047 HHS852040:HHS852047 HRO852040:HRO852047 IBK852040:IBK852047 ILG852040:ILG852047 IVC852040:IVC852047 JEY852040:JEY852047 JOU852040:JOU852047 JYQ852040:JYQ852047 KIM852040:KIM852047 KSI852040:KSI852047 LCE852040:LCE852047 LMA852040:LMA852047 LVW852040:LVW852047 MFS852040:MFS852047 MPO852040:MPO852047 MZK852040:MZK852047 NJG852040:NJG852047 NTC852040:NTC852047 OCY852040:OCY852047 OMU852040:OMU852047 OWQ852040:OWQ852047 PGM852040:PGM852047 PQI852040:PQI852047 QAE852040:QAE852047 QKA852040:QKA852047 QTW852040:QTW852047 RDS852040:RDS852047 RNO852040:RNO852047 RXK852040:RXK852047 SHG852040:SHG852047 SRC852040:SRC852047 TAY852040:TAY852047 TKU852040:TKU852047 TUQ852040:TUQ852047 UEM852040:UEM852047 UOI852040:UOI852047 UYE852040:UYE852047 VIA852040:VIA852047 VRW852040:VRW852047 WBS852040:WBS852047 WLO852040:WLO852047 WVK852040:WVK852047 C917576:C917583 IY917576:IY917583 SU917576:SU917583 ACQ917576:ACQ917583 AMM917576:AMM917583 AWI917576:AWI917583 BGE917576:BGE917583 BQA917576:BQA917583 BZW917576:BZW917583 CJS917576:CJS917583 CTO917576:CTO917583 DDK917576:DDK917583 DNG917576:DNG917583 DXC917576:DXC917583 EGY917576:EGY917583 EQU917576:EQU917583 FAQ917576:FAQ917583 FKM917576:FKM917583 FUI917576:FUI917583 GEE917576:GEE917583 GOA917576:GOA917583 GXW917576:GXW917583 HHS917576:HHS917583 HRO917576:HRO917583 IBK917576:IBK917583 ILG917576:ILG917583 IVC917576:IVC917583 JEY917576:JEY917583 JOU917576:JOU917583 JYQ917576:JYQ917583 KIM917576:KIM917583 KSI917576:KSI917583 LCE917576:LCE917583 LMA917576:LMA917583 LVW917576:LVW917583 MFS917576:MFS917583 MPO917576:MPO917583 MZK917576:MZK917583 NJG917576:NJG917583 NTC917576:NTC917583 OCY917576:OCY917583 OMU917576:OMU917583 OWQ917576:OWQ917583 PGM917576:PGM917583 PQI917576:PQI917583 QAE917576:QAE917583 QKA917576:QKA917583 QTW917576:QTW917583 RDS917576:RDS917583 RNO917576:RNO917583 RXK917576:RXK917583 SHG917576:SHG917583 SRC917576:SRC917583 TAY917576:TAY917583 TKU917576:TKU917583 TUQ917576:TUQ917583 UEM917576:UEM917583 UOI917576:UOI917583 UYE917576:UYE917583 VIA917576:VIA917583 VRW917576:VRW917583 WBS917576:WBS917583 WLO917576:WLO917583 WVK917576:WVK917583 C983112:C983119 IY983112:IY983119 SU983112:SU983119 ACQ983112:ACQ983119 AMM983112:AMM983119 AWI983112:AWI983119 BGE983112:BGE983119 BQA983112:BQA983119 BZW983112:BZW983119 CJS983112:CJS983119 CTO983112:CTO983119 DDK983112:DDK983119 DNG983112:DNG983119 DXC983112:DXC983119 EGY983112:EGY983119 EQU983112:EQU983119 FAQ983112:FAQ983119 FKM983112:FKM983119 FUI983112:FUI983119 GEE983112:GEE983119 GOA983112:GOA983119 GXW983112:GXW983119 HHS983112:HHS983119 HRO983112:HRO983119 IBK983112:IBK983119 ILG983112:ILG983119 IVC983112:IVC983119 JEY983112:JEY983119 JOU983112:JOU983119 JYQ983112:JYQ983119 KIM983112:KIM983119 KSI983112:KSI983119 LCE983112:LCE983119 LMA983112:LMA983119 LVW983112:LVW983119 MFS983112:MFS983119 MPO983112:MPO983119 MZK983112:MZK983119 NJG983112:NJG983119 NTC983112:NTC983119 OCY983112:OCY983119 OMU983112:OMU983119 OWQ983112:OWQ983119 PGM983112:PGM983119 PQI983112:PQI983119 QAE983112:QAE983119 QKA983112:QKA983119 QTW983112:QTW983119 RDS983112:RDS983119 RNO983112:RNO983119 RXK983112:RXK983119 SHG983112:SHG983119 SRC983112:SRC983119 TAY983112:TAY983119 TKU983112:TKU983119 TUQ983112:TUQ983119 UEM983112:UEM983119 UOI983112:UOI983119 UYE983112:UYE983119 VIA983112:VIA983119 VRW983112:VRW983119 WBS983112:WBS983119 WLO983112:WLO983119 WVK983112:WVK983119 C74:C79 JU72:JU79 TQ72:TQ79 ADM72:ADM79 ANI72:ANI79 AXE72:AXE79 BHA72:BHA79 BQW72:BQW79 CAS72:CAS79 CKO72:CKO79 CUK72:CUK79 DEG72:DEG79 DOC72:DOC79 DXY72:DXY79 EHU72:EHU79 ERQ72:ERQ79 FBM72:FBM79 FLI72:FLI79 FVE72:FVE79 GFA72:GFA79 GOW72:GOW79 GYS72:GYS79 HIO72:HIO79 HSK72:HSK79 ICG72:ICG79 IMC72:IMC79 IVY72:IVY79 JFU72:JFU79 JPQ72:JPQ79 JZM72:JZM79 KJI72:KJI79 KTE72:KTE79 LDA72:LDA79 LMW72:LMW79 LWS72:LWS79 MGO72:MGO79 MQK72:MQK79 NAG72:NAG79 NKC72:NKC79 NTY72:NTY79 ODU72:ODU79 ONQ72:ONQ79 OXM72:OXM79 PHI72:PHI79 PRE72:PRE79 QBA72:QBA79 QKW72:QKW79 QUS72:QUS79 REO72:REO79 ROK72:ROK79 RYG72:RYG79 SIC72:SIC79 SRY72:SRY79 TBU72:TBU79 TLQ72:TLQ79 TVM72:TVM79 UFI72:UFI79 UPE72:UPE79 UZA72:UZA79 VIW72:VIW79 VSS72:VSS79 WCO72:WCO79 WMK72:WMK79 WWG72:WWG79 Y65608:Y65615 JU65608:JU65615 TQ65608:TQ65615 ADM65608:ADM65615 ANI65608:ANI65615 AXE65608:AXE65615 BHA65608:BHA65615 BQW65608:BQW65615 CAS65608:CAS65615 CKO65608:CKO65615 CUK65608:CUK65615 DEG65608:DEG65615 DOC65608:DOC65615 DXY65608:DXY65615 EHU65608:EHU65615 ERQ65608:ERQ65615 FBM65608:FBM65615 FLI65608:FLI65615 FVE65608:FVE65615 GFA65608:GFA65615 GOW65608:GOW65615 GYS65608:GYS65615 HIO65608:HIO65615 HSK65608:HSK65615 ICG65608:ICG65615 IMC65608:IMC65615 IVY65608:IVY65615 JFU65608:JFU65615 JPQ65608:JPQ65615 JZM65608:JZM65615 KJI65608:KJI65615 KTE65608:KTE65615 LDA65608:LDA65615 LMW65608:LMW65615 LWS65608:LWS65615 MGO65608:MGO65615 MQK65608:MQK65615 NAG65608:NAG65615 NKC65608:NKC65615 NTY65608:NTY65615 ODU65608:ODU65615 ONQ65608:ONQ65615 OXM65608:OXM65615 PHI65608:PHI65615 PRE65608:PRE65615 QBA65608:QBA65615 QKW65608:QKW65615 QUS65608:QUS65615 REO65608:REO65615 ROK65608:ROK65615 RYG65608:RYG65615 SIC65608:SIC65615 SRY65608:SRY65615 TBU65608:TBU65615 TLQ65608:TLQ65615 TVM65608:TVM65615 UFI65608:UFI65615 UPE65608:UPE65615 UZA65608:UZA65615 VIW65608:VIW65615 VSS65608:VSS65615 WCO65608:WCO65615 WMK65608:WMK65615 WWG65608:WWG65615 Y131144:Y131151 JU131144:JU131151 TQ131144:TQ131151 ADM131144:ADM131151 ANI131144:ANI131151 AXE131144:AXE131151 BHA131144:BHA131151 BQW131144:BQW131151 CAS131144:CAS131151 CKO131144:CKO131151 CUK131144:CUK131151 DEG131144:DEG131151 DOC131144:DOC131151 DXY131144:DXY131151 EHU131144:EHU131151 ERQ131144:ERQ131151 FBM131144:FBM131151 FLI131144:FLI131151 FVE131144:FVE131151 GFA131144:GFA131151 GOW131144:GOW131151 GYS131144:GYS131151 HIO131144:HIO131151 HSK131144:HSK131151 ICG131144:ICG131151 IMC131144:IMC131151 IVY131144:IVY131151 JFU131144:JFU131151 JPQ131144:JPQ131151 JZM131144:JZM131151 KJI131144:KJI131151 KTE131144:KTE131151 LDA131144:LDA131151 LMW131144:LMW131151 LWS131144:LWS131151 MGO131144:MGO131151 MQK131144:MQK131151 NAG131144:NAG131151 NKC131144:NKC131151 NTY131144:NTY131151 ODU131144:ODU131151 ONQ131144:ONQ131151 OXM131144:OXM131151 PHI131144:PHI131151 PRE131144:PRE131151 QBA131144:QBA131151 QKW131144:QKW131151 QUS131144:QUS131151 REO131144:REO131151 ROK131144:ROK131151 RYG131144:RYG131151 SIC131144:SIC131151 SRY131144:SRY131151 TBU131144:TBU131151 TLQ131144:TLQ131151 TVM131144:TVM131151 UFI131144:UFI131151 UPE131144:UPE131151 UZA131144:UZA131151 VIW131144:VIW131151 VSS131144:VSS131151 WCO131144:WCO131151 WMK131144:WMK131151 WWG131144:WWG131151 Y196680:Y196687 JU196680:JU196687 TQ196680:TQ196687 ADM196680:ADM196687 ANI196680:ANI196687 AXE196680:AXE196687 BHA196680:BHA196687 BQW196680:BQW196687 CAS196680:CAS196687 CKO196680:CKO196687 CUK196680:CUK196687 DEG196680:DEG196687 DOC196680:DOC196687 DXY196680:DXY196687 EHU196680:EHU196687 ERQ196680:ERQ196687 FBM196680:FBM196687 FLI196680:FLI196687 FVE196680:FVE196687 GFA196680:GFA196687 GOW196680:GOW196687 GYS196680:GYS196687 HIO196680:HIO196687 HSK196680:HSK196687 ICG196680:ICG196687 IMC196680:IMC196687 IVY196680:IVY196687 JFU196680:JFU196687 JPQ196680:JPQ196687 JZM196680:JZM196687 KJI196680:KJI196687 KTE196680:KTE196687 LDA196680:LDA196687 LMW196680:LMW196687 LWS196680:LWS196687 MGO196680:MGO196687 MQK196680:MQK196687 NAG196680:NAG196687 NKC196680:NKC196687 NTY196680:NTY196687 ODU196680:ODU196687 ONQ196680:ONQ196687 OXM196680:OXM196687 PHI196680:PHI196687 PRE196680:PRE196687 QBA196680:QBA196687 QKW196680:QKW196687 QUS196680:QUS196687 REO196680:REO196687 ROK196680:ROK196687 RYG196680:RYG196687 SIC196680:SIC196687 SRY196680:SRY196687 TBU196680:TBU196687 TLQ196680:TLQ196687 TVM196680:TVM196687 UFI196680:UFI196687 UPE196680:UPE196687 UZA196680:UZA196687 VIW196680:VIW196687 VSS196680:VSS196687 WCO196680:WCO196687 WMK196680:WMK196687 WWG196680:WWG196687 Y262216:Y262223 JU262216:JU262223 TQ262216:TQ262223 ADM262216:ADM262223 ANI262216:ANI262223 AXE262216:AXE262223 BHA262216:BHA262223 BQW262216:BQW262223 CAS262216:CAS262223 CKO262216:CKO262223 CUK262216:CUK262223 DEG262216:DEG262223 DOC262216:DOC262223 DXY262216:DXY262223 EHU262216:EHU262223 ERQ262216:ERQ262223 FBM262216:FBM262223 FLI262216:FLI262223 FVE262216:FVE262223 GFA262216:GFA262223 GOW262216:GOW262223 GYS262216:GYS262223 HIO262216:HIO262223 HSK262216:HSK262223 ICG262216:ICG262223 IMC262216:IMC262223 IVY262216:IVY262223 JFU262216:JFU262223 JPQ262216:JPQ262223 JZM262216:JZM262223 KJI262216:KJI262223 KTE262216:KTE262223 LDA262216:LDA262223 LMW262216:LMW262223 LWS262216:LWS262223 MGO262216:MGO262223 MQK262216:MQK262223 NAG262216:NAG262223 NKC262216:NKC262223 NTY262216:NTY262223 ODU262216:ODU262223 ONQ262216:ONQ262223 OXM262216:OXM262223 PHI262216:PHI262223 PRE262216:PRE262223 QBA262216:QBA262223 QKW262216:QKW262223 QUS262216:QUS262223 REO262216:REO262223 ROK262216:ROK262223 RYG262216:RYG262223 SIC262216:SIC262223 SRY262216:SRY262223 TBU262216:TBU262223 TLQ262216:TLQ262223 TVM262216:TVM262223 UFI262216:UFI262223 UPE262216:UPE262223 UZA262216:UZA262223 VIW262216:VIW262223 VSS262216:VSS262223 WCO262216:WCO262223 WMK262216:WMK262223 WWG262216:WWG262223 Y327752:Y327759 JU327752:JU327759 TQ327752:TQ327759 ADM327752:ADM327759 ANI327752:ANI327759 AXE327752:AXE327759 BHA327752:BHA327759 BQW327752:BQW327759 CAS327752:CAS327759 CKO327752:CKO327759 CUK327752:CUK327759 DEG327752:DEG327759 DOC327752:DOC327759 DXY327752:DXY327759 EHU327752:EHU327759 ERQ327752:ERQ327759 FBM327752:FBM327759 FLI327752:FLI327759 FVE327752:FVE327759 GFA327752:GFA327759 GOW327752:GOW327759 GYS327752:GYS327759 HIO327752:HIO327759 HSK327752:HSK327759 ICG327752:ICG327759 IMC327752:IMC327759 IVY327752:IVY327759 JFU327752:JFU327759 JPQ327752:JPQ327759 JZM327752:JZM327759 KJI327752:KJI327759 KTE327752:KTE327759 LDA327752:LDA327759 LMW327752:LMW327759 LWS327752:LWS327759 MGO327752:MGO327759 MQK327752:MQK327759 NAG327752:NAG327759 NKC327752:NKC327759 NTY327752:NTY327759 ODU327752:ODU327759 ONQ327752:ONQ327759 OXM327752:OXM327759 PHI327752:PHI327759 PRE327752:PRE327759 QBA327752:QBA327759 QKW327752:QKW327759 QUS327752:QUS327759 REO327752:REO327759 ROK327752:ROK327759 RYG327752:RYG327759 SIC327752:SIC327759 SRY327752:SRY327759 TBU327752:TBU327759 TLQ327752:TLQ327759 TVM327752:TVM327759 UFI327752:UFI327759 UPE327752:UPE327759 UZA327752:UZA327759 VIW327752:VIW327759 VSS327752:VSS327759 WCO327752:WCO327759 WMK327752:WMK327759 WWG327752:WWG327759 Y393288:Y393295 JU393288:JU393295 TQ393288:TQ393295 ADM393288:ADM393295 ANI393288:ANI393295 AXE393288:AXE393295 BHA393288:BHA393295 BQW393288:BQW393295 CAS393288:CAS393295 CKO393288:CKO393295 CUK393288:CUK393295 DEG393288:DEG393295 DOC393288:DOC393295 DXY393288:DXY393295 EHU393288:EHU393295 ERQ393288:ERQ393295 FBM393288:FBM393295 FLI393288:FLI393295 FVE393288:FVE393295 GFA393288:GFA393295 GOW393288:GOW393295 GYS393288:GYS393295 HIO393288:HIO393295 HSK393288:HSK393295 ICG393288:ICG393295 IMC393288:IMC393295 IVY393288:IVY393295 JFU393288:JFU393295 JPQ393288:JPQ393295 JZM393288:JZM393295 KJI393288:KJI393295 KTE393288:KTE393295 LDA393288:LDA393295 LMW393288:LMW393295 LWS393288:LWS393295 MGO393288:MGO393295 MQK393288:MQK393295 NAG393288:NAG393295 NKC393288:NKC393295 NTY393288:NTY393295 ODU393288:ODU393295 ONQ393288:ONQ393295 OXM393288:OXM393295 PHI393288:PHI393295 PRE393288:PRE393295 QBA393288:QBA393295 QKW393288:QKW393295 QUS393288:QUS393295 REO393288:REO393295 ROK393288:ROK393295 RYG393288:RYG393295 SIC393288:SIC393295 SRY393288:SRY393295 TBU393288:TBU393295 TLQ393288:TLQ393295 TVM393288:TVM393295 UFI393288:UFI393295 UPE393288:UPE393295 UZA393288:UZA393295 VIW393288:VIW393295 VSS393288:VSS393295 WCO393288:WCO393295 WMK393288:WMK393295 WWG393288:WWG393295 Y458824:Y458831 JU458824:JU458831 TQ458824:TQ458831 ADM458824:ADM458831 ANI458824:ANI458831 AXE458824:AXE458831 BHA458824:BHA458831 BQW458824:BQW458831 CAS458824:CAS458831 CKO458824:CKO458831 CUK458824:CUK458831 DEG458824:DEG458831 DOC458824:DOC458831 DXY458824:DXY458831 EHU458824:EHU458831 ERQ458824:ERQ458831 FBM458824:FBM458831 FLI458824:FLI458831 FVE458824:FVE458831 GFA458824:GFA458831 GOW458824:GOW458831 GYS458824:GYS458831 HIO458824:HIO458831 HSK458824:HSK458831 ICG458824:ICG458831 IMC458824:IMC458831 IVY458824:IVY458831 JFU458824:JFU458831 JPQ458824:JPQ458831 JZM458824:JZM458831 KJI458824:KJI458831 KTE458824:KTE458831 LDA458824:LDA458831 LMW458824:LMW458831 LWS458824:LWS458831 MGO458824:MGO458831 MQK458824:MQK458831 NAG458824:NAG458831 NKC458824:NKC458831 NTY458824:NTY458831 ODU458824:ODU458831 ONQ458824:ONQ458831 OXM458824:OXM458831 PHI458824:PHI458831 PRE458824:PRE458831 QBA458824:QBA458831 QKW458824:QKW458831 QUS458824:QUS458831 REO458824:REO458831 ROK458824:ROK458831 RYG458824:RYG458831 SIC458824:SIC458831 SRY458824:SRY458831 TBU458824:TBU458831 TLQ458824:TLQ458831 TVM458824:TVM458831 UFI458824:UFI458831 UPE458824:UPE458831 UZA458824:UZA458831 VIW458824:VIW458831 VSS458824:VSS458831 WCO458824:WCO458831 WMK458824:WMK458831 WWG458824:WWG458831 Y524360:Y524367 JU524360:JU524367 TQ524360:TQ524367 ADM524360:ADM524367 ANI524360:ANI524367 AXE524360:AXE524367 BHA524360:BHA524367 BQW524360:BQW524367 CAS524360:CAS524367 CKO524360:CKO524367 CUK524360:CUK524367 DEG524360:DEG524367 DOC524360:DOC524367 DXY524360:DXY524367 EHU524360:EHU524367 ERQ524360:ERQ524367 FBM524360:FBM524367 FLI524360:FLI524367 FVE524360:FVE524367 GFA524360:GFA524367 GOW524360:GOW524367 GYS524360:GYS524367 HIO524360:HIO524367 HSK524360:HSK524367 ICG524360:ICG524367 IMC524360:IMC524367 IVY524360:IVY524367 JFU524360:JFU524367 JPQ524360:JPQ524367 JZM524360:JZM524367 KJI524360:KJI524367 KTE524360:KTE524367 LDA524360:LDA524367 LMW524360:LMW524367 LWS524360:LWS524367 MGO524360:MGO524367 MQK524360:MQK524367 NAG524360:NAG524367 NKC524360:NKC524367 NTY524360:NTY524367 ODU524360:ODU524367 ONQ524360:ONQ524367 OXM524360:OXM524367 PHI524360:PHI524367 PRE524360:PRE524367 QBA524360:QBA524367 QKW524360:QKW524367 QUS524360:QUS524367 REO524360:REO524367 ROK524360:ROK524367 RYG524360:RYG524367 SIC524360:SIC524367 SRY524360:SRY524367 TBU524360:TBU524367 TLQ524360:TLQ524367 TVM524360:TVM524367 UFI524360:UFI524367 UPE524360:UPE524367 UZA524360:UZA524367 VIW524360:VIW524367 VSS524360:VSS524367 WCO524360:WCO524367 WMK524360:WMK524367 WWG524360:WWG524367 Y589896:Y589903 JU589896:JU589903 TQ589896:TQ589903 ADM589896:ADM589903 ANI589896:ANI589903 AXE589896:AXE589903 BHA589896:BHA589903 BQW589896:BQW589903 CAS589896:CAS589903 CKO589896:CKO589903 CUK589896:CUK589903 DEG589896:DEG589903 DOC589896:DOC589903 DXY589896:DXY589903 EHU589896:EHU589903 ERQ589896:ERQ589903 FBM589896:FBM589903 FLI589896:FLI589903 FVE589896:FVE589903 GFA589896:GFA589903 GOW589896:GOW589903 GYS589896:GYS589903 HIO589896:HIO589903 HSK589896:HSK589903 ICG589896:ICG589903 IMC589896:IMC589903 IVY589896:IVY589903 JFU589896:JFU589903 JPQ589896:JPQ589903 JZM589896:JZM589903 KJI589896:KJI589903 KTE589896:KTE589903 LDA589896:LDA589903 LMW589896:LMW589903 LWS589896:LWS589903 MGO589896:MGO589903 MQK589896:MQK589903 NAG589896:NAG589903 NKC589896:NKC589903 NTY589896:NTY589903 ODU589896:ODU589903 ONQ589896:ONQ589903 OXM589896:OXM589903 PHI589896:PHI589903 PRE589896:PRE589903 QBA589896:QBA589903 QKW589896:QKW589903 QUS589896:QUS589903 REO589896:REO589903 ROK589896:ROK589903 RYG589896:RYG589903 SIC589896:SIC589903 SRY589896:SRY589903 TBU589896:TBU589903 TLQ589896:TLQ589903 TVM589896:TVM589903 UFI589896:UFI589903 UPE589896:UPE589903 UZA589896:UZA589903 VIW589896:VIW589903 VSS589896:VSS589903 WCO589896:WCO589903 WMK589896:WMK589903 WWG589896:WWG589903 Y655432:Y655439 JU655432:JU655439 TQ655432:TQ655439 ADM655432:ADM655439 ANI655432:ANI655439 AXE655432:AXE655439 BHA655432:BHA655439 BQW655432:BQW655439 CAS655432:CAS655439 CKO655432:CKO655439 CUK655432:CUK655439 DEG655432:DEG655439 DOC655432:DOC655439 DXY655432:DXY655439 EHU655432:EHU655439 ERQ655432:ERQ655439 FBM655432:FBM655439 FLI655432:FLI655439 FVE655432:FVE655439 GFA655432:GFA655439 GOW655432:GOW655439 GYS655432:GYS655439 HIO655432:HIO655439 HSK655432:HSK655439 ICG655432:ICG655439 IMC655432:IMC655439 IVY655432:IVY655439 JFU655432:JFU655439 JPQ655432:JPQ655439 JZM655432:JZM655439 KJI655432:KJI655439 KTE655432:KTE655439 LDA655432:LDA655439 LMW655432:LMW655439 LWS655432:LWS655439 MGO655432:MGO655439 MQK655432:MQK655439 NAG655432:NAG655439 NKC655432:NKC655439 NTY655432:NTY655439 ODU655432:ODU655439 ONQ655432:ONQ655439 OXM655432:OXM655439 PHI655432:PHI655439 PRE655432:PRE655439 QBA655432:QBA655439 QKW655432:QKW655439 QUS655432:QUS655439 REO655432:REO655439 ROK655432:ROK655439 RYG655432:RYG655439 SIC655432:SIC655439 SRY655432:SRY655439 TBU655432:TBU655439 TLQ655432:TLQ655439 TVM655432:TVM655439 UFI655432:UFI655439 UPE655432:UPE655439 UZA655432:UZA655439 VIW655432:VIW655439 VSS655432:VSS655439 WCO655432:WCO655439 WMK655432:WMK655439 WWG655432:WWG655439 Y720968:Y720975 JU720968:JU720975 TQ720968:TQ720975 ADM720968:ADM720975 ANI720968:ANI720975 AXE720968:AXE720975 BHA720968:BHA720975 BQW720968:BQW720975 CAS720968:CAS720975 CKO720968:CKO720975 CUK720968:CUK720975 DEG720968:DEG720975 DOC720968:DOC720975 DXY720968:DXY720975 EHU720968:EHU720975 ERQ720968:ERQ720975 FBM720968:FBM720975 FLI720968:FLI720975 FVE720968:FVE720975 GFA720968:GFA720975 GOW720968:GOW720975 GYS720968:GYS720975 HIO720968:HIO720975 HSK720968:HSK720975 ICG720968:ICG720975 IMC720968:IMC720975 IVY720968:IVY720975 JFU720968:JFU720975 JPQ720968:JPQ720975 JZM720968:JZM720975 KJI720968:KJI720975 KTE720968:KTE720975 LDA720968:LDA720975 LMW720968:LMW720975 LWS720968:LWS720975 MGO720968:MGO720975 MQK720968:MQK720975 NAG720968:NAG720975 NKC720968:NKC720975 NTY720968:NTY720975 ODU720968:ODU720975 ONQ720968:ONQ720975 OXM720968:OXM720975 PHI720968:PHI720975 PRE720968:PRE720975 QBA720968:QBA720975 QKW720968:QKW720975 QUS720968:QUS720975 REO720968:REO720975 ROK720968:ROK720975 RYG720968:RYG720975 SIC720968:SIC720975 SRY720968:SRY720975 TBU720968:TBU720975 TLQ720968:TLQ720975 TVM720968:TVM720975 UFI720968:UFI720975 UPE720968:UPE720975 UZA720968:UZA720975 VIW720968:VIW720975 VSS720968:VSS720975 WCO720968:WCO720975 WMK720968:WMK720975 WWG720968:WWG720975 Y786504:Y786511 JU786504:JU786511 TQ786504:TQ786511 ADM786504:ADM786511 ANI786504:ANI786511 AXE786504:AXE786511 BHA786504:BHA786511 BQW786504:BQW786511 CAS786504:CAS786511 CKO786504:CKO786511 CUK786504:CUK786511 DEG786504:DEG786511 DOC786504:DOC786511 DXY786504:DXY786511 EHU786504:EHU786511 ERQ786504:ERQ786511 FBM786504:FBM786511 FLI786504:FLI786511 FVE786504:FVE786511 GFA786504:GFA786511 GOW786504:GOW786511 GYS786504:GYS786511 HIO786504:HIO786511 HSK786504:HSK786511 ICG786504:ICG786511 IMC786504:IMC786511 IVY786504:IVY786511 JFU786504:JFU786511 JPQ786504:JPQ786511 JZM786504:JZM786511 KJI786504:KJI786511 KTE786504:KTE786511 LDA786504:LDA786511 LMW786504:LMW786511 LWS786504:LWS786511 MGO786504:MGO786511 MQK786504:MQK786511 NAG786504:NAG786511 NKC786504:NKC786511 NTY786504:NTY786511 ODU786504:ODU786511 ONQ786504:ONQ786511 OXM786504:OXM786511 PHI786504:PHI786511 PRE786504:PRE786511 QBA786504:QBA786511 QKW786504:QKW786511 QUS786504:QUS786511 REO786504:REO786511 ROK786504:ROK786511 RYG786504:RYG786511 SIC786504:SIC786511 SRY786504:SRY786511 TBU786504:TBU786511 TLQ786504:TLQ786511 TVM786504:TVM786511 UFI786504:UFI786511 UPE786504:UPE786511 UZA786504:UZA786511 VIW786504:VIW786511 VSS786504:VSS786511 WCO786504:WCO786511 WMK786504:WMK786511 WWG786504:WWG786511 Y852040:Y852047 JU852040:JU852047 TQ852040:TQ852047 ADM852040:ADM852047 ANI852040:ANI852047 AXE852040:AXE852047 BHA852040:BHA852047 BQW852040:BQW852047 CAS852040:CAS852047 CKO852040:CKO852047 CUK852040:CUK852047 DEG852040:DEG852047 DOC852040:DOC852047 DXY852040:DXY852047 EHU852040:EHU852047 ERQ852040:ERQ852047 FBM852040:FBM852047 FLI852040:FLI852047 FVE852040:FVE852047 GFA852040:GFA852047 GOW852040:GOW852047 GYS852040:GYS852047 HIO852040:HIO852047 HSK852040:HSK852047 ICG852040:ICG852047 IMC852040:IMC852047 IVY852040:IVY852047 JFU852040:JFU852047 JPQ852040:JPQ852047 JZM852040:JZM852047 KJI852040:KJI852047 KTE852040:KTE852047 LDA852040:LDA852047 LMW852040:LMW852047 LWS852040:LWS852047 MGO852040:MGO852047 MQK852040:MQK852047 NAG852040:NAG852047 NKC852040:NKC852047 NTY852040:NTY852047 ODU852040:ODU852047 ONQ852040:ONQ852047 OXM852040:OXM852047 PHI852040:PHI852047 PRE852040:PRE852047 QBA852040:QBA852047 QKW852040:QKW852047 QUS852040:QUS852047 REO852040:REO852047 ROK852040:ROK852047 RYG852040:RYG852047 SIC852040:SIC852047 SRY852040:SRY852047 TBU852040:TBU852047 TLQ852040:TLQ852047 TVM852040:TVM852047 UFI852040:UFI852047 UPE852040:UPE852047 UZA852040:UZA852047 VIW852040:VIW852047 VSS852040:VSS852047 WCO852040:WCO852047 WMK852040:WMK852047 WWG852040:WWG852047 Y917576:Y917583 JU917576:JU917583 TQ917576:TQ917583 ADM917576:ADM917583 ANI917576:ANI917583 AXE917576:AXE917583 BHA917576:BHA917583 BQW917576:BQW917583 CAS917576:CAS917583 CKO917576:CKO917583 CUK917576:CUK917583 DEG917576:DEG917583 DOC917576:DOC917583 DXY917576:DXY917583 EHU917576:EHU917583 ERQ917576:ERQ917583 FBM917576:FBM917583 FLI917576:FLI917583 FVE917576:FVE917583 GFA917576:GFA917583 GOW917576:GOW917583 GYS917576:GYS917583 HIO917576:HIO917583 HSK917576:HSK917583 ICG917576:ICG917583 IMC917576:IMC917583 IVY917576:IVY917583 JFU917576:JFU917583 JPQ917576:JPQ917583 JZM917576:JZM917583 KJI917576:KJI917583 KTE917576:KTE917583 LDA917576:LDA917583 LMW917576:LMW917583 LWS917576:LWS917583 MGO917576:MGO917583 MQK917576:MQK917583 NAG917576:NAG917583 NKC917576:NKC917583 NTY917576:NTY917583 ODU917576:ODU917583 ONQ917576:ONQ917583 OXM917576:OXM917583 PHI917576:PHI917583 PRE917576:PRE917583 QBA917576:QBA917583 QKW917576:QKW917583 QUS917576:QUS917583 REO917576:REO917583 ROK917576:ROK917583 RYG917576:RYG917583 SIC917576:SIC917583 SRY917576:SRY917583 TBU917576:TBU917583 TLQ917576:TLQ917583 TVM917576:TVM917583 UFI917576:UFI917583 UPE917576:UPE917583 UZA917576:UZA917583 VIW917576:VIW917583 VSS917576:VSS917583 WCO917576:WCO917583 WMK917576:WMK917583 WWG917576:WWG917583 Y983112:Y983119 JU983112:JU983119 TQ983112:TQ983119 ADM983112:ADM983119 ANI983112:ANI983119 AXE983112:AXE983119 BHA983112:BHA983119 BQW983112:BQW983119 CAS983112:CAS983119 CKO983112:CKO983119 CUK983112:CUK983119 DEG983112:DEG983119 DOC983112:DOC983119 DXY983112:DXY983119 EHU983112:EHU983119 ERQ983112:ERQ983119 FBM983112:FBM983119 FLI983112:FLI983119 FVE983112:FVE983119 GFA983112:GFA983119 GOW983112:GOW983119 GYS983112:GYS983119 HIO983112:HIO983119 HSK983112:HSK983119 ICG983112:ICG983119 IMC983112:IMC983119 IVY983112:IVY983119 JFU983112:JFU983119 JPQ983112:JPQ983119 JZM983112:JZM983119 KJI983112:KJI983119 KTE983112:KTE983119 LDA983112:LDA983119 LMW983112:LMW983119 LWS983112:LWS983119 MGO983112:MGO983119 MQK983112:MQK983119 NAG983112:NAG983119 NKC983112:NKC983119 NTY983112:NTY983119 ODU983112:ODU983119 ONQ983112:ONQ983119 OXM983112:OXM983119 PHI983112:PHI983119 PRE983112:PRE983119 QBA983112:QBA983119 QKW983112:QKW983119 QUS983112:QUS983119 REO983112:REO983119 ROK983112:ROK983119 RYG983112:RYG983119 SIC983112:SIC983119 SRY983112:SRY983119 TBU983112:TBU983119 TLQ983112:TLQ983119 TVM983112:TVM983119 UFI983112:UFI983119 UPE983112:UPE983119 UZA983112:UZA983119 VIW983112:VIW983119 VSS983112:VSS983119 WCO983112:WCO983119 WMK983112:WMK983119 WWG983112:WWG983119 AD72:AD79 JZ72:JZ79 TV72:TV79 ADR72:ADR79 ANN72:ANN79 AXJ72:AXJ79 BHF72:BHF79 BRB72:BRB79 CAX72:CAX79 CKT72:CKT79 CUP72:CUP79 DEL72:DEL79 DOH72:DOH79 DYD72:DYD79 EHZ72:EHZ79 ERV72:ERV79 FBR72:FBR79 FLN72:FLN79 FVJ72:FVJ79 GFF72:GFF79 GPB72:GPB79 GYX72:GYX79 HIT72:HIT79 HSP72:HSP79 ICL72:ICL79 IMH72:IMH79 IWD72:IWD79 JFZ72:JFZ79 JPV72:JPV79 JZR72:JZR79 KJN72:KJN79 KTJ72:KTJ79 LDF72:LDF79 LNB72:LNB79 LWX72:LWX79 MGT72:MGT79 MQP72:MQP79 NAL72:NAL79 NKH72:NKH79 NUD72:NUD79 ODZ72:ODZ79 ONV72:ONV79 OXR72:OXR79 PHN72:PHN79 PRJ72:PRJ79 QBF72:QBF79 QLB72:QLB79 QUX72:QUX79 RET72:RET79 ROP72:ROP79 RYL72:RYL79 SIH72:SIH79 SSD72:SSD79 TBZ72:TBZ79 TLV72:TLV79 TVR72:TVR79 UFN72:UFN79 UPJ72:UPJ79 UZF72:UZF79 VJB72:VJB79 VSX72:VSX79 WCT72:WCT79 WMP72:WMP79 WWL72:WWL79 AD65608:AD65615 JZ65608:JZ65615 TV65608:TV65615 ADR65608:ADR65615 ANN65608:ANN65615 AXJ65608:AXJ65615 BHF65608:BHF65615 BRB65608:BRB65615 CAX65608:CAX65615 CKT65608:CKT65615 CUP65608:CUP65615 DEL65608:DEL65615 DOH65608:DOH65615 DYD65608:DYD65615 EHZ65608:EHZ65615 ERV65608:ERV65615 FBR65608:FBR65615 FLN65608:FLN65615 FVJ65608:FVJ65615 GFF65608:GFF65615 GPB65608:GPB65615 GYX65608:GYX65615 HIT65608:HIT65615 HSP65608:HSP65615 ICL65608:ICL65615 IMH65608:IMH65615 IWD65608:IWD65615 JFZ65608:JFZ65615 JPV65608:JPV65615 JZR65608:JZR65615 KJN65608:KJN65615 KTJ65608:KTJ65615 LDF65608:LDF65615 LNB65608:LNB65615 LWX65608:LWX65615 MGT65608:MGT65615 MQP65608:MQP65615 NAL65608:NAL65615 NKH65608:NKH65615 NUD65608:NUD65615 ODZ65608:ODZ65615 ONV65608:ONV65615 OXR65608:OXR65615 PHN65608:PHN65615 PRJ65608:PRJ65615 QBF65608:QBF65615 QLB65608:QLB65615 QUX65608:QUX65615 RET65608:RET65615 ROP65608:ROP65615 RYL65608:RYL65615 SIH65608:SIH65615 SSD65608:SSD65615 TBZ65608:TBZ65615 TLV65608:TLV65615 TVR65608:TVR65615 UFN65608:UFN65615 UPJ65608:UPJ65615 UZF65608:UZF65615 VJB65608:VJB65615 VSX65608:VSX65615 WCT65608:WCT65615 WMP65608:WMP65615 WWL65608:WWL65615 AD131144:AD131151 JZ131144:JZ131151 TV131144:TV131151 ADR131144:ADR131151 ANN131144:ANN131151 AXJ131144:AXJ131151 BHF131144:BHF131151 BRB131144:BRB131151 CAX131144:CAX131151 CKT131144:CKT131151 CUP131144:CUP131151 DEL131144:DEL131151 DOH131144:DOH131151 DYD131144:DYD131151 EHZ131144:EHZ131151 ERV131144:ERV131151 FBR131144:FBR131151 FLN131144:FLN131151 FVJ131144:FVJ131151 GFF131144:GFF131151 GPB131144:GPB131151 GYX131144:GYX131151 HIT131144:HIT131151 HSP131144:HSP131151 ICL131144:ICL131151 IMH131144:IMH131151 IWD131144:IWD131151 JFZ131144:JFZ131151 JPV131144:JPV131151 JZR131144:JZR131151 KJN131144:KJN131151 KTJ131144:KTJ131151 LDF131144:LDF131151 LNB131144:LNB131151 LWX131144:LWX131151 MGT131144:MGT131151 MQP131144:MQP131151 NAL131144:NAL131151 NKH131144:NKH131151 NUD131144:NUD131151 ODZ131144:ODZ131151 ONV131144:ONV131151 OXR131144:OXR131151 PHN131144:PHN131151 PRJ131144:PRJ131151 QBF131144:QBF131151 QLB131144:QLB131151 QUX131144:QUX131151 RET131144:RET131151 ROP131144:ROP131151 RYL131144:RYL131151 SIH131144:SIH131151 SSD131144:SSD131151 TBZ131144:TBZ131151 TLV131144:TLV131151 TVR131144:TVR131151 UFN131144:UFN131151 UPJ131144:UPJ131151 UZF131144:UZF131151 VJB131144:VJB131151 VSX131144:VSX131151 WCT131144:WCT131151 WMP131144:WMP131151 WWL131144:WWL131151 AD196680:AD196687 JZ196680:JZ196687 TV196680:TV196687 ADR196680:ADR196687 ANN196680:ANN196687 AXJ196680:AXJ196687 BHF196680:BHF196687 BRB196680:BRB196687 CAX196680:CAX196687 CKT196680:CKT196687 CUP196680:CUP196687 DEL196680:DEL196687 DOH196680:DOH196687 DYD196680:DYD196687 EHZ196680:EHZ196687 ERV196680:ERV196687 FBR196680:FBR196687 FLN196680:FLN196687 FVJ196680:FVJ196687 GFF196680:GFF196687 GPB196680:GPB196687 GYX196680:GYX196687 HIT196680:HIT196687 HSP196680:HSP196687 ICL196680:ICL196687 IMH196680:IMH196687 IWD196680:IWD196687 JFZ196680:JFZ196687 JPV196680:JPV196687 JZR196680:JZR196687 KJN196680:KJN196687 KTJ196680:KTJ196687 LDF196680:LDF196687 LNB196680:LNB196687 LWX196680:LWX196687 MGT196680:MGT196687 MQP196680:MQP196687 NAL196680:NAL196687 NKH196680:NKH196687 NUD196680:NUD196687 ODZ196680:ODZ196687 ONV196680:ONV196687 OXR196680:OXR196687 PHN196680:PHN196687 PRJ196680:PRJ196687 QBF196680:QBF196687 QLB196680:QLB196687 QUX196680:QUX196687 RET196680:RET196687 ROP196680:ROP196687 RYL196680:RYL196687 SIH196680:SIH196687 SSD196680:SSD196687 TBZ196680:TBZ196687 TLV196680:TLV196687 TVR196680:TVR196687 UFN196680:UFN196687 UPJ196680:UPJ196687 UZF196680:UZF196687 VJB196680:VJB196687 VSX196680:VSX196687 WCT196680:WCT196687 WMP196680:WMP196687 WWL196680:WWL196687 AD262216:AD262223 JZ262216:JZ262223 TV262216:TV262223 ADR262216:ADR262223 ANN262216:ANN262223 AXJ262216:AXJ262223 BHF262216:BHF262223 BRB262216:BRB262223 CAX262216:CAX262223 CKT262216:CKT262223 CUP262216:CUP262223 DEL262216:DEL262223 DOH262216:DOH262223 DYD262216:DYD262223 EHZ262216:EHZ262223 ERV262216:ERV262223 FBR262216:FBR262223 FLN262216:FLN262223 FVJ262216:FVJ262223 GFF262216:GFF262223 GPB262216:GPB262223 GYX262216:GYX262223 HIT262216:HIT262223 HSP262216:HSP262223 ICL262216:ICL262223 IMH262216:IMH262223 IWD262216:IWD262223 JFZ262216:JFZ262223 JPV262216:JPV262223 JZR262216:JZR262223 KJN262216:KJN262223 KTJ262216:KTJ262223 LDF262216:LDF262223 LNB262216:LNB262223 LWX262216:LWX262223 MGT262216:MGT262223 MQP262216:MQP262223 NAL262216:NAL262223 NKH262216:NKH262223 NUD262216:NUD262223 ODZ262216:ODZ262223 ONV262216:ONV262223 OXR262216:OXR262223 PHN262216:PHN262223 PRJ262216:PRJ262223 QBF262216:QBF262223 QLB262216:QLB262223 QUX262216:QUX262223 RET262216:RET262223 ROP262216:ROP262223 RYL262216:RYL262223 SIH262216:SIH262223 SSD262216:SSD262223 TBZ262216:TBZ262223 TLV262216:TLV262223 TVR262216:TVR262223 UFN262216:UFN262223 UPJ262216:UPJ262223 UZF262216:UZF262223 VJB262216:VJB262223 VSX262216:VSX262223 WCT262216:WCT262223 WMP262216:WMP262223 WWL262216:WWL262223 AD327752:AD327759 JZ327752:JZ327759 TV327752:TV327759 ADR327752:ADR327759 ANN327752:ANN327759 AXJ327752:AXJ327759 BHF327752:BHF327759 BRB327752:BRB327759 CAX327752:CAX327759 CKT327752:CKT327759 CUP327752:CUP327759 DEL327752:DEL327759 DOH327752:DOH327759 DYD327752:DYD327759 EHZ327752:EHZ327759 ERV327752:ERV327759 FBR327752:FBR327759 FLN327752:FLN327759 FVJ327752:FVJ327759 GFF327752:GFF327759 GPB327752:GPB327759 GYX327752:GYX327759 HIT327752:HIT327759 HSP327752:HSP327759 ICL327752:ICL327759 IMH327752:IMH327759 IWD327752:IWD327759 JFZ327752:JFZ327759 JPV327752:JPV327759 JZR327752:JZR327759 KJN327752:KJN327759 KTJ327752:KTJ327759 LDF327752:LDF327759 LNB327752:LNB327759 LWX327752:LWX327759 MGT327752:MGT327759 MQP327752:MQP327759 NAL327752:NAL327759 NKH327752:NKH327759 NUD327752:NUD327759 ODZ327752:ODZ327759 ONV327752:ONV327759 OXR327752:OXR327759 PHN327752:PHN327759 PRJ327752:PRJ327759 QBF327752:QBF327759 QLB327752:QLB327759 QUX327752:QUX327759 RET327752:RET327759 ROP327752:ROP327759 RYL327752:RYL327759 SIH327752:SIH327759 SSD327752:SSD327759 TBZ327752:TBZ327759 TLV327752:TLV327759 TVR327752:TVR327759 UFN327752:UFN327759 UPJ327752:UPJ327759 UZF327752:UZF327759 VJB327752:VJB327759 VSX327752:VSX327759 WCT327752:WCT327759 WMP327752:WMP327759 WWL327752:WWL327759 AD393288:AD393295 JZ393288:JZ393295 TV393288:TV393295 ADR393288:ADR393295 ANN393288:ANN393295 AXJ393288:AXJ393295 BHF393288:BHF393295 BRB393288:BRB393295 CAX393288:CAX393295 CKT393288:CKT393295 CUP393288:CUP393295 DEL393288:DEL393295 DOH393288:DOH393295 DYD393288:DYD393295 EHZ393288:EHZ393295 ERV393288:ERV393295 FBR393288:FBR393295 FLN393288:FLN393295 FVJ393288:FVJ393295 GFF393288:GFF393295 GPB393288:GPB393295 GYX393288:GYX393295 HIT393288:HIT393295 HSP393288:HSP393295 ICL393288:ICL393295 IMH393288:IMH393295 IWD393288:IWD393295 JFZ393288:JFZ393295 JPV393288:JPV393295 JZR393288:JZR393295 KJN393288:KJN393295 KTJ393288:KTJ393295 LDF393288:LDF393295 LNB393288:LNB393295 LWX393288:LWX393295 MGT393288:MGT393295 MQP393288:MQP393295 NAL393288:NAL393295 NKH393288:NKH393295 NUD393288:NUD393295 ODZ393288:ODZ393295 ONV393288:ONV393295 OXR393288:OXR393295 PHN393288:PHN393295 PRJ393288:PRJ393295 QBF393288:QBF393295 QLB393288:QLB393295 QUX393288:QUX393295 RET393288:RET393295 ROP393288:ROP393295 RYL393288:RYL393295 SIH393288:SIH393295 SSD393288:SSD393295 TBZ393288:TBZ393295 TLV393288:TLV393295 TVR393288:TVR393295 UFN393288:UFN393295 UPJ393288:UPJ393295 UZF393288:UZF393295 VJB393288:VJB393295 VSX393288:VSX393295 WCT393288:WCT393295 WMP393288:WMP393295 WWL393288:WWL393295 AD458824:AD458831 JZ458824:JZ458831 TV458824:TV458831 ADR458824:ADR458831 ANN458824:ANN458831 AXJ458824:AXJ458831 BHF458824:BHF458831 BRB458824:BRB458831 CAX458824:CAX458831 CKT458824:CKT458831 CUP458824:CUP458831 DEL458824:DEL458831 DOH458824:DOH458831 DYD458824:DYD458831 EHZ458824:EHZ458831 ERV458824:ERV458831 FBR458824:FBR458831 FLN458824:FLN458831 FVJ458824:FVJ458831 GFF458824:GFF458831 GPB458824:GPB458831 GYX458824:GYX458831 HIT458824:HIT458831 HSP458824:HSP458831 ICL458824:ICL458831 IMH458824:IMH458831 IWD458824:IWD458831 JFZ458824:JFZ458831 JPV458824:JPV458831 JZR458824:JZR458831 KJN458824:KJN458831 KTJ458824:KTJ458831 LDF458824:LDF458831 LNB458824:LNB458831 LWX458824:LWX458831 MGT458824:MGT458831 MQP458824:MQP458831 NAL458824:NAL458831 NKH458824:NKH458831 NUD458824:NUD458831 ODZ458824:ODZ458831 ONV458824:ONV458831 OXR458824:OXR458831 PHN458824:PHN458831 PRJ458824:PRJ458831 QBF458824:QBF458831 QLB458824:QLB458831 QUX458824:QUX458831 RET458824:RET458831 ROP458824:ROP458831 RYL458824:RYL458831 SIH458824:SIH458831 SSD458824:SSD458831 TBZ458824:TBZ458831 TLV458824:TLV458831 TVR458824:TVR458831 UFN458824:UFN458831 UPJ458824:UPJ458831 UZF458824:UZF458831 VJB458824:VJB458831 VSX458824:VSX458831 WCT458824:WCT458831 WMP458824:WMP458831 WWL458824:WWL458831 AD524360:AD524367 JZ524360:JZ524367 TV524360:TV524367 ADR524360:ADR524367 ANN524360:ANN524367 AXJ524360:AXJ524367 BHF524360:BHF524367 BRB524360:BRB524367 CAX524360:CAX524367 CKT524360:CKT524367 CUP524360:CUP524367 DEL524360:DEL524367 DOH524360:DOH524367 DYD524360:DYD524367 EHZ524360:EHZ524367 ERV524360:ERV524367 FBR524360:FBR524367 FLN524360:FLN524367 FVJ524360:FVJ524367 GFF524360:GFF524367 GPB524360:GPB524367 GYX524360:GYX524367 HIT524360:HIT524367 HSP524360:HSP524367 ICL524360:ICL524367 IMH524360:IMH524367 IWD524360:IWD524367 JFZ524360:JFZ524367 JPV524360:JPV524367 JZR524360:JZR524367 KJN524360:KJN524367 KTJ524360:KTJ524367 LDF524360:LDF524367 LNB524360:LNB524367 LWX524360:LWX524367 MGT524360:MGT524367 MQP524360:MQP524367 NAL524360:NAL524367 NKH524360:NKH524367 NUD524360:NUD524367 ODZ524360:ODZ524367 ONV524360:ONV524367 OXR524360:OXR524367 PHN524360:PHN524367 PRJ524360:PRJ524367 QBF524360:QBF524367 QLB524360:QLB524367 QUX524360:QUX524367 RET524360:RET524367 ROP524360:ROP524367 RYL524360:RYL524367 SIH524360:SIH524367 SSD524360:SSD524367 TBZ524360:TBZ524367 TLV524360:TLV524367 TVR524360:TVR524367 UFN524360:UFN524367 UPJ524360:UPJ524367 UZF524360:UZF524367 VJB524360:VJB524367 VSX524360:VSX524367 WCT524360:WCT524367 WMP524360:WMP524367 WWL524360:WWL524367 AD589896:AD589903 JZ589896:JZ589903 TV589896:TV589903 ADR589896:ADR589903 ANN589896:ANN589903 AXJ589896:AXJ589903 BHF589896:BHF589903 BRB589896:BRB589903 CAX589896:CAX589903 CKT589896:CKT589903 CUP589896:CUP589903 DEL589896:DEL589903 DOH589896:DOH589903 DYD589896:DYD589903 EHZ589896:EHZ589903 ERV589896:ERV589903 FBR589896:FBR589903 FLN589896:FLN589903 FVJ589896:FVJ589903 GFF589896:GFF589903 GPB589896:GPB589903 GYX589896:GYX589903 HIT589896:HIT589903 HSP589896:HSP589903 ICL589896:ICL589903 IMH589896:IMH589903 IWD589896:IWD589903 JFZ589896:JFZ589903 JPV589896:JPV589903 JZR589896:JZR589903 KJN589896:KJN589903 KTJ589896:KTJ589903 LDF589896:LDF589903 LNB589896:LNB589903 LWX589896:LWX589903 MGT589896:MGT589903 MQP589896:MQP589903 NAL589896:NAL589903 NKH589896:NKH589903 NUD589896:NUD589903 ODZ589896:ODZ589903 ONV589896:ONV589903 OXR589896:OXR589903 PHN589896:PHN589903 PRJ589896:PRJ589903 QBF589896:QBF589903 QLB589896:QLB589903 QUX589896:QUX589903 RET589896:RET589903 ROP589896:ROP589903 RYL589896:RYL589903 SIH589896:SIH589903 SSD589896:SSD589903 TBZ589896:TBZ589903 TLV589896:TLV589903 TVR589896:TVR589903 UFN589896:UFN589903 UPJ589896:UPJ589903 UZF589896:UZF589903 VJB589896:VJB589903 VSX589896:VSX589903 WCT589896:WCT589903 WMP589896:WMP589903 WWL589896:WWL589903 AD655432:AD655439 JZ655432:JZ655439 TV655432:TV655439 ADR655432:ADR655439 ANN655432:ANN655439 AXJ655432:AXJ655439 BHF655432:BHF655439 BRB655432:BRB655439 CAX655432:CAX655439 CKT655432:CKT655439 CUP655432:CUP655439 DEL655432:DEL655439 DOH655432:DOH655439 DYD655432:DYD655439 EHZ655432:EHZ655439 ERV655432:ERV655439 FBR655432:FBR655439 FLN655432:FLN655439 FVJ655432:FVJ655439 GFF655432:GFF655439 GPB655432:GPB655439 GYX655432:GYX655439 HIT655432:HIT655439 HSP655432:HSP655439 ICL655432:ICL655439 IMH655432:IMH655439 IWD655432:IWD655439 JFZ655432:JFZ655439 JPV655432:JPV655439 JZR655432:JZR655439 KJN655432:KJN655439 KTJ655432:KTJ655439 LDF655432:LDF655439 LNB655432:LNB655439 LWX655432:LWX655439 MGT655432:MGT655439 MQP655432:MQP655439 NAL655432:NAL655439 NKH655432:NKH655439 NUD655432:NUD655439 ODZ655432:ODZ655439 ONV655432:ONV655439 OXR655432:OXR655439 PHN655432:PHN655439 PRJ655432:PRJ655439 QBF655432:QBF655439 QLB655432:QLB655439 QUX655432:QUX655439 RET655432:RET655439 ROP655432:ROP655439 RYL655432:RYL655439 SIH655432:SIH655439 SSD655432:SSD655439 TBZ655432:TBZ655439 TLV655432:TLV655439 TVR655432:TVR655439 UFN655432:UFN655439 UPJ655432:UPJ655439 UZF655432:UZF655439 VJB655432:VJB655439 VSX655432:VSX655439 WCT655432:WCT655439 WMP655432:WMP655439 WWL655432:WWL655439 AD720968:AD720975 JZ720968:JZ720975 TV720968:TV720975 ADR720968:ADR720975 ANN720968:ANN720975 AXJ720968:AXJ720975 BHF720968:BHF720975 BRB720968:BRB720975 CAX720968:CAX720975 CKT720968:CKT720975 CUP720968:CUP720975 DEL720968:DEL720975 DOH720968:DOH720975 DYD720968:DYD720975 EHZ720968:EHZ720975 ERV720968:ERV720975 FBR720968:FBR720975 FLN720968:FLN720975 FVJ720968:FVJ720975 GFF720968:GFF720975 GPB720968:GPB720975 GYX720968:GYX720975 HIT720968:HIT720975 HSP720968:HSP720975 ICL720968:ICL720975 IMH720968:IMH720975 IWD720968:IWD720975 JFZ720968:JFZ720975 JPV720968:JPV720975 JZR720968:JZR720975 KJN720968:KJN720975 KTJ720968:KTJ720975 LDF720968:LDF720975 LNB720968:LNB720975 LWX720968:LWX720975 MGT720968:MGT720975 MQP720968:MQP720975 NAL720968:NAL720975 NKH720968:NKH720975 NUD720968:NUD720975 ODZ720968:ODZ720975 ONV720968:ONV720975 OXR720968:OXR720975 PHN720968:PHN720975 PRJ720968:PRJ720975 QBF720968:QBF720975 QLB720968:QLB720975 QUX720968:QUX720975 RET720968:RET720975 ROP720968:ROP720975 RYL720968:RYL720975 SIH720968:SIH720975 SSD720968:SSD720975 TBZ720968:TBZ720975 TLV720968:TLV720975 TVR720968:TVR720975 UFN720968:UFN720975 UPJ720968:UPJ720975 UZF720968:UZF720975 VJB720968:VJB720975 VSX720968:VSX720975 WCT720968:WCT720975 WMP720968:WMP720975 WWL720968:WWL720975 AD786504:AD786511 JZ786504:JZ786511 TV786504:TV786511 ADR786504:ADR786511 ANN786504:ANN786511 AXJ786504:AXJ786511 BHF786504:BHF786511 BRB786504:BRB786511 CAX786504:CAX786511 CKT786504:CKT786511 CUP786504:CUP786511 DEL786504:DEL786511 DOH786504:DOH786511 DYD786504:DYD786511 EHZ786504:EHZ786511 ERV786504:ERV786511 FBR786504:FBR786511 FLN786504:FLN786511 FVJ786504:FVJ786511 GFF786504:GFF786511 GPB786504:GPB786511 GYX786504:GYX786511 HIT786504:HIT786511 HSP786504:HSP786511 ICL786504:ICL786511 IMH786504:IMH786511 IWD786504:IWD786511 JFZ786504:JFZ786511 JPV786504:JPV786511 JZR786504:JZR786511 KJN786504:KJN786511 KTJ786504:KTJ786511 LDF786504:LDF786511 LNB786504:LNB786511 LWX786504:LWX786511 MGT786504:MGT786511 MQP786504:MQP786511 NAL786504:NAL786511 NKH786504:NKH786511 NUD786504:NUD786511 ODZ786504:ODZ786511 ONV786504:ONV786511 OXR786504:OXR786511 PHN786504:PHN786511 PRJ786504:PRJ786511 QBF786504:QBF786511 QLB786504:QLB786511 QUX786504:QUX786511 RET786504:RET786511 ROP786504:ROP786511 RYL786504:RYL786511 SIH786504:SIH786511 SSD786504:SSD786511 TBZ786504:TBZ786511 TLV786504:TLV786511 TVR786504:TVR786511 UFN786504:UFN786511 UPJ786504:UPJ786511 UZF786504:UZF786511 VJB786504:VJB786511 VSX786504:VSX786511 WCT786504:WCT786511 WMP786504:WMP786511 WWL786504:WWL786511 AD852040:AD852047 JZ852040:JZ852047 TV852040:TV852047 ADR852040:ADR852047 ANN852040:ANN852047 AXJ852040:AXJ852047 BHF852040:BHF852047 BRB852040:BRB852047 CAX852040:CAX852047 CKT852040:CKT852047 CUP852040:CUP852047 DEL852040:DEL852047 DOH852040:DOH852047 DYD852040:DYD852047 EHZ852040:EHZ852047 ERV852040:ERV852047 FBR852040:FBR852047 FLN852040:FLN852047 FVJ852040:FVJ852047 GFF852040:GFF852047 GPB852040:GPB852047 GYX852040:GYX852047 HIT852040:HIT852047 HSP852040:HSP852047 ICL852040:ICL852047 IMH852040:IMH852047 IWD852040:IWD852047 JFZ852040:JFZ852047 JPV852040:JPV852047 JZR852040:JZR852047 KJN852040:KJN852047 KTJ852040:KTJ852047 LDF852040:LDF852047 LNB852040:LNB852047 LWX852040:LWX852047 MGT852040:MGT852047 MQP852040:MQP852047 NAL852040:NAL852047 NKH852040:NKH852047 NUD852040:NUD852047 ODZ852040:ODZ852047 ONV852040:ONV852047 OXR852040:OXR852047 PHN852040:PHN852047 PRJ852040:PRJ852047 QBF852040:QBF852047 QLB852040:QLB852047 QUX852040:QUX852047 RET852040:RET852047 ROP852040:ROP852047 RYL852040:RYL852047 SIH852040:SIH852047 SSD852040:SSD852047 TBZ852040:TBZ852047 TLV852040:TLV852047 TVR852040:TVR852047 UFN852040:UFN852047 UPJ852040:UPJ852047 UZF852040:UZF852047 VJB852040:VJB852047 VSX852040:VSX852047 WCT852040:WCT852047 WMP852040:WMP852047 WWL852040:WWL852047 AD917576:AD917583 JZ917576:JZ917583 TV917576:TV917583 ADR917576:ADR917583 ANN917576:ANN917583 AXJ917576:AXJ917583 BHF917576:BHF917583 BRB917576:BRB917583 CAX917576:CAX917583 CKT917576:CKT917583 CUP917576:CUP917583 DEL917576:DEL917583 DOH917576:DOH917583 DYD917576:DYD917583 EHZ917576:EHZ917583 ERV917576:ERV917583 FBR917576:FBR917583 FLN917576:FLN917583 FVJ917576:FVJ917583 GFF917576:GFF917583 GPB917576:GPB917583 GYX917576:GYX917583 HIT917576:HIT917583 HSP917576:HSP917583 ICL917576:ICL917583 IMH917576:IMH917583 IWD917576:IWD917583 JFZ917576:JFZ917583 JPV917576:JPV917583 JZR917576:JZR917583 KJN917576:KJN917583 KTJ917576:KTJ917583 LDF917576:LDF917583 LNB917576:LNB917583 LWX917576:LWX917583 MGT917576:MGT917583 MQP917576:MQP917583 NAL917576:NAL917583 NKH917576:NKH917583 NUD917576:NUD917583 ODZ917576:ODZ917583 ONV917576:ONV917583 OXR917576:OXR917583 PHN917576:PHN917583 PRJ917576:PRJ917583 QBF917576:QBF917583 QLB917576:QLB917583 QUX917576:QUX917583 RET917576:RET917583 ROP917576:ROP917583 RYL917576:RYL917583 SIH917576:SIH917583 SSD917576:SSD917583 TBZ917576:TBZ917583 TLV917576:TLV917583 TVR917576:TVR917583 UFN917576:UFN917583 UPJ917576:UPJ917583 UZF917576:UZF917583 VJB917576:VJB917583 VSX917576:VSX917583 WCT917576:WCT917583 WMP917576:WMP917583 WWL917576:WWL917583 AD983112:AD983119 JZ983112:JZ983119 TV983112:TV983119 ADR983112:ADR983119 ANN983112:ANN983119 AXJ983112:AXJ983119 BHF983112:BHF983119 BRB983112:BRB983119 CAX983112:CAX983119 CKT983112:CKT983119 CUP983112:CUP983119 DEL983112:DEL983119 DOH983112:DOH983119 DYD983112:DYD983119 EHZ983112:EHZ983119 ERV983112:ERV983119 FBR983112:FBR983119 FLN983112:FLN983119 FVJ983112:FVJ983119 GFF983112:GFF983119 GPB983112:GPB983119 GYX983112:GYX983119 HIT983112:HIT983119 HSP983112:HSP983119 ICL983112:ICL983119 IMH983112:IMH983119 IWD983112:IWD983119 JFZ983112:JFZ983119 JPV983112:JPV983119 JZR983112:JZR983119 KJN983112:KJN983119 KTJ983112:KTJ983119 LDF983112:LDF983119 LNB983112:LNB983119 LWX983112:LWX983119 MGT983112:MGT983119 MQP983112:MQP983119 NAL983112:NAL983119 NKH983112:NKH983119 NUD983112:NUD983119 ODZ983112:ODZ983119 ONV983112:ONV983119 OXR983112:OXR983119 PHN983112:PHN983119 PRJ983112:PRJ983119 QBF983112:QBF983119 QLB983112:QLB983119 QUX983112:QUX983119 RET983112:RET983119 ROP983112:ROP983119 RYL983112:RYL983119 SIH983112:SIH983119 SSD983112:SSD983119 TBZ983112:TBZ983119 TLV983112:TLV983119 TVR983112:TVR983119 UFN983112:UFN983119 UPJ983112:UPJ983119 UZF983112:UZF983119 VJB983112:VJB983119 VSX983112:VSX983119 WCT983112:WCT983119 Y74:Y79" xr:uid="{00000000-0002-0000-0800-000007000000}">
      <formula1>0</formula1>
      <formula2>3</formula2>
    </dataValidation>
    <dataValidation type="whole" showDropDown="1" showInputMessage="1" showErrorMessage="1" error="Môže byť iba _x000a_1, 2, 3, 4, 5, 6, 7, 8, 9 - ak prvá číslica je 0_x000a__x000a_0, 1, 2                           - ak prvá číslica je 1" prompt="        Musí byť iba _x000a__x000a_1, 2, 3, 4, 5, 6, 7, 8, 9  _x000a_  (ak prvá číslica je 0)_x000a__x000a_           0, 1, 2 _x000a_  (ak prvá číslica je 1)" sqref="WWO983112:WWO983119 KE8:KE9 UA8:UA9 ADW8:ADW9 ANS8:ANS9 AXO8:AXO9 BHK8:BHK9 BRG8:BRG9 CBC8:CBC9 CKY8:CKY9 CUU8:CUU9 DEQ8:DEQ9 DOM8:DOM9 DYI8:DYI9 EIE8:EIE9 ESA8:ESA9 FBW8:FBW9 FLS8:FLS9 FVO8:FVO9 GFK8:GFK9 GPG8:GPG9 GZC8:GZC9 HIY8:HIY9 HSU8:HSU9 ICQ8:ICQ9 IMM8:IMM9 IWI8:IWI9 JGE8:JGE9 JQA8:JQA9 JZW8:JZW9 KJS8:KJS9 KTO8:KTO9 LDK8:LDK9 LNG8:LNG9 LXC8:LXC9 MGY8:MGY9 MQU8:MQU9 NAQ8:NAQ9 NKM8:NKM9 NUI8:NUI9 OEE8:OEE9 OOA8:OOA9 OXW8:OXW9 PHS8:PHS9 PRO8:PRO9 QBK8:QBK9 QLG8:QLG9 QVC8:QVC9 REY8:REY9 ROU8:ROU9 RYQ8:RYQ9 SIM8:SIM9 SSI8:SSI9 TCE8:TCE9 TMA8:TMA9 TVW8:TVW9 UFS8:UFS9 UPO8:UPO9 UZK8:UZK9 VJG8:VJG9 VTC8:VTC9 WCY8:WCY9 WMU8:WMU9 WWQ8:WWQ9 AI65544:AI65545 KE65544:KE65545 UA65544:UA65545 ADW65544:ADW65545 ANS65544:ANS65545 AXO65544:AXO65545 BHK65544:BHK65545 BRG65544:BRG65545 CBC65544:CBC65545 CKY65544:CKY65545 CUU65544:CUU65545 DEQ65544:DEQ65545 DOM65544:DOM65545 DYI65544:DYI65545 EIE65544:EIE65545 ESA65544:ESA65545 FBW65544:FBW65545 FLS65544:FLS65545 FVO65544:FVO65545 GFK65544:GFK65545 GPG65544:GPG65545 GZC65544:GZC65545 HIY65544:HIY65545 HSU65544:HSU65545 ICQ65544:ICQ65545 IMM65544:IMM65545 IWI65544:IWI65545 JGE65544:JGE65545 JQA65544:JQA65545 JZW65544:JZW65545 KJS65544:KJS65545 KTO65544:KTO65545 LDK65544:LDK65545 LNG65544:LNG65545 LXC65544:LXC65545 MGY65544:MGY65545 MQU65544:MQU65545 NAQ65544:NAQ65545 NKM65544:NKM65545 NUI65544:NUI65545 OEE65544:OEE65545 OOA65544:OOA65545 OXW65544:OXW65545 PHS65544:PHS65545 PRO65544:PRO65545 QBK65544:QBK65545 QLG65544:QLG65545 QVC65544:QVC65545 REY65544:REY65545 ROU65544:ROU65545 RYQ65544:RYQ65545 SIM65544:SIM65545 SSI65544:SSI65545 TCE65544:TCE65545 TMA65544:TMA65545 TVW65544:TVW65545 UFS65544:UFS65545 UPO65544:UPO65545 UZK65544:UZK65545 VJG65544:VJG65545 VTC65544:VTC65545 WCY65544:WCY65545 WMU65544:WMU65545 WWQ65544:WWQ65545 AI131080:AI131081 KE131080:KE131081 UA131080:UA131081 ADW131080:ADW131081 ANS131080:ANS131081 AXO131080:AXO131081 BHK131080:BHK131081 BRG131080:BRG131081 CBC131080:CBC131081 CKY131080:CKY131081 CUU131080:CUU131081 DEQ131080:DEQ131081 DOM131080:DOM131081 DYI131080:DYI131081 EIE131080:EIE131081 ESA131080:ESA131081 FBW131080:FBW131081 FLS131080:FLS131081 FVO131080:FVO131081 GFK131080:GFK131081 GPG131080:GPG131081 GZC131080:GZC131081 HIY131080:HIY131081 HSU131080:HSU131081 ICQ131080:ICQ131081 IMM131080:IMM131081 IWI131080:IWI131081 JGE131080:JGE131081 JQA131080:JQA131081 JZW131080:JZW131081 KJS131080:KJS131081 KTO131080:KTO131081 LDK131080:LDK131081 LNG131080:LNG131081 LXC131080:LXC131081 MGY131080:MGY131081 MQU131080:MQU131081 NAQ131080:NAQ131081 NKM131080:NKM131081 NUI131080:NUI131081 OEE131080:OEE131081 OOA131080:OOA131081 OXW131080:OXW131081 PHS131080:PHS131081 PRO131080:PRO131081 QBK131080:QBK131081 QLG131080:QLG131081 QVC131080:QVC131081 REY131080:REY131081 ROU131080:ROU131081 RYQ131080:RYQ131081 SIM131080:SIM131081 SSI131080:SSI131081 TCE131080:TCE131081 TMA131080:TMA131081 TVW131080:TVW131081 UFS131080:UFS131081 UPO131080:UPO131081 UZK131080:UZK131081 VJG131080:VJG131081 VTC131080:VTC131081 WCY131080:WCY131081 WMU131080:WMU131081 WWQ131080:WWQ131081 AI196616:AI196617 KE196616:KE196617 UA196616:UA196617 ADW196616:ADW196617 ANS196616:ANS196617 AXO196616:AXO196617 BHK196616:BHK196617 BRG196616:BRG196617 CBC196616:CBC196617 CKY196616:CKY196617 CUU196616:CUU196617 DEQ196616:DEQ196617 DOM196616:DOM196617 DYI196616:DYI196617 EIE196616:EIE196617 ESA196616:ESA196617 FBW196616:FBW196617 FLS196616:FLS196617 FVO196616:FVO196617 GFK196616:GFK196617 GPG196616:GPG196617 GZC196616:GZC196617 HIY196616:HIY196617 HSU196616:HSU196617 ICQ196616:ICQ196617 IMM196616:IMM196617 IWI196616:IWI196617 JGE196616:JGE196617 JQA196616:JQA196617 JZW196616:JZW196617 KJS196616:KJS196617 KTO196616:KTO196617 LDK196616:LDK196617 LNG196616:LNG196617 LXC196616:LXC196617 MGY196616:MGY196617 MQU196616:MQU196617 NAQ196616:NAQ196617 NKM196616:NKM196617 NUI196616:NUI196617 OEE196616:OEE196617 OOA196616:OOA196617 OXW196616:OXW196617 PHS196616:PHS196617 PRO196616:PRO196617 QBK196616:QBK196617 QLG196616:QLG196617 QVC196616:QVC196617 REY196616:REY196617 ROU196616:ROU196617 RYQ196616:RYQ196617 SIM196616:SIM196617 SSI196616:SSI196617 TCE196616:TCE196617 TMA196616:TMA196617 TVW196616:TVW196617 UFS196616:UFS196617 UPO196616:UPO196617 UZK196616:UZK196617 VJG196616:VJG196617 VTC196616:VTC196617 WCY196616:WCY196617 WMU196616:WMU196617 WWQ196616:WWQ196617 AI262152:AI262153 KE262152:KE262153 UA262152:UA262153 ADW262152:ADW262153 ANS262152:ANS262153 AXO262152:AXO262153 BHK262152:BHK262153 BRG262152:BRG262153 CBC262152:CBC262153 CKY262152:CKY262153 CUU262152:CUU262153 DEQ262152:DEQ262153 DOM262152:DOM262153 DYI262152:DYI262153 EIE262152:EIE262153 ESA262152:ESA262153 FBW262152:FBW262153 FLS262152:FLS262153 FVO262152:FVO262153 GFK262152:GFK262153 GPG262152:GPG262153 GZC262152:GZC262153 HIY262152:HIY262153 HSU262152:HSU262153 ICQ262152:ICQ262153 IMM262152:IMM262153 IWI262152:IWI262153 JGE262152:JGE262153 JQA262152:JQA262153 JZW262152:JZW262153 KJS262152:KJS262153 KTO262152:KTO262153 LDK262152:LDK262153 LNG262152:LNG262153 LXC262152:LXC262153 MGY262152:MGY262153 MQU262152:MQU262153 NAQ262152:NAQ262153 NKM262152:NKM262153 NUI262152:NUI262153 OEE262152:OEE262153 OOA262152:OOA262153 OXW262152:OXW262153 PHS262152:PHS262153 PRO262152:PRO262153 QBK262152:QBK262153 QLG262152:QLG262153 QVC262152:QVC262153 REY262152:REY262153 ROU262152:ROU262153 RYQ262152:RYQ262153 SIM262152:SIM262153 SSI262152:SSI262153 TCE262152:TCE262153 TMA262152:TMA262153 TVW262152:TVW262153 UFS262152:UFS262153 UPO262152:UPO262153 UZK262152:UZK262153 VJG262152:VJG262153 VTC262152:VTC262153 WCY262152:WCY262153 WMU262152:WMU262153 WWQ262152:WWQ262153 AI327688:AI327689 KE327688:KE327689 UA327688:UA327689 ADW327688:ADW327689 ANS327688:ANS327689 AXO327688:AXO327689 BHK327688:BHK327689 BRG327688:BRG327689 CBC327688:CBC327689 CKY327688:CKY327689 CUU327688:CUU327689 DEQ327688:DEQ327689 DOM327688:DOM327689 DYI327688:DYI327689 EIE327688:EIE327689 ESA327688:ESA327689 FBW327688:FBW327689 FLS327688:FLS327689 FVO327688:FVO327689 GFK327688:GFK327689 GPG327688:GPG327689 GZC327688:GZC327689 HIY327688:HIY327689 HSU327688:HSU327689 ICQ327688:ICQ327689 IMM327688:IMM327689 IWI327688:IWI327689 JGE327688:JGE327689 JQA327688:JQA327689 JZW327688:JZW327689 KJS327688:KJS327689 KTO327688:KTO327689 LDK327688:LDK327689 LNG327688:LNG327689 LXC327688:LXC327689 MGY327688:MGY327689 MQU327688:MQU327689 NAQ327688:NAQ327689 NKM327688:NKM327689 NUI327688:NUI327689 OEE327688:OEE327689 OOA327688:OOA327689 OXW327688:OXW327689 PHS327688:PHS327689 PRO327688:PRO327689 QBK327688:QBK327689 QLG327688:QLG327689 QVC327688:QVC327689 REY327688:REY327689 ROU327688:ROU327689 RYQ327688:RYQ327689 SIM327688:SIM327689 SSI327688:SSI327689 TCE327688:TCE327689 TMA327688:TMA327689 TVW327688:TVW327689 UFS327688:UFS327689 UPO327688:UPO327689 UZK327688:UZK327689 VJG327688:VJG327689 VTC327688:VTC327689 WCY327688:WCY327689 WMU327688:WMU327689 WWQ327688:WWQ327689 AI393224:AI393225 KE393224:KE393225 UA393224:UA393225 ADW393224:ADW393225 ANS393224:ANS393225 AXO393224:AXO393225 BHK393224:BHK393225 BRG393224:BRG393225 CBC393224:CBC393225 CKY393224:CKY393225 CUU393224:CUU393225 DEQ393224:DEQ393225 DOM393224:DOM393225 DYI393224:DYI393225 EIE393224:EIE393225 ESA393224:ESA393225 FBW393224:FBW393225 FLS393224:FLS393225 FVO393224:FVO393225 GFK393224:GFK393225 GPG393224:GPG393225 GZC393224:GZC393225 HIY393224:HIY393225 HSU393224:HSU393225 ICQ393224:ICQ393225 IMM393224:IMM393225 IWI393224:IWI393225 JGE393224:JGE393225 JQA393224:JQA393225 JZW393224:JZW393225 KJS393224:KJS393225 KTO393224:KTO393225 LDK393224:LDK393225 LNG393224:LNG393225 LXC393224:LXC393225 MGY393224:MGY393225 MQU393224:MQU393225 NAQ393224:NAQ393225 NKM393224:NKM393225 NUI393224:NUI393225 OEE393224:OEE393225 OOA393224:OOA393225 OXW393224:OXW393225 PHS393224:PHS393225 PRO393224:PRO393225 QBK393224:QBK393225 QLG393224:QLG393225 QVC393224:QVC393225 REY393224:REY393225 ROU393224:ROU393225 RYQ393224:RYQ393225 SIM393224:SIM393225 SSI393224:SSI393225 TCE393224:TCE393225 TMA393224:TMA393225 TVW393224:TVW393225 UFS393224:UFS393225 UPO393224:UPO393225 UZK393224:UZK393225 VJG393224:VJG393225 VTC393224:VTC393225 WCY393224:WCY393225 WMU393224:WMU393225 WWQ393224:WWQ393225 AI458760:AI458761 KE458760:KE458761 UA458760:UA458761 ADW458760:ADW458761 ANS458760:ANS458761 AXO458760:AXO458761 BHK458760:BHK458761 BRG458760:BRG458761 CBC458760:CBC458761 CKY458760:CKY458761 CUU458760:CUU458761 DEQ458760:DEQ458761 DOM458760:DOM458761 DYI458760:DYI458761 EIE458760:EIE458761 ESA458760:ESA458761 FBW458760:FBW458761 FLS458760:FLS458761 FVO458760:FVO458761 GFK458760:GFK458761 GPG458760:GPG458761 GZC458760:GZC458761 HIY458760:HIY458761 HSU458760:HSU458761 ICQ458760:ICQ458761 IMM458760:IMM458761 IWI458760:IWI458761 JGE458760:JGE458761 JQA458760:JQA458761 JZW458760:JZW458761 KJS458760:KJS458761 KTO458760:KTO458761 LDK458760:LDK458761 LNG458760:LNG458761 LXC458760:LXC458761 MGY458760:MGY458761 MQU458760:MQU458761 NAQ458760:NAQ458761 NKM458760:NKM458761 NUI458760:NUI458761 OEE458760:OEE458761 OOA458760:OOA458761 OXW458760:OXW458761 PHS458760:PHS458761 PRO458760:PRO458761 QBK458760:QBK458761 QLG458760:QLG458761 QVC458760:QVC458761 REY458760:REY458761 ROU458760:ROU458761 RYQ458760:RYQ458761 SIM458760:SIM458761 SSI458760:SSI458761 TCE458760:TCE458761 TMA458760:TMA458761 TVW458760:TVW458761 UFS458760:UFS458761 UPO458760:UPO458761 UZK458760:UZK458761 VJG458760:VJG458761 VTC458760:VTC458761 WCY458760:WCY458761 WMU458760:WMU458761 WWQ458760:WWQ458761 AI524296:AI524297 KE524296:KE524297 UA524296:UA524297 ADW524296:ADW524297 ANS524296:ANS524297 AXO524296:AXO524297 BHK524296:BHK524297 BRG524296:BRG524297 CBC524296:CBC524297 CKY524296:CKY524297 CUU524296:CUU524297 DEQ524296:DEQ524297 DOM524296:DOM524297 DYI524296:DYI524297 EIE524296:EIE524297 ESA524296:ESA524297 FBW524296:FBW524297 FLS524296:FLS524297 FVO524296:FVO524297 GFK524296:GFK524297 GPG524296:GPG524297 GZC524296:GZC524297 HIY524296:HIY524297 HSU524296:HSU524297 ICQ524296:ICQ524297 IMM524296:IMM524297 IWI524296:IWI524297 JGE524296:JGE524297 JQA524296:JQA524297 JZW524296:JZW524297 KJS524296:KJS524297 KTO524296:KTO524297 LDK524296:LDK524297 LNG524296:LNG524297 LXC524296:LXC524297 MGY524296:MGY524297 MQU524296:MQU524297 NAQ524296:NAQ524297 NKM524296:NKM524297 NUI524296:NUI524297 OEE524296:OEE524297 OOA524296:OOA524297 OXW524296:OXW524297 PHS524296:PHS524297 PRO524296:PRO524297 QBK524296:QBK524297 QLG524296:QLG524297 QVC524296:QVC524297 REY524296:REY524297 ROU524296:ROU524297 RYQ524296:RYQ524297 SIM524296:SIM524297 SSI524296:SSI524297 TCE524296:TCE524297 TMA524296:TMA524297 TVW524296:TVW524297 UFS524296:UFS524297 UPO524296:UPO524297 UZK524296:UZK524297 VJG524296:VJG524297 VTC524296:VTC524297 WCY524296:WCY524297 WMU524296:WMU524297 WWQ524296:WWQ524297 AI589832:AI589833 KE589832:KE589833 UA589832:UA589833 ADW589832:ADW589833 ANS589832:ANS589833 AXO589832:AXO589833 BHK589832:BHK589833 BRG589832:BRG589833 CBC589832:CBC589833 CKY589832:CKY589833 CUU589832:CUU589833 DEQ589832:DEQ589833 DOM589832:DOM589833 DYI589832:DYI589833 EIE589832:EIE589833 ESA589832:ESA589833 FBW589832:FBW589833 FLS589832:FLS589833 FVO589832:FVO589833 GFK589832:GFK589833 GPG589832:GPG589833 GZC589832:GZC589833 HIY589832:HIY589833 HSU589832:HSU589833 ICQ589832:ICQ589833 IMM589832:IMM589833 IWI589832:IWI589833 JGE589832:JGE589833 JQA589832:JQA589833 JZW589832:JZW589833 KJS589832:KJS589833 KTO589832:KTO589833 LDK589832:LDK589833 LNG589832:LNG589833 LXC589832:LXC589833 MGY589832:MGY589833 MQU589832:MQU589833 NAQ589832:NAQ589833 NKM589832:NKM589833 NUI589832:NUI589833 OEE589832:OEE589833 OOA589832:OOA589833 OXW589832:OXW589833 PHS589832:PHS589833 PRO589832:PRO589833 QBK589832:QBK589833 QLG589832:QLG589833 QVC589832:QVC589833 REY589832:REY589833 ROU589832:ROU589833 RYQ589832:RYQ589833 SIM589832:SIM589833 SSI589832:SSI589833 TCE589832:TCE589833 TMA589832:TMA589833 TVW589832:TVW589833 UFS589832:UFS589833 UPO589832:UPO589833 UZK589832:UZK589833 VJG589832:VJG589833 VTC589832:VTC589833 WCY589832:WCY589833 WMU589832:WMU589833 WWQ589832:WWQ589833 AI655368:AI655369 KE655368:KE655369 UA655368:UA655369 ADW655368:ADW655369 ANS655368:ANS655369 AXO655368:AXO655369 BHK655368:BHK655369 BRG655368:BRG655369 CBC655368:CBC655369 CKY655368:CKY655369 CUU655368:CUU655369 DEQ655368:DEQ655369 DOM655368:DOM655369 DYI655368:DYI655369 EIE655368:EIE655369 ESA655368:ESA655369 FBW655368:FBW655369 FLS655368:FLS655369 FVO655368:FVO655369 GFK655368:GFK655369 GPG655368:GPG655369 GZC655368:GZC655369 HIY655368:HIY655369 HSU655368:HSU655369 ICQ655368:ICQ655369 IMM655368:IMM655369 IWI655368:IWI655369 JGE655368:JGE655369 JQA655368:JQA655369 JZW655368:JZW655369 KJS655368:KJS655369 KTO655368:KTO655369 LDK655368:LDK655369 LNG655368:LNG655369 LXC655368:LXC655369 MGY655368:MGY655369 MQU655368:MQU655369 NAQ655368:NAQ655369 NKM655368:NKM655369 NUI655368:NUI655369 OEE655368:OEE655369 OOA655368:OOA655369 OXW655368:OXW655369 PHS655368:PHS655369 PRO655368:PRO655369 QBK655368:QBK655369 QLG655368:QLG655369 QVC655368:QVC655369 REY655368:REY655369 ROU655368:ROU655369 RYQ655368:RYQ655369 SIM655368:SIM655369 SSI655368:SSI655369 TCE655368:TCE655369 TMA655368:TMA655369 TVW655368:TVW655369 UFS655368:UFS655369 UPO655368:UPO655369 UZK655368:UZK655369 VJG655368:VJG655369 VTC655368:VTC655369 WCY655368:WCY655369 WMU655368:WMU655369 WWQ655368:WWQ655369 AI720904:AI720905 KE720904:KE720905 UA720904:UA720905 ADW720904:ADW720905 ANS720904:ANS720905 AXO720904:AXO720905 BHK720904:BHK720905 BRG720904:BRG720905 CBC720904:CBC720905 CKY720904:CKY720905 CUU720904:CUU720905 DEQ720904:DEQ720905 DOM720904:DOM720905 DYI720904:DYI720905 EIE720904:EIE720905 ESA720904:ESA720905 FBW720904:FBW720905 FLS720904:FLS720905 FVO720904:FVO720905 GFK720904:GFK720905 GPG720904:GPG720905 GZC720904:GZC720905 HIY720904:HIY720905 HSU720904:HSU720905 ICQ720904:ICQ720905 IMM720904:IMM720905 IWI720904:IWI720905 JGE720904:JGE720905 JQA720904:JQA720905 JZW720904:JZW720905 KJS720904:KJS720905 KTO720904:KTO720905 LDK720904:LDK720905 LNG720904:LNG720905 LXC720904:LXC720905 MGY720904:MGY720905 MQU720904:MQU720905 NAQ720904:NAQ720905 NKM720904:NKM720905 NUI720904:NUI720905 OEE720904:OEE720905 OOA720904:OOA720905 OXW720904:OXW720905 PHS720904:PHS720905 PRO720904:PRO720905 QBK720904:QBK720905 QLG720904:QLG720905 QVC720904:QVC720905 REY720904:REY720905 ROU720904:ROU720905 RYQ720904:RYQ720905 SIM720904:SIM720905 SSI720904:SSI720905 TCE720904:TCE720905 TMA720904:TMA720905 TVW720904:TVW720905 UFS720904:UFS720905 UPO720904:UPO720905 UZK720904:UZK720905 VJG720904:VJG720905 VTC720904:VTC720905 WCY720904:WCY720905 WMU720904:WMU720905 WWQ720904:WWQ720905 AI786440:AI786441 KE786440:KE786441 UA786440:UA786441 ADW786440:ADW786441 ANS786440:ANS786441 AXO786440:AXO786441 BHK786440:BHK786441 BRG786440:BRG786441 CBC786440:CBC786441 CKY786440:CKY786441 CUU786440:CUU786441 DEQ786440:DEQ786441 DOM786440:DOM786441 DYI786440:DYI786441 EIE786440:EIE786441 ESA786440:ESA786441 FBW786440:FBW786441 FLS786440:FLS786441 FVO786440:FVO786441 GFK786440:GFK786441 GPG786440:GPG786441 GZC786440:GZC786441 HIY786440:HIY786441 HSU786440:HSU786441 ICQ786440:ICQ786441 IMM786440:IMM786441 IWI786440:IWI786441 JGE786440:JGE786441 JQA786440:JQA786441 JZW786440:JZW786441 KJS786440:KJS786441 KTO786440:KTO786441 LDK786440:LDK786441 LNG786440:LNG786441 LXC786440:LXC786441 MGY786440:MGY786441 MQU786440:MQU786441 NAQ786440:NAQ786441 NKM786440:NKM786441 NUI786440:NUI786441 OEE786440:OEE786441 OOA786440:OOA786441 OXW786440:OXW786441 PHS786440:PHS786441 PRO786440:PRO786441 QBK786440:QBK786441 QLG786440:QLG786441 QVC786440:QVC786441 REY786440:REY786441 ROU786440:ROU786441 RYQ786440:RYQ786441 SIM786440:SIM786441 SSI786440:SSI786441 TCE786440:TCE786441 TMA786440:TMA786441 TVW786440:TVW786441 UFS786440:UFS786441 UPO786440:UPO786441 UZK786440:UZK786441 VJG786440:VJG786441 VTC786440:VTC786441 WCY786440:WCY786441 WMU786440:WMU786441 WWQ786440:WWQ786441 AI851976:AI851977 KE851976:KE851977 UA851976:UA851977 ADW851976:ADW851977 ANS851976:ANS851977 AXO851976:AXO851977 BHK851976:BHK851977 BRG851976:BRG851977 CBC851976:CBC851977 CKY851976:CKY851977 CUU851976:CUU851977 DEQ851976:DEQ851977 DOM851976:DOM851977 DYI851976:DYI851977 EIE851976:EIE851977 ESA851976:ESA851977 FBW851976:FBW851977 FLS851976:FLS851977 FVO851976:FVO851977 GFK851976:GFK851977 GPG851976:GPG851977 GZC851976:GZC851977 HIY851976:HIY851977 HSU851976:HSU851977 ICQ851976:ICQ851977 IMM851976:IMM851977 IWI851976:IWI851977 JGE851976:JGE851977 JQA851976:JQA851977 JZW851976:JZW851977 KJS851976:KJS851977 KTO851976:KTO851977 LDK851976:LDK851977 LNG851976:LNG851977 LXC851976:LXC851977 MGY851976:MGY851977 MQU851976:MQU851977 NAQ851976:NAQ851977 NKM851976:NKM851977 NUI851976:NUI851977 OEE851976:OEE851977 OOA851976:OOA851977 OXW851976:OXW851977 PHS851976:PHS851977 PRO851976:PRO851977 QBK851976:QBK851977 QLG851976:QLG851977 QVC851976:QVC851977 REY851976:REY851977 ROU851976:ROU851977 RYQ851976:RYQ851977 SIM851976:SIM851977 SSI851976:SSI851977 TCE851976:TCE851977 TMA851976:TMA851977 TVW851976:TVW851977 UFS851976:UFS851977 UPO851976:UPO851977 UZK851976:UZK851977 VJG851976:VJG851977 VTC851976:VTC851977 WCY851976:WCY851977 WMU851976:WMU851977 WWQ851976:WWQ851977 AI917512:AI917513 KE917512:KE917513 UA917512:UA917513 ADW917512:ADW917513 ANS917512:ANS917513 AXO917512:AXO917513 BHK917512:BHK917513 BRG917512:BRG917513 CBC917512:CBC917513 CKY917512:CKY917513 CUU917512:CUU917513 DEQ917512:DEQ917513 DOM917512:DOM917513 DYI917512:DYI917513 EIE917512:EIE917513 ESA917512:ESA917513 FBW917512:FBW917513 FLS917512:FLS917513 FVO917512:FVO917513 GFK917512:GFK917513 GPG917512:GPG917513 GZC917512:GZC917513 HIY917512:HIY917513 HSU917512:HSU917513 ICQ917512:ICQ917513 IMM917512:IMM917513 IWI917512:IWI917513 JGE917512:JGE917513 JQA917512:JQA917513 JZW917512:JZW917513 KJS917512:KJS917513 KTO917512:KTO917513 LDK917512:LDK917513 LNG917512:LNG917513 LXC917512:LXC917513 MGY917512:MGY917513 MQU917512:MQU917513 NAQ917512:NAQ917513 NKM917512:NKM917513 NUI917512:NUI917513 OEE917512:OEE917513 OOA917512:OOA917513 OXW917512:OXW917513 PHS917512:PHS917513 PRO917512:PRO917513 QBK917512:QBK917513 QLG917512:QLG917513 QVC917512:QVC917513 REY917512:REY917513 ROU917512:ROU917513 RYQ917512:RYQ917513 SIM917512:SIM917513 SSI917512:SSI917513 TCE917512:TCE917513 TMA917512:TMA917513 TVW917512:TVW917513 UFS917512:UFS917513 UPO917512:UPO917513 UZK917512:UZK917513 VJG917512:VJG917513 VTC917512:VTC917513 WCY917512:WCY917513 WMU917512:WMU917513 WWQ917512:WWQ917513 AI983048:AI983049 KE983048:KE983049 UA983048:UA983049 ADW983048:ADW983049 ANS983048:ANS983049 AXO983048:AXO983049 BHK983048:BHK983049 BRG983048:BRG983049 CBC983048:CBC983049 CKY983048:CKY983049 CUU983048:CUU983049 DEQ983048:DEQ983049 DOM983048:DOM983049 DYI983048:DYI983049 EIE983048:EIE983049 ESA983048:ESA983049 FBW983048:FBW983049 FLS983048:FLS983049 FVO983048:FVO983049 GFK983048:GFK983049 GPG983048:GPG983049 GZC983048:GZC983049 HIY983048:HIY983049 HSU983048:HSU983049 ICQ983048:ICQ983049 IMM983048:IMM983049 IWI983048:IWI983049 JGE983048:JGE983049 JQA983048:JQA983049 JZW983048:JZW983049 KJS983048:KJS983049 KTO983048:KTO983049 LDK983048:LDK983049 LNG983048:LNG983049 LXC983048:LXC983049 MGY983048:MGY983049 MQU983048:MQU983049 NAQ983048:NAQ983049 NKM983048:NKM983049 NUI983048:NUI983049 OEE983048:OEE983049 OOA983048:OOA983049 OXW983048:OXW983049 PHS983048:PHS983049 PRO983048:PRO983049 QBK983048:QBK983049 QLG983048:QLG983049 QVC983048:QVC983049 REY983048:REY983049 ROU983048:ROU983049 RYQ983048:RYQ983049 SIM983048:SIM983049 SSI983048:SSI983049 TCE983048:TCE983049 TMA983048:TMA983049 TVW983048:TVW983049 UFS983048:UFS983049 UPO983048:UPO983049 UZK983048:UZK983049 VJG983048:VJG983049 VTC983048:VTC983049 WCY983048:WCY983049 WMU983048:WMU983049 WWQ983048:WWQ983049 WMS983112:WMS983119 JG72:JG79 TC72:TC79 ACY72:ACY79 AMU72:AMU79 AWQ72:AWQ79 BGM72:BGM79 BQI72:BQI79 CAE72:CAE79 CKA72:CKA79 CTW72:CTW79 DDS72:DDS79 DNO72:DNO79 DXK72:DXK79 EHG72:EHG79 ERC72:ERC79 FAY72:FAY79 FKU72:FKU79 FUQ72:FUQ79 GEM72:GEM79 GOI72:GOI79 GYE72:GYE79 HIA72:HIA79 HRW72:HRW79 IBS72:IBS79 ILO72:ILO79 IVK72:IVK79 JFG72:JFG79 JPC72:JPC79 JYY72:JYY79 KIU72:KIU79 KSQ72:KSQ79 LCM72:LCM79 LMI72:LMI79 LWE72:LWE79 MGA72:MGA79 MPW72:MPW79 MZS72:MZS79 NJO72:NJO79 NTK72:NTK79 ODG72:ODG79 ONC72:ONC79 OWY72:OWY79 PGU72:PGU79 PQQ72:PQQ79 QAM72:QAM79 QKI72:QKI79 QUE72:QUE79 REA72:REA79 RNW72:RNW79 RXS72:RXS79 SHO72:SHO79 SRK72:SRK79 TBG72:TBG79 TLC72:TLC79 TUY72:TUY79 UEU72:UEU79 UOQ72:UOQ79 UYM72:UYM79 VII72:VII79 VSE72:VSE79 WCA72:WCA79 WLW72:WLW79 WVS72:WVS79 K65608:K65615 JG65608:JG65615 TC65608:TC65615 ACY65608:ACY65615 AMU65608:AMU65615 AWQ65608:AWQ65615 BGM65608:BGM65615 BQI65608:BQI65615 CAE65608:CAE65615 CKA65608:CKA65615 CTW65608:CTW65615 DDS65608:DDS65615 DNO65608:DNO65615 DXK65608:DXK65615 EHG65608:EHG65615 ERC65608:ERC65615 FAY65608:FAY65615 FKU65608:FKU65615 FUQ65608:FUQ65615 GEM65608:GEM65615 GOI65608:GOI65615 GYE65608:GYE65615 HIA65608:HIA65615 HRW65608:HRW65615 IBS65608:IBS65615 ILO65608:ILO65615 IVK65608:IVK65615 JFG65608:JFG65615 JPC65608:JPC65615 JYY65608:JYY65615 KIU65608:KIU65615 KSQ65608:KSQ65615 LCM65608:LCM65615 LMI65608:LMI65615 LWE65608:LWE65615 MGA65608:MGA65615 MPW65608:MPW65615 MZS65608:MZS65615 NJO65608:NJO65615 NTK65608:NTK65615 ODG65608:ODG65615 ONC65608:ONC65615 OWY65608:OWY65615 PGU65608:PGU65615 PQQ65608:PQQ65615 QAM65608:QAM65615 QKI65608:QKI65615 QUE65608:QUE65615 REA65608:REA65615 RNW65608:RNW65615 RXS65608:RXS65615 SHO65608:SHO65615 SRK65608:SRK65615 TBG65608:TBG65615 TLC65608:TLC65615 TUY65608:TUY65615 UEU65608:UEU65615 UOQ65608:UOQ65615 UYM65608:UYM65615 VII65608:VII65615 VSE65608:VSE65615 WCA65608:WCA65615 WLW65608:WLW65615 WVS65608:WVS65615 K131144:K131151 JG131144:JG131151 TC131144:TC131151 ACY131144:ACY131151 AMU131144:AMU131151 AWQ131144:AWQ131151 BGM131144:BGM131151 BQI131144:BQI131151 CAE131144:CAE131151 CKA131144:CKA131151 CTW131144:CTW131151 DDS131144:DDS131151 DNO131144:DNO131151 DXK131144:DXK131151 EHG131144:EHG131151 ERC131144:ERC131151 FAY131144:FAY131151 FKU131144:FKU131151 FUQ131144:FUQ131151 GEM131144:GEM131151 GOI131144:GOI131151 GYE131144:GYE131151 HIA131144:HIA131151 HRW131144:HRW131151 IBS131144:IBS131151 ILO131144:ILO131151 IVK131144:IVK131151 JFG131144:JFG131151 JPC131144:JPC131151 JYY131144:JYY131151 KIU131144:KIU131151 KSQ131144:KSQ131151 LCM131144:LCM131151 LMI131144:LMI131151 LWE131144:LWE131151 MGA131144:MGA131151 MPW131144:MPW131151 MZS131144:MZS131151 NJO131144:NJO131151 NTK131144:NTK131151 ODG131144:ODG131151 ONC131144:ONC131151 OWY131144:OWY131151 PGU131144:PGU131151 PQQ131144:PQQ131151 QAM131144:QAM131151 QKI131144:QKI131151 QUE131144:QUE131151 REA131144:REA131151 RNW131144:RNW131151 RXS131144:RXS131151 SHO131144:SHO131151 SRK131144:SRK131151 TBG131144:TBG131151 TLC131144:TLC131151 TUY131144:TUY131151 UEU131144:UEU131151 UOQ131144:UOQ131151 UYM131144:UYM131151 VII131144:VII131151 VSE131144:VSE131151 WCA131144:WCA131151 WLW131144:WLW131151 WVS131144:WVS131151 K196680:K196687 JG196680:JG196687 TC196680:TC196687 ACY196680:ACY196687 AMU196680:AMU196687 AWQ196680:AWQ196687 BGM196680:BGM196687 BQI196680:BQI196687 CAE196680:CAE196687 CKA196680:CKA196687 CTW196680:CTW196687 DDS196680:DDS196687 DNO196680:DNO196687 DXK196680:DXK196687 EHG196680:EHG196687 ERC196680:ERC196687 FAY196680:FAY196687 FKU196680:FKU196687 FUQ196680:FUQ196687 GEM196680:GEM196687 GOI196680:GOI196687 GYE196680:GYE196687 HIA196680:HIA196687 HRW196680:HRW196687 IBS196680:IBS196687 ILO196680:ILO196687 IVK196680:IVK196687 JFG196680:JFG196687 JPC196680:JPC196687 JYY196680:JYY196687 KIU196680:KIU196687 KSQ196680:KSQ196687 LCM196680:LCM196687 LMI196680:LMI196687 LWE196680:LWE196687 MGA196680:MGA196687 MPW196680:MPW196687 MZS196680:MZS196687 NJO196680:NJO196687 NTK196680:NTK196687 ODG196680:ODG196687 ONC196680:ONC196687 OWY196680:OWY196687 PGU196680:PGU196687 PQQ196680:PQQ196687 QAM196680:QAM196687 QKI196680:QKI196687 QUE196680:QUE196687 REA196680:REA196687 RNW196680:RNW196687 RXS196680:RXS196687 SHO196680:SHO196687 SRK196680:SRK196687 TBG196680:TBG196687 TLC196680:TLC196687 TUY196680:TUY196687 UEU196680:UEU196687 UOQ196680:UOQ196687 UYM196680:UYM196687 VII196680:VII196687 VSE196680:VSE196687 WCA196680:WCA196687 WLW196680:WLW196687 WVS196680:WVS196687 K262216:K262223 JG262216:JG262223 TC262216:TC262223 ACY262216:ACY262223 AMU262216:AMU262223 AWQ262216:AWQ262223 BGM262216:BGM262223 BQI262216:BQI262223 CAE262216:CAE262223 CKA262216:CKA262223 CTW262216:CTW262223 DDS262216:DDS262223 DNO262216:DNO262223 DXK262216:DXK262223 EHG262216:EHG262223 ERC262216:ERC262223 FAY262216:FAY262223 FKU262216:FKU262223 FUQ262216:FUQ262223 GEM262216:GEM262223 GOI262216:GOI262223 GYE262216:GYE262223 HIA262216:HIA262223 HRW262216:HRW262223 IBS262216:IBS262223 ILO262216:ILO262223 IVK262216:IVK262223 JFG262216:JFG262223 JPC262216:JPC262223 JYY262216:JYY262223 KIU262216:KIU262223 KSQ262216:KSQ262223 LCM262216:LCM262223 LMI262216:LMI262223 LWE262216:LWE262223 MGA262216:MGA262223 MPW262216:MPW262223 MZS262216:MZS262223 NJO262216:NJO262223 NTK262216:NTK262223 ODG262216:ODG262223 ONC262216:ONC262223 OWY262216:OWY262223 PGU262216:PGU262223 PQQ262216:PQQ262223 QAM262216:QAM262223 QKI262216:QKI262223 QUE262216:QUE262223 REA262216:REA262223 RNW262216:RNW262223 RXS262216:RXS262223 SHO262216:SHO262223 SRK262216:SRK262223 TBG262216:TBG262223 TLC262216:TLC262223 TUY262216:TUY262223 UEU262216:UEU262223 UOQ262216:UOQ262223 UYM262216:UYM262223 VII262216:VII262223 VSE262216:VSE262223 WCA262216:WCA262223 WLW262216:WLW262223 WVS262216:WVS262223 K327752:K327759 JG327752:JG327759 TC327752:TC327759 ACY327752:ACY327759 AMU327752:AMU327759 AWQ327752:AWQ327759 BGM327752:BGM327759 BQI327752:BQI327759 CAE327752:CAE327759 CKA327752:CKA327759 CTW327752:CTW327759 DDS327752:DDS327759 DNO327752:DNO327759 DXK327752:DXK327759 EHG327752:EHG327759 ERC327752:ERC327759 FAY327752:FAY327759 FKU327752:FKU327759 FUQ327752:FUQ327759 GEM327752:GEM327759 GOI327752:GOI327759 GYE327752:GYE327759 HIA327752:HIA327759 HRW327752:HRW327759 IBS327752:IBS327759 ILO327752:ILO327759 IVK327752:IVK327759 JFG327752:JFG327759 JPC327752:JPC327759 JYY327752:JYY327759 KIU327752:KIU327759 KSQ327752:KSQ327759 LCM327752:LCM327759 LMI327752:LMI327759 LWE327752:LWE327759 MGA327752:MGA327759 MPW327752:MPW327759 MZS327752:MZS327759 NJO327752:NJO327759 NTK327752:NTK327759 ODG327752:ODG327759 ONC327752:ONC327759 OWY327752:OWY327759 PGU327752:PGU327759 PQQ327752:PQQ327759 QAM327752:QAM327759 QKI327752:QKI327759 QUE327752:QUE327759 REA327752:REA327759 RNW327752:RNW327759 RXS327752:RXS327759 SHO327752:SHO327759 SRK327752:SRK327759 TBG327752:TBG327759 TLC327752:TLC327759 TUY327752:TUY327759 UEU327752:UEU327759 UOQ327752:UOQ327759 UYM327752:UYM327759 VII327752:VII327759 VSE327752:VSE327759 WCA327752:WCA327759 WLW327752:WLW327759 WVS327752:WVS327759 K393288:K393295 JG393288:JG393295 TC393288:TC393295 ACY393288:ACY393295 AMU393288:AMU393295 AWQ393288:AWQ393295 BGM393288:BGM393295 BQI393288:BQI393295 CAE393288:CAE393295 CKA393288:CKA393295 CTW393288:CTW393295 DDS393288:DDS393295 DNO393288:DNO393295 DXK393288:DXK393295 EHG393288:EHG393295 ERC393288:ERC393295 FAY393288:FAY393295 FKU393288:FKU393295 FUQ393288:FUQ393295 GEM393288:GEM393295 GOI393288:GOI393295 GYE393288:GYE393295 HIA393288:HIA393295 HRW393288:HRW393295 IBS393288:IBS393295 ILO393288:ILO393295 IVK393288:IVK393295 JFG393288:JFG393295 JPC393288:JPC393295 JYY393288:JYY393295 KIU393288:KIU393295 KSQ393288:KSQ393295 LCM393288:LCM393295 LMI393288:LMI393295 LWE393288:LWE393295 MGA393288:MGA393295 MPW393288:MPW393295 MZS393288:MZS393295 NJO393288:NJO393295 NTK393288:NTK393295 ODG393288:ODG393295 ONC393288:ONC393295 OWY393288:OWY393295 PGU393288:PGU393295 PQQ393288:PQQ393295 QAM393288:QAM393295 QKI393288:QKI393295 QUE393288:QUE393295 REA393288:REA393295 RNW393288:RNW393295 RXS393288:RXS393295 SHO393288:SHO393295 SRK393288:SRK393295 TBG393288:TBG393295 TLC393288:TLC393295 TUY393288:TUY393295 UEU393288:UEU393295 UOQ393288:UOQ393295 UYM393288:UYM393295 VII393288:VII393295 VSE393288:VSE393295 WCA393288:WCA393295 WLW393288:WLW393295 WVS393288:WVS393295 K458824:K458831 JG458824:JG458831 TC458824:TC458831 ACY458824:ACY458831 AMU458824:AMU458831 AWQ458824:AWQ458831 BGM458824:BGM458831 BQI458824:BQI458831 CAE458824:CAE458831 CKA458824:CKA458831 CTW458824:CTW458831 DDS458824:DDS458831 DNO458824:DNO458831 DXK458824:DXK458831 EHG458824:EHG458831 ERC458824:ERC458831 FAY458824:FAY458831 FKU458824:FKU458831 FUQ458824:FUQ458831 GEM458824:GEM458831 GOI458824:GOI458831 GYE458824:GYE458831 HIA458824:HIA458831 HRW458824:HRW458831 IBS458824:IBS458831 ILO458824:ILO458831 IVK458824:IVK458831 JFG458824:JFG458831 JPC458824:JPC458831 JYY458824:JYY458831 KIU458824:KIU458831 KSQ458824:KSQ458831 LCM458824:LCM458831 LMI458824:LMI458831 LWE458824:LWE458831 MGA458824:MGA458831 MPW458824:MPW458831 MZS458824:MZS458831 NJO458824:NJO458831 NTK458824:NTK458831 ODG458824:ODG458831 ONC458824:ONC458831 OWY458824:OWY458831 PGU458824:PGU458831 PQQ458824:PQQ458831 QAM458824:QAM458831 QKI458824:QKI458831 QUE458824:QUE458831 REA458824:REA458831 RNW458824:RNW458831 RXS458824:RXS458831 SHO458824:SHO458831 SRK458824:SRK458831 TBG458824:TBG458831 TLC458824:TLC458831 TUY458824:TUY458831 UEU458824:UEU458831 UOQ458824:UOQ458831 UYM458824:UYM458831 VII458824:VII458831 VSE458824:VSE458831 WCA458824:WCA458831 WLW458824:WLW458831 WVS458824:WVS458831 K524360:K524367 JG524360:JG524367 TC524360:TC524367 ACY524360:ACY524367 AMU524360:AMU524367 AWQ524360:AWQ524367 BGM524360:BGM524367 BQI524360:BQI524367 CAE524360:CAE524367 CKA524360:CKA524367 CTW524360:CTW524367 DDS524360:DDS524367 DNO524360:DNO524367 DXK524360:DXK524367 EHG524360:EHG524367 ERC524360:ERC524367 FAY524360:FAY524367 FKU524360:FKU524367 FUQ524360:FUQ524367 GEM524360:GEM524367 GOI524360:GOI524367 GYE524360:GYE524367 HIA524360:HIA524367 HRW524360:HRW524367 IBS524360:IBS524367 ILO524360:ILO524367 IVK524360:IVK524367 JFG524360:JFG524367 JPC524360:JPC524367 JYY524360:JYY524367 KIU524360:KIU524367 KSQ524360:KSQ524367 LCM524360:LCM524367 LMI524360:LMI524367 LWE524360:LWE524367 MGA524360:MGA524367 MPW524360:MPW524367 MZS524360:MZS524367 NJO524360:NJO524367 NTK524360:NTK524367 ODG524360:ODG524367 ONC524360:ONC524367 OWY524360:OWY524367 PGU524360:PGU524367 PQQ524360:PQQ524367 QAM524360:QAM524367 QKI524360:QKI524367 QUE524360:QUE524367 REA524360:REA524367 RNW524360:RNW524367 RXS524360:RXS524367 SHO524360:SHO524367 SRK524360:SRK524367 TBG524360:TBG524367 TLC524360:TLC524367 TUY524360:TUY524367 UEU524360:UEU524367 UOQ524360:UOQ524367 UYM524360:UYM524367 VII524360:VII524367 VSE524360:VSE524367 WCA524360:WCA524367 WLW524360:WLW524367 WVS524360:WVS524367 K589896:K589903 JG589896:JG589903 TC589896:TC589903 ACY589896:ACY589903 AMU589896:AMU589903 AWQ589896:AWQ589903 BGM589896:BGM589903 BQI589896:BQI589903 CAE589896:CAE589903 CKA589896:CKA589903 CTW589896:CTW589903 DDS589896:DDS589903 DNO589896:DNO589903 DXK589896:DXK589903 EHG589896:EHG589903 ERC589896:ERC589903 FAY589896:FAY589903 FKU589896:FKU589903 FUQ589896:FUQ589903 GEM589896:GEM589903 GOI589896:GOI589903 GYE589896:GYE589903 HIA589896:HIA589903 HRW589896:HRW589903 IBS589896:IBS589903 ILO589896:ILO589903 IVK589896:IVK589903 JFG589896:JFG589903 JPC589896:JPC589903 JYY589896:JYY589903 KIU589896:KIU589903 KSQ589896:KSQ589903 LCM589896:LCM589903 LMI589896:LMI589903 LWE589896:LWE589903 MGA589896:MGA589903 MPW589896:MPW589903 MZS589896:MZS589903 NJO589896:NJO589903 NTK589896:NTK589903 ODG589896:ODG589903 ONC589896:ONC589903 OWY589896:OWY589903 PGU589896:PGU589903 PQQ589896:PQQ589903 QAM589896:QAM589903 QKI589896:QKI589903 QUE589896:QUE589903 REA589896:REA589903 RNW589896:RNW589903 RXS589896:RXS589903 SHO589896:SHO589903 SRK589896:SRK589903 TBG589896:TBG589903 TLC589896:TLC589903 TUY589896:TUY589903 UEU589896:UEU589903 UOQ589896:UOQ589903 UYM589896:UYM589903 VII589896:VII589903 VSE589896:VSE589903 WCA589896:WCA589903 WLW589896:WLW589903 WVS589896:WVS589903 K655432:K655439 JG655432:JG655439 TC655432:TC655439 ACY655432:ACY655439 AMU655432:AMU655439 AWQ655432:AWQ655439 BGM655432:BGM655439 BQI655432:BQI655439 CAE655432:CAE655439 CKA655432:CKA655439 CTW655432:CTW655439 DDS655432:DDS655439 DNO655432:DNO655439 DXK655432:DXK655439 EHG655432:EHG655439 ERC655432:ERC655439 FAY655432:FAY655439 FKU655432:FKU655439 FUQ655432:FUQ655439 GEM655432:GEM655439 GOI655432:GOI655439 GYE655432:GYE655439 HIA655432:HIA655439 HRW655432:HRW655439 IBS655432:IBS655439 ILO655432:ILO655439 IVK655432:IVK655439 JFG655432:JFG655439 JPC655432:JPC655439 JYY655432:JYY655439 KIU655432:KIU655439 KSQ655432:KSQ655439 LCM655432:LCM655439 LMI655432:LMI655439 LWE655432:LWE655439 MGA655432:MGA655439 MPW655432:MPW655439 MZS655432:MZS655439 NJO655432:NJO655439 NTK655432:NTK655439 ODG655432:ODG655439 ONC655432:ONC655439 OWY655432:OWY655439 PGU655432:PGU655439 PQQ655432:PQQ655439 QAM655432:QAM655439 QKI655432:QKI655439 QUE655432:QUE655439 REA655432:REA655439 RNW655432:RNW655439 RXS655432:RXS655439 SHO655432:SHO655439 SRK655432:SRK655439 TBG655432:TBG655439 TLC655432:TLC655439 TUY655432:TUY655439 UEU655432:UEU655439 UOQ655432:UOQ655439 UYM655432:UYM655439 VII655432:VII655439 VSE655432:VSE655439 WCA655432:WCA655439 WLW655432:WLW655439 WVS655432:WVS655439 K720968:K720975 JG720968:JG720975 TC720968:TC720975 ACY720968:ACY720975 AMU720968:AMU720975 AWQ720968:AWQ720975 BGM720968:BGM720975 BQI720968:BQI720975 CAE720968:CAE720975 CKA720968:CKA720975 CTW720968:CTW720975 DDS720968:DDS720975 DNO720968:DNO720975 DXK720968:DXK720975 EHG720968:EHG720975 ERC720968:ERC720975 FAY720968:FAY720975 FKU720968:FKU720975 FUQ720968:FUQ720975 GEM720968:GEM720975 GOI720968:GOI720975 GYE720968:GYE720975 HIA720968:HIA720975 HRW720968:HRW720975 IBS720968:IBS720975 ILO720968:ILO720975 IVK720968:IVK720975 JFG720968:JFG720975 JPC720968:JPC720975 JYY720968:JYY720975 KIU720968:KIU720975 KSQ720968:KSQ720975 LCM720968:LCM720975 LMI720968:LMI720975 LWE720968:LWE720975 MGA720968:MGA720975 MPW720968:MPW720975 MZS720968:MZS720975 NJO720968:NJO720975 NTK720968:NTK720975 ODG720968:ODG720975 ONC720968:ONC720975 OWY720968:OWY720975 PGU720968:PGU720975 PQQ720968:PQQ720975 QAM720968:QAM720975 QKI720968:QKI720975 QUE720968:QUE720975 REA720968:REA720975 RNW720968:RNW720975 RXS720968:RXS720975 SHO720968:SHO720975 SRK720968:SRK720975 TBG720968:TBG720975 TLC720968:TLC720975 TUY720968:TUY720975 UEU720968:UEU720975 UOQ720968:UOQ720975 UYM720968:UYM720975 VII720968:VII720975 VSE720968:VSE720975 WCA720968:WCA720975 WLW720968:WLW720975 WVS720968:WVS720975 K786504:K786511 JG786504:JG786511 TC786504:TC786511 ACY786504:ACY786511 AMU786504:AMU786511 AWQ786504:AWQ786511 BGM786504:BGM786511 BQI786504:BQI786511 CAE786504:CAE786511 CKA786504:CKA786511 CTW786504:CTW786511 DDS786504:DDS786511 DNO786504:DNO786511 DXK786504:DXK786511 EHG786504:EHG786511 ERC786504:ERC786511 FAY786504:FAY786511 FKU786504:FKU786511 FUQ786504:FUQ786511 GEM786504:GEM786511 GOI786504:GOI786511 GYE786504:GYE786511 HIA786504:HIA786511 HRW786504:HRW786511 IBS786504:IBS786511 ILO786504:ILO786511 IVK786504:IVK786511 JFG786504:JFG786511 JPC786504:JPC786511 JYY786504:JYY786511 KIU786504:KIU786511 KSQ786504:KSQ786511 LCM786504:LCM786511 LMI786504:LMI786511 LWE786504:LWE786511 MGA786504:MGA786511 MPW786504:MPW786511 MZS786504:MZS786511 NJO786504:NJO786511 NTK786504:NTK786511 ODG786504:ODG786511 ONC786504:ONC786511 OWY786504:OWY786511 PGU786504:PGU786511 PQQ786504:PQQ786511 QAM786504:QAM786511 QKI786504:QKI786511 QUE786504:QUE786511 REA786504:REA786511 RNW786504:RNW786511 RXS786504:RXS786511 SHO786504:SHO786511 SRK786504:SRK786511 TBG786504:TBG786511 TLC786504:TLC786511 TUY786504:TUY786511 UEU786504:UEU786511 UOQ786504:UOQ786511 UYM786504:UYM786511 VII786504:VII786511 VSE786504:VSE786511 WCA786504:WCA786511 WLW786504:WLW786511 WVS786504:WVS786511 K852040:K852047 JG852040:JG852047 TC852040:TC852047 ACY852040:ACY852047 AMU852040:AMU852047 AWQ852040:AWQ852047 BGM852040:BGM852047 BQI852040:BQI852047 CAE852040:CAE852047 CKA852040:CKA852047 CTW852040:CTW852047 DDS852040:DDS852047 DNO852040:DNO852047 DXK852040:DXK852047 EHG852040:EHG852047 ERC852040:ERC852047 FAY852040:FAY852047 FKU852040:FKU852047 FUQ852040:FUQ852047 GEM852040:GEM852047 GOI852040:GOI852047 GYE852040:GYE852047 HIA852040:HIA852047 HRW852040:HRW852047 IBS852040:IBS852047 ILO852040:ILO852047 IVK852040:IVK852047 JFG852040:JFG852047 JPC852040:JPC852047 JYY852040:JYY852047 KIU852040:KIU852047 KSQ852040:KSQ852047 LCM852040:LCM852047 LMI852040:LMI852047 LWE852040:LWE852047 MGA852040:MGA852047 MPW852040:MPW852047 MZS852040:MZS852047 NJO852040:NJO852047 NTK852040:NTK852047 ODG852040:ODG852047 ONC852040:ONC852047 OWY852040:OWY852047 PGU852040:PGU852047 PQQ852040:PQQ852047 QAM852040:QAM852047 QKI852040:QKI852047 QUE852040:QUE852047 REA852040:REA852047 RNW852040:RNW852047 RXS852040:RXS852047 SHO852040:SHO852047 SRK852040:SRK852047 TBG852040:TBG852047 TLC852040:TLC852047 TUY852040:TUY852047 UEU852040:UEU852047 UOQ852040:UOQ852047 UYM852040:UYM852047 VII852040:VII852047 VSE852040:VSE852047 WCA852040:WCA852047 WLW852040:WLW852047 WVS852040:WVS852047 K917576:K917583 JG917576:JG917583 TC917576:TC917583 ACY917576:ACY917583 AMU917576:AMU917583 AWQ917576:AWQ917583 BGM917576:BGM917583 BQI917576:BQI917583 CAE917576:CAE917583 CKA917576:CKA917583 CTW917576:CTW917583 DDS917576:DDS917583 DNO917576:DNO917583 DXK917576:DXK917583 EHG917576:EHG917583 ERC917576:ERC917583 FAY917576:FAY917583 FKU917576:FKU917583 FUQ917576:FUQ917583 GEM917576:GEM917583 GOI917576:GOI917583 GYE917576:GYE917583 HIA917576:HIA917583 HRW917576:HRW917583 IBS917576:IBS917583 ILO917576:ILO917583 IVK917576:IVK917583 JFG917576:JFG917583 JPC917576:JPC917583 JYY917576:JYY917583 KIU917576:KIU917583 KSQ917576:KSQ917583 LCM917576:LCM917583 LMI917576:LMI917583 LWE917576:LWE917583 MGA917576:MGA917583 MPW917576:MPW917583 MZS917576:MZS917583 NJO917576:NJO917583 NTK917576:NTK917583 ODG917576:ODG917583 ONC917576:ONC917583 OWY917576:OWY917583 PGU917576:PGU917583 PQQ917576:PQQ917583 QAM917576:QAM917583 QKI917576:QKI917583 QUE917576:QUE917583 REA917576:REA917583 RNW917576:RNW917583 RXS917576:RXS917583 SHO917576:SHO917583 SRK917576:SRK917583 TBG917576:TBG917583 TLC917576:TLC917583 TUY917576:TUY917583 UEU917576:UEU917583 UOQ917576:UOQ917583 UYM917576:UYM917583 VII917576:VII917583 VSE917576:VSE917583 WCA917576:WCA917583 WLW917576:WLW917583 WVS917576:WVS917583 K983112:K983119 JG983112:JG983119 TC983112:TC983119 ACY983112:ACY983119 AMU983112:AMU983119 AWQ983112:AWQ983119 BGM983112:BGM983119 BQI983112:BQI983119 CAE983112:CAE983119 CKA983112:CKA983119 CTW983112:CTW983119 DDS983112:DDS983119 DNO983112:DNO983119 DXK983112:DXK983119 EHG983112:EHG983119 ERC983112:ERC983119 FAY983112:FAY983119 FKU983112:FKU983119 FUQ983112:FUQ983119 GEM983112:GEM983119 GOI983112:GOI983119 GYE983112:GYE983119 HIA983112:HIA983119 HRW983112:HRW983119 IBS983112:IBS983119 ILO983112:ILO983119 IVK983112:IVK983119 JFG983112:JFG983119 JPC983112:JPC983119 JYY983112:JYY983119 KIU983112:KIU983119 KSQ983112:KSQ983119 LCM983112:LCM983119 LMI983112:LMI983119 LWE983112:LWE983119 MGA983112:MGA983119 MPW983112:MPW983119 MZS983112:MZS983119 NJO983112:NJO983119 NTK983112:NTK983119 ODG983112:ODG983119 ONC983112:ONC983119 OWY983112:OWY983119 PGU983112:PGU983119 PQQ983112:PQQ983119 QAM983112:QAM983119 QKI983112:QKI983119 QUE983112:QUE983119 REA983112:REA983119 RNW983112:RNW983119 RXS983112:RXS983119 SHO983112:SHO983119 SRK983112:SRK983119 TBG983112:TBG983119 TLC983112:TLC983119 TUY983112:TUY983119 UEU983112:UEU983119 UOQ983112:UOQ983119 UYM983112:UYM983119 VII983112:VII983119 VSE983112:VSE983119 WCA983112:WCA983119 WLW983112:WLW983119 WVS983112:WVS983119 K74:K79 KC72:KC79 TY72:TY79 ADU72:ADU79 ANQ72:ANQ79 AXM72:AXM79 BHI72:BHI79 BRE72:BRE79 CBA72:CBA79 CKW72:CKW79 CUS72:CUS79 DEO72:DEO79 DOK72:DOK79 DYG72:DYG79 EIC72:EIC79 ERY72:ERY79 FBU72:FBU79 FLQ72:FLQ79 FVM72:FVM79 GFI72:GFI79 GPE72:GPE79 GZA72:GZA79 HIW72:HIW79 HSS72:HSS79 ICO72:ICO79 IMK72:IMK79 IWG72:IWG79 JGC72:JGC79 JPY72:JPY79 JZU72:JZU79 KJQ72:KJQ79 KTM72:KTM79 LDI72:LDI79 LNE72:LNE79 LXA72:LXA79 MGW72:MGW79 MQS72:MQS79 NAO72:NAO79 NKK72:NKK79 NUG72:NUG79 OEC72:OEC79 ONY72:ONY79 OXU72:OXU79 PHQ72:PHQ79 PRM72:PRM79 QBI72:QBI79 QLE72:QLE79 QVA72:QVA79 REW72:REW79 ROS72:ROS79 RYO72:RYO79 SIK72:SIK79 SSG72:SSG79 TCC72:TCC79 TLY72:TLY79 TVU72:TVU79 UFQ72:UFQ79 UPM72:UPM79 UZI72:UZI79 VJE72:VJE79 VTA72:VTA79 WCW72:WCW79 WMS72:WMS79 WWO72:WWO79 AG65608:AG65615 KC65608:KC65615 TY65608:TY65615 ADU65608:ADU65615 ANQ65608:ANQ65615 AXM65608:AXM65615 BHI65608:BHI65615 BRE65608:BRE65615 CBA65608:CBA65615 CKW65608:CKW65615 CUS65608:CUS65615 DEO65608:DEO65615 DOK65608:DOK65615 DYG65608:DYG65615 EIC65608:EIC65615 ERY65608:ERY65615 FBU65608:FBU65615 FLQ65608:FLQ65615 FVM65608:FVM65615 GFI65608:GFI65615 GPE65608:GPE65615 GZA65608:GZA65615 HIW65608:HIW65615 HSS65608:HSS65615 ICO65608:ICO65615 IMK65608:IMK65615 IWG65608:IWG65615 JGC65608:JGC65615 JPY65608:JPY65615 JZU65608:JZU65615 KJQ65608:KJQ65615 KTM65608:KTM65615 LDI65608:LDI65615 LNE65608:LNE65615 LXA65608:LXA65615 MGW65608:MGW65615 MQS65608:MQS65615 NAO65608:NAO65615 NKK65608:NKK65615 NUG65608:NUG65615 OEC65608:OEC65615 ONY65608:ONY65615 OXU65608:OXU65615 PHQ65608:PHQ65615 PRM65608:PRM65615 QBI65608:QBI65615 QLE65608:QLE65615 QVA65608:QVA65615 REW65608:REW65615 ROS65608:ROS65615 RYO65608:RYO65615 SIK65608:SIK65615 SSG65608:SSG65615 TCC65608:TCC65615 TLY65608:TLY65615 TVU65608:TVU65615 UFQ65608:UFQ65615 UPM65608:UPM65615 UZI65608:UZI65615 VJE65608:VJE65615 VTA65608:VTA65615 WCW65608:WCW65615 WMS65608:WMS65615 WWO65608:WWO65615 AG131144:AG131151 KC131144:KC131151 TY131144:TY131151 ADU131144:ADU131151 ANQ131144:ANQ131151 AXM131144:AXM131151 BHI131144:BHI131151 BRE131144:BRE131151 CBA131144:CBA131151 CKW131144:CKW131151 CUS131144:CUS131151 DEO131144:DEO131151 DOK131144:DOK131151 DYG131144:DYG131151 EIC131144:EIC131151 ERY131144:ERY131151 FBU131144:FBU131151 FLQ131144:FLQ131151 FVM131144:FVM131151 GFI131144:GFI131151 GPE131144:GPE131151 GZA131144:GZA131151 HIW131144:HIW131151 HSS131144:HSS131151 ICO131144:ICO131151 IMK131144:IMK131151 IWG131144:IWG131151 JGC131144:JGC131151 JPY131144:JPY131151 JZU131144:JZU131151 KJQ131144:KJQ131151 KTM131144:KTM131151 LDI131144:LDI131151 LNE131144:LNE131151 LXA131144:LXA131151 MGW131144:MGW131151 MQS131144:MQS131151 NAO131144:NAO131151 NKK131144:NKK131151 NUG131144:NUG131151 OEC131144:OEC131151 ONY131144:ONY131151 OXU131144:OXU131151 PHQ131144:PHQ131151 PRM131144:PRM131151 QBI131144:QBI131151 QLE131144:QLE131151 QVA131144:QVA131151 REW131144:REW131151 ROS131144:ROS131151 RYO131144:RYO131151 SIK131144:SIK131151 SSG131144:SSG131151 TCC131144:TCC131151 TLY131144:TLY131151 TVU131144:TVU131151 UFQ131144:UFQ131151 UPM131144:UPM131151 UZI131144:UZI131151 VJE131144:VJE131151 VTA131144:VTA131151 WCW131144:WCW131151 WMS131144:WMS131151 WWO131144:WWO131151 AG196680:AG196687 KC196680:KC196687 TY196680:TY196687 ADU196680:ADU196687 ANQ196680:ANQ196687 AXM196680:AXM196687 BHI196680:BHI196687 BRE196680:BRE196687 CBA196680:CBA196687 CKW196680:CKW196687 CUS196680:CUS196687 DEO196680:DEO196687 DOK196680:DOK196687 DYG196680:DYG196687 EIC196680:EIC196687 ERY196680:ERY196687 FBU196680:FBU196687 FLQ196680:FLQ196687 FVM196680:FVM196687 GFI196680:GFI196687 GPE196680:GPE196687 GZA196680:GZA196687 HIW196680:HIW196687 HSS196680:HSS196687 ICO196680:ICO196687 IMK196680:IMK196687 IWG196680:IWG196687 JGC196680:JGC196687 JPY196680:JPY196687 JZU196680:JZU196687 KJQ196680:KJQ196687 KTM196680:KTM196687 LDI196680:LDI196687 LNE196680:LNE196687 LXA196680:LXA196687 MGW196680:MGW196687 MQS196680:MQS196687 NAO196680:NAO196687 NKK196680:NKK196687 NUG196680:NUG196687 OEC196680:OEC196687 ONY196680:ONY196687 OXU196680:OXU196687 PHQ196680:PHQ196687 PRM196680:PRM196687 QBI196680:QBI196687 QLE196680:QLE196687 QVA196680:QVA196687 REW196680:REW196687 ROS196680:ROS196687 RYO196680:RYO196687 SIK196680:SIK196687 SSG196680:SSG196687 TCC196680:TCC196687 TLY196680:TLY196687 TVU196680:TVU196687 UFQ196680:UFQ196687 UPM196680:UPM196687 UZI196680:UZI196687 VJE196680:VJE196687 VTA196680:VTA196687 WCW196680:WCW196687 WMS196680:WMS196687 WWO196680:WWO196687 AG262216:AG262223 KC262216:KC262223 TY262216:TY262223 ADU262216:ADU262223 ANQ262216:ANQ262223 AXM262216:AXM262223 BHI262216:BHI262223 BRE262216:BRE262223 CBA262216:CBA262223 CKW262216:CKW262223 CUS262216:CUS262223 DEO262216:DEO262223 DOK262216:DOK262223 DYG262216:DYG262223 EIC262216:EIC262223 ERY262216:ERY262223 FBU262216:FBU262223 FLQ262216:FLQ262223 FVM262216:FVM262223 GFI262216:GFI262223 GPE262216:GPE262223 GZA262216:GZA262223 HIW262216:HIW262223 HSS262216:HSS262223 ICO262216:ICO262223 IMK262216:IMK262223 IWG262216:IWG262223 JGC262216:JGC262223 JPY262216:JPY262223 JZU262216:JZU262223 KJQ262216:KJQ262223 KTM262216:KTM262223 LDI262216:LDI262223 LNE262216:LNE262223 LXA262216:LXA262223 MGW262216:MGW262223 MQS262216:MQS262223 NAO262216:NAO262223 NKK262216:NKK262223 NUG262216:NUG262223 OEC262216:OEC262223 ONY262216:ONY262223 OXU262216:OXU262223 PHQ262216:PHQ262223 PRM262216:PRM262223 QBI262216:QBI262223 QLE262216:QLE262223 QVA262216:QVA262223 REW262216:REW262223 ROS262216:ROS262223 RYO262216:RYO262223 SIK262216:SIK262223 SSG262216:SSG262223 TCC262216:TCC262223 TLY262216:TLY262223 TVU262216:TVU262223 UFQ262216:UFQ262223 UPM262216:UPM262223 UZI262216:UZI262223 VJE262216:VJE262223 VTA262216:VTA262223 WCW262216:WCW262223 WMS262216:WMS262223 WWO262216:WWO262223 AG327752:AG327759 KC327752:KC327759 TY327752:TY327759 ADU327752:ADU327759 ANQ327752:ANQ327759 AXM327752:AXM327759 BHI327752:BHI327759 BRE327752:BRE327759 CBA327752:CBA327759 CKW327752:CKW327759 CUS327752:CUS327759 DEO327752:DEO327759 DOK327752:DOK327759 DYG327752:DYG327759 EIC327752:EIC327759 ERY327752:ERY327759 FBU327752:FBU327759 FLQ327752:FLQ327759 FVM327752:FVM327759 GFI327752:GFI327759 GPE327752:GPE327759 GZA327752:GZA327759 HIW327752:HIW327759 HSS327752:HSS327759 ICO327752:ICO327759 IMK327752:IMK327759 IWG327752:IWG327759 JGC327752:JGC327759 JPY327752:JPY327759 JZU327752:JZU327759 KJQ327752:KJQ327759 KTM327752:KTM327759 LDI327752:LDI327759 LNE327752:LNE327759 LXA327752:LXA327759 MGW327752:MGW327759 MQS327752:MQS327759 NAO327752:NAO327759 NKK327752:NKK327759 NUG327752:NUG327759 OEC327752:OEC327759 ONY327752:ONY327759 OXU327752:OXU327759 PHQ327752:PHQ327759 PRM327752:PRM327759 QBI327752:QBI327759 QLE327752:QLE327759 QVA327752:QVA327759 REW327752:REW327759 ROS327752:ROS327759 RYO327752:RYO327759 SIK327752:SIK327759 SSG327752:SSG327759 TCC327752:TCC327759 TLY327752:TLY327759 TVU327752:TVU327759 UFQ327752:UFQ327759 UPM327752:UPM327759 UZI327752:UZI327759 VJE327752:VJE327759 VTA327752:VTA327759 WCW327752:WCW327759 WMS327752:WMS327759 WWO327752:WWO327759 AG393288:AG393295 KC393288:KC393295 TY393288:TY393295 ADU393288:ADU393295 ANQ393288:ANQ393295 AXM393288:AXM393295 BHI393288:BHI393295 BRE393288:BRE393295 CBA393288:CBA393295 CKW393288:CKW393295 CUS393288:CUS393295 DEO393288:DEO393295 DOK393288:DOK393295 DYG393288:DYG393295 EIC393288:EIC393295 ERY393288:ERY393295 FBU393288:FBU393295 FLQ393288:FLQ393295 FVM393288:FVM393295 GFI393288:GFI393295 GPE393288:GPE393295 GZA393288:GZA393295 HIW393288:HIW393295 HSS393288:HSS393295 ICO393288:ICO393295 IMK393288:IMK393295 IWG393288:IWG393295 JGC393288:JGC393295 JPY393288:JPY393295 JZU393288:JZU393295 KJQ393288:KJQ393295 KTM393288:KTM393295 LDI393288:LDI393295 LNE393288:LNE393295 LXA393288:LXA393295 MGW393288:MGW393295 MQS393288:MQS393295 NAO393288:NAO393295 NKK393288:NKK393295 NUG393288:NUG393295 OEC393288:OEC393295 ONY393288:ONY393295 OXU393288:OXU393295 PHQ393288:PHQ393295 PRM393288:PRM393295 QBI393288:QBI393295 QLE393288:QLE393295 QVA393288:QVA393295 REW393288:REW393295 ROS393288:ROS393295 RYO393288:RYO393295 SIK393288:SIK393295 SSG393288:SSG393295 TCC393288:TCC393295 TLY393288:TLY393295 TVU393288:TVU393295 UFQ393288:UFQ393295 UPM393288:UPM393295 UZI393288:UZI393295 VJE393288:VJE393295 VTA393288:VTA393295 WCW393288:WCW393295 WMS393288:WMS393295 WWO393288:WWO393295 AG458824:AG458831 KC458824:KC458831 TY458824:TY458831 ADU458824:ADU458831 ANQ458824:ANQ458831 AXM458824:AXM458831 BHI458824:BHI458831 BRE458824:BRE458831 CBA458824:CBA458831 CKW458824:CKW458831 CUS458824:CUS458831 DEO458824:DEO458831 DOK458824:DOK458831 DYG458824:DYG458831 EIC458824:EIC458831 ERY458824:ERY458831 FBU458824:FBU458831 FLQ458824:FLQ458831 FVM458824:FVM458831 GFI458824:GFI458831 GPE458824:GPE458831 GZA458824:GZA458831 HIW458824:HIW458831 HSS458824:HSS458831 ICO458824:ICO458831 IMK458824:IMK458831 IWG458824:IWG458831 JGC458824:JGC458831 JPY458824:JPY458831 JZU458824:JZU458831 KJQ458824:KJQ458831 KTM458824:KTM458831 LDI458824:LDI458831 LNE458824:LNE458831 LXA458824:LXA458831 MGW458824:MGW458831 MQS458824:MQS458831 NAO458824:NAO458831 NKK458824:NKK458831 NUG458824:NUG458831 OEC458824:OEC458831 ONY458824:ONY458831 OXU458824:OXU458831 PHQ458824:PHQ458831 PRM458824:PRM458831 QBI458824:QBI458831 QLE458824:QLE458831 QVA458824:QVA458831 REW458824:REW458831 ROS458824:ROS458831 RYO458824:RYO458831 SIK458824:SIK458831 SSG458824:SSG458831 TCC458824:TCC458831 TLY458824:TLY458831 TVU458824:TVU458831 UFQ458824:UFQ458831 UPM458824:UPM458831 UZI458824:UZI458831 VJE458824:VJE458831 VTA458824:VTA458831 WCW458824:WCW458831 WMS458824:WMS458831 WWO458824:WWO458831 AG524360:AG524367 KC524360:KC524367 TY524360:TY524367 ADU524360:ADU524367 ANQ524360:ANQ524367 AXM524360:AXM524367 BHI524360:BHI524367 BRE524360:BRE524367 CBA524360:CBA524367 CKW524360:CKW524367 CUS524360:CUS524367 DEO524360:DEO524367 DOK524360:DOK524367 DYG524360:DYG524367 EIC524360:EIC524367 ERY524360:ERY524367 FBU524360:FBU524367 FLQ524360:FLQ524367 FVM524360:FVM524367 GFI524360:GFI524367 GPE524360:GPE524367 GZA524360:GZA524367 HIW524360:HIW524367 HSS524360:HSS524367 ICO524360:ICO524367 IMK524360:IMK524367 IWG524360:IWG524367 JGC524360:JGC524367 JPY524360:JPY524367 JZU524360:JZU524367 KJQ524360:KJQ524367 KTM524360:KTM524367 LDI524360:LDI524367 LNE524360:LNE524367 LXA524360:LXA524367 MGW524360:MGW524367 MQS524360:MQS524367 NAO524360:NAO524367 NKK524360:NKK524367 NUG524360:NUG524367 OEC524360:OEC524367 ONY524360:ONY524367 OXU524360:OXU524367 PHQ524360:PHQ524367 PRM524360:PRM524367 QBI524360:QBI524367 QLE524360:QLE524367 QVA524360:QVA524367 REW524360:REW524367 ROS524360:ROS524367 RYO524360:RYO524367 SIK524360:SIK524367 SSG524360:SSG524367 TCC524360:TCC524367 TLY524360:TLY524367 TVU524360:TVU524367 UFQ524360:UFQ524367 UPM524360:UPM524367 UZI524360:UZI524367 VJE524360:VJE524367 VTA524360:VTA524367 WCW524360:WCW524367 WMS524360:WMS524367 WWO524360:WWO524367 AG589896:AG589903 KC589896:KC589903 TY589896:TY589903 ADU589896:ADU589903 ANQ589896:ANQ589903 AXM589896:AXM589903 BHI589896:BHI589903 BRE589896:BRE589903 CBA589896:CBA589903 CKW589896:CKW589903 CUS589896:CUS589903 DEO589896:DEO589903 DOK589896:DOK589903 DYG589896:DYG589903 EIC589896:EIC589903 ERY589896:ERY589903 FBU589896:FBU589903 FLQ589896:FLQ589903 FVM589896:FVM589903 GFI589896:GFI589903 GPE589896:GPE589903 GZA589896:GZA589903 HIW589896:HIW589903 HSS589896:HSS589903 ICO589896:ICO589903 IMK589896:IMK589903 IWG589896:IWG589903 JGC589896:JGC589903 JPY589896:JPY589903 JZU589896:JZU589903 KJQ589896:KJQ589903 KTM589896:KTM589903 LDI589896:LDI589903 LNE589896:LNE589903 LXA589896:LXA589903 MGW589896:MGW589903 MQS589896:MQS589903 NAO589896:NAO589903 NKK589896:NKK589903 NUG589896:NUG589903 OEC589896:OEC589903 ONY589896:ONY589903 OXU589896:OXU589903 PHQ589896:PHQ589903 PRM589896:PRM589903 QBI589896:QBI589903 QLE589896:QLE589903 QVA589896:QVA589903 REW589896:REW589903 ROS589896:ROS589903 RYO589896:RYO589903 SIK589896:SIK589903 SSG589896:SSG589903 TCC589896:TCC589903 TLY589896:TLY589903 TVU589896:TVU589903 UFQ589896:UFQ589903 UPM589896:UPM589903 UZI589896:UZI589903 VJE589896:VJE589903 VTA589896:VTA589903 WCW589896:WCW589903 WMS589896:WMS589903 WWO589896:WWO589903 AG655432:AG655439 KC655432:KC655439 TY655432:TY655439 ADU655432:ADU655439 ANQ655432:ANQ655439 AXM655432:AXM655439 BHI655432:BHI655439 BRE655432:BRE655439 CBA655432:CBA655439 CKW655432:CKW655439 CUS655432:CUS655439 DEO655432:DEO655439 DOK655432:DOK655439 DYG655432:DYG655439 EIC655432:EIC655439 ERY655432:ERY655439 FBU655432:FBU655439 FLQ655432:FLQ655439 FVM655432:FVM655439 GFI655432:GFI655439 GPE655432:GPE655439 GZA655432:GZA655439 HIW655432:HIW655439 HSS655432:HSS655439 ICO655432:ICO655439 IMK655432:IMK655439 IWG655432:IWG655439 JGC655432:JGC655439 JPY655432:JPY655439 JZU655432:JZU655439 KJQ655432:KJQ655439 KTM655432:KTM655439 LDI655432:LDI655439 LNE655432:LNE655439 LXA655432:LXA655439 MGW655432:MGW655439 MQS655432:MQS655439 NAO655432:NAO655439 NKK655432:NKK655439 NUG655432:NUG655439 OEC655432:OEC655439 ONY655432:ONY655439 OXU655432:OXU655439 PHQ655432:PHQ655439 PRM655432:PRM655439 QBI655432:QBI655439 QLE655432:QLE655439 QVA655432:QVA655439 REW655432:REW655439 ROS655432:ROS655439 RYO655432:RYO655439 SIK655432:SIK655439 SSG655432:SSG655439 TCC655432:TCC655439 TLY655432:TLY655439 TVU655432:TVU655439 UFQ655432:UFQ655439 UPM655432:UPM655439 UZI655432:UZI655439 VJE655432:VJE655439 VTA655432:VTA655439 WCW655432:WCW655439 WMS655432:WMS655439 WWO655432:WWO655439 AG720968:AG720975 KC720968:KC720975 TY720968:TY720975 ADU720968:ADU720975 ANQ720968:ANQ720975 AXM720968:AXM720975 BHI720968:BHI720975 BRE720968:BRE720975 CBA720968:CBA720975 CKW720968:CKW720975 CUS720968:CUS720975 DEO720968:DEO720975 DOK720968:DOK720975 DYG720968:DYG720975 EIC720968:EIC720975 ERY720968:ERY720975 FBU720968:FBU720975 FLQ720968:FLQ720975 FVM720968:FVM720975 GFI720968:GFI720975 GPE720968:GPE720975 GZA720968:GZA720975 HIW720968:HIW720975 HSS720968:HSS720975 ICO720968:ICO720975 IMK720968:IMK720975 IWG720968:IWG720975 JGC720968:JGC720975 JPY720968:JPY720975 JZU720968:JZU720975 KJQ720968:KJQ720975 KTM720968:KTM720975 LDI720968:LDI720975 LNE720968:LNE720975 LXA720968:LXA720975 MGW720968:MGW720975 MQS720968:MQS720975 NAO720968:NAO720975 NKK720968:NKK720975 NUG720968:NUG720975 OEC720968:OEC720975 ONY720968:ONY720975 OXU720968:OXU720975 PHQ720968:PHQ720975 PRM720968:PRM720975 QBI720968:QBI720975 QLE720968:QLE720975 QVA720968:QVA720975 REW720968:REW720975 ROS720968:ROS720975 RYO720968:RYO720975 SIK720968:SIK720975 SSG720968:SSG720975 TCC720968:TCC720975 TLY720968:TLY720975 TVU720968:TVU720975 UFQ720968:UFQ720975 UPM720968:UPM720975 UZI720968:UZI720975 VJE720968:VJE720975 VTA720968:VTA720975 WCW720968:WCW720975 WMS720968:WMS720975 WWO720968:WWO720975 AG786504:AG786511 KC786504:KC786511 TY786504:TY786511 ADU786504:ADU786511 ANQ786504:ANQ786511 AXM786504:AXM786511 BHI786504:BHI786511 BRE786504:BRE786511 CBA786504:CBA786511 CKW786504:CKW786511 CUS786504:CUS786511 DEO786504:DEO786511 DOK786504:DOK786511 DYG786504:DYG786511 EIC786504:EIC786511 ERY786504:ERY786511 FBU786504:FBU786511 FLQ786504:FLQ786511 FVM786504:FVM786511 GFI786504:GFI786511 GPE786504:GPE786511 GZA786504:GZA786511 HIW786504:HIW786511 HSS786504:HSS786511 ICO786504:ICO786511 IMK786504:IMK786511 IWG786504:IWG786511 JGC786504:JGC786511 JPY786504:JPY786511 JZU786504:JZU786511 KJQ786504:KJQ786511 KTM786504:KTM786511 LDI786504:LDI786511 LNE786504:LNE786511 LXA786504:LXA786511 MGW786504:MGW786511 MQS786504:MQS786511 NAO786504:NAO786511 NKK786504:NKK786511 NUG786504:NUG786511 OEC786504:OEC786511 ONY786504:ONY786511 OXU786504:OXU786511 PHQ786504:PHQ786511 PRM786504:PRM786511 QBI786504:QBI786511 QLE786504:QLE786511 QVA786504:QVA786511 REW786504:REW786511 ROS786504:ROS786511 RYO786504:RYO786511 SIK786504:SIK786511 SSG786504:SSG786511 TCC786504:TCC786511 TLY786504:TLY786511 TVU786504:TVU786511 UFQ786504:UFQ786511 UPM786504:UPM786511 UZI786504:UZI786511 VJE786504:VJE786511 VTA786504:VTA786511 WCW786504:WCW786511 WMS786504:WMS786511 WWO786504:WWO786511 AG852040:AG852047 KC852040:KC852047 TY852040:TY852047 ADU852040:ADU852047 ANQ852040:ANQ852047 AXM852040:AXM852047 BHI852040:BHI852047 BRE852040:BRE852047 CBA852040:CBA852047 CKW852040:CKW852047 CUS852040:CUS852047 DEO852040:DEO852047 DOK852040:DOK852047 DYG852040:DYG852047 EIC852040:EIC852047 ERY852040:ERY852047 FBU852040:FBU852047 FLQ852040:FLQ852047 FVM852040:FVM852047 GFI852040:GFI852047 GPE852040:GPE852047 GZA852040:GZA852047 HIW852040:HIW852047 HSS852040:HSS852047 ICO852040:ICO852047 IMK852040:IMK852047 IWG852040:IWG852047 JGC852040:JGC852047 JPY852040:JPY852047 JZU852040:JZU852047 KJQ852040:KJQ852047 KTM852040:KTM852047 LDI852040:LDI852047 LNE852040:LNE852047 LXA852040:LXA852047 MGW852040:MGW852047 MQS852040:MQS852047 NAO852040:NAO852047 NKK852040:NKK852047 NUG852040:NUG852047 OEC852040:OEC852047 ONY852040:ONY852047 OXU852040:OXU852047 PHQ852040:PHQ852047 PRM852040:PRM852047 QBI852040:QBI852047 QLE852040:QLE852047 QVA852040:QVA852047 REW852040:REW852047 ROS852040:ROS852047 RYO852040:RYO852047 SIK852040:SIK852047 SSG852040:SSG852047 TCC852040:TCC852047 TLY852040:TLY852047 TVU852040:TVU852047 UFQ852040:UFQ852047 UPM852040:UPM852047 UZI852040:UZI852047 VJE852040:VJE852047 VTA852040:VTA852047 WCW852040:WCW852047 WMS852040:WMS852047 WWO852040:WWO852047 AG917576:AG917583 KC917576:KC917583 TY917576:TY917583 ADU917576:ADU917583 ANQ917576:ANQ917583 AXM917576:AXM917583 BHI917576:BHI917583 BRE917576:BRE917583 CBA917576:CBA917583 CKW917576:CKW917583 CUS917576:CUS917583 DEO917576:DEO917583 DOK917576:DOK917583 DYG917576:DYG917583 EIC917576:EIC917583 ERY917576:ERY917583 FBU917576:FBU917583 FLQ917576:FLQ917583 FVM917576:FVM917583 GFI917576:GFI917583 GPE917576:GPE917583 GZA917576:GZA917583 HIW917576:HIW917583 HSS917576:HSS917583 ICO917576:ICO917583 IMK917576:IMK917583 IWG917576:IWG917583 JGC917576:JGC917583 JPY917576:JPY917583 JZU917576:JZU917583 KJQ917576:KJQ917583 KTM917576:KTM917583 LDI917576:LDI917583 LNE917576:LNE917583 LXA917576:LXA917583 MGW917576:MGW917583 MQS917576:MQS917583 NAO917576:NAO917583 NKK917576:NKK917583 NUG917576:NUG917583 OEC917576:OEC917583 ONY917576:ONY917583 OXU917576:OXU917583 PHQ917576:PHQ917583 PRM917576:PRM917583 QBI917576:QBI917583 QLE917576:QLE917583 QVA917576:QVA917583 REW917576:REW917583 ROS917576:ROS917583 RYO917576:RYO917583 SIK917576:SIK917583 SSG917576:SSG917583 TCC917576:TCC917583 TLY917576:TLY917583 TVU917576:TVU917583 UFQ917576:UFQ917583 UPM917576:UPM917583 UZI917576:UZI917583 VJE917576:VJE917583 VTA917576:VTA917583 WCW917576:WCW917583 WMS917576:WMS917583 WWO917576:WWO917583 AG983112:AG983119 KC983112:KC983119 TY983112:TY983119 ADU983112:ADU983119 ANQ983112:ANQ983119 AXM983112:AXM983119 BHI983112:BHI983119 BRE983112:BRE983119 CBA983112:CBA983119 CKW983112:CKW983119 CUS983112:CUS983119 DEO983112:DEO983119 DOK983112:DOK983119 DYG983112:DYG983119 EIC983112:EIC983119 ERY983112:ERY983119 FBU983112:FBU983119 FLQ983112:FLQ983119 FVM983112:FVM983119 GFI983112:GFI983119 GPE983112:GPE983119 GZA983112:GZA983119 HIW983112:HIW983119 HSS983112:HSS983119 ICO983112:ICO983119 IMK983112:IMK983119 IWG983112:IWG983119 JGC983112:JGC983119 JPY983112:JPY983119 JZU983112:JZU983119 KJQ983112:KJQ983119 KTM983112:KTM983119 LDI983112:LDI983119 LNE983112:LNE983119 LXA983112:LXA983119 MGW983112:MGW983119 MQS983112:MQS983119 NAO983112:NAO983119 NKK983112:NKK983119 NUG983112:NUG983119 OEC983112:OEC983119 ONY983112:ONY983119 OXU983112:OXU983119 PHQ983112:PHQ983119 PRM983112:PRM983119 QBI983112:QBI983119 QLE983112:QLE983119 QVA983112:QVA983119 REW983112:REW983119 ROS983112:ROS983119 RYO983112:RYO983119 SIK983112:SIK983119 SSG983112:SSG983119 TCC983112:TCC983119 TLY983112:TLY983119 TVU983112:TVU983119 UFQ983112:UFQ983119 UPM983112:UPM983119 UZI983112:UZI983119 VJE983112:VJE983119 VTA983112:VTA983119 WCW983112:WCW983119 AG74:AG79" xr:uid="{00000000-0002-0000-0800-000008000000}">
      <formula1>0</formula1>
      <formula2>9</formula2>
    </dataValidation>
    <dataValidation type="whole" showDropDown="1" showInputMessage="1" showErrorMessage="1" error="Môže byť iba číslica." prompt="           Musí byť iba _x000a__x000a_  1, 2, 3, 4, 5, 6, 7, 8, 9  _x000a_   (ak prvá číslica je 0)_x000a__x000a_ 0, 1, 2, 3, 4, 5, 6, 7, 8, 9  _x000a_(ak prvá číslica je 1 alebo 2)_x000a__x000a_                 0, 1 _x000a_     (ak prvá číslica je 3)" sqref="WWI983112:WWI983119 JY8:JY9 TU8:TU9 ADQ8:ADQ9 ANM8:ANM9 AXI8:AXI9 BHE8:BHE9 BRA8:BRA9 CAW8:CAW9 CKS8:CKS9 CUO8:CUO9 DEK8:DEK9 DOG8:DOG9 DYC8:DYC9 EHY8:EHY9 ERU8:ERU9 FBQ8:FBQ9 FLM8:FLM9 FVI8:FVI9 GFE8:GFE9 GPA8:GPA9 GYW8:GYW9 HIS8:HIS9 HSO8:HSO9 ICK8:ICK9 IMG8:IMG9 IWC8:IWC9 JFY8:JFY9 JPU8:JPU9 JZQ8:JZQ9 KJM8:KJM9 KTI8:KTI9 LDE8:LDE9 LNA8:LNA9 LWW8:LWW9 MGS8:MGS9 MQO8:MQO9 NAK8:NAK9 NKG8:NKG9 NUC8:NUC9 ODY8:ODY9 ONU8:ONU9 OXQ8:OXQ9 PHM8:PHM9 PRI8:PRI9 QBE8:QBE9 QLA8:QLA9 QUW8:QUW9 RES8:RES9 ROO8:ROO9 RYK8:RYK9 SIG8:SIG9 SSC8:SSC9 TBY8:TBY9 TLU8:TLU9 TVQ8:TVQ9 UFM8:UFM9 UPI8:UPI9 UZE8:UZE9 VJA8:VJA9 VSW8:VSW9 WCS8:WCS9 WMO8:WMO9 WWK8:WWK9 AC65544:AC65545 JY65544:JY65545 TU65544:TU65545 ADQ65544:ADQ65545 ANM65544:ANM65545 AXI65544:AXI65545 BHE65544:BHE65545 BRA65544:BRA65545 CAW65544:CAW65545 CKS65544:CKS65545 CUO65544:CUO65545 DEK65544:DEK65545 DOG65544:DOG65545 DYC65544:DYC65545 EHY65544:EHY65545 ERU65544:ERU65545 FBQ65544:FBQ65545 FLM65544:FLM65545 FVI65544:FVI65545 GFE65544:GFE65545 GPA65544:GPA65545 GYW65544:GYW65545 HIS65544:HIS65545 HSO65544:HSO65545 ICK65544:ICK65545 IMG65544:IMG65545 IWC65544:IWC65545 JFY65544:JFY65545 JPU65544:JPU65545 JZQ65544:JZQ65545 KJM65544:KJM65545 KTI65544:KTI65545 LDE65544:LDE65545 LNA65544:LNA65545 LWW65544:LWW65545 MGS65544:MGS65545 MQO65544:MQO65545 NAK65544:NAK65545 NKG65544:NKG65545 NUC65544:NUC65545 ODY65544:ODY65545 ONU65544:ONU65545 OXQ65544:OXQ65545 PHM65544:PHM65545 PRI65544:PRI65545 QBE65544:QBE65545 QLA65544:QLA65545 QUW65544:QUW65545 RES65544:RES65545 ROO65544:ROO65545 RYK65544:RYK65545 SIG65544:SIG65545 SSC65544:SSC65545 TBY65544:TBY65545 TLU65544:TLU65545 TVQ65544:TVQ65545 UFM65544:UFM65545 UPI65544:UPI65545 UZE65544:UZE65545 VJA65544:VJA65545 VSW65544:VSW65545 WCS65544:WCS65545 WMO65544:WMO65545 WWK65544:WWK65545 AC131080:AC131081 JY131080:JY131081 TU131080:TU131081 ADQ131080:ADQ131081 ANM131080:ANM131081 AXI131080:AXI131081 BHE131080:BHE131081 BRA131080:BRA131081 CAW131080:CAW131081 CKS131080:CKS131081 CUO131080:CUO131081 DEK131080:DEK131081 DOG131080:DOG131081 DYC131080:DYC131081 EHY131080:EHY131081 ERU131080:ERU131081 FBQ131080:FBQ131081 FLM131080:FLM131081 FVI131080:FVI131081 GFE131080:GFE131081 GPA131080:GPA131081 GYW131080:GYW131081 HIS131080:HIS131081 HSO131080:HSO131081 ICK131080:ICK131081 IMG131080:IMG131081 IWC131080:IWC131081 JFY131080:JFY131081 JPU131080:JPU131081 JZQ131080:JZQ131081 KJM131080:KJM131081 KTI131080:KTI131081 LDE131080:LDE131081 LNA131080:LNA131081 LWW131080:LWW131081 MGS131080:MGS131081 MQO131080:MQO131081 NAK131080:NAK131081 NKG131080:NKG131081 NUC131080:NUC131081 ODY131080:ODY131081 ONU131080:ONU131081 OXQ131080:OXQ131081 PHM131080:PHM131081 PRI131080:PRI131081 QBE131080:QBE131081 QLA131080:QLA131081 QUW131080:QUW131081 RES131080:RES131081 ROO131080:ROO131081 RYK131080:RYK131081 SIG131080:SIG131081 SSC131080:SSC131081 TBY131080:TBY131081 TLU131080:TLU131081 TVQ131080:TVQ131081 UFM131080:UFM131081 UPI131080:UPI131081 UZE131080:UZE131081 VJA131080:VJA131081 VSW131080:VSW131081 WCS131080:WCS131081 WMO131080:WMO131081 WWK131080:WWK131081 AC196616:AC196617 JY196616:JY196617 TU196616:TU196617 ADQ196616:ADQ196617 ANM196616:ANM196617 AXI196616:AXI196617 BHE196616:BHE196617 BRA196616:BRA196617 CAW196616:CAW196617 CKS196616:CKS196617 CUO196616:CUO196617 DEK196616:DEK196617 DOG196616:DOG196617 DYC196616:DYC196617 EHY196616:EHY196617 ERU196616:ERU196617 FBQ196616:FBQ196617 FLM196616:FLM196617 FVI196616:FVI196617 GFE196616:GFE196617 GPA196616:GPA196617 GYW196616:GYW196617 HIS196616:HIS196617 HSO196616:HSO196617 ICK196616:ICK196617 IMG196616:IMG196617 IWC196616:IWC196617 JFY196616:JFY196617 JPU196616:JPU196617 JZQ196616:JZQ196617 KJM196616:KJM196617 KTI196616:KTI196617 LDE196616:LDE196617 LNA196616:LNA196617 LWW196616:LWW196617 MGS196616:MGS196617 MQO196616:MQO196617 NAK196616:NAK196617 NKG196616:NKG196617 NUC196616:NUC196617 ODY196616:ODY196617 ONU196616:ONU196617 OXQ196616:OXQ196617 PHM196616:PHM196617 PRI196616:PRI196617 QBE196616:QBE196617 QLA196616:QLA196617 QUW196616:QUW196617 RES196616:RES196617 ROO196616:ROO196617 RYK196616:RYK196617 SIG196616:SIG196617 SSC196616:SSC196617 TBY196616:TBY196617 TLU196616:TLU196617 TVQ196616:TVQ196617 UFM196616:UFM196617 UPI196616:UPI196617 UZE196616:UZE196617 VJA196616:VJA196617 VSW196616:VSW196617 WCS196616:WCS196617 WMO196616:WMO196617 WWK196616:WWK196617 AC262152:AC262153 JY262152:JY262153 TU262152:TU262153 ADQ262152:ADQ262153 ANM262152:ANM262153 AXI262152:AXI262153 BHE262152:BHE262153 BRA262152:BRA262153 CAW262152:CAW262153 CKS262152:CKS262153 CUO262152:CUO262153 DEK262152:DEK262153 DOG262152:DOG262153 DYC262152:DYC262153 EHY262152:EHY262153 ERU262152:ERU262153 FBQ262152:FBQ262153 FLM262152:FLM262153 FVI262152:FVI262153 GFE262152:GFE262153 GPA262152:GPA262153 GYW262152:GYW262153 HIS262152:HIS262153 HSO262152:HSO262153 ICK262152:ICK262153 IMG262152:IMG262153 IWC262152:IWC262153 JFY262152:JFY262153 JPU262152:JPU262153 JZQ262152:JZQ262153 KJM262152:KJM262153 KTI262152:KTI262153 LDE262152:LDE262153 LNA262152:LNA262153 LWW262152:LWW262153 MGS262152:MGS262153 MQO262152:MQO262153 NAK262152:NAK262153 NKG262152:NKG262153 NUC262152:NUC262153 ODY262152:ODY262153 ONU262152:ONU262153 OXQ262152:OXQ262153 PHM262152:PHM262153 PRI262152:PRI262153 QBE262152:QBE262153 QLA262152:QLA262153 QUW262152:QUW262153 RES262152:RES262153 ROO262152:ROO262153 RYK262152:RYK262153 SIG262152:SIG262153 SSC262152:SSC262153 TBY262152:TBY262153 TLU262152:TLU262153 TVQ262152:TVQ262153 UFM262152:UFM262153 UPI262152:UPI262153 UZE262152:UZE262153 VJA262152:VJA262153 VSW262152:VSW262153 WCS262152:WCS262153 WMO262152:WMO262153 WWK262152:WWK262153 AC327688:AC327689 JY327688:JY327689 TU327688:TU327689 ADQ327688:ADQ327689 ANM327688:ANM327689 AXI327688:AXI327689 BHE327688:BHE327689 BRA327688:BRA327689 CAW327688:CAW327689 CKS327688:CKS327689 CUO327688:CUO327689 DEK327688:DEK327689 DOG327688:DOG327689 DYC327688:DYC327689 EHY327688:EHY327689 ERU327688:ERU327689 FBQ327688:FBQ327689 FLM327688:FLM327689 FVI327688:FVI327689 GFE327688:GFE327689 GPA327688:GPA327689 GYW327688:GYW327689 HIS327688:HIS327689 HSO327688:HSO327689 ICK327688:ICK327689 IMG327688:IMG327689 IWC327688:IWC327689 JFY327688:JFY327689 JPU327688:JPU327689 JZQ327688:JZQ327689 KJM327688:KJM327689 KTI327688:KTI327689 LDE327688:LDE327689 LNA327688:LNA327689 LWW327688:LWW327689 MGS327688:MGS327689 MQO327688:MQO327689 NAK327688:NAK327689 NKG327688:NKG327689 NUC327688:NUC327689 ODY327688:ODY327689 ONU327688:ONU327689 OXQ327688:OXQ327689 PHM327688:PHM327689 PRI327688:PRI327689 QBE327688:QBE327689 QLA327688:QLA327689 QUW327688:QUW327689 RES327688:RES327689 ROO327688:ROO327689 RYK327688:RYK327689 SIG327688:SIG327689 SSC327688:SSC327689 TBY327688:TBY327689 TLU327688:TLU327689 TVQ327688:TVQ327689 UFM327688:UFM327689 UPI327688:UPI327689 UZE327688:UZE327689 VJA327688:VJA327689 VSW327688:VSW327689 WCS327688:WCS327689 WMO327688:WMO327689 WWK327688:WWK327689 AC393224:AC393225 JY393224:JY393225 TU393224:TU393225 ADQ393224:ADQ393225 ANM393224:ANM393225 AXI393224:AXI393225 BHE393224:BHE393225 BRA393224:BRA393225 CAW393224:CAW393225 CKS393224:CKS393225 CUO393224:CUO393225 DEK393224:DEK393225 DOG393224:DOG393225 DYC393224:DYC393225 EHY393224:EHY393225 ERU393224:ERU393225 FBQ393224:FBQ393225 FLM393224:FLM393225 FVI393224:FVI393225 GFE393224:GFE393225 GPA393224:GPA393225 GYW393224:GYW393225 HIS393224:HIS393225 HSO393224:HSO393225 ICK393224:ICK393225 IMG393224:IMG393225 IWC393224:IWC393225 JFY393224:JFY393225 JPU393224:JPU393225 JZQ393224:JZQ393225 KJM393224:KJM393225 KTI393224:KTI393225 LDE393224:LDE393225 LNA393224:LNA393225 LWW393224:LWW393225 MGS393224:MGS393225 MQO393224:MQO393225 NAK393224:NAK393225 NKG393224:NKG393225 NUC393224:NUC393225 ODY393224:ODY393225 ONU393224:ONU393225 OXQ393224:OXQ393225 PHM393224:PHM393225 PRI393224:PRI393225 QBE393224:QBE393225 QLA393224:QLA393225 QUW393224:QUW393225 RES393224:RES393225 ROO393224:ROO393225 RYK393224:RYK393225 SIG393224:SIG393225 SSC393224:SSC393225 TBY393224:TBY393225 TLU393224:TLU393225 TVQ393224:TVQ393225 UFM393224:UFM393225 UPI393224:UPI393225 UZE393224:UZE393225 VJA393224:VJA393225 VSW393224:VSW393225 WCS393224:WCS393225 WMO393224:WMO393225 WWK393224:WWK393225 AC458760:AC458761 JY458760:JY458761 TU458760:TU458761 ADQ458760:ADQ458761 ANM458760:ANM458761 AXI458760:AXI458761 BHE458760:BHE458761 BRA458760:BRA458761 CAW458760:CAW458761 CKS458760:CKS458761 CUO458760:CUO458761 DEK458760:DEK458761 DOG458760:DOG458761 DYC458760:DYC458761 EHY458760:EHY458761 ERU458760:ERU458761 FBQ458760:FBQ458761 FLM458760:FLM458761 FVI458760:FVI458761 GFE458760:GFE458761 GPA458760:GPA458761 GYW458760:GYW458761 HIS458760:HIS458761 HSO458760:HSO458761 ICK458760:ICK458761 IMG458760:IMG458761 IWC458760:IWC458761 JFY458760:JFY458761 JPU458760:JPU458761 JZQ458760:JZQ458761 KJM458760:KJM458761 KTI458760:KTI458761 LDE458760:LDE458761 LNA458760:LNA458761 LWW458760:LWW458761 MGS458760:MGS458761 MQO458760:MQO458761 NAK458760:NAK458761 NKG458760:NKG458761 NUC458760:NUC458761 ODY458760:ODY458761 ONU458760:ONU458761 OXQ458760:OXQ458761 PHM458760:PHM458761 PRI458760:PRI458761 QBE458760:QBE458761 QLA458760:QLA458761 QUW458760:QUW458761 RES458760:RES458761 ROO458760:ROO458761 RYK458760:RYK458761 SIG458760:SIG458761 SSC458760:SSC458761 TBY458760:TBY458761 TLU458760:TLU458761 TVQ458760:TVQ458761 UFM458760:UFM458761 UPI458760:UPI458761 UZE458760:UZE458761 VJA458760:VJA458761 VSW458760:VSW458761 WCS458760:WCS458761 WMO458760:WMO458761 WWK458760:WWK458761 AC524296:AC524297 JY524296:JY524297 TU524296:TU524297 ADQ524296:ADQ524297 ANM524296:ANM524297 AXI524296:AXI524297 BHE524296:BHE524297 BRA524296:BRA524297 CAW524296:CAW524297 CKS524296:CKS524297 CUO524296:CUO524297 DEK524296:DEK524297 DOG524296:DOG524297 DYC524296:DYC524297 EHY524296:EHY524297 ERU524296:ERU524297 FBQ524296:FBQ524297 FLM524296:FLM524297 FVI524296:FVI524297 GFE524296:GFE524297 GPA524296:GPA524297 GYW524296:GYW524297 HIS524296:HIS524297 HSO524296:HSO524297 ICK524296:ICK524297 IMG524296:IMG524297 IWC524296:IWC524297 JFY524296:JFY524297 JPU524296:JPU524297 JZQ524296:JZQ524297 KJM524296:KJM524297 KTI524296:KTI524297 LDE524296:LDE524297 LNA524296:LNA524297 LWW524296:LWW524297 MGS524296:MGS524297 MQO524296:MQO524297 NAK524296:NAK524297 NKG524296:NKG524297 NUC524296:NUC524297 ODY524296:ODY524297 ONU524296:ONU524297 OXQ524296:OXQ524297 PHM524296:PHM524297 PRI524296:PRI524297 QBE524296:QBE524297 QLA524296:QLA524297 QUW524296:QUW524297 RES524296:RES524297 ROO524296:ROO524297 RYK524296:RYK524297 SIG524296:SIG524297 SSC524296:SSC524297 TBY524296:TBY524297 TLU524296:TLU524297 TVQ524296:TVQ524297 UFM524296:UFM524297 UPI524296:UPI524297 UZE524296:UZE524297 VJA524296:VJA524297 VSW524296:VSW524297 WCS524296:WCS524297 WMO524296:WMO524297 WWK524296:WWK524297 AC589832:AC589833 JY589832:JY589833 TU589832:TU589833 ADQ589832:ADQ589833 ANM589832:ANM589833 AXI589832:AXI589833 BHE589832:BHE589833 BRA589832:BRA589833 CAW589832:CAW589833 CKS589832:CKS589833 CUO589832:CUO589833 DEK589832:DEK589833 DOG589832:DOG589833 DYC589832:DYC589833 EHY589832:EHY589833 ERU589832:ERU589833 FBQ589832:FBQ589833 FLM589832:FLM589833 FVI589832:FVI589833 GFE589832:GFE589833 GPA589832:GPA589833 GYW589832:GYW589833 HIS589832:HIS589833 HSO589832:HSO589833 ICK589832:ICK589833 IMG589832:IMG589833 IWC589832:IWC589833 JFY589832:JFY589833 JPU589832:JPU589833 JZQ589832:JZQ589833 KJM589832:KJM589833 KTI589832:KTI589833 LDE589832:LDE589833 LNA589832:LNA589833 LWW589832:LWW589833 MGS589832:MGS589833 MQO589832:MQO589833 NAK589832:NAK589833 NKG589832:NKG589833 NUC589832:NUC589833 ODY589832:ODY589833 ONU589832:ONU589833 OXQ589832:OXQ589833 PHM589832:PHM589833 PRI589832:PRI589833 QBE589832:QBE589833 QLA589832:QLA589833 QUW589832:QUW589833 RES589832:RES589833 ROO589832:ROO589833 RYK589832:RYK589833 SIG589832:SIG589833 SSC589832:SSC589833 TBY589832:TBY589833 TLU589832:TLU589833 TVQ589832:TVQ589833 UFM589832:UFM589833 UPI589832:UPI589833 UZE589832:UZE589833 VJA589832:VJA589833 VSW589832:VSW589833 WCS589832:WCS589833 WMO589832:WMO589833 WWK589832:WWK589833 AC655368:AC655369 JY655368:JY655369 TU655368:TU655369 ADQ655368:ADQ655369 ANM655368:ANM655369 AXI655368:AXI655369 BHE655368:BHE655369 BRA655368:BRA655369 CAW655368:CAW655369 CKS655368:CKS655369 CUO655368:CUO655369 DEK655368:DEK655369 DOG655368:DOG655369 DYC655368:DYC655369 EHY655368:EHY655369 ERU655368:ERU655369 FBQ655368:FBQ655369 FLM655368:FLM655369 FVI655368:FVI655369 GFE655368:GFE655369 GPA655368:GPA655369 GYW655368:GYW655369 HIS655368:HIS655369 HSO655368:HSO655369 ICK655368:ICK655369 IMG655368:IMG655369 IWC655368:IWC655369 JFY655368:JFY655369 JPU655368:JPU655369 JZQ655368:JZQ655369 KJM655368:KJM655369 KTI655368:KTI655369 LDE655368:LDE655369 LNA655368:LNA655369 LWW655368:LWW655369 MGS655368:MGS655369 MQO655368:MQO655369 NAK655368:NAK655369 NKG655368:NKG655369 NUC655368:NUC655369 ODY655368:ODY655369 ONU655368:ONU655369 OXQ655368:OXQ655369 PHM655368:PHM655369 PRI655368:PRI655369 QBE655368:QBE655369 QLA655368:QLA655369 QUW655368:QUW655369 RES655368:RES655369 ROO655368:ROO655369 RYK655368:RYK655369 SIG655368:SIG655369 SSC655368:SSC655369 TBY655368:TBY655369 TLU655368:TLU655369 TVQ655368:TVQ655369 UFM655368:UFM655369 UPI655368:UPI655369 UZE655368:UZE655369 VJA655368:VJA655369 VSW655368:VSW655369 WCS655368:WCS655369 WMO655368:WMO655369 WWK655368:WWK655369 AC720904:AC720905 JY720904:JY720905 TU720904:TU720905 ADQ720904:ADQ720905 ANM720904:ANM720905 AXI720904:AXI720905 BHE720904:BHE720905 BRA720904:BRA720905 CAW720904:CAW720905 CKS720904:CKS720905 CUO720904:CUO720905 DEK720904:DEK720905 DOG720904:DOG720905 DYC720904:DYC720905 EHY720904:EHY720905 ERU720904:ERU720905 FBQ720904:FBQ720905 FLM720904:FLM720905 FVI720904:FVI720905 GFE720904:GFE720905 GPA720904:GPA720905 GYW720904:GYW720905 HIS720904:HIS720905 HSO720904:HSO720905 ICK720904:ICK720905 IMG720904:IMG720905 IWC720904:IWC720905 JFY720904:JFY720905 JPU720904:JPU720905 JZQ720904:JZQ720905 KJM720904:KJM720905 KTI720904:KTI720905 LDE720904:LDE720905 LNA720904:LNA720905 LWW720904:LWW720905 MGS720904:MGS720905 MQO720904:MQO720905 NAK720904:NAK720905 NKG720904:NKG720905 NUC720904:NUC720905 ODY720904:ODY720905 ONU720904:ONU720905 OXQ720904:OXQ720905 PHM720904:PHM720905 PRI720904:PRI720905 QBE720904:QBE720905 QLA720904:QLA720905 QUW720904:QUW720905 RES720904:RES720905 ROO720904:ROO720905 RYK720904:RYK720905 SIG720904:SIG720905 SSC720904:SSC720905 TBY720904:TBY720905 TLU720904:TLU720905 TVQ720904:TVQ720905 UFM720904:UFM720905 UPI720904:UPI720905 UZE720904:UZE720905 VJA720904:VJA720905 VSW720904:VSW720905 WCS720904:WCS720905 WMO720904:WMO720905 WWK720904:WWK720905 AC786440:AC786441 JY786440:JY786441 TU786440:TU786441 ADQ786440:ADQ786441 ANM786440:ANM786441 AXI786440:AXI786441 BHE786440:BHE786441 BRA786440:BRA786441 CAW786440:CAW786441 CKS786440:CKS786441 CUO786440:CUO786441 DEK786440:DEK786441 DOG786440:DOG786441 DYC786440:DYC786441 EHY786440:EHY786441 ERU786440:ERU786441 FBQ786440:FBQ786441 FLM786440:FLM786441 FVI786440:FVI786441 GFE786440:GFE786441 GPA786440:GPA786441 GYW786440:GYW786441 HIS786440:HIS786441 HSO786440:HSO786441 ICK786440:ICK786441 IMG786440:IMG786441 IWC786440:IWC786441 JFY786440:JFY786441 JPU786440:JPU786441 JZQ786440:JZQ786441 KJM786440:KJM786441 KTI786440:KTI786441 LDE786440:LDE786441 LNA786440:LNA786441 LWW786440:LWW786441 MGS786440:MGS786441 MQO786440:MQO786441 NAK786440:NAK786441 NKG786440:NKG786441 NUC786440:NUC786441 ODY786440:ODY786441 ONU786440:ONU786441 OXQ786440:OXQ786441 PHM786440:PHM786441 PRI786440:PRI786441 QBE786440:QBE786441 QLA786440:QLA786441 QUW786440:QUW786441 RES786440:RES786441 ROO786440:ROO786441 RYK786440:RYK786441 SIG786440:SIG786441 SSC786440:SSC786441 TBY786440:TBY786441 TLU786440:TLU786441 TVQ786440:TVQ786441 UFM786440:UFM786441 UPI786440:UPI786441 UZE786440:UZE786441 VJA786440:VJA786441 VSW786440:VSW786441 WCS786440:WCS786441 WMO786440:WMO786441 WWK786440:WWK786441 AC851976:AC851977 JY851976:JY851977 TU851976:TU851977 ADQ851976:ADQ851977 ANM851976:ANM851977 AXI851976:AXI851977 BHE851976:BHE851977 BRA851976:BRA851977 CAW851976:CAW851977 CKS851976:CKS851977 CUO851976:CUO851977 DEK851976:DEK851977 DOG851976:DOG851977 DYC851976:DYC851977 EHY851976:EHY851977 ERU851976:ERU851977 FBQ851976:FBQ851977 FLM851976:FLM851977 FVI851976:FVI851977 GFE851976:GFE851977 GPA851976:GPA851977 GYW851976:GYW851977 HIS851976:HIS851977 HSO851976:HSO851977 ICK851976:ICK851977 IMG851976:IMG851977 IWC851976:IWC851977 JFY851976:JFY851977 JPU851976:JPU851977 JZQ851976:JZQ851977 KJM851976:KJM851977 KTI851976:KTI851977 LDE851976:LDE851977 LNA851976:LNA851977 LWW851976:LWW851977 MGS851976:MGS851977 MQO851976:MQO851977 NAK851976:NAK851977 NKG851976:NKG851977 NUC851976:NUC851977 ODY851976:ODY851977 ONU851976:ONU851977 OXQ851976:OXQ851977 PHM851976:PHM851977 PRI851976:PRI851977 QBE851976:QBE851977 QLA851976:QLA851977 QUW851976:QUW851977 RES851976:RES851977 ROO851976:ROO851977 RYK851976:RYK851977 SIG851976:SIG851977 SSC851976:SSC851977 TBY851976:TBY851977 TLU851976:TLU851977 TVQ851976:TVQ851977 UFM851976:UFM851977 UPI851976:UPI851977 UZE851976:UZE851977 VJA851976:VJA851977 VSW851976:VSW851977 WCS851976:WCS851977 WMO851976:WMO851977 WWK851976:WWK851977 AC917512:AC917513 JY917512:JY917513 TU917512:TU917513 ADQ917512:ADQ917513 ANM917512:ANM917513 AXI917512:AXI917513 BHE917512:BHE917513 BRA917512:BRA917513 CAW917512:CAW917513 CKS917512:CKS917513 CUO917512:CUO917513 DEK917512:DEK917513 DOG917512:DOG917513 DYC917512:DYC917513 EHY917512:EHY917513 ERU917512:ERU917513 FBQ917512:FBQ917513 FLM917512:FLM917513 FVI917512:FVI917513 GFE917512:GFE917513 GPA917512:GPA917513 GYW917512:GYW917513 HIS917512:HIS917513 HSO917512:HSO917513 ICK917512:ICK917513 IMG917512:IMG917513 IWC917512:IWC917513 JFY917512:JFY917513 JPU917512:JPU917513 JZQ917512:JZQ917513 KJM917512:KJM917513 KTI917512:KTI917513 LDE917512:LDE917513 LNA917512:LNA917513 LWW917512:LWW917513 MGS917512:MGS917513 MQO917512:MQO917513 NAK917512:NAK917513 NKG917512:NKG917513 NUC917512:NUC917513 ODY917512:ODY917513 ONU917512:ONU917513 OXQ917512:OXQ917513 PHM917512:PHM917513 PRI917512:PRI917513 QBE917512:QBE917513 QLA917512:QLA917513 QUW917512:QUW917513 RES917512:RES917513 ROO917512:ROO917513 RYK917512:RYK917513 SIG917512:SIG917513 SSC917512:SSC917513 TBY917512:TBY917513 TLU917512:TLU917513 TVQ917512:TVQ917513 UFM917512:UFM917513 UPI917512:UPI917513 UZE917512:UZE917513 VJA917512:VJA917513 VSW917512:VSW917513 WCS917512:WCS917513 WMO917512:WMO917513 WWK917512:WWK917513 AC983048:AC983049 JY983048:JY983049 TU983048:TU983049 ADQ983048:ADQ983049 ANM983048:ANM983049 AXI983048:AXI983049 BHE983048:BHE983049 BRA983048:BRA983049 CAW983048:CAW983049 CKS983048:CKS983049 CUO983048:CUO983049 DEK983048:DEK983049 DOG983048:DOG983049 DYC983048:DYC983049 EHY983048:EHY983049 ERU983048:ERU983049 FBQ983048:FBQ983049 FLM983048:FLM983049 FVI983048:FVI983049 GFE983048:GFE983049 GPA983048:GPA983049 GYW983048:GYW983049 HIS983048:HIS983049 HSO983048:HSO983049 ICK983048:ICK983049 IMG983048:IMG983049 IWC983048:IWC983049 JFY983048:JFY983049 JPU983048:JPU983049 JZQ983048:JZQ983049 KJM983048:KJM983049 KTI983048:KTI983049 LDE983048:LDE983049 LNA983048:LNA983049 LWW983048:LWW983049 MGS983048:MGS983049 MQO983048:MQO983049 NAK983048:NAK983049 NKG983048:NKG983049 NUC983048:NUC983049 ODY983048:ODY983049 ONU983048:ONU983049 OXQ983048:OXQ983049 PHM983048:PHM983049 PRI983048:PRI983049 QBE983048:QBE983049 QLA983048:QLA983049 QUW983048:QUW983049 RES983048:RES983049 ROO983048:ROO983049 RYK983048:RYK983049 SIG983048:SIG983049 SSC983048:SSC983049 TBY983048:TBY983049 TLU983048:TLU983049 TVQ983048:TVQ983049 UFM983048:UFM983049 UPI983048:UPI983049 UZE983048:UZE983049 VJA983048:VJA983049 VSW983048:VSW983049 WCS983048:WCS983049 WMO983048:WMO983049 WWK983048:WWK983049 WMM983112:WMM983119 JA72:JA79 SW72:SW79 ACS72:ACS79 AMO72:AMO79 AWK72:AWK79 BGG72:BGG79 BQC72:BQC79 BZY72:BZY79 CJU72:CJU79 CTQ72:CTQ79 DDM72:DDM79 DNI72:DNI79 DXE72:DXE79 EHA72:EHA79 EQW72:EQW79 FAS72:FAS79 FKO72:FKO79 FUK72:FUK79 GEG72:GEG79 GOC72:GOC79 GXY72:GXY79 HHU72:HHU79 HRQ72:HRQ79 IBM72:IBM79 ILI72:ILI79 IVE72:IVE79 JFA72:JFA79 JOW72:JOW79 JYS72:JYS79 KIO72:KIO79 KSK72:KSK79 LCG72:LCG79 LMC72:LMC79 LVY72:LVY79 MFU72:MFU79 MPQ72:MPQ79 MZM72:MZM79 NJI72:NJI79 NTE72:NTE79 ODA72:ODA79 OMW72:OMW79 OWS72:OWS79 PGO72:PGO79 PQK72:PQK79 QAG72:QAG79 QKC72:QKC79 QTY72:QTY79 RDU72:RDU79 RNQ72:RNQ79 RXM72:RXM79 SHI72:SHI79 SRE72:SRE79 TBA72:TBA79 TKW72:TKW79 TUS72:TUS79 UEO72:UEO79 UOK72:UOK79 UYG72:UYG79 VIC72:VIC79 VRY72:VRY79 WBU72:WBU79 WLQ72:WLQ79 WVM72:WVM79 E65608:E65615 JA65608:JA65615 SW65608:SW65615 ACS65608:ACS65615 AMO65608:AMO65615 AWK65608:AWK65615 BGG65608:BGG65615 BQC65608:BQC65615 BZY65608:BZY65615 CJU65608:CJU65615 CTQ65608:CTQ65615 DDM65608:DDM65615 DNI65608:DNI65615 DXE65608:DXE65615 EHA65608:EHA65615 EQW65608:EQW65615 FAS65608:FAS65615 FKO65608:FKO65615 FUK65608:FUK65615 GEG65608:GEG65615 GOC65608:GOC65615 GXY65608:GXY65615 HHU65608:HHU65615 HRQ65608:HRQ65615 IBM65608:IBM65615 ILI65608:ILI65615 IVE65608:IVE65615 JFA65608:JFA65615 JOW65608:JOW65615 JYS65608:JYS65615 KIO65608:KIO65615 KSK65608:KSK65615 LCG65608:LCG65615 LMC65608:LMC65615 LVY65608:LVY65615 MFU65608:MFU65615 MPQ65608:MPQ65615 MZM65608:MZM65615 NJI65608:NJI65615 NTE65608:NTE65615 ODA65608:ODA65615 OMW65608:OMW65615 OWS65608:OWS65615 PGO65608:PGO65615 PQK65608:PQK65615 QAG65608:QAG65615 QKC65608:QKC65615 QTY65608:QTY65615 RDU65608:RDU65615 RNQ65608:RNQ65615 RXM65608:RXM65615 SHI65608:SHI65615 SRE65608:SRE65615 TBA65608:TBA65615 TKW65608:TKW65615 TUS65608:TUS65615 UEO65608:UEO65615 UOK65608:UOK65615 UYG65608:UYG65615 VIC65608:VIC65615 VRY65608:VRY65615 WBU65608:WBU65615 WLQ65608:WLQ65615 WVM65608:WVM65615 E131144:E131151 JA131144:JA131151 SW131144:SW131151 ACS131144:ACS131151 AMO131144:AMO131151 AWK131144:AWK131151 BGG131144:BGG131151 BQC131144:BQC131151 BZY131144:BZY131151 CJU131144:CJU131151 CTQ131144:CTQ131151 DDM131144:DDM131151 DNI131144:DNI131151 DXE131144:DXE131151 EHA131144:EHA131151 EQW131144:EQW131151 FAS131144:FAS131151 FKO131144:FKO131151 FUK131144:FUK131151 GEG131144:GEG131151 GOC131144:GOC131151 GXY131144:GXY131151 HHU131144:HHU131151 HRQ131144:HRQ131151 IBM131144:IBM131151 ILI131144:ILI131151 IVE131144:IVE131151 JFA131144:JFA131151 JOW131144:JOW131151 JYS131144:JYS131151 KIO131144:KIO131151 KSK131144:KSK131151 LCG131144:LCG131151 LMC131144:LMC131151 LVY131144:LVY131151 MFU131144:MFU131151 MPQ131144:MPQ131151 MZM131144:MZM131151 NJI131144:NJI131151 NTE131144:NTE131151 ODA131144:ODA131151 OMW131144:OMW131151 OWS131144:OWS131151 PGO131144:PGO131151 PQK131144:PQK131151 QAG131144:QAG131151 QKC131144:QKC131151 QTY131144:QTY131151 RDU131144:RDU131151 RNQ131144:RNQ131151 RXM131144:RXM131151 SHI131144:SHI131151 SRE131144:SRE131151 TBA131144:TBA131151 TKW131144:TKW131151 TUS131144:TUS131151 UEO131144:UEO131151 UOK131144:UOK131151 UYG131144:UYG131151 VIC131144:VIC131151 VRY131144:VRY131151 WBU131144:WBU131151 WLQ131144:WLQ131151 WVM131144:WVM131151 E196680:E196687 JA196680:JA196687 SW196680:SW196687 ACS196680:ACS196687 AMO196680:AMO196687 AWK196680:AWK196687 BGG196680:BGG196687 BQC196680:BQC196687 BZY196680:BZY196687 CJU196680:CJU196687 CTQ196680:CTQ196687 DDM196680:DDM196687 DNI196680:DNI196687 DXE196680:DXE196687 EHA196680:EHA196687 EQW196680:EQW196687 FAS196680:FAS196687 FKO196680:FKO196687 FUK196680:FUK196687 GEG196680:GEG196687 GOC196680:GOC196687 GXY196680:GXY196687 HHU196680:HHU196687 HRQ196680:HRQ196687 IBM196680:IBM196687 ILI196680:ILI196687 IVE196680:IVE196687 JFA196680:JFA196687 JOW196680:JOW196687 JYS196680:JYS196687 KIO196680:KIO196687 KSK196680:KSK196687 LCG196680:LCG196687 LMC196680:LMC196687 LVY196680:LVY196687 MFU196680:MFU196687 MPQ196680:MPQ196687 MZM196680:MZM196687 NJI196680:NJI196687 NTE196680:NTE196687 ODA196680:ODA196687 OMW196680:OMW196687 OWS196680:OWS196687 PGO196680:PGO196687 PQK196680:PQK196687 QAG196680:QAG196687 QKC196680:QKC196687 QTY196680:QTY196687 RDU196680:RDU196687 RNQ196680:RNQ196687 RXM196680:RXM196687 SHI196680:SHI196687 SRE196680:SRE196687 TBA196680:TBA196687 TKW196680:TKW196687 TUS196680:TUS196687 UEO196680:UEO196687 UOK196680:UOK196687 UYG196680:UYG196687 VIC196680:VIC196687 VRY196680:VRY196687 WBU196680:WBU196687 WLQ196680:WLQ196687 WVM196680:WVM196687 E262216:E262223 JA262216:JA262223 SW262216:SW262223 ACS262216:ACS262223 AMO262216:AMO262223 AWK262216:AWK262223 BGG262216:BGG262223 BQC262216:BQC262223 BZY262216:BZY262223 CJU262216:CJU262223 CTQ262216:CTQ262223 DDM262216:DDM262223 DNI262216:DNI262223 DXE262216:DXE262223 EHA262216:EHA262223 EQW262216:EQW262223 FAS262216:FAS262223 FKO262216:FKO262223 FUK262216:FUK262223 GEG262216:GEG262223 GOC262216:GOC262223 GXY262216:GXY262223 HHU262216:HHU262223 HRQ262216:HRQ262223 IBM262216:IBM262223 ILI262216:ILI262223 IVE262216:IVE262223 JFA262216:JFA262223 JOW262216:JOW262223 JYS262216:JYS262223 KIO262216:KIO262223 KSK262216:KSK262223 LCG262216:LCG262223 LMC262216:LMC262223 LVY262216:LVY262223 MFU262216:MFU262223 MPQ262216:MPQ262223 MZM262216:MZM262223 NJI262216:NJI262223 NTE262216:NTE262223 ODA262216:ODA262223 OMW262216:OMW262223 OWS262216:OWS262223 PGO262216:PGO262223 PQK262216:PQK262223 QAG262216:QAG262223 QKC262216:QKC262223 QTY262216:QTY262223 RDU262216:RDU262223 RNQ262216:RNQ262223 RXM262216:RXM262223 SHI262216:SHI262223 SRE262216:SRE262223 TBA262216:TBA262223 TKW262216:TKW262223 TUS262216:TUS262223 UEO262216:UEO262223 UOK262216:UOK262223 UYG262216:UYG262223 VIC262216:VIC262223 VRY262216:VRY262223 WBU262216:WBU262223 WLQ262216:WLQ262223 WVM262216:WVM262223 E327752:E327759 JA327752:JA327759 SW327752:SW327759 ACS327752:ACS327759 AMO327752:AMO327759 AWK327752:AWK327759 BGG327752:BGG327759 BQC327752:BQC327759 BZY327752:BZY327759 CJU327752:CJU327759 CTQ327752:CTQ327759 DDM327752:DDM327759 DNI327752:DNI327759 DXE327752:DXE327759 EHA327752:EHA327759 EQW327752:EQW327759 FAS327752:FAS327759 FKO327752:FKO327759 FUK327752:FUK327759 GEG327752:GEG327759 GOC327752:GOC327759 GXY327752:GXY327759 HHU327752:HHU327759 HRQ327752:HRQ327759 IBM327752:IBM327759 ILI327752:ILI327759 IVE327752:IVE327759 JFA327752:JFA327759 JOW327752:JOW327759 JYS327752:JYS327759 KIO327752:KIO327759 KSK327752:KSK327759 LCG327752:LCG327759 LMC327752:LMC327759 LVY327752:LVY327759 MFU327752:MFU327759 MPQ327752:MPQ327759 MZM327752:MZM327759 NJI327752:NJI327759 NTE327752:NTE327759 ODA327752:ODA327759 OMW327752:OMW327759 OWS327752:OWS327759 PGO327752:PGO327759 PQK327752:PQK327759 QAG327752:QAG327759 QKC327752:QKC327759 QTY327752:QTY327759 RDU327752:RDU327759 RNQ327752:RNQ327759 RXM327752:RXM327759 SHI327752:SHI327759 SRE327752:SRE327759 TBA327752:TBA327759 TKW327752:TKW327759 TUS327752:TUS327759 UEO327752:UEO327759 UOK327752:UOK327759 UYG327752:UYG327759 VIC327752:VIC327759 VRY327752:VRY327759 WBU327752:WBU327759 WLQ327752:WLQ327759 WVM327752:WVM327759 E393288:E393295 JA393288:JA393295 SW393288:SW393295 ACS393288:ACS393295 AMO393288:AMO393295 AWK393288:AWK393295 BGG393288:BGG393295 BQC393288:BQC393295 BZY393288:BZY393295 CJU393288:CJU393295 CTQ393288:CTQ393295 DDM393288:DDM393295 DNI393288:DNI393295 DXE393288:DXE393295 EHA393288:EHA393295 EQW393288:EQW393295 FAS393288:FAS393295 FKO393288:FKO393295 FUK393288:FUK393295 GEG393288:GEG393295 GOC393288:GOC393295 GXY393288:GXY393295 HHU393288:HHU393295 HRQ393288:HRQ393295 IBM393288:IBM393295 ILI393288:ILI393295 IVE393288:IVE393295 JFA393288:JFA393295 JOW393288:JOW393295 JYS393288:JYS393295 KIO393288:KIO393295 KSK393288:KSK393295 LCG393288:LCG393295 LMC393288:LMC393295 LVY393288:LVY393295 MFU393288:MFU393295 MPQ393288:MPQ393295 MZM393288:MZM393295 NJI393288:NJI393295 NTE393288:NTE393295 ODA393288:ODA393295 OMW393288:OMW393295 OWS393288:OWS393295 PGO393288:PGO393295 PQK393288:PQK393295 QAG393288:QAG393295 QKC393288:QKC393295 QTY393288:QTY393295 RDU393288:RDU393295 RNQ393288:RNQ393295 RXM393288:RXM393295 SHI393288:SHI393295 SRE393288:SRE393295 TBA393288:TBA393295 TKW393288:TKW393295 TUS393288:TUS393295 UEO393288:UEO393295 UOK393288:UOK393295 UYG393288:UYG393295 VIC393288:VIC393295 VRY393288:VRY393295 WBU393288:WBU393295 WLQ393288:WLQ393295 WVM393288:WVM393295 E458824:E458831 JA458824:JA458831 SW458824:SW458831 ACS458824:ACS458831 AMO458824:AMO458831 AWK458824:AWK458831 BGG458824:BGG458831 BQC458824:BQC458831 BZY458824:BZY458831 CJU458824:CJU458831 CTQ458824:CTQ458831 DDM458824:DDM458831 DNI458824:DNI458831 DXE458824:DXE458831 EHA458824:EHA458831 EQW458824:EQW458831 FAS458824:FAS458831 FKO458824:FKO458831 FUK458824:FUK458831 GEG458824:GEG458831 GOC458824:GOC458831 GXY458824:GXY458831 HHU458824:HHU458831 HRQ458824:HRQ458831 IBM458824:IBM458831 ILI458824:ILI458831 IVE458824:IVE458831 JFA458824:JFA458831 JOW458824:JOW458831 JYS458824:JYS458831 KIO458824:KIO458831 KSK458824:KSK458831 LCG458824:LCG458831 LMC458824:LMC458831 LVY458824:LVY458831 MFU458824:MFU458831 MPQ458824:MPQ458831 MZM458824:MZM458831 NJI458824:NJI458831 NTE458824:NTE458831 ODA458824:ODA458831 OMW458824:OMW458831 OWS458824:OWS458831 PGO458824:PGO458831 PQK458824:PQK458831 QAG458824:QAG458831 QKC458824:QKC458831 QTY458824:QTY458831 RDU458824:RDU458831 RNQ458824:RNQ458831 RXM458824:RXM458831 SHI458824:SHI458831 SRE458824:SRE458831 TBA458824:TBA458831 TKW458824:TKW458831 TUS458824:TUS458831 UEO458824:UEO458831 UOK458824:UOK458831 UYG458824:UYG458831 VIC458824:VIC458831 VRY458824:VRY458831 WBU458824:WBU458831 WLQ458824:WLQ458831 WVM458824:WVM458831 E524360:E524367 JA524360:JA524367 SW524360:SW524367 ACS524360:ACS524367 AMO524360:AMO524367 AWK524360:AWK524367 BGG524360:BGG524367 BQC524360:BQC524367 BZY524360:BZY524367 CJU524360:CJU524367 CTQ524360:CTQ524367 DDM524360:DDM524367 DNI524360:DNI524367 DXE524360:DXE524367 EHA524360:EHA524367 EQW524360:EQW524367 FAS524360:FAS524367 FKO524360:FKO524367 FUK524360:FUK524367 GEG524360:GEG524367 GOC524360:GOC524367 GXY524360:GXY524367 HHU524360:HHU524367 HRQ524360:HRQ524367 IBM524360:IBM524367 ILI524360:ILI524367 IVE524360:IVE524367 JFA524360:JFA524367 JOW524360:JOW524367 JYS524360:JYS524367 KIO524360:KIO524367 KSK524360:KSK524367 LCG524360:LCG524367 LMC524360:LMC524367 LVY524360:LVY524367 MFU524360:MFU524367 MPQ524360:MPQ524367 MZM524360:MZM524367 NJI524360:NJI524367 NTE524360:NTE524367 ODA524360:ODA524367 OMW524360:OMW524367 OWS524360:OWS524367 PGO524360:PGO524367 PQK524360:PQK524367 QAG524360:QAG524367 QKC524360:QKC524367 QTY524360:QTY524367 RDU524360:RDU524367 RNQ524360:RNQ524367 RXM524360:RXM524367 SHI524360:SHI524367 SRE524360:SRE524367 TBA524360:TBA524367 TKW524360:TKW524367 TUS524360:TUS524367 UEO524360:UEO524367 UOK524360:UOK524367 UYG524360:UYG524367 VIC524360:VIC524367 VRY524360:VRY524367 WBU524360:WBU524367 WLQ524360:WLQ524367 WVM524360:WVM524367 E589896:E589903 JA589896:JA589903 SW589896:SW589903 ACS589896:ACS589903 AMO589896:AMO589903 AWK589896:AWK589903 BGG589896:BGG589903 BQC589896:BQC589903 BZY589896:BZY589903 CJU589896:CJU589903 CTQ589896:CTQ589903 DDM589896:DDM589903 DNI589896:DNI589903 DXE589896:DXE589903 EHA589896:EHA589903 EQW589896:EQW589903 FAS589896:FAS589903 FKO589896:FKO589903 FUK589896:FUK589903 GEG589896:GEG589903 GOC589896:GOC589903 GXY589896:GXY589903 HHU589896:HHU589903 HRQ589896:HRQ589903 IBM589896:IBM589903 ILI589896:ILI589903 IVE589896:IVE589903 JFA589896:JFA589903 JOW589896:JOW589903 JYS589896:JYS589903 KIO589896:KIO589903 KSK589896:KSK589903 LCG589896:LCG589903 LMC589896:LMC589903 LVY589896:LVY589903 MFU589896:MFU589903 MPQ589896:MPQ589903 MZM589896:MZM589903 NJI589896:NJI589903 NTE589896:NTE589903 ODA589896:ODA589903 OMW589896:OMW589903 OWS589896:OWS589903 PGO589896:PGO589903 PQK589896:PQK589903 QAG589896:QAG589903 QKC589896:QKC589903 QTY589896:QTY589903 RDU589896:RDU589903 RNQ589896:RNQ589903 RXM589896:RXM589903 SHI589896:SHI589903 SRE589896:SRE589903 TBA589896:TBA589903 TKW589896:TKW589903 TUS589896:TUS589903 UEO589896:UEO589903 UOK589896:UOK589903 UYG589896:UYG589903 VIC589896:VIC589903 VRY589896:VRY589903 WBU589896:WBU589903 WLQ589896:WLQ589903 WVM589896:WVM589903 E655432:E655439 JA655432:JA655439 SW655432:SW655439 ACS655432:ACS655439 AMO655432:AMO655439 AWK655432:AWK655439 BGG655432:BGG655439 BQC655432:BQC655439 BZY655432:BZY655439 CJU655432:CJU655439 CTQ655432:CTQ655439 DDM655432:DDM655439 DNI655432:DNI655439 DXE655432:DXE655439 EHA655432:EHA655439 EQW655432:EQW655439 FAS655432:FAS655439 FKO655432:FKO655439 FUK655432:FUK655439 GEG655432:GEG655439 GOC655432:GOC655439 GXY655432:GXY655439 HHU655432:HHU655439 HRQ655432:HRQ655439 IBM655432:IBM655439 ILI655432:ILI655439 IVE655432:IVE655439 JFA655432:JFA655439 JOW655432:JOW655439 JYS655432:JYS655439 KIO655432:KIO655439 KSK655432:KSK655439 LCG655432:LCG655439 LMC655432:LMC655439 LVY655432:LVY655439 MFU655432:MFU655439 MPQ655432:MPQ655439 MZM655432:MZM655439 NJI655432:NJI655439 NTE655432:NTE655439 ODA655432:ODA655439 OMW655432:OMW655439 OWS655432:OWS655439 PGO655432:PGO655439 PQK655432:PQK655439 QAG655432:QAG655439 QKC655432:QKC655439 QTY655432:QTY655439 RDU655432:RDU655439 RNQ655432:RNQ655439 RXM655432:RXM655439 SHI655432:SHI655439 SRE655432:SRE655439 TBA655432:TBA655439 TKW655432:TKW655439 TUS655432:TUS655439 UEO655432:UEO655439 UOK655432:UOK655439 UYG655432:UYG655439 VIC655432:VIC655439 VRY655432:VRY655439 WBU655432:WBU655439 WLQ655432:WLQ655439 WVM655432:WVM655439 E720968:E720975 JA720968:JA720975 SW720968:SW720975 ACS720968:ACS720975 AMO720968:AMO720975 AWK720968:AWK720975 BGG720968:BGG720975 BQC720968:BQC720975 BZY720968:BZY720975 CJU720968:CJU720975 CTQ720968:CTQ720975 DDM720968:DDM720975 DNI720968:DNI720975 DXE720968:DXE720975 EHA720968:EHA720975 EQW720968:EQW720975 FAS720968:FAS720975 FKO720968:FKO720975 FUK720968:FUK720975 GEG720968:GEG720975 GOC720968:GOC720975 GXY720968:GXY720975 HHU720968:HHU720975 HRQ720968:HRQ720975 IBM720968:IBM720975 ILI720968:ILI720975 IVE720968:IVE720975 JFA720968:JFA720975 JOW720968:JOW720975 JYS720968:JYS720975 KIO720968:KIO720975 KSK720968:KSK720975 LCG720968:LCG720975 LMC720968:LMC720975 LVY720968:LVY720975 MFU720968:MFU720975 MPQ720968:MPQ720975 MZM720968:MZM720975 NJI720968:NJI720975 NTE720968:NTE720975 ODA720968:ODA720975 OMW720968:OMW720975 OWS720968:OWS720975 PGO720968:PGO720975 PQK720968:PQK720975 QAG720968:QAG720975 QKC720968:QKC720975 QTY720968:QTY720975 RDU720968:RDU720975 RNQ720968:RNQ720975 RXM720968:RXM720975 SHI720968:SHI720975 SRE720968:SRE720975 TBA720968:TBA720975 TKW720968:TKW720975 TUS720968:TUS720975 UEO720968:UEO720975 UOK720968:UOK720975 UYG720968:UYG720975 VIC720968:VIC720975 VRY720968:VRY720975 WBU720968:WBU720975 WLQ720968:WLQ720975 WVM720968:WVM720975 E786504:E786511 JA786504:JA786511 SW786504:SW786511 ACS786504:ACS786511 AMO786504:AMO786511 AWK786504:AWK786511 BGG786504:BGG786511 BQC786504:BQC786511 BZY786504:BZY786511 CJU786504:CJU786511 CTQ786504:CTQ786511 DDM786504:DDM786511 DNI786504:DNI786511 DXE786504:DXE786511 EHA786504:EHA786511 EQW786504:EQW786511 FAS786504:FAS786511 FKO786504:FKO786511 FUK786504:FUK786511 GEG786504:GEG786511 GOC786504:GOC786511 GXY786504:GXY786511 HHU786504:HHU786511 HRQ786504:HRQ786511 IBM786504:IBM786511 ILI786504:ILI786511 IVE786504:IVE786511 JFA786504:JFA786511 JOW786504:JOW786511 JYS786504:JYS786511 KIO786504:KIO786511 KSK786504:KSK786511 LCG786504:LCG786511 LMC786504:LMC786511 LVY786504:LVY786511 MFU786504:MFU786511 MPQ786504:MPQ786511 MZM786504:MZM786511 NJI786504:NJI786511 NTE786504:NTE786511 ODA786504:ODA786511 OMW786504:OMW786511 OWS786504:OWS786511 PGO786504:PGO786511 PQK786504:PQK786511 QAG786504:QAG786511 QKC786504:QKC786511 QTY786504:QTY786511 RDU786504:RDU786511 RNQ786504:RNQ786511 RXM786504:RXM786511 SHI786504:SHI786511 SRE786504:SRE786511 TBA786504:TBA786511 TKW786504:TKW786511 TUS786504:TUS786511 UEO786504:UEO786511 UOK786504:UOK786511 UYG786504:UYG786511 VIC786504:VIC786511 VRY786504:VRY786511 WBU786504:WBU786511 WLQ786504:WLQ786511 WVM786504:WVM786511 E852040:E852047 JA852040:JA852047 SW852040:SW852047 ACS852040:ACS852047 AMO852040:AMO852047 AWK852040:AWK852047 BGG852040:BGG852047 BQC852040:BQC852047 BZY852040:BZY852047 CJU852040:CJU852047 CTQ852040:CTQ852047 DDM852040:DDM852047 DNI852040:DNI852047 DXE852040:DXE852047 EHA852040:EHA852047 EQW852040:EQW852047 FAS852040:FAS852047 FKO852040:FKO852047 FUK852040:FUK852047 GEG852040:GEG852047 GOC852040:GOC852047 GXY852040:GXY852047 HHU852040:HHU852047 HRQ852040:HRQ852047 IBM852040:IBM852047 ILI852040:ILI852047 IVE852040:IVE852047 JFA852040:JFA852047 JOW852040:JOW852047 JYS852040:JYS852047 KIO852040:KIO852047 KSK852040:KSK852047 LCG852040:LCG852047 LMC852040:LMC852047 LVY852040:LVY852047 MFU852040:MFU852047 MPQ852040:MPQ852047 MZM852040:MZM852047 NJI852040:NJI852047 NTE852040:NTE852047 ODA852040:ODA852047 OMW852040:OMW852047 OWS852040:OWS852047 PGO852040:PGO852047 PQK852040:PQK852047 QAG852040:QAG852047 QKC852040:QKC852047 QTY852040:QTY852047 RDU852040:RDU852047 RNQ852040:RNQ852047 RXM852040:RXM852047 SHI852040:SHI852047 SRE852040:SRE852047 TBA852040:TBA852047 TKW852040:TKW852047 TUS852040:TUS852047 UEO852040:UEO852047 UOK852040:UOK852047 UYG852040:UYG852047 VIC852040:VIC852047 VRY852040:VRY852047 WBU852040:WBU852047 WLQ852040:WLQ852047 WVM852040:WVM852047 E917576:E917583 JA917576:JA917583 SW917576:SW917583 ACS917576:ACS917583 AMO917576:AMO917583 AWK917576:AWK917583 BGG917576:BGG917583 BQC917576:BQC917583 BZY917576:BZY917583 CJU917576:CJU917583 CTQ917576:CTQ917583 DDM917576:DDM917583 DNI917576:DNI917583 DXE917576:DXE917583 EHA917576:EHA917583 EQW917576:EQW917583 FAS917576:FAS917583 FKO917576:FKO917583 FUK917576:FUK917583 GEG917576:GEG917583 GOC917576:GOC917583 GXY917576:GXY917583 HHU917576:HHU917583 HRQ917576:HRQ917583 IBM917576:IBM917583 ILI917576:ILI917583 IVE917576:IVE917583 JFA917576:JFA917583 JOW917576:JOW917583 JYS917576:JYS917583 KIO917576:KIO917583 KSK917576:KSK917583 LCG917576:LCG917583 LMC917576:LMC917583 LVY917576:LVY917583 MFU917576:MFU917583 MPQ917576:MPQ917583 MZM917576:MZM917583 NJI917576:NJI917583 NTE917576:NTE917583 ODA917576:ODA917583 OMW917576:OMW917583 OWS917576:OWS917583 PGO917576:PGO917583 PQK917576:PQK917583 QAG917576:QAG917583 QKC917576:QKC917583 QTY917576:QTY917583 RDU917576:RDU917583 RNQ917576:RNQ917583 RXM917576:RXM917583 SHI917576:SHI917583 SRE917576:SRE917583 TBA917576:TBA917583 TKW917576:TKW917583 TUS917576:TUS917583 UEO917576:UEO917583 UOK917576:UOK917583 UYG917576:UYG917583 VIC917576:VIC917583 VRY917576:VRY917583 WBU917576:WBU917583 WLQ917576:WLQ917583 WVM917576:WVM917583 E983112:E983119 JA983112:JA983119 SW983112:SW983119 ACS983112:ACS983119 AMO983112:AMO983119 AWK983112:AWK983119 BGG983112:BGG983119 BQC983112:BQC983119 BZY983112:BZY983119 CJU983112:CJU983119 CTQ983112:CTQ983119 DDM983112:DDM983119 DNI983112:DNI983119 DXE983112:DXE983119 EHA983112:EHA983119 EQW983112:EQW983119 FAS983112:FAS983119 FKO983112:FKO983119 FUK983112:FUK983119 GEG983112:GEG983119 GOC983112:GOC983119 GXY983112:GXY983119 HHU983112:HHU983119 HRQ983112:HRQ983119 IBM983112:IBM983119 ILI983112:ILI983119 IVE983112:IVE983119 JFA983112:JFA983119 JOW983112:JOW983119 JYS983112:JYS983119 KIO983112:KIO983119 KSK983112:KSK983119 LCG983112:LCG983119 LMC983112:LMC983119 LVY983112:LVY983119 MFU983112:MFU983119 MPQ983112:MPQ983119 MZM983112:MZM983119 NJI983112:NJI983119 NTE983112:NTE983119 ODA983112:ODA983119 OMW983112:OMW983119 OWS983112:OWS983119 PGO983112:PGO983119 PQK983112:PQK983119 QAG983112:QAG983119 QKC983112:QKC983119 QTY983112:QTY983119 RDU983112:RDU983119 RNQ983112:RNQ983119 RXM983112:RXM983119 SHI983112:SHI983119 SRE983112:SRE983119 TBA983112:TBA983119 TKW983112:TKW983119 TUS983112:TUS983119 UEO983112:UEO983119 UOK983112:UOK983119 UYG983112:UYG983119 VIC983112:VIC983119 VRY983112:VRY983119 WBU983112:WBU983119 WLQ983112:WLQ983119 WVM983112:WVM983119 E74:E79 JW72:JW79 TS72:TS79 ADO72:ADO79 ANK72:ANK79 AXG72:AXG79 BHC72:BHC79 BQY72:BQY79 CAU72:CAU79 CKQ72:CKQ79 CUM72:CUM79 DEI72:DEI79 DOE72:DOE79 DYA72:DYA79 EHW72:EHW79 ERS72:ERS79 FBO72:FBO79 FLK72:FLK79 FVG72:FVG79 GFC72:GFC79 GOY72:GOY79 GYU72:GYU79 HIQ72:HIQ79 HSM72:HSM79 ICI72:ICI79 IME72:IME79 IWA72:IWA79 JFW72:JFW79 JPS72:JPS79 JZO72:JZO79 KJK72:KJK79 KTG72:KTG79 LDC72:LDC79 LMY72:LMY79 LWU72:LWU79 MGQ72:MGQ79 MQM72:MQM79 NAI72:NAI79 NKE72:NKE79 NUA72:NUA79 ODW72:ODW79 ONS72:ONS79 OXO72:OXO79 PHK72:PHK79 PRG72:PRG79 QBC72:QBC79 QKY72:QKY79 QUU72:QUU79 REQ72:REQ79 ROM72:ROM79 RYI72:RYI79 SIE72:SIE79 SSA72:SSA79 TBW72:TBW79 TLS72:TLS79 TVO72:TVO79 UFK72:UFK79 UPG72:UPG79 UZC72:UZC79 VIY72:VIY79 VSU72:VSU79 WCQ72:WCQ79 WMM72:WMM79 WWI72:WWI79 AA65608:AA65615 JW65608:JW65615 TS65608:TS65615 ADO65608:ADO65615 ANK65608:ANK65615 AXG65608:AXG65615 BHC65608:BHC65615 BQY65608:BQY65615 CAU65608:CAU65615 CKQ65608:CKQ65615 CUM65608:CUM65615 DEI65608:DEI65615 DOE65608:DOE65615 DYA65608:DYA65615 EHW65608:EHW65615 ERS65608:ERS65615 FBO65608:FBO65615 FLK65608:FLK65615 FVG65608:FVG65615 GFC65608:GFC65615 GOY65608:GOY65615 GYU65608:GYU65615 HIQ65608:HIQ65615 HSM65608:HSM65615 ICI65608:ICI65615 IME65608:IME65615 IWA65608:IWA65615 JFW65608:JFW65615 JPS65608:JPS65615 JZO65608:JZO65615 KJK65608:KJK65615 KTG65608:KTG65615 LDC65608:LDC65615 LMY65608:LMY65615 LWU65608:LWU65615 MGQ65608:MGQ65615 MQM65608:MQM65615 NAI65608:NAI65615 NKE65608:NKE65615 NUA65608:NUA65615 ODW65608:ODW65615 ONS65608:ONS65615 OXO65608:OXO65615 PHK65608:PHK65615 PRG65608:PRG65615 QBC65608:QBC65615 QKY65608:QKY65615 QUU65608:QUU65615 REQ65608:REQ65615 ROM65608:ROM65615 RYI65608:RYI65615 SIE65608:SIE65615 SSA65608:SSA65615 TBW65608:TBW65615 TLS65608:TLS65615 TVO65608:TVO65615 UFK65608:UFK65615 UPG65608:UPG65615 UZC65608:UZC65615 VIY65608:VIY65615 VSU65608:VSU65615 WCQ65608:WCQ65615 WMM65608:WMM65615 WWI65608:WWI65615 AA131144:AA131151 JW131144:JW131151 TS131144:TS131151 ADO131144:ADO131151 ANK131144:ANK131151 AXG131144:AXG131151 BHC131144:BHC131151 BQY131144:BQY131151 CAU131144:CAU131151 CKQ131144:CKQ131151 CUM131144:CUM131151 DEI131144:DEI131151 DOE131144:DOE131151 DYA131144:DYA131151 EHW131144:EHW131151 ERS131144:ERS131151 FBO131144:FBO131151 FLK131144:FLK131151 FVG131144:FVG131151 GFC131144:GFC131151 GOY131144:GOY131151 GYU131144:GYU131151 HIQ131144:HIQ131151 HSM131144:HSM131151 ICI131144:ICI131151 IME131144:IME131151 IWA131144:IWA131151 JFW131144:JFW131151 JPS131144:JPS131151 JZO131144:JZO131151 KJK131144:KJK131151 KTG131144:KTG131151 LDC131144:LDC131151 LMY131144:LMY131151 LWU131144:LWU131151 MGQ131144:MGQ131151 MQM131144:MQM131151 NAI131144:NAI131151 NKE131144:NKE131151 NUA131144:NUA131151 ODW131144:ODW131151 ONS131144:ONS131151 OXO131144:OXO131151 PHK131144:PHK131151 PRG131144:PRG131151 QBC131144:QBC131151 QKY131144:QKY131151 QUU131144:QUU131151 REQ131144:REQ131151 ROM131144:ROM131151 RYI131144:RYI131151 SIE131144:SIE131151 SSA131144:SSA131151 TBW131144:TBW131151 TLS131144:TLS131151 TVO131144:TVO131151 UFK131144:UFK131151 UPG131144:UPG131151 UZC131144:UZC131151 VIY131144:VIY131151 VSU131144:VSU131151 WCQ131144:WCQ131151 WMM131144:WMM131151 WWI131144:WWI131151 AA196680:AA196687 JW196680:JW196687 TS196680:TS196687 ADO196680:ADO196687 ANK196680:ANK196687 AXG196680:AXG196687 BHC196680:BHC196687 BQY196680:BQY196687 CAU196680:CAU196687 CKQ196680:CKQ196687 CUM196680:CUM196687 DEI196680:DEI196687 DOE196680:DOE196687 DYA196680:DYA196687 EHW196680:EHW196687 ERS196680:ERS196687 FBO196680:FBO196687 FLK196680:FLK196687 FVG196680:FVG196687 GFC196680:GFC196687 GOY196680:GOY196687 GYU196680:GYU196687 HIQ196680:HIQ196687 HSM196680:HSM196687 ICI196680:ICI196687 IME196680:IME196687 IWA196680:IWA196687 JFW196680:JFW196687 JPS196680:JPS196687 JZO196680:JZO196687 KJK196680:KJK196687 KTG196680:KTG196687 LDC196680:LDC196687 LMY196680:LMY196687 LWU196680:LWU196687 MGQ196680:MGQ196687 MQM196680:MQM196687 NAI196680:NAI196687 NKE196680:NKE196687 NUA196680:NUA196687 ODW196680:ODW196687 ONS196680:ONS196687 OXO196680:OXO196687 PHK196680:PHK196687 PRG196680:PRG196687 QBC196680:QBC196687 QKY196680:QKY196687 QUU196680:QUU196687 REQ196680:REQ196687 ROM196680:ROM196687 RYI196680:RYI196687 SIE196680:SIE196687 SSA196680:SSA196687 TBW196680:TBW196687 TLS196680:TLS196687 TVO196680:TVO196687 UFK196680:UFK196687 UPG196680:UPG196687 UZC196680:UZC196687 VIY196680:VIY196687 VSU196680:VSU196687 WCQ196680:WCQ196687 WMM196680:WMM196687 WWI196680:WWI196687 AA262216:AA262223 JW262216:JW262223 TS262216:TS262223 ADO262216:ADO262223 ANK262216:ANK262223 AXG262216:AXG262223 BHC262216:BHC262223 BQY262216:BQY262223 CAU262216:CAU262223 CKQ262216:CKQ262223 CUM262216:CUM262223 DEI262216:DEI262223 DOE262216:DOE262223 DYA262216:DYA262223 EHW262216:EHW262223 ERS262216:ERS262223 FBO262216:FBO262223 FLK262216:FLK262223 FVG262216:FVG262223 GFC262216:GFC262223 GOY262216:GOY262223 GYU262216:GYU262223 HIQ262216:HIQ262223 HSM262216:HSM262223 ICI262216:ICI262223 IME262216:IME262223 IWA262216:IWA262223 JFW262216:JFW262223 JPS262216:JPS262223 JZO262216:JZO262223 KJK262216:KJK262223 KTG262216:KTG262223 LDC262216:LDC262223 LMY262216:LMY262223 LWU262216:LWU262223 MGQ262216:MGQ262223 MQM262216:MQM262223 NAI262216:NAI262223 NKE262216:NKE262223 NUA262216:NUA262223 ODW262216:ODW262223 ONS262216:ONS262223 OXO262216:OXO262223 PHK262216:PHK262223 PRG262216:PRG262223 QBC262216:QBC262223 QKY262216:QKY262223 QUU262216:QUU262223 REQ262216:REQ262223 ROM262216:ROM262223 RYI262216:RYI262223 SIE262216:SIE262223 SSA262216:SSA262223 TBW262216:TBW262223 TLS262216:TLS262223 TVO262216:TVO262223 UFK262216:UFK262223 UPG262216:UPG262223 UZC262216:UZC262223 VIY262216:VIY262223 VSU262216:VSU262223 WCQ262216:WCQ262223 WMM262216:WMM262223 WWI262216:WWI262223 AA327752:AA327759 JW327752:JW327759 TS327752:TS327759 ADO327752:ADO327759 ANK327752:ANK327759 AXG327752:AXG327759 BHC327752:BHC327759 BQY327752:BQY327759 CAU327752:CAU327759 CKQ327752:CKQ327759 CUM327752:CUM327759 DEI327752:DEI327759 DOE327752:DOE327759 DYA327752:DYA327759 EHW327752:EHW327759 ERS327752:ERS327759 FBO327752:FBO327759 FLK327752:FLK327759 FVG327752:FVG327759 GFC327752:GFC327759 GOY327752:GOY327759 GYU327752:GYU327759 HIQ327752:HIQ327759 HSM327752:HSM327759 ICI327752:ICI327759 IME327752:IME327759 IWA327752:IWA327759 JFW327752:JFW327759 JPS327752:JPS327759 JZO327752:JZO327759 KJK327752:KJK327759 KTG327752:KTG327759 LDC327752:LDC327759 LMY327752:LMY327759 LWU327752:LWU327759 MGQ327752:MGQ327759 MQM327752:MQM327759 NAI327752:NAI327759 NKE327752:NKE327759 NUA327752:NUA327759 ODW327752:ODW327759 ONS327752:ONS327759 OXO327752:OXO327759 PHK327752:PHK327759 PRG327752:PRG327759 QBC327752:QBC327759 QKY327752:QKY327759 QUU327752:QUU327759 REQ327752:REQ327759 ROM327752:ROM327759 RYI327752:RYI327759 SIE327752:SIE327759 SSA327752:SSA327759 TBW327752:TBW327759 TLS327752:TLS327759 TVO327752:TVO327759 UFK327752:UFK327759 UPG327752:UPG327759 UZC327752:UZC327759 VIY327752:VIY327759 VSU327752:VSU327759 WCQ327752:WCQ327759 WMM327752:WMM327759 WWI327752:WWI327759 AA393288:AA393295 JW393288:JW393295 TS393288:TS393295 ADO393288:ADO393295 ANK393288:ANK393295 AXG393288:AXG393295 BHC393288:BHC393295 BQY393288:BQY393295 CAU393288:CAU393295 CKQ393288:CKQ393295 CUM393288:CUM393295 DEI393288:DEI393295 DOE393288:DOE393295 DYA393288:DYA393295 EHW393288:EHW393295 ERS393288:ERS393295 FBO393288:FBO393295 FLK393288:FLK393295 FVG393288:FVG393295 GFC393288:GFC393295 GOY393288:GOY393295 GYU393288:GYU393295 HIQ393288:HIQ393295 HSM393288:HSM393295 ICI393288:ICI393295 IME393288:IME393295 IWA393288:IWA393295 JFW393288:JFW393295 JPS393288:JPS393295 JZO393288:JZO393295 KJK393288:KJK393295 KTG393288:KTG393295 LDC393288:LDC393295 LMY393288:LMY393295 LWU393288:LWU393295 MGQ393288:MGQ393295 MQM393288:MQM393295 NAI393288:NAI393295 NKE393288:NKE393295 NUA393288:NUA393295 ODW393288:ODW393295 ONS393288:ONS393295 OXO393288:OXO393295 PHK393288:PHK393295 PRG393288:PRG393295 QBC393288:QBC393295 QKY393288:QKY393295 QUU393288:QUU393295 REQ393288:REQ393295 ROM393288:ROM393295 RYI393288:RYI393295 SIE393288:SIE393295 SSA393288:SSA393295 TBW393288:TBW393295 TLS393288:TLS393295 TVO393288:TVO393295 UFK393288:UFK393295 UPG393288:UPG393295 UZC393288:UZC393295 VIY393288:VIY393295 VSU393288:VSU393295 WCQ393288:WCQ393295 WMM393288:WMM393295 WWI393288:WWI393295 AA458824:AA458831 JW458824:JW458831 TS458824:TS458831 ADO458824:ADO458831 ANK458824:ANK458831 AXG458824:AXG458831 BHC458824:BHC458831 BQY458824:BQY458831 CAU458824:CAU458831 CKQ458824:CKQ458831 CUM458824:CUM458831 DEI458824:DEI458831 DOE458824:DOE458831 DYA458824:DYA458831 EHW458824:EHW458831 ERS458824:ERS458831 FBO458824:FBO458831 FLK458824:FLK458831 FVG458824:FVG458831 GFC458824:GFC458831 GOY458824:GOY458831 GYU458824:GYU458831 HIQ458824:HIQ458831 HSM458824:HSM458831 ICI458824:ICI458831 IME458824:IME458831 IWA458824:IWA458831 JFW458824:JFW458831 JPS458824:JPS458831 JZO458824:JZO458831 KJK458824:KJK458831 KTG458824:KTG458831 LDC458824:LDC458831 LMY458824:LMY458831 LWU458824:LWU458831 MGQ458824:MGQ458831 MQM458824:MQM458831 NAI458824:NAI458831 NKE458824:NKE458831 NUA458824:NUA458831 ODW458824:ODW458831 ONS458824:ONS458831 OXO458824:OXO458831 PHK458824:PHK458831 PRG458824:PRG458831 QBC458824:QBC458831 QKY458824:QKY458831 QUU458824:QUU458831 REQ458824:REQ458831 ROM458824:ROM458831 RYI458824:RYI458831 SIE458824:SIE458831 SSA458824:SSA458831 TBW458824:TBW458831 TLS458824:TLS458831 TVO458824:TVO458831 UFK458824:UFK458831 UPG458824:UPG458831 UZC458824:UZC458831 VIY458824:VIY458831 VSU458824:VSU458831 WCQ458824:WCQ458831 WMM458824:WMM458831 WWI458824:WWI458831 AA524360:AA524367 JW524360:JW524367 TS524360:TS524367 ADO524360:ADO524367 ANK524360:ANK524367 AXG524360:AXG524367 BHC524360:BHC524367 BQY524360:BQY524367 CAU524360:CAU524367 CKQ524360:CKQ524367 CUM524360:CUM524367 DEI524360:DEI524367 DOE524360:DOE524367 DYA524360:DYA524367 EHW524360:EHW524367 ERS524360:ERS524367 FBO524360:FBO524367 FLK524360:FLK524367 FVG524360:FVG524367 GFC524360:GFC524367 GOY524360:GOY524367 GYU524360:GYU524367 HIQ524360:HIQ524367 HSM524360:HSM524367 ICI524360:ICI524367 IME524360:IME524367 IWA524360:IWA524367 JFW524360:JFW524367 JPS524360:JPS524367 JZO524360:JZO524367 KJK524360:KJK524367 KTG524360:KTG524367 LDC524360:LDC524367 LMY524360:LMY524367 LWU524360:LWU524367 MGQ524360:MGQ524367 MQM524360:MQM524367 NAI524360:NAI524367 NKE524360:NKE524367 NUA524360:NUA524367 ODW524360:ODW524367 ONS524360:ONS524367 OXO524360:OXO524367 PHK524360:PHK524367 PRG524360:PRG524367 QBC524360:QBC524367 QKY524360:QKY524367 QUU524360:QUU524367 REQ524360:REQ524367 ROM524360:ROM524367 RYI524360:RYI524367 SIE524360:SIE524367 SSA524360:SSA524367 TBW524360:TBW524367 TLS524360:TLS524367 TVO524360:TVO524367 UFK524360:UFK524367 UPG524360:UPG524367 UZC524360:UZC524367 VIY524360:VIY524367 VSU524360:VSU524367 WCQ524360:WCQ524367 WMM524360:WMM524367 WWI524360:WWI524367 AA589896:AA589903 JW589896:JW589903 TS589896:TS589903 ADO589896:ADO589903 ANK589896:ANK589903 AXG589896:AXG589903 BHC589896:BHC589903 BQY589896:BQY589903 CAU589896:CAU589903 CKQ589896:CKQ589903 CUM589896:CUM589903 DEI589896:DEI589903 DOE589896:DOE589903 DYA589896:DYA589903 EHW589896:EHW589903 ERS589896:ERS589903 FBO589896:FBO589903 FLK589896:FLK589903 FVG589896:FVG589903 GFC589896:GFC589903 GOY589896:GOY589903 GYU589896:GYU589903 HIQ589896:HIQ589903 HSM589896:HSM589903 ICI589896:ICI589903 IME589896:IME589903 IWA589896:IWA589903 JFW589896:JFW589903 JPS589896:JPS589903 JZO589896:JZO589903 KJK589896:KJK589903 KTG589896:KTG589903 LDC589896:LDC589903 LMY589896:LMY589903 LWU589896:LWU589903 MGQ589896:MGQ589903 MQM589896:MQM589903 NAI589896:NAI589903 NKE589896:NKE589903 NUA589896:NUA589903 ODW589896:ODW589903 ONS589896:ONS589903 OXO589896:OXO589903 PHK589896:PHK589903 PRG589896:PRG589903 QBC589896:QBC589903 QKY589896:QKY589903 QUU589896:QUU589903 REQ589896:REQ589903 ROM589896:ROM589903 RYI589896:RYI589903 SIE589896:SIE589903 SSA589896:SSA589903 TBW589896:TBW589903 TLS589896:TLS589903 TVO589896:TVO589903 UFK589896:UFK589903 UPG589896:UPG589903 UZC589896:UZC589903 VIY589896:VIY589903 VSU589896:VSU589903 WCQ589896:WCQ589903 WMM589896:WMM589903 WWI589896:WWI589903 AA655432:AA655439 JW655432:JW655439 TS655432:TS655439 ADO655432:ADO655439 ANK655432:ANK655439 AXG655432:AXG655439 BHC655432:BHC655439 BQY655432:BQY655439 CAU655432:CAU655439 CKQ655432:CKQ655439 CUM655432:CUM655439 DEI655432:DEI655439 DOE655432:DOE655439 DYA655432:DYA655439 EHW655432:EHW655439 ERS655432:ERS655439 FBO655432:FBO655439 FLK655432:FLK655439 FVG655432:FVG655439 GFC655432:GFC655439 GOY655432:GOY655439 GYU655432:GYU655439 HIQ655432:HIQ655439 HSM655432:HSM655439 ICI655432:ICI655439 IME655432:IME655439 IWA655432:IWA655439 JFW655432:JFW655439 JPS655432:JPS655439 JZO655432:JZO655439 KJK655432:KJK655439 KTG655432:KTG655439 LDC655432:LDC655439 LMY655432:LMY655439 LWU655432:LWU655439 MGQ655432:MGQ655439 MQM655432:MQM655439 NAI655432:NAI655439 NKE655432:NKE655439 NUA655432:NUA655439 ODW655432:ODW655439 ONS655432:ONS655439 OXO655432:OXO655439 PHK655432:PHK655439 PRG655432:PRG655439 QBC655432:QBC655439 QKY655432:QKY655439 QUU655432:QUU655439 REQ655432:REQ655439 ROM655432:ROM655439 RYI655432:RYI655439 SIE655432:SIE655439 SSA655432:SSA655439 TBW655432:TBW655439 TLS655432:TLS655439 TVO655432:TVO655439 UFK655432:UFK655439 UPG655432:UPG655439 UZC655432:UZC655439 VIY655432:VIY655439 VSU655432:VSU655439 WCQ655432:WCQ655439 WMM655432:WMM655439 WWI655432:WWI655439 AA720968:AA720975 JW720968:JW720975 TS720968:TS720975 ADO720968:ADO720975 ANK720968:ANK720975 AXG720968:AXG720975 BHC720968:BHC720975 BQY720968:BQY720975 CAU720968:CAU720975 CKQ720968:CKQ720975 CUM720968:CUM720975 DEI720968:DEI720975 DOE720968:DOE720975 DYA720968:DYA720975 EHW720968:EHW720975 ERS720968:ERS720975 FBO720968:FBO720975 FLK720968:FLK720975 FVG720968:FVG720975 GFC720968:GFC720975 GOY720968:GOY720975 GYU720968:GYU720975 HIQ720968:HIQ720975 HSM720968:HSM720975 ICI720968:ICI720975 IME720968:IME720975 IWA720968:IWA720975 JFW720968:JFW720975 JPS720968:JPS720975 JZO720968:JZO720975 KJK720968:KJK720975 KTG720968:KTG720975 LDC720968:LDC720975 LMY720968:LMY720975 LWU720968:LWU720975 MGQ720968:MGQ720975 MQM720968:MQM720975 NAI720968:NAI720975 NKE720968:NKE720975 NUA720968:NUA720975 ODW720968:ODW720975 ONS720968:ONS720975 OXO720968:OXO720975 PHK720968:PHK720975 PRG720968:PRG720975 QBC720968:QBC720975 QKY720968:QKY720975 QUU720968:QUU720975 REQ720968:REQ720975 ROM720968:ROM720975 RYI720968:RYI720975 SIE720968:SIE720975 SSA720968:SSA720975 TBW720968:TBW720975 TLS720968:TLS720975 TVO720968:TVO720975 UFK720968:UFK720975 UPG720968:UPG720975 UZC720968:UZC720975 VIY720968:VIY720975 VSU720968:VSU720975 WCQ720968:WCQ720975 WMM720968:WMM720975 WWI720968:WWI720975 AA786504:AA786511 JW786504:JW786511 TS786504:TS786511 ADO786504:ADO786511 ANK786504:ANK786511 AXG786504:AXG786511 BHC786504:BHC786511 BQY786504:BQY786511 CAU786504:CAU786511 CKQ786504:CKQ786511 CUM786504:CUM786511 DEI786504:DEI786511 DOE786504:DOE786511 DYA786504:DYA786511 EHW786504:EHW786511 ERS786504:ERS786511 FBO786504:FBO786511 FLK786504:FLK786511 FVG786504:FVG786511 GFC786504:GFC786511 GOY786504:GOY786511 GYU786504:GYU786511 HIQ786504:HIQ786511 HSM786504:HSM786511 ICI786504:ICI786511 IME786504:IME786511 IWA786504:IWA786511 JFW786504:JFW786511 JPS786504:JPS786511 JZO786504:JZO786511 KJK786504:KJK786511 KTG786504:KTG786511 LDC786504:LDC786511 LMY786504:LMY786511 LWU786504:LWU786511 MGQ786504:MGQ786511 MQM786504:MQM786511 NAI786504:NAI786511 NKE786504:NKE786511 NUA786504:NUA786511 ODW786504:ODW786511 ONS786504:ONS786511 OXO786504:OXO786511 PHK786504:PHK786511 PRG786504:PRG786511 QBC786504:QBC786511 QKY786504:QKY786511 QUU786504:QUU786511 REQ786504:REQ786511 ROM786504:ROM786511 RYI786504:RYI786511 SIE786504:SIE786511 SSA786504:SSA786511 TBW786504:TBW786511 TLS786504:TLS786511 TVO786504:TVO786511 UFK786504:UFK786511 UPG786504:UPG786511 UZC786504:UZC786511 VIY786504:VIY786511 VSU786504:VSU786511 WCQ786504:WCQ786511 WMM786504:WMM786511 WWI786504:WWI786511 AA852040:AA852047 JW852040:JW852047 TS852040:TS852047 ADO852040:ADO852047 ANK852040:ANK852047 AXG852040:AXG852047 BHC852040:BHC852047 BQY852040:BQY852047 CAU852040:CAU852047 CKQ852040:CKQ852047 CUM852040:CUM852047 DEI852040:DEI852047 DOE852040:DOE852047 DYA852040:DYA852047 EHW852040:EHW852047 ERS852040:ERS852047 FBO852040:FBO852047 FLK852040:FLK852047 FVG852040:FVG852047 GFC852040:GFC852047 GOY852040:GOY852047 GYU852040:GYU852047 HIQ852040:HIQ852047 HSM852040:HSM852047 ICI852040:ICI852047 IME852040:IME852047 IWA852040:IWA852047 JFW852040:JFW852047 JPS852040:JPS852047 JZO852040:JZO852047 KJK852040:KJK852047 KTG852040:KTG852047 LDC852040:LDC852047 LMY852040:LMY852047 LWU852040:LWU852047 MGQ852040:MGQ852047 MQM852040:MQM852047 NAI852040:NAI852047 NKE852040:NKE852047 NUA852040:NUA852047 ODW852040:ODW852047 ONS852040:ONS852047 OXO852040:OXO852047 PHK852040:PHK852047 PRG852040:PRG852047 QBC852040:QBC852047 QKY852040:QKY852047 QUU852040:QUU852047 REQ852040:REQ852047 ROM852040:ROM852047 RYI852040:RYI852047 SIE852040:SIE852047 SSA852040:SSA852047 TBW852040:TBW852047 TLS852040:TLS852047 TVO852040:TVO852047 UFK852040:UFK852047 UPG852040:UPG852047 UZC852040:UZC852047 VIY852040:VIY852047 VSU852040:VSU852047 WCQ852040:WCQ852047 WMM852040:WMM852047 WWI852040:WWI852047 AA917576:AA917583 JW917576:JW917583 TS917576:TS917583 ADO917576:ADO917583 ANK917576:ANK917583 AXG917576:AXG917583 BHC917576:BHC917583 BQY917576:BQY917583 CAU917576:CAU917583 CKQ917576:CKQ917583 CUM917576:CUM917583 DEI917576:DEI917583 DOE917576:DOE917583 DYA917576:DYA917583 EHW917576:EHW917583 ERS917576:ERS917583 FBO917576:FBO917583 FLK917576:FLK917583 FVG917576:FVG917583 GFC917576:GFC917583 GOY917576:GOY917583 GYU917576:GYU917583 HIQ917576:HIQ917583 HSM917576:HSM917583 ICI917576:ICI917583 IME917576:IME917583 IWA917576:IWA917583 JFW917576:JFW917583 JPS917576:JPS917583 JZO917576:JZO917583 KJK917576:KJK917583 KTG917576:KTG917583 LDC917576:LDC917583 LMY917576:LMY917583 LWU917576:LWU917583 MGQ917576:MGQ917583 MQM917576:MQM917583 NAI917576:NAI917583 NKE917576:NKE917583 NUA917576:NUA917583 ODW917576:ODW917583 ONS917576:ONS917583 OXO917576:OXO917583 PHK917576:PHK917583 PRG917576:PRG917583 QBC917576:QBC917583 QKY917576:QKY917583 QUU917576:QUU917583 REQ917576:REQ917583 ROM917576:ROM917583 RYI917576:RYI917583 SIE917576:SIE917583 SSA917576:SSA917583 TBW917576:TBW917583 TLS917576:TLS917583 TVO917576:TVO917583 UFK917576:UFK917583 UPG917576:UPG917583 UZC917576:UZC917583 VIY917576:VIY917583 VSU917576:VSU917583 WCQ917576:WCQ917583 WMM917576:WMM917583 WWI917576:WWI917583 AA983112:AA983119 JW983112:JW983119 TS983112:TS983119 ADO983112:ADO983119 ANK983112:ANK983119 AXG983112:AXG983119 BHC983112:BHC983119 BQY983112:BQY983119 CAU983112:CAU983119 CKQ983112:CKQ983119 CUM983112:CUM983119 DEI983112:DEI983119 DOE983112:DOE983119 DYA983112:DYA983119 EHW983112:EHW983119 ERS983112:ERS983119 FBO983112:FBO983119 FLK983112:FLK983119 FVG983112:FVG983119 GFC983112:GFC983119 GOY983112:GOY983119 GYU983112:GYU983119 HIQ983112:HIQ983119 HSM983112:HSM983119 ICI983112:ICI983119 IME983112:IME983119 IWA983112:IWA983119 JFW983112:JFW983119 JPS983112:JPS983119 JZO983112:JZO983119 KJK983112:KJK983119 KTG983112:KTG983119 LDC983112:LDC983119 LMY983112:LMY983119 LWU983112:LWU983119 MGQ983112:MGQ983119 MQM983112:MQM983119 NAI983112:NAI983119 NKE983112:NKE983119 NUA983112:NUA983119 ODW983112:ODW983119 ONS983112:ONS983119 OXO983112:OXO983119 PHK983112:PHK983119 PRG983112:PRG983119 QBC983112:QBC983119 QKY983112:QKY983119 QUU983112:QUU983119 REQ983112:REQ983119 ROM983112:ROM983119 RYI983112:RYI983119 SIE983112:SIE983119 SSA983112:SSA983119 TBW983112:TBW983119 TLS983112:TLS983119 TVO983112:TVO983119 UFK983112:UFK983119 UPG983112:UPG983119 UZC983112:UZC983119 VIY983112:VIY983119 VSU983112:VSU983119 WCQ983112:WCQ983119 AA74:AA79" xr:uid="{00000000-0002-0000-0800-000009000000}">
      <formula1>0</formula1>
      <formula2>9</formula2>
    </dataValidation>
  </dataValidation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800-00000A000000}">
          <x14:formula1>
            <xm:f>0</xm:f>
          </x14:formula1>
          <x14:formula2>
            <xm:f>9</xm:f>
          </x14:formula2>
          <xm:sqref>E22 IY20:IY22 SU20:SU22 ACQ20:ACQ22 AMM20:AMM22 AWI20:AWI22 BGE20:BGE22 BQA20:BQA22 BZW20:BZW22 CJS20:CJS22 CTO20:CTO22 DDK20:DDK22 DNG20:DNG22 DXC20:DXC22 EGY20:EGY22 EQU20:EQU22 FAQ20:FAQ22 FKM20:FKM22 FUI20:FUI22 GEE20:GEE22 GOA20:GOA22 GXW20:GXW22 HHS20:HHS22 HRO20:HRO22 IBK20:IBK22 ILG20:ILG22 IVC20:IVC22 JEY20:JEY22 JOU20:JOU22 JYQ20:JYQ22 KIM20:KIM22 KSI20:KSI22 LCE20:LCE22 LMA20:LMA22 LVW20:LVW22 MFS20:MFS22 MPO20:MPO22 MZK20:MZK22 NJG20:NJG22 NTC20:NTC22 OCY20:OCY22 OMU20:OMU22 OWQ20:OWQ22 PGM20:PGM22 PQI20:PQI22 QAE20:QAE22 QKA20:QKA22 QTW20:QTW22 RDS20:RDS22 RNO20:RNO22 RXK20:RXK22 SHG20:SHG22 SRC20:SRC22 TAY20:TAY22 TKU20:TKU22 TUQ20:TUQ22 UEM20:UEM22 UOI20:UOI22 UYE20:UYE22 VIA20:VIA22 VRW20:VRW22 WBS20:WBS22 WLO20:WLO22 WVK20:WVK22 C65556:C65558 IY65556:IY65558 SU65556:SU65558 ACQ65556:ACQ65558 AMM65556:AMM65558 AWI65556:AWI65558 BGE65556:BGE65558 BQA65556:BQA65558 BZW65556:BZW65558 CJS65556:CJS65558 CTO65556:CTO65558 DDK65556:DDK65558 DNG65556:DNG65558 DXC65556:DXC65558 EGY65556:EGY65558 EQU65556:EQU65558 FAQ65556:FAQ65558 FKM65556:FKM65558 FUI65556:FUI65558 GEE65556:GEE65558 GOA65556:GOA65558 GXW65556:GXW65558 HHS65556:HHS65558 HRO65556:HRO65558 IBK65556:IBK65558 ILG65556:ILG65558 IVC65556:IVC65558 JEY65556:JEY65558 JOU65556:JOU65558 JYQ65556:JYQ65558 KIM65556:KIM65558 KSI65556:KSI65558 LCE65556:LCE65558 LMA65556:LMA65558 LVW65556:LVW65558 MFS65556:MFS65558 MPO65556:MPO65558 MZK65556:MZK65558 NJG65556:NJG65558 NTC65556:NTC65558 OCY65556:OCY65558 OMU65556:OMU65558 OWQ65556:OWQ65558 PGM65556:PGM65558 PQI65556:PQI65558 QAE65556:QAE65558 QKA65556:QKA65558 QTW65556:QTW65558 RDS65556:RDS65558 RNO65556:RNO65558 RXK65556:RXK65558 SHG65556:SHG65558 SRC65556:SRC65558 TAY65556:TAY65558 TKU65556:TKU65558 TUQ65556:TUQ65558 UEM65556:UEM65558 UOI65556:UOI65558 UYE65556:UYE65558 VIA65556:VIA65558 VRW65556:VRW65558 WBS65556:WBS65558 WLO65556:WLO65558 WVK65556:WVK65558 C131092:C131094 IY131092:IY131094 SU131092:SU131094 ACQ131092:ACQ131094 AMM131092:AMM131094 AWI131092:AWI131094 BGE131092:BGE131094 BQA131092:BQA131094 BZW131092:BZW131094 CJS131092:CJS131094 CTO131092:CTO131094 DDK131092:DDK131094 DNG131092:DNG131094 DXC131092:DXC131094 EGY131092:EGY131094 EQU131092:EQU131094 FAQ131092:FAQ131094 FKM131092:FKM131094 FUI131092:FUI131094 GEE131092:GEE131094 GOA131092:GOA131094 GXW131092:GXW131094 HHS131092:HHS131094 HRO131092:HRO131094 IBK131092:IBK131094 ILG131092:ILG131094 IVC131092:IVC131094 JEY131092:JEY131094 JOU131092:JOU131094 JYQ131092:JYQ131094 KIM131092:KIM131094 KSI131092:KSI131094 LCE131092:LCE131094 LMA131092:LMA131094 LVW131092:LVW131094 MFS131092:MFS131094 MPO131092:MPO131094 MZK131092:MZK131094 NJG131092:NJG131094 NTC131092:NTC131094 OCY131092:OCY131094 OMU131092:OMU131094 OWQ131092:OWQ131094 PGM131092:PGM131094 PQI131092:PQI131094 QAE131092:QAE131094 QKA131092:QKA131094 QTW131092:QTW131094 RDS131092:RDS131094 RNO131092:RNO131094 RXK131092:RXK131094 SHG131092:SHG131094 SRC131092:SRC131094 TAY131092:TAY131094 TKU131092:TKU131094 TUQ131092:TUQ131094 UEM131092:UEM131094 UOI131092:UOI131094 UYE131092:UYE131094 VIA131092:VIA131094 VRW131092:VRW131094 WBS131092:WBS131094 WLO131092:WLO131094 WVK131092:WVK131094 C196628:C196630 IY196628:IY196630 SU196628:SU196630 ACQ196628:ACQ196630 AMM196628:AMM196630 AWI196628:AWI196630 BGE196628:BGE196630 BQA196628:BQA196630 BZW196628:BZW196630 CJS196628:CJS196630 CTO196628:CTO196630 DDK196628:DDK196630 DNG196628:DNG196630 DXC196628:DXC196630 EGY196628:EGY196630 EQU196628:EQU196630 FAQ196628:FAQ196630 FKM196628:FKM196630 FUI196628:FUI196630 GEE196628:GEE196630 GOA196628:GOA196630 GXW196628:GXW196630 HHS196628:HHS196630 HRO196628:HRO196630 IBK196628:IBK196630 ILG196628:ILG196630 IVC196628:IVC196630 JEY196628:JEY196630 JOU196628:JOU196630 JYQ196628:JYQ196630 KIM196628:KIM196630 KSI196628:KSI196630 LCE196628:LCE196630 LMA196628:LMA196630 LVW196628:LVW196630 MFS196628:MFS196630 MPO196628:MPO196630 MZK196628:MZK196630 NJG196628:NJG196630 NTC196628:NTC196630 OCY196628:OCY196630 OMU196628:OMU196630 OWQ196628:OWQ196630 PGM196628:PGM196630 PQI196628:PQI196630 QAE196628:QAE196630 QKA196628:QKA196630 QTW196628:QTW196630 RDS196628:RDS196630 RNO196628:RNO196630 RXK196628:RXK196630 SHG196628:SHG196630 SRC196628:SRC196630 TAY196628:TAY196630 TKU196628:TKU196630 TUQ196628:TUQ196630 UEM196628:UEM196630 UOI196628:UOI196630 UYE196628:UYE196630 VIA196628:VIA196630 VRW196628:VRW196630 WBS196628:WBS196630 WLO196628:WLO196630 WVK196628:WVK196630 C262164:C262166 IY262164:IY262166 SU262164:SU262166 ACQ262164:ACQ262166 AMM262164:AMM262166 AWI262164:AWI262166 BGE262164:BGE262166 BQA262164:BQA262166 BZW262164:BZW262166 CJS262164:CJS262166 CTO262164:CTO262166 DDK262164:DDK262166 DNG262164:DNG262166 DXC262164:DXC262166 EGY262164:EGY262166 EQU262164:EQU262166 FAQ262164:FAQ262166 FKM262164:FKM262166 FUI262164:FUI262166 GEE262164:GEE262166 GOA262164:GOA262166 GXW262164:GXW262166 HHS262164:HHS262166 HRO262164:HRO262166 IBK262164:IBK262166 ILG262164:ILG262166 IVC262164:IVC262166 JEY262164:JEY262166 JOU262164:JOU262166 JYQ262164:JYQ262166 KIM262164:KIM262166 KSI262164:KSI262166 LCE262164:LCE262166 LMA262164:LMA262166 LVW262164:LVW262166 MFS262164:MFS262166 MPO262164:MPO262166 MZK262164:MZK262166 NJG262164:NJG262166 NTC262164:NTC262166 OCY262164:OCY262166 OMU262164:OMU262166 OWQ262164:OWQ262166 PGM262164:PGM262166 PQI262164:PQI262166 QAE262164:QAE262166 QKA262164:QKA262166 QTW262164:QTW262166 RDS262164:RDS262166 RNO262164:RNO262166 RXK262164:RXK262166 SHG262164:SHG262166 SRC262164:SRC262166 TAY262164:TAY262166 TKU262164:TKU262166 TUQ262164:TUQ262166 UEM262164:UEM262166 UOI262164:UOI262166 UYE262164:UYE262166 VIA262164:VIA262166 VRW262164:VRW262166 WBS262164:WBS262166 WLO262164:WLO262166 WVK262164:WVK262166 C327700:C327702 IY327700:IY327702 SU327700:SU327702 ACQ327700:ACQ327702 AMM327700:AMM327702 AWI327700:AWI327702 BGE327700:BGE327702 BQA327700:BQA327702 BZW327700:BZW327702 CJS327700:CJS327702 CTO327700:CTO327702 DDK327700:DDK327702 DNG327700:DNG327702 DXC327700:DXC327702 EGY327700:EGY327702 EQU327700:EQU327702 FAQ327700:FAQ327702 FKM327700:FKM327702 FUI327700:FUI327702 GEE327700:GEE327702 GOA327700:GOA327702 GXW327700:GXW327702 HHS327700:HHS327702 HRO327700:HRO327702 IBK327700:IBK327702 ILG327700:ILG327702 IVC327700:IVC327702 JEY327700:JEY327702 JOU327700:JOU327702 JYQ327700:JYQ327702 KIM327700:KIM327702 KSI327700:KSI327702 LCE327700:LCE327702 LMA327700:LMA327702 LVW327700:LVW327702 MFS327700:MFS327702 MPO327700:MPO327702 MZK327700:MZK327702 NJG327700:NJG327702 NTC327700:NTC327702 OCY327700:OCY327702 OMU327700:OMU327702 OWQ327700:OWQ327702 PGM327700:PGM327702 PQI327700:PQI327702 QAE327700:QAE327702 QKA327700:QKA327702 QTW327700:QTW327702 RDS327700:RDS327702 RNO327700:RNO327702 RXK327700:RXK327702 SHG327700:SHG327702 SRC327700:SRC327702 TAY327700:TAY327702 TKU327700:TKU327702 TUQ327700:TUQ327702 UEM327700:UEM327702 UOI327700:UOI327702 UYE327700:UYE327702 VIA327700:VIA327702 VRW327700:VRW327702 WBS327700:WBS327702 WLO327700:WLO327702 WVK327700:WVK327702 C393236:C393238 IY393236:IY393238 SU393236:SU393238 ACQ393236:ACQ393238 AMM393236:AMM393238 AWI393236:AWI393238 BGE393236:BGE393238 BQA393236:BQA393238 BZW393236:BZW393238 CJS393236:CJS393238 CTO393236:CTO393238 DDK393236:DDK393238 DNG393236:DNG393238 DXC393236:DXC393238 EGY393236:EGY393238 EQU393236:EQU393238 FAQ393236:FAQ393238 FKM393236:FKM393238 FUI393236:FUI393238 GEE393236:GEE393238 GOA393236:GOA393238 GXW393236:GXW393238 HHS393236:HHS393238 HRO393236:HRO393238 IBK393236:IBK393238 ILG393236:ILG393238 IVC393236:IVC393238 JEY393236:JEY393238 JOU393236:JOU393238 JYQ393236:JYQ393238 KIM393236:KIM393238 KSI393236:KSI393238 LCE393236:LCE393238 LMA393236:LMA393238 LVW393236:LVW393238 MFS393236:MFS393238 MPO393236:MPO393238 MZK393236:MZK393238 NJG393236:NJG393238 NTC393236:NTC393238 OCY393236:OCY393238 OMU393236:OMU393238 OWQ393236:OWQ393238 PGM393236:PGM393238 PQI393236:PQI393238 QAE393236:QAE393238 QKA393236:QKA393238 QTW393236:QTW393238 RDS393236:RDS393238 RNO393236:RNO393238 RXK393236:RXK393238 SHG393236:SHG393238 SRC393236:SRC393238 TAY393236:TAY393238 TKU393236:TKU393238 TUQ393236:TUQ393238 UEM393236:UEM393238 UOI393236:UOI393238 UYE393236:UYE393238 VIA393236:VIA393238 VRW393236:VRW393238 WBS393236:WBS393238 WLO393236:WLO393238 WVK393236:WVK393238 C458772:C458774 IY458772:IY458774 SU458772:SU458774 ACQ458772:ACQ458774 AMM458772:AMM458774 AWI458772:AWI458774 BGE458772:BGE458774 BQA458772:BQA458774 BZW458772:BZW458774 CJS458772:CJS458774 CTO458772:CTO458774 DDK458772:DDK458774 DNG458772:DNG458774 DXC458772:DXC458774 EGY458772:EGY458774 EQU458772:EQU458774 FAQ458772:FAQ458774 FKM458772:FKM458774 FUI458772:FUI458774 GEE458772:GEE458774 GOA458772:GOA458774 GXW458772:GXW458774 HHS458772:HHS458774 HRO458772:HRO458774 IBK458772:IBK458774 ILG458772:ILG458774 IVC458772:IVC458774 JEY458772:JEY458774 JOU458772:JOU458774 JYQ458772:JYQ458774 KIM458772:KIM458774 KSI458772:KSI458774 LCE458772:LCE458774 LMA458772:LMA458774 LVW458772:LVW458774 MFS458772:MFS458774 MPO458772:MPO458774 MZK458772:MZK458774 NJG458772:NJG458774 NTC458772:NTC458774 OCY458772:OCY458774 OMU458772:OMU458774 OWQ458772:OWQ458774 PGM458772:PGM458774 PQI458772:PQI458774 QAE458772:QAE458774 QKA458772:QKA458774 QTW458772:QTW458774 RDS458772:RDS458774 RNO458772:RNO458774 RXK458772:RXK458774 SHG458772:SHG458774 SRC458772:SRC458774 TAY458772:TAY458774 TKU458772:TKU458774 TUQ458772:TUQ458774 UEM458772:UEM458774 UOI458772:UOI458774 UYE458772:UYE458774 VIA458772:VIA458774 VRW458772:VRW458774 WBS458772:WBS458774 WLO458772:WLO458774 WVK458772:WVK458774 C524308:C524310 IY524308:IY524310 SU524308:SU524310 ACQ524308:ACQ524310 AMM524308:AMM524310 AWI524308:AWI524310 BGE524308:BGE524310 BQA524308:BQA524310 BZW524308:BZW524310 CJS524308:CJS524310 CTO524308:CTO524310 DDK524308:DDK524310 DNG524308:DNG524310 DXC524308:DXC524310 EGY524308:EGY524310 EQU524308:EQU524310 FAQ524308:FAQ524310 FKM524308:FKM524310 FUI524308:FUI524310 GEE524308:GEE524310 GOA524308:GOA524310 GXW524308:GXW524310 HHS524308:HHS524310 HRO524308:HRO524310 IBK524308:IBK524310 ILG524308:ILG524310 IVC524308:IVC524310 JEY524308:JEY524310 JOU524308:JOU524310 JYQ524308:JYQ524310 KIM524308:KIM524310 KSI524308:KSI524310 LCE524308:LCE524310 LMA524308:LMA524310 LVW524308:LVW524310 MFS524308:MFS524310 MPO524308:MPO524310 MZK524308:MZK524310 NJG524308:NJG524310 NTC524308:NTC524310 OCY524308:OCY524310 OMU524308:OMU524310 OWQ524308:OWQ524310 PGM524308:PGM524310 PQI524308:PQI524310 QAE524308:QAE524310 QKA524308:QKA524310 QTW524308:QTW524310 RDS524308:RDS524310 RNO524308:RNO524310 RXK524308:RXK524310 SHG524308:SHG524310 SRC524308:SRC524310 TAY524308:TAY524310 TKU524308:TKU524310 TUQ524308:TUQ524310 UEM524308:UEM524310 UOI524308:UOI524310 UYE524308:UYE524310 VIA524308:VIA524310 VRW524308:VRW524310 WBS524308:WBS524310 WLO524308:WLO524310 WVK524308:WVK524310 C589844:C589846 IY589844:IY589846 SU589844:SU589846 ACQ589844:ACQ589846 AMM589844:AMM589846 AWI589844:AWI589846 BGE589844:BGE589846 BQA589844:BQA589846 BZW589844:BZW589846 CJS589844:CJS589846 CTO589844:CTO589846 DDK589844:DDK589846 DNG589844:DNG589846 DXC589844:DXC589846 EGY589844:EGY589846 EQU589844:EQU589846 FAQ589844:FAQ589846 FKM589844:FKM589846 FUI589844:FUI589846 GEE589844:GEE589846 GOA589844:GOA589846 GXW589844:GXW589846 HHS589844:HHS589846 HRO589844:HRO589846 IBK589844:IBK589846 ILG589844:ILG589846 IVC589844:IVC589846 JEY589844:JEY589846 JOU589844:JOU589846 JYQ589844:JYQ589846 KIM589844:KIM589846 KSI589844:KSI589846 LCE589844:LCE589846 LMA589844:LMA589846 LVW589844:LVW589846 MFS589844:MFS589846 MPO589844:MPO589846 MZK589844:MZK589846 NJG589844:NJG589846 NTC589844:NTC589846 OCY589844:OCY589846 OMU589844:OMU589846 OWQ589844:OWQ589846 PGM589844:PGM589846 PQI589844:PQI589846 QAE589844:QAE589846 QKA589844:QKA589846 QTW589844:QTW589846 RDS589844:RDS589846 RNO589844:RNO589846 RXK589844:RXK589846 SHG589844:SHG589846 SRC589844:SRC589846 TAY589844:TAY589846 TKU589844:TKU589846 TUQ589844:TUQ589846 UEM589844:UEM589846 UOI589844:UOI589846 UYE589844:UYE589846 VIA589844:VIA589846 VRW589844:VRW589846 WBS589844:WBS589846 WLO589844:WLO589846 WVK589844:WVK589846 C655380:C655382 IY655380:IY655382 SU655380:SU655382 ACQ655380:ACQ655382 AMM655380:AMM655382 AWI655380:AWI655382 BGE655380:BGE655382 BQA655380:BQA655382 BZW655380:BZW655382 CJS655380:CJS655382 CTO655380:CTO655382 DDK655380:DDK655382 DNG655380:DNG655382 DXC655380:DXC655382 EGY655380:EGY655382 EQU655380:EQU655382 FAQ655380:FAQ655382 FKM655380:FKM655382 FUI655380:FUI655382 GEE655380:GEE655382 GOA655380:GOA655382 GXW655380:GXW655382 HHS655380:HHS655382 HRO655380:HRO655382 IBK655380:IBK655382 ILG655380:ILG655382 IVC655380:IVC655382 JEY655380:JEY655382 JOU655380:JOU655382 JYQ655380:JYQ655382 KIM655380:KIM655382 KSI655380:KSI655382 LCE655380:LCE655382 LMA655380:LMA655382 LVW655380:LVW655382 MFS655380:MFS655382 MPO655380:MPO655382 MZK655380:MZK655382 NJG655380:NJG655382 NTC655380:NTC655382 OCY655380:OCY655382 OMU655380:OMU655382 OWQ655380:OWQ655382 PGM655380:PGM655382 PQI655380:PQI655382 QAE655380:QAE655382 QKA655380:QKA655382 QTW655380:QTW655382 RDS655380:RDS655382 RNO655380:RNO655382 RXK655380:RXK655382 SHG655380:SHG655382 SRC655380:SRC655382 TAY655380:TAY655382 TKU655380:TKU655382 TUQ655380:TUQ655382 UEM655380:UEM655382 UOI655380:UOI655382 UYE655380:UYE655382 VIA655380:VIA655382 VRW655380:VRW655382 WBS655380:WBS655382 WLO655380:WLO655382 WVK655380:WVK655382 C720916:C720918 IY720916:IY720918 SU720916:SU720918 ACQ720916:ACQ720918 AMM720916:AMM720918 AWI720916:AWI720918 BGE720916:BGE720918 BQA720916:BQA720918 BZW720916:BZW720918 CJS720916:CJS720918 CTO720916:CTO720918 DDK720916:DDK720918 DNG720916:DNG720918 DXC720916:DXC720918 EGY720916:EGY720918 EQU720916:EQU720918 FAQ720916:FAQ720918 FKM720916:FKM720918 FUI720916:FUI720918 GEE720916:GEE720918 GOA720916:GOA720918 GXW720916:GXW720918 HHS720916:HHS720918 HRO720916:HRO720918 IBK720916:IBK720918 ILG720916:ILG720918 IVC720916:IVC720918 JEY720916:JEY720918 JOU720916:JOU720918 JYQ720916:JYQ720918 KIM720916:KIM720918 KSI720916:KSI720918 LCE720916:LCE720918 LMA720916:LMA720918 LVW720916:LVW720918 MFS720916:MFS720918 MPO720916:MPO720918 MZK720916:MZK720918 NJG720916:NJG720918 NTC720916:NTC720918 OCY720916:OCY720918 OMU720916:OMU720918 OWQ720916:OWQ720918 PGM720916:PGM720918 PQI720916:PQI720918 QAE720916:QAE720918 QKA720916:QKA720918 QTW720916:QTW720918 RDS720916:RDS720918 RNO720916:RNO720918 RXK720916:RXK720918 SHG720916:SHG720918 SRC720916:SRC720918 TAY720916:TAY720918 TKU720916:TKU720918 TUQ720916:TUQ720918 UEM720916:UEM720918 UOI720916:UOI720918 UYE720916:UYE720918 VIA720916:VIA720918 VRW720916:VRW720918 WBS720916:WBS720918 WLO720916:WLO720918 WVK720916:WVK720918 C786452:C786454 IY786452:IY786454 SU786452:SU786454 ACQ786452:ACQ786454 AMM786452:AMM786454 AWI786452:AWI786454 BGE786452:BGE786454 BQA786452:BQA786454 BZW786452:BZW786454 CJS786452:CJS786454 CTO786452:CTO786454 DDK786452:DDK786454 DNG786452:DNG786454 DXC786452:DXC786454 EGY786452:EGY786454 EQU786452:EQU786454 FAQ786452:FAQ786454 FKM786452:FKM786454 FUI786452:FUI786454 GEE786452:GEE786454 GOA786452:GOA786454 GXW786452:GXW786454 HHS786452:HHS786454 HRO786452:HRO786454 IBK786452:IBK786454 ILG786452:ILG786454 IVC786452:IVC786454 JEY786452:JEY786454 JOU786452:JOU786454 JYQ786452:JYQ786454 KIM786452:KIM786454 KSI786452:KSI786454 LCE786452:LCE786454 LMA786452:LMA786454 LVW786452:LVW786454 MFS786452:MFS786454 MPO786452:MPO786454 MZK786452:MZK786454 NJG786452:NJG786454 NTC786452:NTC786454 OCY786452:OCY786454 OMU786452:OMU786454 OWQ786452:OWQ786454 PGM786452:PGM786454 PQI786452:PQI786454 QAE786452:QAE786454 QKA786452:QKA786454 QTW786452:QTW786454 RDS786452:RDS786454 RNO786452:RNO786454 RXK786452:RXK786454 SHG786452:SHG786454 SRC786452:SRC786454 TAY786452:TAY786454 TKU786452:TKU786454 TUQ786452:TUQ786454 UEM786452:UEM786454 UOI786452:UOI786454 UYE786452:UYE786454 VIA786452:VIA786454 VRW786452:VRW786454 WBS786452:WBS786454 WLO786452:WLO786454 WVK786452:WVK786454 C851988:C851990 IY851988:IY851990 SU851988:SU851990 ACQ851988:ACQ851990 AMM851988:AMM851990 AWI851988:AWI851990 BGE851988:BGE851990 BQA851988:BQA851990 BZW851988:BZW851990 CJS851988:CJS851990 CTO851988:CTO851990 DDK851988:DDK851990 DNG851988:DNG851990 DXC851988:DXC851990 EGY851988:EGY851990 EQU851988:EQU851990 FAQ851988:FAQ851990 FKM851988:FKM851990 FUI851988:FUI851990 GEE851988:GEE851990 GOA851988:GOA851990 GXW851988:GXW851990 HHS851988:HHS851990 HRO851988:HRO851990 IBK851988:IBK851990 ILG851988:ILG851990 IVC851988:IVC851990 JEY851988:JEY851990 JOU851988:JOU851990 JYQ851988:JYQ851990 KIM851988:KIM851990 KSI851988:KSI851990 LCE851988:LCE851990 LMA851988:LMA851990 LVW851988:LVW851990 MFS851988:MFS851990 MPO851988:MPO851990 MZK851988:MZK851990 NJG851988:NJG851990 NTC851988:NTC851990 OCY851988:OCY851990 OMU851988:OMU851990 OWQ851988:OWQ851990 PGM851988:PGM851990 PQI851988:PQI851990 QAE851988:QAE851990 QKA851988:QKA851990 QTW851988:QTW851990 RDS851988:RDS851990 RNO851988:RNO851990 RXK851988:RXK851990 SHG851988:SHG851990 SRC851988:SRC851990 TAY851988:TAY851990 TKU851988:TKU851990 TUQ851988:TUQ851990 UEM851988:UEM851990 UOI851988:UOI851990 UYE851988:UYE851990 VIA851988:VIA851990 VRW851988:VRW851990 WBS851988:WBS851990 WLO851988:WLO851990 WVK851988:WVK851990 C917524:C917526 IY917524:IY917526 SU917524:SU917526 ACQ917524:ACQ917526 AMM917524:AMM917526 AWI917524:AWI917526 BGE917524:BGE917526 BQA917524:BQA917526 BZW917524:BZW917526 CJS917524:CJS917526 CTO917524:CTO917526 DDK917524:DDK917526 DNG917524:DNG917526 DXC917524:DXC917526 EGY917524:EGY917526 EQU917524:EQU917526 FAQ917524:FAQ917526 FKM917524:FKM917526 FUI917524:FUI917526 GEE917524:GEE917526 GOA917524:GOA917526 GXW917524:GXW917526 HHS917524:HHS917526 HRO917524:HRO917526 IBK917524:IBK917526 ILG917524:ILG917526 IVC917524:IVC917526 JEY917524:JEY917526 JOU917524:JOU917526 JYQ917524:JYQ917526 KIM917524:KIM917526 KSI917524:KSI917526 LCE917524:LCE917526 LMA917524:LMA917526 LVW917524:LVW917526 MFS917524:MFS917526 MPO917524:MPO917526 MZK917524:MZK917526 NJG917524:NJG917526 NTC917524:NTC917526 OCY917524:OCY917526 OMU917524:OMU917526 OWQ917524:OWQ917526 PGM917524:PGM917526 PQI917524:PQI917526 QAE917524:QAE917526 QKA917524:QKA917526 QTW917524:QTW917526 RDS917524:RDS917526 RNO917524:RNO917526 RXK917524:RXK917526 SHG917524:SHG917526 SRC917524:SRC917526 TAY917524:TAY917526 TKU917524:TKU917526 TUQ917524:TUQ917526 UEM917524:UEM917526 UOI917524:UOI917526 UYE917524:UYE917526 VIA917524:VIA917526 VRW917524:VRW917526 WBS917524:WBS917526 WLO917524:WLO917526 WVK917524:WVK917526 C983060:C983062 IY983060:IY983062 SU983060:SU983062 ACQ983060:ACQ983062 AMM983060:AMM983062 AWI983060:AWI983062 BGE983060:BGE983062 BQA983060:BQA983062 BZW983060:BZW983062 CJS983060:CJS983062 CTO983060:CTO983062 DDK983060:DDK983062 DNG983060:DNG983062 DXC983060:DXC983062 EGY983060:EGY983062 EQU983060:EQU983062 FAQ983060:FAQ983062 FKM983060:FKM983062 FUI983060:FUI983062 GEE983060:GEE983062 GOA983060:GOA983062 GXW983060:GXW983062 HHS983060:HHS983062 HRO983060:HRO983062 IBK983060:IBK983062 ILG983060:ILG983062 IVC983060:IVC983062 JEY983060:JEY983062 JOU983060:JOU983062 JYQ983060:JYQ983062 KIM983060:KIM983062 KSI983060:KSI983062 LCE983060:LCE983062 LMA983060:LMA983062 LVW983060:LVW983062 MFS983060:MFS983062 MPO983060:MPO983062 MZK983060:MZK983062 NJG983060:NJG983062 NTC983060:NTC983062 OCY983060:OCY983062 OMU983060:OMU983062 OWQ983060:OWQ983062 PGM983060:PGM983062 PQI983060:PQI983062 QAE983060:QAE983062 QKA983060:QKA983062 QTW983060:QTW983062 RDS983060:RDS983062 RNO983060:RNO983062 RXK983060:RXK983062 SHG983060:SHG983062 SRC983060:SRC983062 TAY983060:TAY983062 TKU983060:TKU983062 TUQ983060:TUQ983062 UEM983060:UEM983062 UOI983060:UOI983062 UYE983060:UYE983062 VIA983060:VIA983062 VRW983060:VRW983062 WBS983060:WBS983062 WLO983060:WLO983062 WVK983060:WVK983062 G22 JA20:JA22 SW20:SW22 ACS20:ACS22 AMO20:AMO22 AWK20:AWK22 BGG20:BGG22 BQC20:BQC22 BZY20:BZY22 CJU20:CJU22 CTQ20:CTQ22 DDM20:DDM22 DNI20:DNI22 DXE20:DXE22 EHA20:EHA22 EQW20:EQW22 FAS20:FAS22 FKO20:FKO22 FUK20:FUK22 GEG20:GEG22 GOC20:GOC22 GXY20:GXY22 HHU20:HHU22 HRQ20:HRQ22 IBM20:IBM22 ILI20:ILI22 IVE20:IVE22 JFA20:JFA22 JOW20:JOW22 JYS20:JYS22 KIO20:KIO22 KSK20:KSK22 LCG20:LCG22 LMC20:LMC22 LVY20:LVY22 MFU20:MFU22 MPQ20:MPQ22 MZM20:MZM22 NJI20:NJI22 NTE20:NTE22 ODA20:ODA22 OMW20:OMW22 OWS20:OWS22 PGO20:PGO22 PQK20:PQK22 QAG20:QAG22 QKC20:QKC22 QTY20:QTY22 RDU20:RDU22 RNQ20:RNQ22 RXM20:RXM22 SHI20:SHI22 SRE20:SRE22 TBA20:TBA22 TKW20:TKW22 TUS20:TUS22 UEO20:UEO22 UOK20:UOK22 UYG20:UYG22 VIC20:VIC22 VRY20:VRY22 WBU20:WBU22 WLQ20:WLQ22 WVM20:WVM22 E65556:E65558 JA65556:JA65558 SW65556:SW65558 ACS65556:ACS65558 AMO65556:AMO65558 AWK65556:AWK65558 BGG65556:BGG65558 BQC65556:BQC65558 BZY65556:BZY65558 CJU65556:CJU65558 CTQ65556:CTQ65558 DDM65556:DDM65558 DNI65556:DNI65558 DXE65556:DXE65558 EHA65556:EHA65558 EQW65556:EQW65558 FAS65556:FAS65558 FKO65556:FKO65558 FUK65556:FUK65558 GEG65556:GEG65558 GOC65556:GOC65558 GXY65556:GXY65558 HHU65556:HHU65558 HRQ65556:HRQ65558 IBM65556:IBM65558 ILI65556:ILI65558 IVE65556:IVE65558 JFA65556:JFA65558 JOW65556:JOW65558 JYS65556:JYS65558 KIO65556:KIO65558 KSK65556:KSK65558 LCG65556:LCG65558 LMC65556:LMC65558 LVY65556:LVY65558 MFU65556:MFU65558 MPQ65556:MPQ65558 MZM65556:MZM65558 NJI65556:NJI65558 NTE65556:NTE65558 ODA65556:ODA65558 OMW65556:OMW65558 OWS65556:OWS65558 PGO65556:PGO65558 PQK65556:PQK65558 QAG65556:QAG65558 QKC65556:QKC65558 QTY65556:QTY65558 RDU65556:RDU65558 RNQ65556:RNQ65558 RXM65556:RXM65558 SHI65556:SHI65558 SRE65556:SRE65558 TBA65556:TBA65558 TKW65556:TKW65558 TUS65556:TUS65558 UEO65556:UEO65558 UOK65556:UOK65558 UYG65556:UYG65558 VIC65556:VIC65558 VRY65556:VRY65558 WBU65556:WBU65558 WLQ65556:WLQ65558 WVM65556:WVM65558 E131092:E131094 JA131092:JA131094 SW131092:SW131094 ACS131092:ACS131094 AMO131092:AMO131094 AWK131092:AWK131094 BGG131092:BGG131094 BQC131092:BQC131094 BZY131092:BZY131094 CJU131092:CJU131094 CTQ131092:CTQ131094 DDM131092:DDM131094 DNI131092:DNI131094 DXE131092:DXE131094 EHA131092:EHA131094 EQW131092:EQW131094 FAS131092:FAS131094 FKO131092:FKO131094 FUK131092:FUK131094 GEG131092:GEG131094 GOC131092:GOC131094 GXY131092:GXY131094 HHU131092:HHU131094 HRQ131092:HRQ131094 IBM131092:IBM131094 ILI131092:ILI131094 IVE131092:IVE131094 JFA131092:JFA131094 JOW131092:JOW131094 JYS131092:JYS131094 KIO131092:KIO131094 KSK131092:KSK131094 LCG131092:LCG131094 LMC131092:LMC131094 LVY131092:LVY131094 MFU131092:MFU131094 MPQ131092:MPQ131094 MZM131092:MZM131094 NJI131092:NJI131094 NTE131092:NTE131094 ODA131092:ODA131094 OMW131092:OMW131094 OWS131092:OWS131094 PGO131092:PGO131094 PQK131092:PQK131094 QAG131092:QAG131094 QKC131092:QKC131094 QTY131092:QTY131094 RDU131092:RDU131094 RNQ131092:RNQ131094 RXM131092:RXM131094 SHI131092:SHI131094 SRE131092:SRE131094 TBA131092:TBA131094 TKW131092:TKW131094 TUS131092:TUS131094 UEO131092:UEO131094 UOK131092:UOK131094 UYG131092:UYG131094 VIC131092:VIC131094 VRY131092:VRY131094 WBU131092:WBU131094 WLQ131092:WLQ131094 WVM131092:WVM131094 E196628:E196630 JA196628:JA196630 SW196628:SW196630 ACS196628:ACS196630 AMO196628:AMO196630 AWK196628:AWK196630 BGG196628:BGG196630 BQC196628:BQC196630 BZY196628:BZY196630 CJU196628:CJU196630 CTQ196628:CTQ196630 DDM196628:DDM196630 DNI196628:DNI196630 DXE196628:DXE196630 EHA196628:EHA196630 EQW196628:EQW196630 FAS196628:FAS196630 FKO196628:FKO196630 FUK196628:FUK196630 GEG196628:GEG196630 GOC196628:GOC196630 GXY196628:GXY196630 HHU196628:HHU196630 HRQ196628:HRQ196630 IBM196628:IBM196630 ILI196628:ILI196630 IVE196628:IVE196630 JFA196628:JFA196630 JOW196628:JOW196630 JYS196628:JYS196630 KIO196628:KIO196630 KSK196628:KSK196630 LCG196628:LCG196630 LMC196628:LMC196630 LVY196628:LVY196630 MFU196628:MFU196630 MPQ196628:MPQ196630 MZM196628:MZM196630 NJI196628:NJI196630 NTE196628:NTE196630 ODA196628:ODA196630 OMW196628:OMW196630 OWS196628:OWS196630 PGO196628:PGO196630 PQK196628:PQK196630 QAG196628:QAG196630 QKC196628:QKC196630 QTY196628:QTY196630 RDU196628:RDU196630 RNQ196628:RNQ196630 RXM196628:RXM196630 SHI196628:SHI196630 SRE196628:SRE196630 TBA196628:TBA196630 TKW196628:TKW196630 TUS196628:TUS196630 UEO196628:UEO196630 UOK196628:UOK196630 UYG196628:UYG196630 VIC196628:VIC196630 VRY196628:VRY196630 WBU196628:WBU196630 WLQ196628:WLQ196630 WVM196628:WVM196630 E262164:E262166 JA262164:JA262166 SW262164:SW262166 ACS262164:ACS262166 AMO262164:AMO262166 AWK262164:AWK262166 BGG262164:BGG262166 BQC262164:BQC262166 BZY262164:BZY262166 CJU262164:CJU262166 CTQ262164:CTQ262166 DDM262164:DDM262166 DNI262164:DNI262166 DXE262164:DXE262166 EHA262164:EHA262166 EQW262164:EQW262166 FAS262164:FAS262166 FKO262164:FKO262166 FUK262164:FUK262166 GEG262164:GEG262166 GOC262164:GOC262166 GXY262164:GXY262166 HHU262164:HHU262166 HRQ262164:HRQ262166 IBM262164:IBM262166 ILI262164:ILI262166 IVE262164:IVE262166 JFA262164:JFA262166 JOW262164:JOW262166 JYS262164:JYS262166 KIO262164:KIO262166 KSK262164:KSK262166 LCG262164:LCG262166 LMC262164:LMC262166 LVY262164:LVY262166 MFU262164:MFU262166 MPQ262164:MPQ262166 MZM262164:MZM262166 NJI262164:NJI262166 NTE262164:NTE262166 ODA262164:ODA262166 OMW262164:OMW262166 OWS262164:OWS262166 PGO262164:PGO262166 PQK262164:PQK262166 QAG262164:QAG262166 QKC262164:QKC262166 QTY262164:QTY262166 RDU262164:RDU262166 RNQ262164:RNQ262166 RXM262164:RXM262166 SHI262164:SHI262166 SRE262164:SRE262166 TBA262164:TBA262166 TKW262164:TKW262166 TUS262164:TUS262166 UEO262164:UEO262166 UOK262164:UOK262166 UYG262164:UYG262166 VIC262164:VIC262166 VRY262164:VRY262166 WBU262164:WBU262166 WLQ262164:WLQ262166 WVM262164:WVM262166 E327700:E327702 JA327700:JA327702 SW327700:SW327702 ACS327700:ACS327702 AMO327700:AMO327702 AWK327700:AWK327702 BGG327700:BGG327702 BQC327700:BQC327702 BZY327700:BZY327702 CJU327700:CJU327702 CTQ327700:CTQ327702 DDM327700:DDM327702 DNI327700:DNI327702 DXE327700:DXE327702 EHA327700:EHA327702 EQW327700:EQW327702 FAS327700:FAS327702 FKO327700:FKO327702 FUK327700:FUK327702 GEG327700:GEG327702 GOC327700:GOC327702 GXY327700:GXY327702 HHU327700:HHU327702 HRQ327700:HRQ327702 IBM327700:IBM327702 ILI327700:ILI327702 IVE327700:IVE327702 JFA327700:JFA327702 JOW327700:JOW327702 JYS327700:JYS327702 KIO327700:KIO327702 KSK327700:KSK327702 LCG327700:LCG327702 LMC327700:LMC327702 LVY327700:LVY327702 MFU327700:MFU327702 MPQ327700:MPQ327702 MZM327700:MZM327702 NJI327700:NJI327702 NTE327700:NTE327702 ODA327700:ODA327702 OMW327700:OMW327702 OWS327700:OWS327702 PGO327700:PGO327702 PQK327700:PQK327702 QAG327700:QAG327702 QKC327700:QKC327702 QTY327700:QTY327702 RDU327700:RDU327702 RNQ327700:RNQ327702 RXM327700:RXM327702 SHI327700:SHI327702 SRE327700:SRE327702 TBA327700:TBA327702 TKW327700:TKW327702 TUS327700:TUS327702 UEO327700:UEO327702 UOK327700:UOK327702 UYG327700:UYG327702 VIC327700:VIC327702 VRY327700:VRY327702 WBU327700:WBU327702 WLQ327700:WLQ327702 WVM327700:WVM327702 E393236:E393238 JA393236:JA393238 SW393236:SW393238 ACS393236:ACS393238 AMO393236:AMO393238 AWK393236:AWK393238 BGG393236:BGG393238 BQC393236:BQC393238 BZY393236:BZY393238 CJU393236:CJU393238 CTQ393236:CTQ393238 DDM393236:DDM393238 DNI393236:DNI393238 DXE393236:DXE393238 EHA393236:EHA393238 EQW393236:EQW393238 FAS393236:FAS393238 FKO393236:FKO393238 FUK393236:FUK393238 GEG393236:GEG393238 GOC393236:GOC393238 GXY393236:GXY393238 HHU393236:HHU393238 HRQ393236:HRQ393238 IBM393236:IBM393238 ILI393236:ILI393238 IVE393236:IVE393238 JFA393236:JFA393238 JOW393236:JOW393238 JYS393236:JYS393238 KIO393236:KIO393238 KSK393236:KSK393238 LCG393236:LCG393238 LMC393236:LMC393238 LVY393236:LVY393238 MFU393236:MFU393238 MPQ393236:MPQ393238 MZM393236:MZM393238 NJI393236:NJI393238 NTE393236:NTE393238 ODA393236:ODA393238 OMW393236:OMW393238 OWS393236:OWS393238 PGO393236:PGO393238 PQK393236:PQK393238 QAG393236:QAG393238 QKC393236:QKC393238 QTY393236:QTY393238 RDU393236:RDU393238 RNQ393236:RNQ393238 RXM393236:RXM393238 SHI393236:SHI393238 SRE393236:SRE393238 TBA393236:TBA393238 TKW393236:TKW393238 TUS393236:TUS393238 UEO393236:UEO393238 UOK393236:UOK393238 UYG393236:UYG393238 VIC393236:VIC393238 VRY393236:VRY393238 WBU393236:WBU393238 WLQ393236:WLQ393238 WVM393236:WVM393238 E458772:E458774 JA458772:JA458774 SW458772:SW458774 ACS458772:ACS458774 AMO458772:AMO458774 AWK458772:AWK458774 BGG458772:BGG458774 BQC458772:BQC458774 BZY458772:BZY458774 CJU458772:CJU458774 CTQ458772:CTQ458774 DDM458772:DDM458774 DNI458772:DNI458774 DXE458772:DXE458774 EHA458772:EHA458774 EQW458772:EQW458774 FAS458772:FAS458774 FKO458772:FKO458774 FUK458772:FUK458774 GEG458772:GEG458774 GOC458772:GOC458774 GXY458772:GXY458774 HHU458772:HHU458774 HRQ458772:HRQ458774 IBM458772:IBM458774 ILI458772:ILI458774 IVE458772:IVE458774 JFA458772:JFA458774 JOW458772:JOW458774 JYS458772:JYS458774 KIO458772:KIO458774 KSK458772:KSK458774 LCG458772:LCG458774 LMC458772:LMC458774 LVY458772:LVY458774 MFU458772:MFU458774 MPQ458772:MPQ458774 MZM458772:MZM458774 NJI458772:NJI458774 NTE458772:NTE458774 ODA458772:ODA458774 OMW458772:OMW458774 OWS458772:OWS458774 PGO458772:PGO458774 PQK458772:PQK458774 QAG458772:QAG458774 QKC458772:QKC458774 QTY458772:QTY458774 RDU458772:RDU458774 RNQ458772:RNQ458774 RXM458772:RXM458774 SHI458772:SHI458774 SRE458772:SRE458774 TBA458772:TBA458774 TKW458772:TKW458774 TUS458772:TUS458774 UEO458772:UEO458774 UOK458772:UOK458774 UYG458772:UYG458774 VIC458772:VIC458774 VRY458772:VRY458774 WBU458772:WBU458774 WLQ458772:WLQ458774 WVM458772:WVM458774 E524308:E524310 JA524308:JA524310 SW524308:SW524310 ACS524308:ACS524310 AMO524308:AMO524310 AWK524308:AWK524310 BGG524308:BGG524310 BQC524308:BQC524310 BZY524308:BZY524310 CJU524308:CJU524310 CTQ524308:CTQ524310 DDM524308:DDM524310 DNI524308:DNI524310 DXE524308:DXE524310 EHA524308:EHA524310 EQW524308:EQW524310 FAS524308:FAS524310 FKO524308:FKO524310 FUK524308:FUK524310 GEG524308:GEG524310 GOC524308:GOC524310 GXY524308:GXY524310 HHU524308:HHU524310 HRQ524308:HRQ524310 IBM524308:IBM524310 ILI524308:ILI524310 IVE524308:IVE524310 JFA524308:JFA524310 JOW524308:JOW524310 JYS524308:JYS524310 KIO524308:KIO524310 KSK524308:KSK524310 LCG524308:LCG524310 LMC524308:LMC524310 LVY524308:LVY524310 MFU524308:MFU524310 MPQ524308:MPQ524310 MZM524308:MZM524310 NJI524308:NJI524310 NTE524308:NTE524310 ODA524308:ODA524310 OMW524308:OMW524310 OWS524308:OWS524310 PGO524308:PGO524310 PQK524308:PQK524310 QAG524308:QAG524310 QKC524308:QKC524310 QTY524308:QTY524310 RDU524308:RDU524310 RNQ524308:RNQ524310 RXM524308:RXM524310 SHI524308:SHI524310 SRE524308:SRE524310 TBA524308:TBA524310 TKW524308:TKW524310 TUS524308:TUS524310 UEO524308:UEO524310 UOK524308:UOK524310 UYG524308:UYG524310 VIC524308:VIC524310 VRY524308:VRY524310 WBU524308:WBU524310 WLQ524308:WLQ524310 WVM524308:WVM524310 E589844:E589846 JA589844:JA589846 SW589844:SW589846 ACS589844:ACS589846 AMO589844:AMO589846 AWK589844:AWK589846 BGG589844:BGG589846 BQC589844:BQC589846 BZY589844:BZY589846 CJU589844:CJU589846 CTQ589844:CTQ589846 DDM589844:DDM589846 DNI589844:DNI589846 DXE589844:DXE589846 EHA589844:EHA589846 EQW589844:EQW589846 FAS589844:FAS589846 FKO589844:FKO589846 FUK589844:FUK589846 GEG589844:GEG589846 GOC589844:GOC589846 GXY589844:GXY589846 HHU589844:HHU589846 HRQ589844:HRQ589846 IBM589844:IBM589846 ILI589844:ILI589846 IVE589844:IVE589846 JFA589844:JFA589846 JOW589844:JOW589846 JYS589844:JYS589846 KIO589844:KIO589846 KSK589844:KSK589846 LCG589844:LCG589846 LMC589844:LMC589846 LVY589844:LVY589846 MFU589844:MFU589846 MPQ589844:MPQ589846 MZM589844:MZM589846 NJI589844:NJI589846 NTE589844:NTE589846 ODA589844:ODA589846 OMW589844:OMW589846 OWS589844:OWS589846 PGO589844:PGO589846 PQK589844:PQK589846 QAG589844:QAG589846 QKC589844:QKC589846 QTY589844:QTY589846 RDU589844:RDU589846 RNQ589844:RNQ589846 RXM589844:RXM589846 SHI589844:SHI589846 SRE589844:SRE589846 TBA589844:TBA589846 TKW589844:TKW589846 TUS589844:TUS589846 UEO589844:UEO589846 UOK589844:UOK589846 UYG589844:UYG589846 VIC589844:VIC589846 VRY589844:VRY589846 WBU589844:WBU589846 WLQ589844:WLQ589846 WVM589844:WVM589846 E655380:E655382 JA655380:JA655382 SW655380:SW655382 ACS655380:ACS655382 AMO655380:AMO655382 AWK655380:AWK655382 BGG655380:BGG655382 BQC655380:BQC655382 BZY655380:BZY655382 CJU655380:CJU655382 CTQ655380:CTQ655382 DDM655380:DDM655382 DNI655380:DNI655382 DXE655380:DXE655382 EHA655380:EHA655382 EQW655380:EQW655382 FAS655380:FAS655382 FKO655380:FKO655382 FUK655380:FUK655382 GEG655380:GEG655382 GOC655380:GOC655382 GXY655380:GXY655382 HHU655380:HHU655382 HRQ655380:HRQ655382 IBM655380:IBM655382 ILI655380:ILI655382 IVE655380:IVE655382 JFA655380:JFA655382 JOW655380:JOW655382 JYS655380:JYS655382 KIO655380:KIO655382 KSK655380:KSK655382 LCG655380:LCG655382 LMC655380:LMC655382 LVY655380:LVY655382 MFU655380:MFU655382 MPQ655380:MPQ655382 MZM655380:MZM655382 NJI655380:NJI655382 NTE655380:NTE655382 ODA655380:ODA655382 OMW655380:OMW655382 OWS655380:OWS655382 PGO655380:PGO655382 PQK655380:PQK655382 QAG655380:QAG655382 QKC655380:QKC655382 QTY655380:QTY655382 RDU655380:RDU655382 RNQ655380:RNQ655382 RXM655380:RXM655382 SHI655380:SHI655382 SRE655380:SRE655382 TBA655380:TBA655382 TKW655380:TKW655382 TUS655380:TUS655382 UEO655380:UEO655382 UOK655380:UOK655382 UYG655380:UYG655382 VIC655380:VIC655382 VRY655380:VRY655382 WBU655380:WBU655382 WLQ655380:WLQ655382 WVM655380:WVM655382 E720916:E720918 JA720916:JA720918 SW720916:SW720918 ACS720916:ACS720918 AMO720916:AMO720918 AWK720916:AWK720918 BGG720916:BGG720918 BQC720916:BQC720918 BZY720916:BZY720918 CJU720916:CJU720918 CTQ720916:CTQ720918 DDM720916:DDM720918 DNI720916:DNI720918 DXE720916:DXE720918 EHA720916:EHA720918 EQW720916:EQW720918 FAS720916:FAS720918 FKO720916:FKO720918 FUK720916:FUK720918 GEG720916:GEG720918 GOC720916:GOC720918 GXY720916:GXY720918 HHU720916:HHU720918 HRQ720916:HRQ720918 IBM720916:IBM720918 ILI720916:ILI720918 IVE720916:IVE720918 JFA720916:JFA720918 JOW720916:JOW720918 JYS720916:JYS720918 KIO720916:KIO720918 KSK720916:KSK720918 LCG720916:LCG720918 LMC720916:LMC720918 LVY720916:LVY720918 MFU720916:MFU720918 MPQ720916:MPQ720918 MZM720916:MZM720918 NJI720916:NJI720918 NTE720916:NTE720918 ODA720916:ODA720918 OMW720916:OMW720918 OWS720916:OWS720918 PGO720916:PGO720918 PQK720916:PQK720918 QAG720916:QAG720918 QKC720916:QKC720918 QTY720916:QTY720918 RDU720916:RDU720918 RNQ720916:RNQ720918 RXM720916:RXM720918 SHI720916:SHI720918 SRE720916:SRE720918 TBA720916:TBA720918 TKW720916:TKW720918 TUS720916:TUS720918 UEO720916:UEO720918 UOK720916:UOK720918 UYG720916:UYG720918 VIC720916:VIC720918 VRY720916:VRY720918 WBU720916:WBU720918 WLQ720916:WLQ720918 WVM720916:WVM720918 E786452:E786454 JA786452:JA786454 SW786452:SW786454 ACS786452:ACS786454 AMO786452:AMO786454 AWK786452:AWK786454 BGG786452:BGG786454 BQC786452:BQC786454 BZY786452:BZY786454 CJU786452:CJU786454 CTQ786452:CTQ786454 DDM786452:DDM786454 DNI786452:DNI786454 DXE786452:DXE786454 EHA786452:EHA786454 EQW786452:EQW786454 FAS786452:FAS786454 FKO786452:FKO786454 FUK786452:FUK786454 GEG786452:GEG786454 GOC786452:GOC786454 GXY786452:GXY786454 HHU786452:HHU786454 HRQ786452:HRQ786454 IBM786452:IBM786454 ILI786452:ILI786454 IVE786452:IVE786454 JFA786452:JFA786454 JOW786452:JOW786454 JYS786452:JYS786454 KIO786452:KIO786454 KSK786452:KSK786454 LCG786452:LCG786454 LMC786452:LMC786454 LVY786452:LVY786454 MFU786452:MFU786454 MPQ786452:MPQ786454 MZM786452:MZM786454 NJI786452:NJI786454 NTE786452:NTE786454 ODA786452:ODA786454 OMW786452:OMW786454 OWS786452:OWS786454 PGO786452:PGO786454 PQK786452:PQK786454 QAG786452:QAG786454 QKC786452:QKC786454 QTY786452:QTY786454 RDU786452:RDU786454 RNQ786452:RNQ786454 RXM786452:RXM786454 SHI786452:SHI786454 SRE786452:SRE786454 TBA786452:TBA786454 TKW786452:TKW786454 TUS786452:TUS786454 UEO786452:UEO786454 UOK786452:UOK786454 UYG786452:UYG786454 VIC786452:VIC786454 VRY786452:VRY786454 WBU786452:WBU786454 WLQ786452:WLQ786454 WVM786452:WVM786454 E851988:E851990 JA851988:JA851990 SW851988:SW851990 ACS851988:ACS851990 AMO851988:AMO851990 AWK851988:AWK851990 BGG851988:BGG851990 BQC851988:BQC851990 BZY851988:BZY851990 CJU851988:CJU851990 CTQ851988:CTQ851990 DDM851988:DDM851990 DNI851988:DNI851990 DXE851988:DXE851990 EHA851988:EHA851990 EQW851988:EQW851990 FAS851988:FAS851990 FKO851988:FKO851990 FUK851988:FUK851990 GEG851988:GEG851990 GOC851988:GOC851990 GXY851988:GXY851990 HHU851988:HHU851990 HRQ851988:HRQ851990 IBM851988:IBM851990 ILI851988:ILI851990 IVE851988:IVE851990 JFA851988:JFA851990 JOW851988:JOW851990 JYS851988:JYS851990 KIO851988:KIO851990 KSK851988:KSK851990 LCG851988:LCG851990 LMC851988:LMC851990 LVY851988:LVY851990 MFU851988:MFU851990 MPQ851988:MPQ851990 MZM851988:MZM851990 NJI851988:NJI851990 NTE851988:NTE851990 ODA851988:ODA851990 OMW851988:OMW851990 OWS851988:OWS851990 PGO851988:PGO851990 PQK851988:PQK851990 QAG851988:QAG851990 QKC851988:QKC851990 QTY851988:QTY851990 RDU851988:RDU851990 RNQ851988:RNQ851990 RXM851988:RXM851990 SHI851988:SHI851990 SRE851988:SRE851990 TBA851988:TBA851990 TKW851988:TKW851990 TUS851988:TUS851990 UEO851988:UEO851990 UOK851988:UOK851990 UYG851988:UYG851990 VIC851988:VIC851990 VRY851988:VRY851990 WBU851988:WBU851990 WLQ851988:WLQ851990 WVM851988:WVM851990 E917524:E917526 JA917524:JA917526 SW917524:SW917526 ACS917524:ACS917526 AMO917524:AMO917526 AWK917524:AWK917526 BGG917524:BGG917526 BQC917524:BQC917526 BZY917524:BZY917526 CJU917524:CJU917526 CTQ917524:CTQ917526 DDM917524:DDM917526 DNI917524:DNI917526 DXE917524:DXE917526 EHA917524:EHA917526 EQW917524:EQW917526 FAS917524:FAS917526 FKO917524:FKO917526 FUK917524:FUK917526 GEG917524:GEG917526 GOC917524:GOC917526 GXY917524:GXY917526 HHU917524:HHU917526 HRQ917524:HRQ917526 IBM917524:IBM917526 ILI917524:ILI917526 IVE917524:IVE917526 JFA917524:JFA917526 JOW917524:JOW917526 JYS917524:JYS917526 KIO917524:KIO917526 KSK917524:KSK917526 LCG917524:LCG917526 LMC917524:LMC917526 LVY917524:LVY917526 MFU917524:MFU917526 MPQ917524:MPQ917526 MZM917524:MZM917526 NJI917524:NJI917526 NTE917524:NTE917526 ODA917524:ODA917526 OMW917524:OMW917526 OWS917524:OWS917526 PGO917524:PGO917526 PQK917524:PQK917526 QAG917524:QAG917526 QKC917524:QKC917526 QTY917524:QTY917526 RDU917524:RDU917526 RNQ917524:RNQ917526 RXM917524:RXM917526 SHI917524:SHI917526 SRE917524:SRE917526 TBA917524:TBA917526 TKW917524:TKW917526 TUS917524:TUS917526 UEO917524:UEO917526 UOK917524:UOK917526 UYG917524:UYG917526 VIC917524:VIC917526 VRY917524:VRY917526 WBU917524:WBU917526 WLQ917524:WLQ917526 WVM917524:WVM917526 E983060:E983062 JA983060:JA983062 SW983060:SW983062 ACS983060:ACS983062 AMO983060:AMO983062 AWK983060:AWK983062 BGG983060:BGG983062 BQC983060:BQC983062 BZY983060:BZY983062 CJU983060:CJU983062 CTQ983060:CTQ983062 DDM983060:DDM983062 DNI983060:DNI983062 DXE983060:DXE983062 EHA983060:EHA983062 EQW983060:EQW983062 FAS983060:FAS983062 FKO983060:FKO983062 FUK983060:FUK983062 GEG983060:GEG983062 GOC983060:GOC983062 GXY983060:GXY983062 HHU983060:HHU983062 HRQ983060:HRQ983062 IBM983060:IBM983062 ILI983060:ILI983062 IVE983060:IVE983062 JFA983060:JFA983062 JOW983060:JOW983062 JYS983060:JYS983062 KIO983060:KIO983062 KSK983060:KSK983062 LCG983060:LCG983062 LMC983060:LMC983062 LVY983060:LVY983062 MFU983060:MFU983062 MPQ983060:MPQ983062 MZM983060:MZM983062 NJI983060:NJI983062 NTE983060:NTE983062 ODA983060:ODA983062 OMW983060:OMW983062 OWS983060:OWS983062 PGO983060:PGO983062 PQK983060:PQK983062 QAG983060:QAG983062 QKC983060:QKC983062 QTY983060:QTY983062 RDU983060:RDU983062 RNQ983060:RNQ983062 RXM983060:RXM983062 SHI983060:SHI983062 SRE983060:SRE983062 TBA983060:TBA983062 TKW983060:TKW983062 TUS983060:TUS983062 UEO983060:UEO983062 UOK983060:UOK983062 UYG983060:UYG983062 VIC983060:VIC983062 VRY983060:VRY983062 WBU983060:WBU983062 WLQ983060:WLQ983062 WVM983060:WVM983062 I22:I23 JC20:JC22 SY20:SY22 ACU20:ACU22 AMQ20:AMQ22 AWM20:AWM22 BGI20:BGI22 BQE20:BQE22 CAA20:CAA22 CJW20:CJW22 CTS20:CTS22 DDO20:DDO22 DNK20:DNK22 DXG20:DXG22 EHC20:EHC22 EQY20:EQY22 FAU20:FAU22 FKQ20:FKQ22 FUM20:FUM22 GEI20:GEI22 GOE20:GOE22 GYA20:GYA22 HHW20:HHW22 HRS20:HRS22 IBO20:IBO22 ILK20:ILK22 IVG20:IVG22 JFC20:JFC22 JOY20:JOY22 JYU20:JYU22 KIQ20:KIQ22 KSM20:KSM22 LCI20:LCI22 LME20:LME22 LWA20:LWA22 MFW20:MFW22 MPS20:MPS22 MZO20:MZO22 NJK20:NJK22 NTG20:NTG22 ODC20:ODC22 OMY20:OMY22 OWU20:OWU22 PGQ20:PGQ22 PQM20:PQM22 QAI20:QAI22 QKE20:QKE22 QUA20:QUA22 RDW20:RDW22 RNS20:RNS22 RXO20:RXO22 SHK20:SHK22 SRG20:SRG22 TBC20:TBC22 TKY20:TKY22 TUU20:TUU22 UEQ20:UEQ22 UOM20:UOM22 UYI20:UYI22 VIE20:VIE22 VSA20:VSA22 WBW20:WBW22 WLS20:WLS22 WVO20:WVO22 G65556:G65558 JC65556:JC65558 SY65556:SY65558 ACU65556:ACU65558 AMQ65556:AMQ65558 AWM65556:AWM65558 BGI65556:BGI65558 BQE65556:BQE65558 CAA65556:CAA65558 CJW65556:CJW65558 CTS65556:CTS65558 DDO65556:DDO65558 DNK65556:DNK65558 DXG65556:DXG65558 EHC65556:EHC65558 EQY65556:EQY65558 FAU65556:FAU65558 FKQ65556:FKQ65558 FUM65556:FUM65558 GEI65556:GEI65558 GOE65556:GOE65558 GYA65556:GYA65558 HHW65556:HHW65558 HRS65556:HRS65558 IBO65556:IBO65558 ILK65556:ILK65558 IVG65556:IVG65558 JFC65556:JFC65558 JOY65556:JOY65558 JYU65556:JYU65558 KIQ65556:KIQ65558 KSM65556:KSM65558 LCI65556:LCI65558 LME65556:LME65558 LWA65556:LWA65558 MFW65556:MFW65558 MPS65556:MPS65558 MZO65556:MZO65558 NJK65556:NJK65558 NTG65556:NTG65558 ODC65556:ODC65558 OMY65556:OMY65558 OWU65556:OWU65558 PGQ65556:PGQ65558 PQM65556:PQM65558 QAI65556:QAI65558 QKE65556:QKE65558 QUA65556:QUA65558 RDW65556:RDW65558 RNS65556:RNS65558 RXO65556:RXO65558 SHK65556:SHK65558 SRG65556:SRG65558 TBC65556:TBC65558 TKY65556:TKY65558 TUU65556:TUU65558 UEQ65556:UEQ65558 UOM65556:UOM65558 UYI65556:UYI65558 VIE65556:VIE65558 VSA65556:VSA65558 WBW65556:WBW65558 WLS65556:WLS65558 WVO65556:WVO65558 G131092:G131094 JC131092:JC131094 SY131092:SY131094 ACU131092:ACU131094 AMQ131092:AMQ131094 AWM131092:AWM131094 BGI131092:BGI131094 BQE131092:BQE131094 CAA131092:CAA131094 CJW131092:CJW131094 CTS131092:CTS131094 DDO131092:DDO131094 DNK131092:DNK131094 DXG131092:DXG131094 EHC131092:EHC131094 EQY131092:EQY131094 FAU131092:FAU131094 FKQ131092:FKQ131094 FUM131092:FUM131094 GEI131092:GEI131094 GOE131092:GOE131094 GYA131092:GYA131094 HHW131092:HHW131094 HRS131092:HRS131094 IBO131092:IBO131094 ILK131092:ILK131094 IVG131092:IVG131094 JFC131092:JFC131094 JOY131092:JOY131094 JYU131092:JYU131094 KIQ131092:KIQ131094 KSM131092:KSM131094 LCI131092:LCI131094 LME131092:LME131094 LWA131092:LWA131094 MFW131092:MFW131094 MPS131092:MPS131094 MZO131092:MZO131094 NJK131092:NJK131094 NTG131092:NTG131094 ODC131092:ODC131094 OMY131092:OMY131094 OWU131092:OWU131094 PGQ131092:PGQ131094 PQM131092:PQM131094 QAI131092:QAI131094 QKE131092:QKE131094 QUA131092:QUA131094 RDW131092:RDW131094 RNS131092:RNS131094 RXO131092:RXO131094 SHK131092:SHK131094 SRG131092:SRG131094 TBC131092:TBC131094 TKY131092:TKY131094 TUU131092:TUU131094 UEQ131092:UEQ131094 UOM131092:UOM131094 UYI131092:UYI131094 VIE131092:VIE131094 VSA131092:VSA131094 WBW131092:WBW131094 WLS131092:WLS131094 WVO131092:WVO131094 G196628:G196630 JC196628:JC196630 SY196628:SY196630 ACU196628:ACU196630 AMQ196628:AMQ196630 AWM196628:AWM196630 BGI196628:BGI196630 BQE196628:BQE196630 CAA196628:CAA196630 CJW196628:CJW196630 CTS196628:CTS196630 DDO196628:DDO196630 DNK196628:DNK196630 DXG196628:DXG196630 EHC196628:EHC196630 EQY196628:EQY196630 FAU196628:FAU196630 FKQ196628:FKQ196630 FUM196628:FUM196630 GEI196628:GEI196630 GOE196628:GOE196630 GYA196628:GYA196630 HHW196628:HHW196630 HRS196628:HRS196630 IBO196628:IBO196630 ILK196628:ILK196630 IVG196628:IVG196630 JFC196628:JFC196630 JOY196628:JOY196630 JYU196628:JYU196630 KIQ196628:KIQ196630 KSM196628:KSM196630 LCI196628:LCI196630 LME196628:LME196630 LWA196628:LWA196630 MFW196628:MFW196630 MPS196628:MPS196630 MZO196628:MZO196630 NJK196628:NJK196630 NTG196628:NTG196630 ODC196628:ODC196630 OMY196628:OMY196630 OWU196628:OWU196630 PGQ196628:PGQ196630 PQM196628:PQM196630 QAI196628:QAI196630 QKE196628:QKE196630 QUA196628:QUA196630 RDW196628:RDW196630 RNS196628:RNS196630 RXO196628:RXO196630 SHK196628:SHK196630 SRG196628:SRG196630 TBC196628:TBC196630 TKY196628:TKY196630 TUU196628:TUU196630 UEQ196628:UEQ196630 UOM196628:UOM196630 UYI196628:UYI196630 VIE196628:VIE196630 VSA196628:VSA196630 WBW196628:WBW196630 WLS196628:WLS196630 WVO196628:WVO196630 G262164:G262166 JC262164:JC262166 SY262164:SY262166 ACU262164:ACU262166 AMQ262164:AMQ262166 AWM262164:AWM262166 BGI262164:BGI262166 BQE262164:BQE262166 CAA262164:CAA262166 CJW262164:CJW262166 CTS262164:CTS262166 DDO262164:DDO262166 DNK262164:DNK262166 DXG262164:DXG262166 EHC262164:EHC262166 EQY262164:EQY262166 FAU262164:FAU262166 FKQ262164:FKQ262166 FUM262164:FUM262166 GEI262164:GEI262166 GOE262164:GOE262166 GYA262164:GYA262166 HHW262164:HHW262166 HRS262164:HRS262166 IBO262164:IBO262166 ILK262164:ILK262166 IVG262164:IVG262166 JFC262164:JFC262166 JOY262164:JOY262166 JYU262164:JYU262166 KIQ262164:KIQ262166 KSM262164:KSM262166 LCI262164:LCI262166 LME262164:LME262166 LWA262164:LWA262166 MFW262164:MFW262166 MPS262164:MPS262166 MZO262164:MZO262166 NJK262164:NJK262166 NTG262164:NTG262166 ODC262164:ODC262166 OMY262164:OMY262166 OWU262164:OWU262166 PGQ262164:PGQ262166 PQM262164:PQM262166 QAI262164:QAI262166 QKE262164:QKE262166 QUA262164:QUA262166 RDW262164:RDW262166 RNS262164:RNS262166 RXO262164:RXO262166 SHK262164:SHK262166 SRG262164:SRG262166 TBC262164:TBC262166 TKY262164:TKY262166 TUU262164:TUU262166 UEQ262164:UEQ262166 UOM262164:UOM262166 UYI262164:UYI262166 VIE262164:VIE262166 VSA262164:VSA262166 WBW262164:WBW262166 WLS262164:WLS262166 WVO262164:WVO262166 G327700:G327702 JC327700:JC327702 SY327700:SY327702 ACU327700:ACU327702 AMQ327700:AMQ327702 AWM327700:AWM327702 BGI327700:BGI327702 BQE327700:BQE327702 CAA327700:CAA327702 CJW327700:CJW327702 CTS327700:CTS327702 DDO327700:DDO327702 DNK327700:DNK327702 DXG327700:DXG327702 EHC327700:EHC327702 EQY327700:EQY327702 FAU327700:FAU327702 FKQ327700:FKQ327702 FUM327700:FUM327702 GEI327700:GEI327702 GOE327700:GOE327702 GYA327700:GYA327702 HHW327700:HHW327702 HRS327700:HRS327702 IBO327700:IBO327702 ILK327700:ILK327702 IVG327700:IVG327702 JFC327700:JFC327702 JOY327700:JOY327702 JYU327700:JYU327702 KIQ327700:KIQ327702 KSM327700:KSM327702 LCI327700:LCI327702 LME327700:LME327702 LWA327700:LWA327702 MFW327700:MFW327702 MPS327700:MPS327702 MZO327700:MZO327702 NJK327700:NJK327702 NTG327700:NTG327702 ODC327700:ODC327702 OMY327700:OMY327702 OWU327700:OWU327702 PGQ327700:PGQ327702 PQM327700:PQM327702 QAI327700:QAI327702 QKE327700:QKE327702 QUA327700:QUA327702 RDW327700:RDW327702 RNS327700:RNS327702 RXO327700:RXO327702 SHK327700:SHK327702 SRG327700:SRG327702 TBC327700:TBC327702 TKY327700:TKY327702 TUU327700:TUU327702 UEQ327700:UEQ327702 UOM327700:UOM327702 UYI327700:UYI327702 VIE327700:VIE327702 VSA327700:VSA327702 WBW327700:WBW327702 WLS327700:WLS327702 WVO327700:WVO327702 G393236:G393238 JC393236:JC393238 SY393236:SY393238 ACU393236:ACU393238 AMQ393236:AMQ393238 AWM393236:AWM393238 BGI393236:BGI393238 BQE393236:BQE393238 CAA393236:CAA393238 CJW393236:CJW393238 CTS393236:CTS393238 DDO393236:DDO393238 DNK393236:DNK393238 DXG393236:DXG393238 EHC393236:EHC393238 EQY393236:EQY393238 FAU393236:FAU393238 FKQ393236:FKQ393238 FUM393236:FUM393238 GEI393236:GEI393238 GOE393236:GOE393238 GYA393236:GYA393238 HHW393236:HHW393238 HRS393236:HRS393238 IBO393236:IBO393238 ILK393236:ILK393238 IVG393236:IVG393238 JFC393236:JFC393238 JOY393236:JOY393238 JYU393236:JYU393238 KIQ393236:KIQ393238 KSM393236:KSM393238 LCI393236:LCI393238 LME393236:LME393238 LWA393236:LWA393238 MFW393236:MFW393238 MPS393236:MPS393238 MZO393236:MZO393238 NJK393236:NJK393238 NTG393236:NTG393238 ODC393236:ODC393238 OMY393236:OMY393238 OWU393236:OWU393238 PGQ393236:PGQ393238 PQM393236:PQM393238 QAI393236:QAI393238 QKE393236:QKE393238 QUA393236:QUA393238 RDW393236:RDW393238 RNS393236:RNS393238 RXO393236:RXO393238 SHK393236:SHK393238 SRG393236:SRG393238 TBC393236:TBC393238 TKY393236:TKY393238 TUU393236:TUU393238 UEQ393236:UEQ393238 UOM393236:UOM393238 UYI393236:UYI393238 VIE393236:VIE393238 VSA393236:VSA393238 WBW393236:WBW393238 WLS393236:WLS393238 WVO393236:WVO393238 G458772:G458774 JC458772:JC458774 SY458772:SY458774 ACU458772:ACU458774 AMQ458772:AMQ458774 AWM458772:AWM458774 BGI458772:BGI458774 BQE458772:BQE458774 CAA458772:CAA458774 CJW458772:CJW458774 CTS458772:CTS458774 DDO458772:DDO458774 DNK458772:DNK458774 DXG458772:DXG458774 EHC458772:EHC458774 EQY458772:EQY458774 FAU458772:FAU458774 FKQ458772:FKQ458774 FUM458772:FUM458774 GEI458772:GEI458774 GOE458772:GOE458774 GYA458772:GYA458774 HHW458772:HHW458774 HRS458772:HRS458774 IBO458772:IBO458774 ILK458772:ILK458774 IVG458772:IVG458774 JFC458772:JFC458774 JOY458772:JOY458774 JYU458772:JYU458774 KIQ458772:KIQ458774 KSM458772:KSM458774 LCI458772:LCI458774 LME458772:LME458774 LWA458772:LWA458774 MFW458772:MFW458774 MPS458772:MPS458774 MZO458772:MZO458774 NJK458772:NJK458774 NTG458772:NTG458774 ODC458772:ODC458774 OMY458772:OMY458774 OWU458772:OWU458774 PGQ458772:PGQ458774 PQM458772:PQM458774 QAI458772:QAI458774 QKE458772:QKE458774 QUA458772:QUA458774 RDW458772:RDW458774 RNS458772:RNS458774 RXO458772:RXO458774 SHK458772:SHK458774 SRG458772:SRG458774 TBC458772:TBC458774 TKY458772:TKY458774 TUU458772:TUU458774 UEQ458772:UEQ458774 UOM458772:UOM458774 UYI458772:UYI458774 VIE458772:VIE458774 VSA458772:VSA458774 WBW458772:WBW458774 WLS458772:WLS458774 WVO458772:WVO458774 G524308:G524310 JC524308:JC524310 SY524308:SY524310 ACU524308:ACU524310 AMQ524308:AMQ524310 AWM524308:AWM524310 BGI524308:BGI524310 BQE524308:BQE524310 CAA524308:CAA524310 CJW524308:CJW524310 CTS524308:CTS524310 DDO524308:DDO524310 DNK524308:DNK524310 DXG524308:DXG524310 EHC524308:EHC524310 EQY524308:EQY524310 FAU524308:FAU524310 FKQ524308:FKQ524310 FUM524308:FUM524310 GEI524308:GEI524310 GOE524308:GOE524310 GYA524308:GYA524310 HHW524308:HHW524310 HRS524308:HRS524310 IBO524308:IBO524310 ILK524308:ILK524310 IVG524308:IVG524310 JFC524308:JFC524310 JOY524308:JOY524310 JYU524308:JYU524310 KIQ524308:KIQ524310 KSM524308:KSM524310 LCI524308:LCI524310 LME524308:LME524310 LWA524308:LWA524310 MFW524308:MFW524310 MPS524308:MPS524310 MZO524308:MZO524310 NJK524308:NJK524310 NTG524308:NTG524310 ODC524308:ODC524310 OMY524308:OMY524310 OWU524308:OWU524310 PGQ524308:PGQ524310 PQM524308:PQM524310 QAI524308:QAI524310 QKE524308:QKE524310 QUA524308:QUA524310 RDW524308:RDW524310 RNS524308:RNS524310 RXO524308:RXO524310 SHK524308:SHK524310 SRG524308:SRG524310 TBC524308:TBC524310 TKY524308:TKY524310 TUU524308:TUU524310 UEQ524308:UEQ524310 UOM524308:UOM524310 UYI524308:UYI524310 VIE524308:VIE524310 VSA524308:VSA524310 WBW524308:WBW524310 WLS524308:WLS524310 WVO524308:WVO524310 G589844:G589846 JC589844:JC589846 SY589844:SY589846 ACU589844:ACU589846 AMQ589844:AMQ589846 AWM589844:AWM589846 BGI589844:BGI589846 BQE589844:BQE589846 CAA589844:CAA589846 CJW589844:CJW589846 CTS589844:CTS589846 DDO589844:DDO589846 DNK589844:DNK589846 DXG589844:DXG589846 EHC589844:EHC589846 EQY589844:EQY589846 FAU589844:FAU589846 FKQ589844:FKQ589846 FUM589844:FUM589846 GEI589844:GEI589846 GOE589844:GOE589846 GYA589844:GYA589846 HHW589844:HHW589846 HRS589844:HRS589846 IBO589844:IBO589846 ILK589844:ILK589846 IVG589844:IVG589846 JFC589844:JFC589846 JOY589844:JOY589846 JYU589844:JYU589846 KIQ589844:KIQ589846 KSM589844:KSM589846 LCI589844:LCI589846 LME589844:LME589846 LWA589844:LWA589846 MFW589844:MFW589846 MPS589844:MPS589846 MZO589844:MZO589846 NJK589844:NJK589846 NTG589844:NTG589846 ODC589844:ODC589846 OMY589844:OMY589846 OWU589844:OWU589846 PGQ589844:PGQ589846 PQM589844:PQM589846 QAI589844:QAI589846 QKE589844:QKE589846 QUA589844:QUA589846 RDW589844:RDW589846 RNS589844:RNS589846 RXO589844:RXO589846 SHK589844:SHK589846 SRG589844:SRG589846 TBC589844:TBC589846 TKY589844:TKY589846 TUU589844:TUU589846 UEQ589844:UEQ589846 UOM589844:UOM589846 UYI589844:UYI589846 VIE589844:VIE589846 VSA589844:VSA589846 WBW589844:WBW589846 WLS589844:WLS589846 WVO589844:WVO589846 G655380:G655382 JC655380:JC655382 SY655380:SY655382 ACU655380:ACU655382 AMQ655380:AMQ655382 AWM655380:AWM655382 BGI655380:BGI655382 BQE655380:BQE655382 CAA655380:CAA655382 CJW655380:CJW655382 CTS655380:CTS655382 DDO655380:DDO655382 DNK655380:DNK655382 DXG655380:DXG655382 EHC655380:EHC655382 EQY655380:EQY655382 FAU655380:FAU655382 FKQ655380:FKQ655382 FUM655380:FUM655382 GEI655380:GEI655382 GOE655380:GOE655382 GYA655380:GYA655382 HHW655380:HHW655382 HRS655380:HRS655382 IBO655380:IBO655382 ILK655380:ILK655382 IVG655380:IVG655382 JFC655380:JFC655382 JOY655380:JOY655382 JYU655380:JYU655382 KIQ655380:KIQ655382 KSM655380:KSM655382 LCI655380:LCI655382 LME655380:LME655382 LWA655380:LWA655382 MFW655380:MFW655382 MPS655380:MPS655382 MZO655380:MZO655382 NJK655380:NJK655382 NTG655380:NTG655382 ODC655380:ODC655382 OMY655380:OMY655382 OWU655380:OWU655382 PGQ655380:PGQ655382 PQM655380:PQM655382 QAI655380:QAI655382 QKE655380:QKE655382 QUA655380:QUA655382 RDW655380:RDW655382 RNS655380:RNS655382 RXO655380:RXO655382 SHK655380:SHK655382 SRG655380:SRG655382 TBC655380:TBC655382 TKY655380:TKY655382 TUU655380:TUU655382 UEQ655380:UEQ655382 UOM655380:UOM655382 UYI655380:UYI655382 VIE655380:VIE655382 VSA655380:VSA655382 WBW655380:WBW655382 WLS655380:WLS655382 WVO655380:WVO655382 G720916:G720918 JC720916:JC720918 SY720916:SY720918 ACU720916:ACU720918 AMQ720916:AMQ720918 AWM720916:AWM720918 BGI720916:BGI720918 BQE720916:BQE720918 CAA720916:CAA720918 CJW720916:CJW720918 CTS720916:CTS720918 DDO720916:DDO720918 DNK720916:DNK720918 DXG720916:DXG720918 EHC720916:EHC720918 EQY720916:EQY720918 FAU720916:FAU720918 FKQ720916:FKQ720918 FUM720916:FUM720918 GEI720916:GEI720918 GOE720916:GOE720918 GYA720916:GYA720918 HHW720916:HHW720918 HRS720916:HRS720918 IBO720916:IBO720918 ILK720916:ILK720918 IVG720916:IVG720918 JFC720916:JFC720918 JOY720916:JOY720918 JYU720916:JYU720918 KIQ720916:KIQ720918 KSM720916:KSM720918 LCI720916:LCI720918 LME720916:LME720918 LWA720916:LWA720918 MFW720916:MFW720918 MPS720916:MPS720918 MZO720916:MZO720918 NJK720916:NJK720918 NTG720916:NTG720918 ODC720916:ODC720918 OMY720916:OMY720918 OWU720916:OWU720918 PGQ720916:PGQ720918 PQM720916:PQM720918 QAI720916:QAI720918 QKE720916:QKE720918 QUA720916:QUA720918 RDW720916:RDW720918 RNS720916:RNS720918 RXO720916:RXO720918 SHK720916:SHK720918 SRG720916:SRG720918 TBC720916:TBC720918 TKY720916:TKY720918 TUU720916:TUU720918 UEQ720916:UEQ720918 UOM720916:UOM720918 UYI720916:UYI720918 VIE720916:VIE720918 VSA720916:VSA720918 WBW720916:WBW720918 WLS720916:WLS720918 WVO720916:WVO720918 G786452:G786454 JC786452:JC786454 SY786452:SY786454 ACU786452:ACU786454 AMQ786452:AMQ786454 AWM786452:AWM786454 BGI786452:BGI786454 BQE786452:BQE786454 CAA786452:CAA786454 CJW786452:CJW786454 CTS786452:CTS786454 DDO786452:DDO786454 DNK786452:DNK786454 DXG786452:DXG786454 EHC786452:EHC786454 EQY786452:EQY786454 FAU786452:FAU786454 FKQ786452:FKQ786454 FUM786452:FUM786454 GEI786452:GEI786454 GOE786452:GOE786454 GYA786452:GYA786454 HHW786452:HHW786454 HRS786452:HRS786454 IBO786452:IBO786454 ILK786452:ILK786454 IVG786452:IVG786454 JFC786452:JFC786454 JOY786452:JOY786454 JYU786452:JYU786454 KIQ786452:KIQ786454 KSM786452:KSM786454 LCI786452:LCI786454 LME786452:LME786454 LWA786452:LWA786454 MFW786452:MFW786454 MPS786452:MPS786454 MZO786452:MZO786454 NJK786452:NJK786454 NTG786452:NTG786454 ODC786452:ODC786454 OMY786452:OMY786454 OWU786452:OWU786454 PGQ786452:PGQ786454 PQM786452:PQM786454 QAI786452:QAI786454 QKE786452:QKE786454 QUA786452:QUA786454 RDW786452:RDW786454 RNS786452:RNS786454 RXO786452:RXO786454 SHK786452:SHK786454 SRG786452:SRG786454 TBC786452:TBC786454 TKY786452:TKY786454 TUU786452:TUU786454 UEQ786452:UEQ786454 UOM786452:UOM786454 UYI786452:UYI786454 VIE786452:VIE786454 VSA786452:VSA786454 WBW786452:WBW786454 WLS786452:WLS786454 WVO786452:WVO786454 G851988:G851990 JC851988:JC851990 SY851988:SY851990 ACU851988:ACU851990 AMQ851988:AMQ851990 AWM851988:AWM851990 BGI851988:BGI851990 BQE851988:BQE851990 CAA851988:CAA851990 CJW851988:CJW851990 CTS851988:CTS851990 DDO851988:DDO851990 DNK851988:DNK851990 DXG851988:DXG851990 EHC851988:EHC851990 EQY851988:EQY851990 FAU851988:FAU851990 FKQ851988:FKQ851990 FUM851988:FUM851990 GEI851988:GEI851990 GOE851988:GOE851990 GYA851988:GYA851990 HHW851988:HHW851990 HRS851988:HRS851990 IBO851988:IBO851990 ILK851988:ILK851990 IVG851988:IVG851990 JFC851988:JFC851990 JOY851988:JOY851990 JYU851988:JYU851990 KIQ851988:KIQ851990 KSM851988:KSM851990 LCI851988:LCI851990 LME851988:LME851990 LWA851988:LWA851990 MFW851988:MFW851990 MPS851988:MPS851990 MZO851988:MZO851990 NJK851988:NJK851990 NTG851988:NTG851990 ODC851988:ODC851990 OMY851988:OMY851990 OWU851988:OWU851990 PGQ851988:PGQ851990 PQM851988:PQM851990 QAI851988:QAI851990 QKE851988:QKE851990 QUA851988:QUA851990 RDW851988:RDW851990 RNS851988:RNS851990 RXO851988:RXO851990 SHK851988:SHK851990 SRG851988:SRG851990 TBC851988:TBC851990 TKY851988:TKY851990 TUU851988:TUU851990 UEQ851988:UEQ851990 UOM851988:UOM851990 UYI851988:UYI851990 VIE851988:VIE851990 VSA851988:VSA851990 WBW851988:WBW851990 WLS851988:WLS851990 WVO851988:WVO851990 G917524:G917526 JC917524:JC917526 SY917524:SY917526 ACU917524:ACU917526 AMQ917524:AMQ917526 AWM917524:AWM917526 BGI917524:BGI917526 BQE917524:BQE917526 CAA917524:CAA917526 CJW917524:CJW917526 CTS917524:CTS917526 DDO917524:DDO917526 DNK917524:DNK917526 DXG917524:DXG917526 EHC917524:EHC917526 EQY917524:EQY917526 FAU917524:FAU917526 FKQ917524:FKQ917526 FUM917524:FUM917526 GEI917524:GEI917526 GOE917524:GOE917526 GYA917524:GYA917526 HHW917524:HHW917526 HRS917524:HRS917526 IBO917524:IBO917526 ILK917524:ILK917526 IVG917524:IVG917526 JFC917524:JFC917526 JOY917524:JOY917526 JYU917524:JYU917526 KIQ917524:KIQ917526 KSM917524:KSM917526 LCI917524:LCI917526 LME917524:LME917526 LWA917524:LWA917526 MFW917524:MFW917526 MPS917524:MPS917526 MZO917524:MZO917526 NJK917524:NJK917526 NTG917524:NTG917526 ODC917524:ODC917526 OMY917524:OMY917526 OWU917524:OWU917526 PGQ917524:PGQ917526 PQM917524:PQM917526 QAI917524:QAI917526 QKE917524:QKE917526 QUA917524:QUA917526 RDW917524:RDW917526 RNS917524:RNS917526 RXO917524:RXO917526 SHK917524:SHK917526 SRG917524:SRG917526 TBC917524:TBC917526 TKY917524:TKY917526 TUU917524:TUU917526 UEQ917524:UEQ917526 UOM917524:UOM917526 UYI917524:UYI917526 VIE917524:VIE917526 VSA917524:VSA917526 WBW917524:WBW917526 WLS917524:WLS917526 WVO917524:WVO917526 G983060:G983062 JC983060:JC983062 SY983060:SY983062 ACU983060:ACU983062 AMQ983060:AMQ983062 AWM983060:AWM983062 BGI983060:BGI983062 BQE983060:BQE983062 CAA983060:CAA983062 CJW983060:CJW983062 CTS983060:CTS983062 DDO983060:DDO983062 DNK983060:DNK983062 DXG983060:DXG983062 EHC983060:EHC983062 EQY983060:EQY983062 FAU983060:FAU983062 FKQ983060:FKQ983062 FUM983060:FUM983062 GEI983060:GEI983062 GOE983060:GOE983062 GYA983060:GYA983062 HHW983060:HHW983062 HRS983060:HRS983062 IBO983060:IBO983062 ILK983060:ILK983062 IVG983060:IVG983062 JFC983060:JFC983062 JOY983060:JOY983062 JYU983060:JYU983062 KIQ983060:KIQ983062 KSM983060:KSM983062 LCI983060:LCI983062 LME983060:LME983062 LWA983060:LWA983062 MFW983060:MFW983062 MPS983060:MPS983062 MZO983060:MZO983062 NJK983060:NJK983062 NTG983060:NTG983062 ODC983060:ODC983062 OMY983060:OMY983062 OWU983060:OWU983062 PGQ983060:PGQ983062 PQM983060:PQM983062 QAI983060:QAI983062 QKE983060:QKE983062 QUA983060:QUA983062 RDW983060:RDW983062 RNS983060:RNS983062 RXO983060:RXO983062 SHK983060:SHK983062 SRG983060:SRG983062 TBC983060:TBC983062 TKY983060:TKY983062 TUU983060:TUU983062 UEQ983060:UEQ983062 UOM983060:UOM983062 UYI983060:UYI983062 VIE983060:VIE983062 VSA983060:VSA983062 WBW983060:WBW983062 WLS983060:WLS983062 WVO983060:WVO983062 K22:K23 JE20:JE23 TA20:TA23 ACW20:ACW23 AMS20:AMS23 AWO20:AWO23 BGK20:BGK23 BQG20:BQG23 CAC20:CAC23 CJY20:CJY23 CTU20:CTU23 DDQ20:DDQ23 DNM20:DNM23 DXI20:DXI23 EHE20:EHE23 ERA20:ERA23 FAW20:FAW23 FKS20:FKS23 FUO20:FUO23 GEK20:GEK23 GOG20:GOG23 GYC20:GYC23 HHY20:HHY23 HRU20:HRU23 IBQ20:IBQ23 ILM20:ILM23 IVI20:IVI23 JFE20:JFE23 JPA20:JPA23 JYW20:JYW23 KIS20:KIS23 KSO20:KSO23 LCK20:LCK23 LMG20:LMG23 LWC20:LWC23 MFY20:MFY23 MPU20:MPU23 MZQ20:MZQ23 NJM20:NJM23 NTI20:NTI23 ODE20:ODE23 ONA20:ONA23 OWW20:OWW23 PGS20:PGS23 PQO20:PQO23 QAK20:QAK23 QKG20:QKG23 QUC20:QUC23 RDY20:RDY23 RNU20:RNU23 RXQ20:RXQ23 SHM20:SHM23 SRI20:SRI23 TBE20:TBE23 TLA20:TLA23 TUW20:TUW23 UES20:UES23 UOO20:UOO23 UYK20:UYK23 VIG20:VIG23 VSC20:VSC23 WBY20:WBY23 WLU20:WLU23 WVQ20:WVQ23 I65556:I65559 JE65556:JE65559 TA65556:TA65559 ACW65556:ACW65559 AMS65556:AMS65559 AWO65556:AWO65559 BGK65556:BGK65559 BQG65556:BQG65559 CAC65556:CAC65559 CJY65556:CJY65559 CTU65556:CTU65559 DDQ65556:DDQ65559 DNM65556:DNM65559 DXI65556:DXI65559 EHE65556:EHE65559 ERA65556:ERA65559 FAW65556:FAW65559 FKS65556:FKS65559 FUO65556:FUO65559 GEK65556:GEK65559 GOG65556:GOG65559 GYC65556:GYC65559 HHY65556:HHY65559 HRU65556:HRU65559 IBQ65556:IBQ65559 ILM65556:ILM65559 IVI65556:IVI65559 JFE65556:JFE65559 JPA65556:JPA65559 JYW65556:JYW65559 KIS65556:KIS65559 KSO65556:KSO65559 LCK65556:LCK65559 LMG65556:LMG65559 LWC65556:LWC65559 MFY65556:MFY65559 MPU65556:MPU65559 MZQ65556:MZQ65559 NJM65556:NJM65559 NTI65556:NTI65559 ODE65556:ODE65559 ONA65556:ONA65559 OWW65556:OWW65559 PGS65556:PGS65559 PQO65556:PQO65559 QAK65556:QAK65559 QKG65556:QKG65559 QUC65556:QUC65559 RDY65556:RDY65559 RNU65556:RNU65559 RXQ65556:RXQ65559 SHM65556:SHM65559 SRI65556:SRI65559 TBE65556:TBE65559 TLA65556:TLA65559 TUW65556:TUW65559 UES65556:UES65559 UOO65556:UOO65559 UYK65556:UYK65559 VIG65556:VIG65559 VSC65556:VSC65559 WBY65556:WBY65559 WLU65556:WLU65559 WVQ65556:WVQ65559 I131092:I131095 JE131092:JE131095 TA131092:TA131095 ACW131092:ACW131095 AMS131092:AMS131095 AWO131092:AWO131095 BGK131092:BGK131095 BQG131092:BQG131095 CAC131092:CAC131095 CJY131092:CJY131095 CTU131092:CTU131095 DDQ131092:DDQ131095 DNM131092:DNM131095 DXI131092:DXI131095 EHE131092:EHE131095 ERA131092:ERA131095 FAW131092:FAW131095 FKS131092:FKS131095 FUO131092:FUO131095 GEK131092:GEK131095 GOG131092:GOG131095 GYC131092:GYC131095 HHY131092:HHY131095 HRU131092:HRU131095 IBQ131092:IBQ131095 ILM131092:ILM131095 IVI131092:IVI131095 JFE131092:JFE131095 JPA131092:JPA131095 JYW131092:JYW131095 KIS131092:KIS131095 KSO131092:KSO131095 LCK131092:LCK131095 LMG131092:LMG131095 LWC131092:LWC131095 MFY131092:MFY131095 MPU131092:MPU131095 MZQ131092:MZQ131095 NJM131092:NJM131095 NTI131092:NTI131095 ODE131092:ODE131095 ONA131092:ONA131095 OWW131092:OWW131095 PGS131092:PGS131095 PQO131092:PQO131095 QAK131092:QAK131095 QKG131092:QKG131095 QUC131092:QUC131095 RDY131092:RDY131095 RNU131092:RNU131095 RXQ131092:RXQ131095 SHM131092:SHM131095 SRI131092:SRI131095 TBE131092:TBE131095 TLA131092:TLA131095 TUW131092:TUW131095 UES131092:UES131095 UOO131092:UOO131095 UYK131092:UYK131095 VIG131092:VIG131095 VSC131092:VSC131095 WBY131092:WBY131095 WLU131092:WLU131095 WVQ131092:WVQ131095 I196628:I196631 JE196628:JE196631 TA196628:TA196631 ACW196628:ACW196631 AMS196628:AMS196631 AWO196628:AWO196631 BGK196628:BGK196631 BQG196628:BQG196631 CAC196628:CAC196631 CJY196628:CJY196631 CTU196628:CTU196631 DDQ196628:DDQ196631 DNM196628:DNM196631 DXI196628:DXI196631 EHE196628:EHE196631 ERA196628:ERA196631 FAW196628:FAW196631 FKS196628:FKS196631 FUO196628:FUO196631 GEK196628:GEK196631 GOG196628:GOG196631 GYC196628:GYC196631 HHY196628:HHY196631 HRU196628:HRU196631 IBQ196628:IBQ196631 ILM196628:ILM196631 IVI196628:IVI196631 JFE196628:JFE196631 JPA196628:JPA196631 JYW196628:JYW196631 KIS196628:KIS196631 KSO196628:KSO196631 LCK196628:LCK196631 LMG196628:LMG196631 LWC196628:LWC196631 MFY196628:MFY196631 MPU196628:MPU196631 MZQ196628:MZQ196631 NJM196628:NJM196631 NTI196628:NTI196631 ODE196628:ODE196631 ONA196628:ONA196631 OWW196628:OWW196631 PGS196628:PGS196631 PQO196628:PQO196631 QAK196628:QAK196631 QKG196628:QKG196631 QUC196628:QUC196631 RDY196628:RDY196631 RNU196628:RNU196631 RXQ196628:RXQ196631 SHM196628:SHM196631 SRI196628:SRI196631 TBE196628:TBE196631 TLA196628:TLA196631 TUW196628:TUW196631 UES196628:UES196631 UOO196628:UOO196631 UYK196628:UYK196631 VIG196628:VIG196631 VSC196628:VSC196631 WBY196628:WBY196631 WLU196628:WLU196631 WVQ196628:WVQ196631 I262164:I262167 JE262164:JE262167 TA262164:TA262167 ACW262164:ACW262167 AMS262164:AMS262167 AWO262164:AWO262167 BGK262164:BGK262167 BQG262164:BQG262167 CAC262164:CAC262167 CJY262164:CJY262167 CTU262164:CTU262167 DDQ262164:DDQ262167 DNM262164:DNM262167 DXI262164:DXI262167 EHE262164:EHE262167 ERA262164:ERA262167 FAW262164:FAW262167 FKS262164:FKS262167 FUO262164:FUO262167 GEK262164:GEK262167 GOG262164:GOG262167 GYC262164:GYC262167 HHY262164:HHY262167 HRU262164:HRU262167 IBQ262164:IBQ262167 ILM262164:ILM262167 IVI262164:IVI262167 JFE262164:JFE262167 JPA262164:JPA262167 JYW262164:JYW262167 KIS262164:KIS262167 KSO262164:KSO262167 LCK262164:LCK262167 LMG262164:LMG262167 LWC262164:LWC262167 MFY262164:MFY262167 MPU262164:MPU262167 MZQ262164:MZQ262167 NJM262164:NJM262167 NTI262164:NTI262167 ODE262164:ODE262167 ONA262164:ONA262167 OWW262164:OWW262167 PGS262164:PGS262167 PQO262164:PQO262167 QAK262164:QAK262167 QKG262164:QKG262167 QUC262164:QUC262167 RDY262164:RDY262167 RNU262164:RNU262167 RXQ262164:RXQ262167 SHM262164:SHM262167 SRI262164:SRI262167 TBE262164:TBE262167 TLA262164:TLA262167 TUW262164:TUW262167 UES262164:UES262167 UOO262164:UOO262167 UYK262164:UYK262167 VIG262164:VIG262167 VSC262164:VSC262167 WBY262164:WBY262167 WLU262164:WLU262167 WVQ262164:WVQ262167 I327700:I327703 JE327700:JE327703 TA327700:TA327703 ACW327700:ACW327703 AMS327700:AMS327703 AWO327700:AWO327703 BGK327700:BGK327703 BQG327700:BQG327703 CAC327700:CAC327703 CJY327700:CJY327703 CTU327700:CTU327703 DDQ327700:DDQ327703 DNM327700:DNM327703 DXI327700:DXI327703 EHE327700:EHE327703 ERA327700:ERA327703 FAW327700:FAW327703 FKS327700:FKS327703 FUO327700:FUO327703 GEK327700:GEK327703 GOG327700:GOG327703 GYC327700:GYC327703 HHY327700:HHY327703 HRU327700:HRU327703 IBQ327700:IBQ327703 ILM327700:ILM327703 IVI327700:IVI327703 JFE327700:JFE327703 JPA327700:JPA327703 JYW327700:JYW327703 KIS327700:KIS327703 KSO327700:KSO327703 LCK327700:LCK327703 LMG327700:LMG327703 LWC327700:LWC327703 MFY327700:MFY327703 MPU327700:MPU327703 MZQ327700:MZQ327703 NJM327700:NJM327703 NTI327700:NTI327703 ODE327700:ODE327703 ONA327700:ONA327703 OWW327700:OWW327703 PGS327700:PGS327703 PQO327700:PQO327703 QAK327700:QAK327703 QKG327700:QKG327703 QUC327700:QUC327703 RDY327700:RDY327703 RNU327700:RNU327703 RXQ327700:RXQ327703 SHM327700:SHM327703 SRI327700:SRI327703 TBE327700:TBE327703 TLA327700:TLA327703 TUW327700:TUW327703 UES327700:UES327703 UOO327700:UOO327703 UYK327700:UYK327703 VIG327700:VIG327703 VSC327700:VSC327703 WBY327700:WBY327703 WLU327700:WLU327703 WVQ327700:WVQ327703 I393236:I393239 JE393236:JE393239 TA393236:TA393239 ACW393236:ACW393239 AMS393236:AMS393239 AWO393236:AWO393239 BGK393236:BGK393239 BQG393236:BQG393239 CAC393236:CAC393239 CJY393236:CJY393239 CTU393236:CTU393239 DDQ393236:DDQ393239 DNM393236:DNM393239 DXI393236:DXI393239 EHE393236:EHE393239 ERA393236:ERA393239 FAW393236:FAW393239 FKS393236:FKS393239 FUO393236:FUO393239 GEK393236:GEK393239 GOG393236:GOG393239 GYC393236:GYC393239 HHY393236:HHY393239 HRU393236:HRU393239 IBQ393236:IBQ393239 ILM393236:ILM393239 IVI393236:IVI393239 JFE393236:JFE393239 JPA393236:JPA393239 JYW393236:JYW393239 KIS393236:KIS393239 KSO393236:KSO393239 LCK393236:LCK393239 LMG393236:LMG393239 LWC393236:LWC393239 MFY393236:MFY393239 MPU393236:MPU393239 MZQ393236:MZQ393239 NJM393236:NJM393239 NTI393236:NTI393239 ODE393236:ODE393239 ONA393236:ONA393239 OWW393236:OWW393239 PGS393236:PGS393239 PQO393236:PQO393239 QAK393236:QAK393239 QKG393236:QKG393239 QUC393236:QUC393239 RDY393236:RDY393239 RNU393236:RNU393239 RXQ393236:RXQ393239 SHM393236:SHM393239 SRI393236:SRI393239 TBE393236:TBE393239 TLA393236:TLA393239 TUW393236:TUW393239 UES393236:UES393239 UOO393236:UOO393239 UYK393236:UYK393239 VIG393236:VIG393239 VSC393236:VSC393239 WBY393236:WBY393239 WLU393236:WLU393239 WVQ393236:WVQ393239 I458772:I458775 JE458772:JE458775 TA458772:TA458775 ACW458772:ACW458775 AMS458772:AMS458775 AWO458772:AWO458775 BGK458772:BGK458775 BQG458772:BQG458775 CAC458772:CAC458775 CJY458772:CJY458775 CTU458772:CTU458775 DDQ458772:DDQ458775 DNM458772:DNM458775 DXI458772:DXI458775 EHE458772:EHE458775 ERA458772:ERA458775 FAW458772:FAW458775 FKS458772:FKS458775 FUO458772:FUO458775 GEK458772:GEK458775 GOG458772:GOG458775 GYC458772:GYC458775 HHY458772:HHY458775 HRU458772:HRU458775 IBQ458772:IBQ458775 ILM458772:ILM458775 IVI458772:IVI458775 JFE458772:JFE458775 JPA458772:JPA458775 JYW458772:JYW458775 KIS458772:KIS458775 KSO458772:KSO458775 LCK458772:LCK458775 LMG458772:LMG458775 LWC458772:LWC458775 MFY458772:MFY458775 MPU458772:MPU458775 MZQ458772:MZQ458775 NJM458772:NJM458775 NTI458772:NTI458775 ODE458772:ODE458775 ONA458772:ONA458775 OWW458772:OWW458775 PGS458772:PGS458775 PQO458772:PQO458775 QAK458772:QAK458775 QKG458772:QKG458775 QUC458772:QUC458775 RDY458772:RDY458775 RNU458772:RNU458775 RXQ458772:RXQ458775 SHM458772:SHM458775 SRI458772:SRI458775 TBE458772:TBE458775 TLA458772:TLA458775 TUW458772:TUW458775 UES458772:UES458775 UOO458772:UOO458775 UYK458772:UYK458775 VIG458772:VIG458775 VSC458772:VSC458775 WBY458772:WBY458775 WLU458772:WLU458775 WVQ458772:WVQ458775 I524308:I524311 JE524308:JE524311 TA524308:TA524311 ACW524308:ACW524311 AMS524308:AMS524311 AWO524308:AWO524311 BGK524308:BGK524311 BQG524308:BQG524311 CAC524308:CAC524311 CJY524308:CJY524311 CTU524308:CTU524311 DDQ524308:DDQ524311 DNM524308:DNM524311 DXI524308:DXI524311 EHE524308:EHE524311 ERA524308:ERA524311 FAW524308:FAW524311 FKS524308:FKS524311 FUO524308:FUO524311 GEK524308:GEK524311 GOG524308:GOG524311 GYC524308:GYC524311 HHY524308:HHY524311 HRU524308:HRU524311 IBQ524308:IBQ524311 ILM524308:ILM524311 IVI524308:IVI524311 JFE524308:JFE524311 JPA524308:JPA524311 JYW524308:JYW524311 KIS524308:KIS524311 KSO524308:KSO524311 LCK524308:LCK524311 LMG524308:LMG524311 LWC524308:LWC524311 MFY524308:MFY524311 MPU524308:MPU524311 MZQ524308:MZQ524311 NJM524308:NJM524311 NTI524308:NTI524311 ODE524308:ODE524311 ONA524308:ONA524311 OWW524308:OWW524311 PGS524308:PGS524311 PQO524308:PQO524311 QAK524308:QAK524311 QKG524308:QKG524311 QUC524308:QUC524311 RDY524308:RDY524311 RNU524308:RNU524311 RXQ524308:RXQ524311 SHM524308:SHM524311 SRI524308:SRI524311 TBE524308:TBE524311 TLA524308:TLA524311 TUW524308:TUW524311 UES524308:UES524311 UOO524308:UOO524311 UYK524308:UYK524311 VIG524308:VIG524311 VSC524308:VSC524311 WBY524308:WBY524311 WLU524308:WLU524311 WVQ524308:WVQ524311 I589844:I589847 JE589844:JE589847 TA589844:TA589847 ACW589844:ACW589847 AMS589844:AMS589847 AWO589844:AWO589847 BGK589844:BGK589847 BQG589844:BQG589847 CAC589844:CAC589847 CJY589844:CJY589847 CTU589844:CTU589847 DDQ589844:DDQ589847 DNM589844:DNM589847 DXI589844:DXI589847 EHE589844:EHE589847 ERA589844:ERA589847 FAW589844:FAW589847 FKS589844:FKS589847 FUO589844:FUO589847 GEK589844:GEK589847 GOG589844:GOG589847 GYC589844:GYC589847 HHY589844:HHY589847 HRU589844:HRU589847 IBQ589844:IBQ589847 ILM589844:ILM589847 IVI589844:IVI589847 JFE589844:JFE589847 JPA589844:JPA589847 JYW589844:JYW589847 KIS589844:KIS589847 KSO589844:KSO589847 LCK589844:LCK589847 LMG589844:LMG589847 LWC589844:LWC589847 MFY589844:MFY589847 MPU589844:MPU589847 MZQ589844:MZQ589847 NJM589844:NJM589847 NTI589844:NTI589847 ODE589844:ODE589847 ONA589844:ONA589847 OWW589844:OWW589847 PGS589844:PGS589847 PQO589844:PQO589847 QAK589844:QAK589847 QKG589844:QKG589847 QUC589844:QUC589847 RDY589844:RDY589847 RNU589844:RNU589847 RXQ589844:RXQ589847 SHM589844:SHM589847 SRI589844:SRI589847 TBE589844:TBE589847 TLA589844:TLA589847 TUW589844:TUW589847 UES589844:UES589847 UOO589844:UOO589847 UYK589844:UYK589847 VIG589844:VIG589847 VSC589844:VSC589847 WBY589844:WBY589847 WLU589844:WLU589847 WVQ589844:WVQ589847 I655380:I655383 JE655380:JE655383 TA655380:TA655383 ACW655380:ACW655383 AMS655380:AMS655383 AWO655380:AWO655383 BGK655380:BGK655383 BQG655380:BQG655383 CAC655380:CAC655383 CJY655380:CJY655383 CTU655380:CTU655383 DDQ655380:DDQ655383 DNM655380:DNM655383 DXI655380:DXI655383 EHE655380:EHE655383 ERA655380:ERA655383 FAW655380:FAW655383 FKS655380:FKS655383 FUO655380:FUO655383 GEK655380:GEK655383 GOG655380:GOG655383 GYC655380:GYC655383 HHY655380:HHY655383 HRU655380:HRU655383 IBQ655380:IBQ655383 ILM655380:ILM655383 IVI655380:IVI655383 JFE655380:JFE655383 JPA655380:JPA655383 JYW655380:JYW655383 KIS655380:KIS655383 KSO655380:KSO655383 LCK655380:LCK655383 LMG655380:LMG655383 LWC655380:LWC655383 MFY655380:MFY655383 MPU655380:MPU655383 MZQ655380:MZQ655383 NJM655380:NJM655383 NTI655380:NTI655383 ODE655380:ODE655383 ONA655380:ONA655383 OWW655380:OWW655383 PGS655380:PGS655383 PQO655380:PQO655383 QAK655380:QAK655383 QKG655380:QKG655383 QUC655380:QUC655383 RDY655380:RDY655383 RNU655380:RNU655383 RXQ655380:RXQ655383 SHM655380:SHM655383 SRI655380:SRI655383 TBE655380:TBE655383 TLA655380:TLA655383 TUW655380:TUW655383 UES655380:UES655383 UOO655380:UOO655383 UYK655380:UYK655383 VIG655380:VIG655383 VSC655380:VSC655383 WBY655380:WBY655383 WLU655380:WLU655383 WVQ655380:WVQ655383 I720916:I720919 JE720916:JE720919 TA720916:TA720919 ACW720916:ACW720919 AMS720916:AMS720919 AWO720916:AWO720919 BGK720916:BGK720919 BQG720916:BQG720919 CAC720916:CAC720919 CJY720916:CJY720919 CTU720916:CTU720919 DDQ720916:DDQ720919 DNM720916:DNM720919 DXI720916:DXI720919 EHE720916:EHE720919 ERA720916:ERA720919 FAW720916:FAW720919 FKS720916:FKS720919 FUO720916:FUO720919 GEK720916:GEK720919 GOG720916:GOG720919 GYC720916:GYC720919 HHY720916:HHY720919 HRU720916:HRU720919 IBQ720916:IBQ720919 ILM720916:ILM720919 IVI720916:IVI720919 JFE720916:JFE720919 JPA720916:JPA720919 JYW720916:JYW720919 KIS720916:KIS720919 KSO720916:KSO720919 LCK720916:LCK720919 LMG720916:LMG720919 LWC720916:LWC720919 MFY720916:MFY720919 MPU720916:MPU720919 MZQ720916:MZQ720919 NJM720916:NJM720919 NTI720916:NTI720919 ODE720916:ODE720919 ONA720916:ONA720919 OWW720916:OWW720919 PGS720916:PGS720919 PQO720916:PQO720919 QAK720916:QAK720919 QKG720916:QKG720919 QUC720916:QUC720919 RDY720916:RDY720919 RNU720916:RNU720919 RXQ720916:RXQ720919 SHM720916:SHM720919 SRI720916:SRI720919 TBE720916:TBE720919 TLA720916:TLA720919 TUW720916:TUW720919 UES720916:UES720919 UOO720916:UOO720919 UYK720916:UYK720919 VIG720916:VIG720919 VSC720916:VSC720919 WBY720916:WBY720919 WLU720916:WLU720919 WVQ720916:WVQ720919 I786452:I786455 JE786452:JE786455 TA786452:TA786455 ACW786452:ACW786455 AMS786452:AMS786455 AWO786452:AWO786455 BGK786452:BGK786455 BQG786452:BQG786455 CAC786452:CAC786455 CJY786452:CJY786455 CTU786452:CTU786455 DDQ786452:DDQ786455 DNM786452:DNM786455 DXI786452:DXI786455 EHE786452:EHE786455 ERA786452:ERA786455 FAW786452:FAW786455 FKS786452:FKS786455 FUO786452:FUO786455 GEK786452:GEK786455 GOG786452:GOG786455 GYC786452:GYC786455 HHY786452:HHY786455 HRU786452:HRU786455 IBQ786452:IBQ786455 ILM786452:ILM786455 IVI786452:IVI786455 JFE786452:JFE786455 JPA786452:JPA786455 JYW786452:JYW786455 KIS786452:KIS786455 KSO786452:KSO786455 LCK786452:LCK786455 LMG786452:LMG786455 LWC786452:LWC786455 MFY786452:MFY786455 MPU786452:MPU786455 MZQ786452:MZQ786455 NJM786452:NJM786455 NTI786452:NTI786455 ODE786452:ODE786455 ONA786452:ONA786455 OWW786452:OWW786455 PGS786452:PGS786455 PQO786452:PQO786455 QAK786452:QAK786455 QKG786452:QKG786455 QUC786452:QUC786455 RDY786452:RDY786455 RNU786452:RNU786455 RXQ786452:RXQ786455 SHM786452:SHM786455 SRI786452:SRI786455 TBE786452:TBE786455 TLA786452:TLA786455 TUW786452:TUW786455 UES786452:UES786455 UOO786452:UOO786455 UYK786452:UYK786455 VIG786452:VIG786455 VSC786452:VSC786455 WBY786452:WBY786455 WLU786452:WLU786455 WVQ786452:WVQ786455 I851988:I851991 JE851988:JE851991 TA851988:TA851991 ACW851988:ACW851991 AMS851988:AMS851991 AWO851988:AWO851991 BGK851988:BGK851991 BQG851988:BQG851991 CAC851988:CAC851991 CJY851988:CJY851991 CTU851988:CTU851991 DDQ851988:DDQ851991 DNM851988:DNM851991 DXI851988:DXI851991 EHE851988:EHE851991 ERA851988:ERA851991 FAW851988:FAW851991 FKS851988:FKS851991 FUO851988:FUO851991 GEK851988:GEK851991 GOG851988:GOG851991 GYC851988:GYC851991 HHY851988:HHY851991 HRU851988:HRU851991 IBQ851988:IBQ851991 ILM851988:ILM851991 IVI851988:IVI851991 JFE851988:JFE851991 JPA851988:JPA851991 JYW851988:JYW851991 KIS851988:KIS851991 KSO851988:KSO851991 LCK851988:LCK851991 LMG851988:LMG851991 LWC851988:LWC851991 MFY851988:MFY851991 MPU851988:MPU851991 MZQ851988:MZQ851991 NJM851988:NJM851991 NTI851988:NTI851991 ODE851988:ODE851991 ONA851988:ONA851991 OWW851988:OWW851991 PGS851988:PGS851991 PQO851988:PQO851991 QAK851988:QAK851991 QKG851988:QKG851991 QUC851988:QUC851991 RDY851988:RDY851991 RNU851988:RNU851991 RXQ851988:RXQ851991 SHM851988:SHM851991 SRI851988:SRI851991 TBE851988:TBE851991 TLA851988:TLA851991 TUW851988:TUW851991 UES851988:UES851991 UOO851988:UOO851991 UYK851988:UYK851991 VIG851988:VIG851991 VSC851988:VSC851991 WBY851988:WBY851991 WLU851988:WLU851991 WVQ851988:WVQ851991 I917524:I917527 JE917524:JE917527 TA917524:TA917527 ACW917524:ACW917527 AMS917524:AMS917527 AWO917524:AWO917527 BGK917524:BGK917527 BQG917524:BQG917527 CAC917524:CAC917527 CJY917524:CJY917527 CTU917524:CTU917527 DDQ917524:DDQ917527 DNM917524:DNM917527 DXI917524:DXI917527 EHE917524:EHE917527 ERA917524:ERA917527 FAW917524:FAW917527 FKS917524:FKS917527 FUO917524:FUO917527 GEK917524:GEK917527 GOG917524:GOG917527 GYC917524:GYC917527 HHY917524:HHY917527 HRU917524:HRU917527 IBQ917524:IBQ917527 ILM917524:ILM917527 IVI917524:IVI917527 JFE917524:JFE917527 JPA917524:JPA917527 JYW917524:JYW917527 KIS917524:KIS917527 KSO917524:KSO917527 LCK917524:LCK917527 LMG917524:LMG917527 LWC917524:LWC917527 MFY917524:MFY917527 MPU917524:MPU917527 MZQ917524:MZQ917527 NJM917524:NJM917527 NTI917524:NTI917527 ODE917524:ODE917527 ONA917524:ONA917527 OWW917524:OWW917527 PGS917524:PGS917527 PQO917524:PQO917527 QAK917524:QAK917527 QKG917524:QKG917527 QUC917524:QUC917527 RDY917524:RDY917527 RNU917524:RNU917527 RXQ917524:RXQ917527 SHM917524:SHM917527 SRI917524:SRI917527 TBE917524:TBE917527 TLA917524:TLA917527 TUW917524:TUW917527 UES917524:UES917527 UOO917524:UOO917527 UYK917524:UYK917527 VIG917524:VIG917527 VSC917524:VSC917527 WBY917524:WBY917527 WLU917524:WLU917527 WVQ917524:WVQ917527 I983060:I983063 JE983060:JE983063 TA983060:TA983063 ACW983060:ACW983063 AMS983060:AMS983063 AWO983060:AWO983063 BGK983060:BGK983063 BQG983060:BQG983063 CAC983060:CAC983063 CJY983060:CJY983063 CTU983060:CTU983063 DDQ983060:DDQ983063 DNM983060:DNM983063 DXI983060:DXI983063 EHE983060:EHE983063 ERA983060:ERA983063 FAW983060:FAW983063 FKS983060:FKS983063 FUO983060:FUO983063 GEK983060:GEK983063 GOG983060:GOG983063 GYC983060:GYC983063 HHY983060:HHY983063 HRU983060:HRU983063 IBQ983060:IBQ983063 ILM983060:ILM983063 IVI983060:IVI983063 JFE983060:JFE983063 JPA983060:JPA983063 JYW983060:JYW983063 KIS983060:KIS983063 KSO983060:KSO983063 LCK983060:LCK983063 LMG983060:LMG983063 LWC983060:LWC983063 MFY983060:MFY983063 MPU983060:MPU983063 MZQ983060:MZQ983063 NJM983060:NJM983063 NTI983060:NTI983063 ODE983060:ODE983063 ONA983060:ONA983063 OWW983060:OWW983063 PGS983060:PGS983063 PQO983060:PQO983063 QAK983060:QAK983063 QKG983060:QKG983063 QUC983060:QUC983063 RDY983060:RDY983063 RNU983060:RNU983063 RXQ983060:RXQ983063 SHM983060:SHM983063 SRI983060:SRI983063 TBE983060:TBE983063 TLA983060:TLA983063 TUW983060:TUW983063 UES983060:UES983063 UOO983060:UOO983063 UYK983060:UYK983063 VIG983060:VIG983063 VSC983060:VSC983063 WBY983060:WBY983063 WLU983060:WLU983063 WVQ983060:WVQ983063 M22:M23 JG20:JG23 TC20:TC23 ACY20:ACY23 AMU20:AMU23 AWQ20:AWQ23 BGM20:BGM23 BQI20:BQI23 CAE20:CAE23 CKA20:CKA23 CTW20:CTW23 DDS20:DDS23 DNO20:DNO23 DXK20:DXK23 EHG20:EHG23 ERC20:ERC23 FAY20:FAY23 FKU20:FKU23 FUQ20:FUQ23 GEM20:GEM23 GOI20:GOI23 GYE20:GYE23 HIA20:HIA23 HRW20:HRW23 IBS20:IBS23 ILO20:ILO23 IVK20:IVK23 JFG20:JFG23 JPC20:JPC23 JYY20:JYY23 KIU20:KIU23 KSQ20:KSQ23 LCM20:LCM23 LMI20:LMI23 LWE20:LWE23 MGA20:MGA23 MPW20:MPW23 MZS20:MZS23 NJO20:NJO23 NTK20:NTK23 ODG20:ODG23 ONC20:ONC23 OWY20:OWY23 PGU20:PGU23 PQQ20:PQQ23 QAM20:QAM23 QKI20:QKI23 QUE20:QUE23 REA20:REA23 RNW20:RNW23 RXS20:RXS23 SHO20:SHO23 SRK20:SRK23 TBG20:TBG23 TLC20:TLC23 TUY20:TUY23 UEU20:UEU23 UOQ20:UOQ23 UYM20:UYM23 VII20:VII23 VSE20:VSE23 WCA20:WCA23 WLW20:WLW23 WVS20:WVS23 K65556:K65559 JG65556:JG65559 TC65556:TC65559 ACY65556:ACY65559 AMU65556:AMU65559 AWQ65556:AWQ65559 BGM65556:BGM65559 BQI65556:BQI65559 CAE65556:CAE65559 CKA65556:CKA65559 CTW65556:CTW65559 DDS65556:DDS65559 DNO65556:DNO65559 DXK65556:DXK65559 EHG65556:EHG65559 ERC65556:ERC65559 FAY65556:FAY65559 FKU65556:FKU65559 FUQ65556:FUQ65559 GEM65556:GEM65559 GOI65556:GOI65559 GYE65556:GYE65559 HIA65556:HIA65559 HRW65556:HRW65559 IBS65556:IBS65559 ILO65556:ILO65559 IVK65556:IVK65559 JFG65556:JFG65559 JPC65556:JPC65559 JYY65556:JYY65559 KIU65556:KIU65559 KSQ65556:KSQ65559 LCM65556:LCM65559 LMI65556:LMI65559 LWE65556:LWE65559 MGA65556:MGA65559 MPW65556:MPW65559 MZS65556:MZS65559 NJO65556:NJO65559 NTK65556:NTK65559 ODG65556:ODG65559 ONC65556:ONC65559 OWY65556:OWY65559 PGU65556:PGU65559 PQQ65556:PQQ65559 QAM65556:QAM65559 QKI65556:QKI65559 QUE65556:QUE65559 REA65556:REA65559 RNW65556:RNW65559 RXS65556:RXS65559 SHO65556:SHO65559 SRK65556:SRK65559 TBG65556:TBG65559 TLC65556:TLC65559 TUY65556:TUY65559 UEU65556:UEU65559 UOQ65556:UOQ65559 UYM65556:UYM65559 VII65556:VII65559 VSE65556:VSE65559 WCA65556:WCA65559 WLW65556:WLW65559 WVS65556:WVS65559 K131092:K131095 JG131092:JG131095 TC131092:TC131095 ACY131092:ACY131095 AMU131092:AMU131095 AWQ131092:AWQ131095 BGM131092:BGM131095 BQI131092:BQI131095 CAE131092:CAE131095 CKA131092:CKA131095 CTW131092:CTW131095 DDS131092:DDS131095 DNO131092:DNO131095 DXK131092:DXK131095 EHG131092:EHG131095 ERC131092:ERC131095 FAY131092:FAY131095 FKU131092:FKU131095 FUQ131092:FUQ131095 GEM131092:GEM131095 GOI131092:GOI131095 GYE131092:GYE131095 HIA131092:HIA131095 HRW131092:HRW131095 IBS131092:IBS131095 ILO131092:ILO131095 IVK131092:IVK131095 JFG131092:JFG131095 JPC131092:JPC131095 JYY131092:JYY131095 KIU131092:KIU131095 KSQ131092:KSQ131095 LCM131092:LCM131095 LMI131092:LMI131095 LWE131092:LWE131095 MGA131092:MGA131095 MPW131092:MPW131095 MZS131092:MZS131095 NJO131092:NJO131095 NTK131092:NTK131095 ODG131092:ODG131095 ONC131092:ONC131095 OWY131092:OWY131095 PGU131092:PGU131095 PQQ131092:PQQ131095 QAM131092:QAM131095 QKI131092:QKI131095 QUE131092:QUE131095 REA131092:REA131095 RNW131092:RNW131095 RXS131092:RXS131095 SHO131092:SHO131095 SRK131092:SRK131095 TBG131092:TBG131095 TLC131092:TLC131095 TUY131092:TUY131095 UEU131092:UEU131095 UOQ131092:UOQ131095 UYM131092:UYM131095 VII131092:VII131095 VSE131092:VSE131095 WCA131092:WCA131095 WLW131092:WLW131095 WVS131092:WVS131095 K196628:K196631 JG196628:JG196631 TC196628:TC196631 ACY196628:ACY196631 AMU196628:AMU196631 AWQ196628:AWQ196631 BGM196628:BGM196631 BQI196628:BQI196631 CAE196628:CAE196631 CKA196628:CKA196631 CTW196628:CTW196631 DDS196628:DDS196631 DNO196628:DNO196631 DXK196628:DXK196631 EHG196628:EHG196631 ERC196628:ERC196631 FAY196628:FAY196631 FKU196628:FKU196631 FUQ196628:FUQ196631 GEM196628:GEM196631 GOI196628:GOI196631 GYE196628:GYE196631 HIA196628:HIA196631 HRW196628:HRW196631 IBS196628:IBS196631 ILO196628:ILO196631 IVK196628:IVK196631 JFG196628:JFG196631 JPC196628:JPC196631 JYY196628:JYY196631 KIU196628:KIU196631 KSQ196628:KSQ196631 LCM196628:LCM196631 LMI196628:LMI196631 LWE196628:LWE196631 MGA196628:MGA196631 MPW196628:MPW196631 MZS196628:MZS196631 NJO196628:NJO196631 NTK196628:NTK196631 ODG196628:ODG196631 ONC196628:ONC196631 OWY196628:OWY196631 PGU196628:PGU196631 PQQ196628:PQQ196631 QAM196628:QAM196631 QKI196628:QKI196631 QUE196628:QUE196631 REA196628:REA196631 RNW196628:RNW196631 RXS196628:RXS196631 SHO196628:SHO196631 SRK196628:SRK196631 TBG196628:TBG196631 TLC196628:TLC196631 TUY196628:TUY196631 UEU196628:UEU196631 UOQ196628:UOQ196631 UYM196628:UYM196631 VII196628:VII196631 VSE196628:VSE196631 WCA196628:WCA196631 WLW196628:WLW196631 WVS196628:WVS196631 K262164:K262167 JG262164:JG262167 TC262164:TC262167 ACY262164:ACY262167 AMU262164:AMU262167 AWQ262164:AWQ262167 BGM262164:BGM262167 BQI262164:BQI262167 CAE262164:CAE262167 CKA262164:CKA262167 CTW262164:CTW262167 DDS262164:DDS262167 DNO262164:DNO262167 DXK262164:DXK262167 EHG262164:EHG262167 ERC262164:ERC262167 FAY262164:FAY262167 FKU262164:FKU262167 FUQ262164:FUQ262167 GEM262164:GEM262167 GOI262164:GOI262167 GYE262164:GYE262167 HIA262164:HIA262167 HRW262164:HRW262167 IBS262164:IBS262167 ILO262164:ILO262167 IVK262164:IVK262167 JFG262164:JFG262167 JPC262164:JPC262167 JYY262164:JYY262167 KIU262164:KIU262167 KSQ262164:KSQ262167 LCM262164:LCM262167 LMI262164:LMI262167 LWE262164:LWE262167 MGA262164:MGA262167 MPW262164:MPW262167 MZS262164:MZS262167 NJO262164:NJO262167 NTK262164:NTK262167 ODG262164:ODG262167 ONC262164:ONC262167 OWY262164:OWY262167 PGU262164:PGU262167 PQQ262164:PQQ262167 QAM262164:QAM262167 QKI262164:QKI262167 QUE262164:QUE262167 REA262164:REA262167 RNW262164:RNW262167 RXS262164:RXS262167 SHO262164:SHO262167 SRK262164:SRK262167 TBG262164:TBG262167 TLC262164:TLC262167 TUY262164:TUY262167 UEU262164:UEU262167 UOQ262164:UOQ262167 UYM262164:UYM262167 VII262164:VII262167 VSE262164:VSE262167 WCA262164:WCA262167 WLW262164:WLW262167 WVS262164:WVS262167 K327700:K327703 JG327700:JG327703 TC327700:TC327703 ACY327700:ACY327703 AMU327700:AMU327703 AWQ327700:AWQ327703 BGM327700:BGM327703 BQI327700:BQI327703 CAE327700:CAE327703 CKA327700:CKA327703 CTW327700:CTW327703 DDS327700:DDS327703 DNO327700:DNO327703 DXK327700:DXK327703 EHG327700:EHG327703 ERC327700:ERC327703 FAY327700:FAY327703 FKU327700:FKU327703 FUQ327700:FUQ327703 GEM327700:GEM327703 GOI327700:GOI327703 GYE327700:GYE327703 HIA327700:HIA327703 HRW327700:HRW327703 IBS327700:IBS327703 ILO327700:ILO327703 IVK327700:IVK327703 JFG327700:JFG327703 JPC327700:JPC327703 JYY327700:JYY327703 KIU327700:KIU327703 KSQ327700:KSQ327703 LCM327700:LCM327703 LMI327700:LMI327703 LWE327700:LWE327703 MGA327700:MGA327703 MPW327700:MPW327703 MZS327700:MZS327703 NJO327700:NJO327703 NTK327700:NTK327703 ODG327700:ODG327703 ONC327700:ONC327703 OWY327700:OWY327703 PGU327700:PGU327703 PQQ327700:PQQ327703 QAM327700:QAM327703 QKI327700:QKI327703 QUE327700:QUE327703 REA327700:REA327703 RNW327700:RNW327703 RXS327700:RXS327703 SHO327700:SHO327703 SRK327700:SRK327703 TBG327700:TBG327703 TLC327700:TLC327703 TUY327700:TUY327703 UEU327700:UEU327703 UOQ327700:UOQ327703 UYM327700:UYM327703 VII327700:VII327703 VSE327700:VSE327703 WCA327700:WCA327703 WLW327700:WLW327703 WVS327700:WVS327703 K393236:K393239 JG393236:JG393239 TC393236:TC393239 ACY393236:ACY393239 AMU393236:AMU393239 AWQ393236:AWQ393239 BGM393236:BGM393239 BQI393236:BQI393239 CAE393236:CAE393239 CKA393236:CKA393239 CTW393236:CTW393239 DDS393236:DDS393239 DNO393236:DNO393239 DXK393236:DXK393239 EHG393236:EHG393239 ERC393236:ERC393239 FAY393236:FAY393239 FKU393236:FKU393239 FUQ393236:FUQ393239 GEM393236:GEM393239 GOI393236:GOI393239 GYE393236:GYE393239 HIA393236:HIA393239 HRW393236:HRW393239 IBS393236:IBS393239 ILO393236:ILO393239 IVK393236:IVK393239 JFG393236:JFG393239 JPC393236:JPC393239 JYY393236:JYY393239 KIU393236:KIU393239 KSQ393236:KSQ393239 LCM393236:LCM393239 LMI393236:LMI393239 LWE393236:LWE393239 MGA393236:MGA393239 MPW393236:MPW393239 MZS393236:MZS393239 NJO393236:NJO393239 NTK393236:NTK393239 ODG393236:ODG393239 ONC393236:ONC393239 OWY393236:OWY393239 PGU393236:PGU393239 PQQ393236:PQQ393239 QAM393236:QAM393239 QKI393236:QKI393239 QUE393236:QUE393239 REA393236:REA393239 RNW393236:RNW393239 RXS393236:RXS393239 SHO393236:SHO393239 SRK393236:SRK393239 TBG393236:TBG393239 TLC393236:TLC393239 TUY393236:TUY393239 UEU393236:UEU393239 UOQ393236:UOQ393239 UYM393236:UYM393239 VII393236:VII393239 VSE393236:VSE393239 WCA393236:WCA393239 WLW393236:WLW393239 WVS393236:WVS393239 K458772:K458775 JG458772:JG458775 TC458772:TC458775 ACY458772:ACY458775 AMU458772:AMU458775 AWQ458772:AWQ458775 BGM458772:BGM458775 BQI458772:BQI458775 CAE458772:CAE458775 CKA458772:CKA458775 CTW458772:CTW458775 DDS458772:DDS458775 DNO458772:DNO458775 DXK458772:DXK458775 EHG458772:EHG458775 ERC458772:ERC458775 FAY458772:FAY458775 FKU458772:FKU458775 FUQ458772:FUQ458775 GEM458772:GEM458775 GOI458772:GOI458775 GYE458772:GYE458775 HIA458772:HIA458775 HRW458772:HRW458775 IBS458772:IBS458775 ILO458772:ILO458775 IVK458772:IVK458775 JFG458772:JFG458775 JPC458772:JPC458775 JYY458772:JYY458775 KIU458772:KIU458775 KSQ458772:KSQ458775 LCM458772:LCM458775 LMI458772:LMI458775 LWE458772:LWE458775 MGA458772:MGA458775 MPW458772:MPW458775 MZS458772:MZS458775 NJO458772:NJO458775 NTK458772:NTK458775 ODG458772:ODG458775 ONC458772:ONC458775 OWY458772:OWY458775 PGU458772:PGU458775 PQQ458772:PQQ458775 QAM458772:QAM458775 QKI458772:QKI458775 QUE458772:QUE458775 REA458772:REA458775 RNW458772:RNW458775 RXS458772:RXS458775 SHO458772:SHO458775 SRK458772:SRK458775 TBG458772:TBG458775 TLC458772:TLC458775 TUY458772:TUY458775 UEU458772:UEU458775 UOQ458772:UOQ458775 UYM458772:UYM458775 VII458772:VII458775 VSE458772:VSE458775 WCA458772:WCA458775 WLW458772:WLW458775 WVS458772:WVS458775 K524308:K524311 JG524308:JG524311 TC524308:TC524311 ACY524308:ACY524311 AMU524308:AMU524311 AWQ524308:AWQ524311 BGM524308:BGM524311 BQI524308:BQI524311 CAE524308:CAE524311 CKA524308:CKA524311 CTW524308:CTW524311 DDS524308:DDS524311 DNO524308:DNO524311 DXK524308:DXK524311 EHG524308:EHG524311 ERC524308:ERC524311 FAY524308:FAY524311 FKU524308:FKU524311 FUQ524308:FUQ524311 GEM524308:GEM524311 GOI524308:GOI524311 GYE524308:GYE524311 HIA524308:HIA524311 HRW524308:HRW524311 IBS524308:IBS524311 ILO524308:ILO524311 IVK524308:IVK524311 JFG524308:JFG524311 JPC524308:JPC524311 JYY524308:JYY524311 KIU524308:KIU524311 KSQ524308:KSQ524311 LCM524308:LCM524311 LMI524308:LMI524311 LWE524308:LWE524311 MGA524308:MGA524311 MPW524308:MPW524311 MZS524308:MZS524311 NJO524308:NJO524311 NTK524308:NTK524311 ODG524308:ODG524311 ONC524308:ONC524311 OWY524308:OWY524311 PGU524308:PGU524311 PQQ524308:PQQ524311 QAM524308:QAM524311 QKI524308:QKI524311 QUE524308:QUE524311 REA524308:REA524311 RNW524308:RNW524311 RXS524308:RXS524311 SHO524308:SHO524311 SRK524308:SRK524311 TBG524308:TBG524311 TLC524308:TLC524311 TUY524308:TUY524311 UEU524308:UEU524311 UOQ524308:UOQ524311 UYM524308:UYM524311 VII524308:VII524311 VSE524308:VSE524311 WCA524308:WCA524311 WLW524308:WLW524311 WVS524308:WVS524311 K589844:K589847 JG589844:JG589847 TC589844:TC589847 ACY589844:ACY589847 AMU589844:AMU589847 AWQ589844:AWQ589847 BGM589844:BGM589847 BQI589844:BQI589847 CAE589844:CAE589847 CKA589844:CKA589847 CTW589844:CTW589847 DDS589844:DDS589847 DNO589844:DNO589847 DXK589844:DXK589847 EHG589844:EHG589847 ERC589844:ERC589847 FAY589844:FAY589847 FKU589844:FKU589847 FUQ589844:FUQ589847 GEM589844:GEM589847 GOI589844:GOI589847 GYE589844:GYE589847 HIA589844:HIA589847 HRW589844:HRW589847 IBS589844:IBS589847 ILO589844:ILO589847 IVK589844:IVK589847 JFG589844:JFG589847 JPC589844:JPC589847 JYY589844:JYY589847 KIU589844:KIU589847 KSQ589844:KSQ589847 LCM589844:LCM589847 LMI589844:LMI589847 LWE589844:LWE589847 MGA589844:MGA589847 MPW589844:MPW589847 MZS589844:MZS589847 NJO589844:NJO589847 NTK589844:NTK589847 ODG589844:ODG589847 ONC589844:ONC589847 OWY589844:OWY589847 PGU589844:PGU589847 PQQ589844:PQQ589847 QAM589844:QAM589847 QKI589844:QKI589847 QUE589844:QUE589847 REA589844:REA589847 RNW589844:RNW589847 RXS589844:RXS589847 SHO589844:SHO589847 SRK589844:SRK589847 TBG589844:TBG589847 TLC589844:TLC589847 TUY589844:TUY589847 UEU589844:UEU589847 UOQ589844:UOQ589847 UYM589844:UYM589847 VII589844:VII589847 VSE589844:VSE589847 WCA589844:WCA589847 WLW589844:WLW589847 WVS589844:WVS589847 K655380:K655383 JG655380:JG655383 TC655380:TC655383 ACY655380:ACY655383 AMU655380:AMU655383 AWQ655380:AWQ655383 BGM655380:BGM655383 BQI655380:BQI655383 CAE655380:CAE655383 CKA655380:CKA655383 CTW655380:CTW655383 DDS655380:DDS655383 DNO655380:DNO655383 DXK655380:DXK655383 EHG655380:EHG655383 ERC655380:ERC655383 FAY655380:FAY655383 FKU655380:FKU655383 FUQ655380:FUQ655383 GEM655380:GEM655383 GOI655380:GOI655383 GYE655380:GYE655383 HIA655380:HIA655383 HRW655380:HRW655383 IBS655380:IBS655383 ILO655380:ILO655383 IVK655380:IVK655383 JFG655380:JFG655383 JPC655380:JPC655383 JYY655380:JYY655383 KIU655380:KIU655383 KSQ655380:KSQ655383 LCM655380:LCM655383 LMI655380:LMI655383 LWE655380:LWE655383 MGA655380:MGA655383 MPW655380:MPW655383 MZS655380:MZS655383 NJO655380:NJO655383 NTK655380:NTK655383 ODG655380:ODG655383 ONC655380:ONC655383 OWY655380:OWY655383 PGU655380:PGU655383 PQQ655380:PQQ655383 QAM655380:QAM655383 QKI655380:QKI655383 QUE655380:QUE655383 REA655380:REA655383 RNW655380:RNW655383 RXS655380:RXS655383 SHO655380:SHO655383 SRK655380:SRK655383 TBG655380:TBG655383 TLC655380:TLC655383 TUY655380:TUY655383 UEU655380:UEU655383 UOQ655380:UOQ655383 UYM655380:UYM655383 VII655380:VII655383 VSE655380:VSE655383 WCA655380:WCA655383 WLW655380:WLW655383 WVS655380:WVS655383 K720916:K720919 JG720916:JG720919 TC720916:TC720919 ACY720916:ACY720919 AMU720916:AMU720919 AWQ720916:AWQ720919 BGM720916:BGM720919 BQI720916:BQI720919 CAE720916:CAE720919 CKA720916:CKA720919 CTW720916:CTW720919 DDS720916:DDS720919 DNO720916:DNO720919 DXK720916:DXK720919 EHG720916:EHG720919 ERC720916:ERC720919 FAY720916:FAY720919 FKU720916:FKU720919 FUQ720916:FUQ720919 GEM720916:GEM720919 GOI720916:GOI720919 GYE720916:GYE720919 HIA720916:HIA720919 HRW720916:HRW720919 IBS720916:IBS720919 ILO720916:ILO720919 IVK720916:IVK720919 JFG720916:JFG720919 JPC720916:JPC720919 JYY720916:JYY720919 KIU720916:KIU720919 KSQ720916:KSQ720919 LCM720916:LCM720919 LMI720916:LMI720919 LWE720916:LWE720919 MGA720916:MGA720919 MPW720916:MPW720919 MZS720916:MZS720919 NJO720916:NJO720919 NTK720916:NTK720919 ODG720916:ODG720919 ONC720916:ONC720919 OWY720916:OWY720919 PGU720916:PGU720919 PQQ720916:PQQ720919 QAM720916:QAM720919 QKI720916:QKI720919 QUE720916:QUE720919 REA720916:REA720919 RNW720916:RNW720919 RXS720916:RXS720919 SHO720916:SHO720919 SRK720916:SRK720919 TBG720916:TBG720919 TLC720916:TLC720919 TUY720916:TUY720919 UEU720916:UEU720919 UOQ720916:UOQ720919 UYM720916:UYM720919 VII720916:VII720919 VSE720916:VSE720919 WCA720916:WCA720919 WLW720916:WLW720919 WVS720916:WVS720919 K786452:K786455 JG786452:JG786455 TC786452:TC786455 ACY786452:ACY786455 AMU786452:AMU786455 AWQ786452:AWQ786455 BGM786452:BGM786455 BQI786452:BQI786455 CAE786452:CAE786455 CKA786452:CKA786455 CTW786452:CTW786455 DDS786452:DDS786455 DNO786452:DNO786455 DXK786452:DXK786455 EHG786452:EHG786455 ERC786452:ERC786455 FAY786452:FAY786455 FKU786452:FKU786455 FUQ786452:FUQ786455 GEM786452:GEM786455 GOI786452:GOI786455 GYE786452:GYE786455 HIA786452:HIA786455 HRW786452:HRW786455 IBS786452:IBS786455 ILO786452:ILO786455 IVK786452:IVK786455 JFG786452:JFG786455 JPC786452:JPC786455 JYY786452:JYY786455 KIU786452:KIU786455 KSQ786452:KSQ786455 LCM786452:LCM786455 LMI786452:LMI786455 LWE786452:LWE786455 MGA786452:MGA786455 MPW786452:MPW786455 MZS786452:MZS786455 NJO786452:NJO786455 NTK786452:NTK786455 ODG786452:ODG786455 ONC786452:ONC786455 OWY786452:OWY786455 PGU786452:PGU786455 PQQ786452:PQQ786455 QAM786452:QAM786455 QKI786452:QKI786455 QUE786452:QUE786455 REA786452:REA786455 RNW786452:RNW786455 RXS786452:RXS786455 SHO786452:SHO786455 SRK786452:SRK786455 TBG786452:TBG786455 TLC786452:TLC786455 TUY786452:TUY786455 UEU786452:UEU786455 UOQ786452:UOQ786455 UYM786452:UYM786455 VII786452:VII786455 VSE786452:VSE786455 WCA786452:WCA786455 WLW786452:WLW786455 WVS786452:WVS786455 K851988:K851991 JG851988:JG851991 TC851988:TC851991 ACY851988:ACY851991 AMU851988:AMU851991 AWQ851988:AWQ851991 BGM851988:BGM851991 BQI851988:BQI851991 CAE851988:CAE851991 CKA851988:CKA851991 CTW851988:CTW851991 DDS851988:DDS851991 DNO851988:DNO851991 DXK851988:DXK851991 EHG851988:EHG851991 ERC851988:ERC851991 FAY851988:FAY851991 FKU851988:FKU851991 FUQ851988:FUQ851991 GEM851988:GEM851991 GOI851988:GOI851991 GYE851988:GYE851991 HIA851988:HIA851991 HRW851988:HRW851991 IBS851988:IBS851991 ILO851988:ILO851991 IVK851988:IVK851991 JFG851988:JFG851991 JPC851988:JPC851991 JYY851988:JYY851991 KIU851988:KIU851991 KSQ851988:KSQ851991 LCM851988:LCM851991 LMI851988:LMI851991 LWE851988:LWE851991 MGA851988:MGA851991 MPW851988:MPW851991 MZS851988:MZS851991 NJO851988:NJO851991 NTK851988:NTK851991 ODG851988:ODG851991 ONC851988:ONC851991 OWY851988:OWY851991 PGU851988:PGU851991 PQQ851988:PQQ851991 QAM851988:QAM851991 QKI851988:QKI851991 QUE851988:QUE851991 REA851988:REA851991 RNW851988:RNW851991 RXS851988:RXS851991 SHO851988:SHO851991 SRK851988:SRK851991 TBG851988:TBG851991 TLC851988:TLC851991 TUY851988:TUY851991 UEU851988:UEU851991 UOQ851988:UOQ851991 UYM851988:UYM851991 VII851988:VII851991 VSE851988:VSE851991 WCA851988:WCA851991 WLW851988:WLW851991 WVS851988:WVS851991 K917524:K917527 JG917524:JG917527 TC917524:TC917527 ACY917524:ACY917527 AMU917524:AMU917527 AWQ917524:AWQ917527 BGM917524:BGM917527 BQI917524:BQI917527 CAE917524:CAE917527 CKA917524:CKA917527 CTW917524:CTW917527 DDS917524:DDS917527 DNO917524:DNO917527 DXK917524:DXK917527 EHG917524:EHG917527 ERC917524:ERC917527 FAY917524:FAY917527 FKU917524:FKU917527 FUQ917524:FUQ917527 GEM917524:GEM917527 GOI917524:GOI917527 GYE917524:GYE917527 HIA917524:HIA917527 HRW917524:HRW917527 IBS917524:IBS917527 ILO917524:ILO917527 IVK917524:IVK917527 JFG917524:JFG917527 JPC917524:JPC917527 JYY917524:JYY917527 KIU917524:KIU917527 KSQ917524:KSQ917527 LCM917524:LCM917527 LMI917524:LMI917527 LWE917524:LWE917527 MGA917524:MGA917527 MPW917524:MPW917527 MZS917524:MZS917527 NJO917524:NJO917527 NTK917524:NTK917527 ODG917524:ODG917527 ONC917524:ONC917527 OWY917524:OWY917527 PGU917524:PGU917527 PQQ917524:PQQ917527 QAM917524:QAM917527 QKI917524:QKI917527 QUE917524:QUE917527 REA917524:REA917527 RNW917524:RNW917527 RXS917524:RXS917527 SHO917524:SHO917527 SRK917524:SRK917527 TBG917524:TBG917527 TLC917524:TLC917527 TUY917524:TUY917527 UEU917524:UEU917527 UOQ917524:UOQ917527 UYM917524:UYM917527 VII917524:VII917527 VSE917524:VSE917527 WCA917524:WCA917527 WLW917524:WLW917527 WVS917524:WVS917527 K983060:K983063 JG983060:JG983063 TC983060:TC983063 ACY983060:ACY983063 AMU983060:AMU983063 AWQ983060:AWQ983063 BGM983060:BGM983063 BQI983060:BQI983063 CAE983060:CAE983063 CKA983060:CKA983063 CTW983060:CTW983063 DDS983060:DDS983063 DNO983060:DNO983063 DXK983060:DXK983063 EHG983060:EHG983063 ERC983060:ERC983063 FAY983060:FAY983063 FKU983060:FKU983063 FUQ983060:FUQ983063 GEM983060:GEM983063 GOI983060:GOI983063 GYE983060:GYE983063 HIA983060:HIA983063 HRW983060:HRW983063 IBS983060:IBS983063 ILO983060:ILO983063 IVK983060:IVK983063 JFG983060:JFG983063 JPC983060:JPC983063 JYY983060:JYY983063 KIU983060:KIU983063 KSQ983060:KSQ983063 LCM983060:LCM983063 LMI983060:LMI983063 LWE983060:LWE983063 MGA983060:MGA983063 MPW983060:MPW983063 MZS983060:MZS983063 NJO983060:NJO983063 NTK983060:NTK983063 ODG983060:ODG983063 ONC983060:ONC983063 OWY983060:OWY983063 PGU983060:PGU983063 PQQ983060:PQQ983063 QAM983060:QAM983063 QKI983060:QKI983063 QUE983060:QUE983063 REA983060:REA983063 RNW983060:RNW983063 RXS983060:RXS983063 SHO983060:SHO983063 SRK983060:SRK983063 TBG983060:TBG983063 TLC983060:TLC983063 TUY983060:TUY983063 UEU983060:UEU983063 UOQ983060:UOQ983063 UYM983060:UYM983063 VII983060:VII983063 VSE983060:VSE983063 WCA983060:WCA983063 WLW983060:WLW983063 WVS983060:WVS983063 O22:O23 JI20:JI23 TE20:TE23 ADA20:ADA23 AMW20:AMW23 AWS20:AWS23 BGO20:BGO23 BQK20:BQK23 CAG20:CAG23 CKC20:CKC23 CTY20:CTY23 DDU20:DDU23 DNQ20:DNQ23 DXM20:DXM23 EHI20:EHI23 ERE20:ERE23 FBA20:FBA23 FKW20:FKW23 FUS20:FUS23 GEO20:GEO23 GOK20:GOK23 GYG20:GYG23 HIC20:HIC23 HRY20:HRY23 IBU20:IBU23 ILQ20:ILQ23 IVM20:IVM23 JFI20:JFI23 JPE20:JPE23 JZA20:JZA23 KIW20:KIW23 KSS20:KSS23 LCO20:LCO23 LMK20:LMK23 LWG20:LWG23 MGC20:MGC23 MPY20:MPY23 MZU20:MZU23 NJQ20:NJQ23 NTM20:NTM23 ODI20:ODI23 ONE20:ONE23 OXA20:OXA23 PGW20:PGW23 PQS20:PQS23 QAO20:QAO23 QKK20:QKK23 QUG20:QUG23 REC20:REC23 RNY20:RNY23 RXU20:RXU23 SHQ20:SHQ23 SRM20:SRM23 TBI20:TBI23 TLE20:TLE23 TVA20:TVA23 UEW20:UEW23 UOS20:UOS23 UYO20:UYO23 VIK20:VIK23 VSG20:VSG23 WCC20:WCC23 WLY20:WLY23 WVU20:WVU23 M65556:M65559 JI65556:JI65559 TE65556:TE65559 ADA65556:ADA65559 AMW65556:AMW65559 AWS65556:AWS65559 BGO65556:BGO65559 BQK65556:BQK65559 CAG65556:CAG65559 CKC65556:CKC65559 CTY65556:CTY65559 DDU65556:DDU65559 DNQ65556:DNQ65559 DXM65556:DXM65559 EHI65556:EHI65559 ERE65556:ERE65559 FBA65556:FBA65559 FKW65556:FKW65559 FUS65556:FUS65559 GEO65556:GEO65559 GOK65556:GOK65559 GYG65556:GYG65559 HIC65556:HIC65559 HRY65556:HRY65559 IBU65556:IBU65559 ILQ65556:ILQ65559 IVM65556:IVM65559 JFI65556:JFI65559 JPE65556:JPE65559 JZA65556:JZA65559 KIW65556:KIW65559 KSS65556:KSS65559 LCO65556:LCO65559 LMK65556:LMK65559 LWG65556:LWG65559 MGC65556:MGC65559 MPY65556:MPY65559 MZU65556:MZU65559 NJQ65556:NJQ65559 NTM65556:NTM65559 ODI65556:ODI65559 ONE65556:ONE65559 OXA65556:OXA65559 PGW65556:PGW65559 PQS65556:PQS65559 QAO65556:QAO65559 QKK65556:QKK65559 QUG65556:QUG65559 REC65556:REC65559 RNY65556:RNY65559 RXU65556:RXU65559 SHQ65556:SHQ65559 SRM65556:SRM65559 TBI65556:TBI65559 TLE65556:TLE65559 TVA65556:TVA65559 UEW65556:UEW65559 UOS65556:UOS65559 UYO65556:UYO65559 VIK65556:VIK65559 VSG65556:VSG65559 WCC65556:WCC65559 WLY65556:WLY65559 WVU65556:WVU65559 M131092:M131095 JI131092:JI131095 TE131092:TE131095 ADA131092:ADA131095 AMW131092:AMW131095 AWS131092:AWS131095 BGO131092:BGO131095 BQK131092:BQK131095 CAG131092:CAG131095 CKC131092:CKC131095 CTY131092:CTY131095 DDU131092:DDU131095 DNQ131092:DNQ131095 DXM131092:DXM131095 EHI131092:EHI131095 ERE131092:ERE131095 FBA131092:FBA131095 FKW131092:FKW131095 FUS131092:FUS131095 GEO131092:GEO131095 GOK131092:GOK131095 GYG131092:GYG131095 HIC131092:HIC131095 HRY131092:HRY131095 IBU131092:IBU131095 ILQ131092:ILQ131095 IVM131092:IVM131095 JFI131092:JFI131095 JPE131092:JPE131095 JZA131092:JZA131095 KIW131092:KIW131095 KSS131092:KSS131095 LCO131092:LCO131095 LMK131092:LMK131095 LWG131092:LWG131095 MGC131092:MGC131095 MPY131092:MPY131095 MZU131092:MZU131095 NJQ131092:NJQ131095 NTM131092:NTM131095 ODI131092:ODI131095 ONE131092:ONE131095 OXA131092:OXA131095 PGW131092:PGW131095 PQS131092:PQS131095 QAO131092:QAO131095 QKK131092:QKK131095 QUG131092:QUG131095 REC131092:REC131095 RNY131092:RNY131095 RXU131092:RXU131095 SHQ131092:SHQ131095 SRM131092:SRM131095 TBI131092:TBI131095 TLE131092:TLE131095 TVA131092:TVA131095 UEW131092:UEW131095 UOS131092:UOS131095 UYO131092:UYO131095 VIK131092:VIK131095 VSG131092:VSG131095 WCC131092:WCC131095 WLY131092:WLY131095 WVU131092:WVU131095 M196628:M196631 JI196628:JI196631 TE196628:TE196631 ADA196628:ADA196631 AMW196628:AMW196631 AWS196628:AWS196631 BGO196628:BGO196631 BQK196628:BQK196631 CAG196628:CAG196631 CKC196628:CKC196631 CTY196628:CTY196631 DDU196628:DDU196631 DNQ196628:DNQ196631 DXM196628:DXM196631 EHI196628:EHI196631 ERE196628:ERE196631 FBA196628:FBA196631 FKW196628:FKW196631 FUS196628:FUS196631 GEO196628:GEO196631 GOK196628:GOK196631 GYG196628:GYG196631 HIC196628:HIC196631 HRY196628:HRY196631 IBU196628:IBU196631 ILQ196628:ILQ196631 IVM196628:IVM196631 JFI196628:JFI196631 JPE196628:JPE196631 JZA196628:JZA196631 KIW196628:KIW196631 KSS196628:KSS196631 LCO196628:LCO196631 LMK196628:LMK196631 LWG196628:LWG196631 MGC196628:MGC196631 MPY196628:MPY196631 MZU196628:MZU196631 NJQ196628:NJQ196631 NTM196628:NTM196631 ODI196628:ODI196631 ONE196628:ONE196631 OXA196628:OXA196631 PGW196628:PGW196631 PQS196628:PQS196631 QAO196628:QAO196631 QKK196628:QKK196631 QUG196628:QUG196631 REC196628:REC196631 RNY196628:RNY196631 RXU196628:RXU196631 SHQ196628:SHQ196631 SRM196628:SRM196631 TBI196628:TBI196631 TLE196628:TLE196631 TVA196628:TVA196631 UEW196628:UEW196631 UOS196628:UOS196631 UYO196628:UYO196631 VIK196628:VIK196631 VSG196628:VSG196631 WCC196628:WCC196631 WLY196628:WLY196631 WVU196628:WVU196631 M262164:M262167 JI262164:JI262167 TE262164:TE262167 ADA262164:ADA262167 AMW262164:AMW262167 AWS262164:AWS262167 BGO262164:BGO262167 BQK262164:BQK262167 CAG262164:CAG262167 CKC262164:CKC262167 CTY262164:CTY262167 DDU262164:DDU262167 DNQ262164:DNQ262167 DXM262164:DXM262167 EHI262164:EHI262167 ERE262164:ERE262167 FBA262164:FBA262167 FKW262164:FKW262167 FUS262164:FUS262167 GEO262164:GEO262167 GOK262164:GOK262167 GYG262164:GYG262167 HIC262164:HIC262167 HRY262164:HRY262167 IBU262164:IBU262167 ILQ262164:ILQ262167 IVM262164:IVM262167 JFI262164:JFI262167 JPE262164:JPE262167 JZA262164:JZA262167 KIW262164:KIW262167 KSS262164:KSS262167 LCO262164:LCO262167 LMK262164:LMK262167 LWG262164:LWG262167 MGC262164:MGC262167 MPY262164:MPY262167 MZU262164:MZU262167 NJQ262164:NJQ262167 NTM262164:NTM262167 ODI262164:ODI262167 ONE262164:ONE262167 OXA262164:OXA262167 PGW262164:PGW262167 PQS262164:PQS262167 QAO262164:QAO262167 QKK262164:QKK262167 QUG262164:QUG262167 REC262164:REC262167 RNY262164:RNY262167 RXU262164:RXU262167 SHQ262164:SHQ262167 SRM262164:SRM262167 TBI262164:TBI262167 TLE262164:TLE262167 TVA262164:TVA262167 UEW262164:UEW262167 UOS262164:UOS262167 UYO262164:UYO262167 VIK262164:VIK262167 VSG262164:VSG262167 WCC262164:WCC262167 WLY262164:WLY262167 WVU262164:WVU262167 M327700:M327703 JI327700:JI327703 TE327700:TE327703 ADA327700:ADA327703 AMW327700:AMW327703 AWS327700:AWS327703 BGO327700:BGO327703 BQK327700:BQK327703 CAG327700:CAG327703 CKC327700:CKC327703 CTY327700:CTY327703 DDU327700:DDU327703 DNQ327700:DNQ327703 DXM327700:DXM327703 EHI327700:EHI327703 ERE327700:ERE327703 FBA327700:FBA327703 FKW327700:FKW327703 FUS327700:FUS327703 GEO327700:GEO327703 GOK327700:GOK327703 GYG327700:GYG327703 HIC327700:HIC327703 HRY327700:HRY327703 IBU327700:IBU327703 ILQ327700:ILQ327703 IVM327700:IVM327703 JFI327700:JFI327703 JPE327700:JPE327703 JZA327700:JZA327703 KIW327700:KIW327703 KSS327700:KSS327703 LCO327700:LCO327703 LMK327700:LMK327703 LWG327700:LWG327703 MGC327700:MGC327703 MPY327700:MPY327703 MZU327700:MZU327703 NJQ327700:NJQ327703 NTM327700:NTM327703 ODI327700:ODI327703 ONE327700:ONE327703 OXA327700:OXA327703 PGW327700:PGW327703 PQS327700:PQS327703 QAO327700:QAO327703 QKK327700:QKK327703 QUG327700:QUG327703 REC327700:REC327703 RNY327700:RNY327703 RXU327700:RXU327703 SHQ327700:SHQ327703 SRM327700:SRM327703 TBI327700:TBI327703 TLE327700:TLE327703 TVA327700:TVA327703 UEW327700:UEW327703 UOS327700:UOS327703 UYO327700:UYO327703 VIK327700:VIK327703 VSG327700:VSG327703 WCC327700:WCC327703 WLY327700:WLY327703 WVU327700:WVU327703 M393236:M393239 JI393236:JI393239 TE393236:TE393239 ADA393236:ADA393239 AMW393236:AMW393239 AWS393236:AWS393239 BGO393236:BGO393239 BQK393236:BQK393239 CAG393236:CAG393239 CKC393236:CKC393239 CTY393236:CTY393239 DDU393236:DDU393239 DNQ393236:DNQ393239 DXM393236:DXM393239 EHI393236:EHI393239 ERE393236:ERE393239 FBA393236:FBA393239 FKW393236:FKW393239 FUS393236:FUS393239 GEO393236:GEO393239 GOK393236:GOK393239 GYG393236:GYG393239 HIC393236:HIC393239 HRY393236:HRY393239 IBU393236:IBU393239 ILQ393236:ILQ393239 IVM393236:IVM393239 JFI393236:JFI393239 JPE393236:JPE393239 JZA393236:JZA393239 KIW393236:KIW393239 KSS393236:KSS393239 LCO393236:LCO393239 LMK393236:LMK393239 LWG393236:LWG393239 MGC393236:MGC393239 MPY393236:MPY393239 MZU393236:MZU393239 NJQ393236:NJQ393239 NTM393236:NTM393239 ODI393236:ODI393239 ONE393236:ONE393239 OXA393236:OXA393239 PGW393236:PGW393239 PQS393236:PQS393239 QAO393236:QAO393239 QKK393236:QKK393239 QUG393236:QUG393239 REC393236:REC393239 RNY393236:RNY393239 RXU393236:RXU393239 SHQ393236:SHQ393239 SRM393236:SRM393239 TBI393236:TBI393239 TLE393236:TLE393239 TVA393236:TVA393239 UEW393236:UEW393239 UOS393236:UOS393239 UYO393236:UYO393239 VIK393236:VIK393239 VSG393236:VSG393239 WCC393236:WCC393239 WLY393236:WLY393239 WVU393236:WVU393239 M458772:M458775 JI458772:JI458775 TE458772:TE458775 ADA458772:ADA458775 AMW458772:AMW458775 AWS458772:AWS458775 BGO458772:BGO458775 BQK458772:BQK458775 CAG458772:CAG458775 CKC458772:CKC458775 CTY458772:CTY458775 DDU458772:DDU458775 DNQ458772:DNQ458775 DXM458772:DXM458775 EHI458772:EHI458775 ERE458772:ERE458775 FBA458772:FBA458775 FKW458772:FKW458775 FUS458772:FUS458775 GEO458772:GEO458775 GOK458772:GOK458775 GYG458772:GYG458775 HIC458772:HIC458775 HRY458772:HRY458775 IBU458772:IBU458775 ILQ458772:ILQ458775 IVM458772:IVM458775 JFI458772:JFI458775 JPE458772:JPE458775 JZA458772:JZA458775 KIW458772:KIW458775 KSS458772:KSS458775 LCO458772:LCO458775 LMK458772:LMK458775 LWG458772:LWG458775 MGC458772:MGC458775 MPY458772:MPY458775 MZU458772:MZU458775 NJQ458772:NJQ458775 NTM458772:NTM458775 ODI458772:ODI458775 ONE458772:ONE458775 OXA458772:OXA458775 PGW458772:PGW458775 PQS458772:PQS458775 QAO458772:QAO458775 QKK458772:QKK458775 QUG458772:QUG458775 REC458772:REC458775 RNY458772:RNY458775 RXU458772:RXU458775 SHQ458772:SHQ458775 SRM458772:SRM458775 TBI458772:TBI458775 TLE458772:TLE458775 TVA458772:TVA458775 UEW458772:UEW458775 UOS458772:UOS458775 UYO458772:UYO458775 VIK458772:VIK458775 VSG458772:VSG458775 WCC458772:WCC458775 WLY458772:WLY458775 WVU458772:WVU458775 M524308:M524311 JI524308:JI524311 TE524308:TE524311 ADA524308:ADA524311 AMW524308:AMW524311 AWS524308:AWS524311 BGO524308:BGO524311 BQK524308:BQK524311 CAG524308:CAG524311 CKC524308:CKC524311 CTY524308:CTY524311 DDU524308:DDU524311 DNQ524308:DNQ524311 DXM524308:DXM524311 EHI524308:EHI524311 ERE524308:ERE524311 FBA524308:FBA524311 FKW524308:FKW524311 FUS524308:FUS524311 GEO524308:GEO524311 GOK524308:GOK524311 GYG524308:GYG524311 HIC524308:HIC524311 HRY524308:HRY524311 IBU524308:IBU524311 ILQ524308:ILQ524311 IVM524308:IVM524311 JFI524308:JFI524311 JPE524308:JPE524311 JZA524308:JZA524311 KIW524308:KIW524311 KSS524308:KSS524311 LCO524308:LCO524311 LMK524308:LMK524311 LWG524308:LWG524311 MGC524308:MGC524311 MPY524308:MPY524311 MZU524308:MZU524311 NJQ524308:NJQ524311 NTM524308:NTM524311 ODI524308:ODI524311 ONE524308:ONE524311 OXA524308:OXA524311 PGW524308:PGW524311 PQS524308:PQS524311 QAO524308:QAO524311 QKK524308:QKK524311 QUG524308:QUG524311 REC524308:REC524311 RNY524308:RNY524311 RXU524308:RXU524311 SHQ524308:SHQ524311 SRM524308:SRM524311 TBI524308:TBI524311 TLE524308:TLE524311 TVA524308:TVA524311 UEW524308:UEW524311 UOS524308:UOS524311 UYO524308:UYO524311 VIK524308:VIK524311 VSG524308:VSG524311 WCC524308:WCC524311 WLY524308:WLY524311 WVU524308:WVU524311 M589844:M589847 JI589844:JI589847 TE589844:TE589847 ADA589844:ADA589847 AMW589844:AMW589847 AWS589844:AWS589847 BGO589844:BGO589847 BQK589844:BQK589847 CAG589844:CAG589847 CKC589844:CKC589847 CTY589844:CTY589847 DDU589844:DDU589847 DNQ589844:DNQ589847 DXM589844:DXM589847 EHI589844:EHI589847 ERE589844:ERE589847 FBA589844:FBA589847 FKW589844:FKW589847 FUS589844:FUS589847 GEO589844:GEO589847 GOK589844:GOK589847 GYG589844:GYG589847 HIC589844:HIC589847 HRY589844:HRY589847 IBU589844:IBU589847 ILQ589844:ILQ589847 IVM589844:IVM589847 JFI589844:JFI589847 JPE589844:JPE589847 JZA589844:JZA589847 KIW589844:KIW589847 KSS589844:KSS589847 LCO589844:LCO589847 LMK589844:LMK589847 LWG589844:LWG589847 MGC589844:MGC589847 MPY589844:MPY589847 MZU589844:MZU589847 NJQ589844:NJQ589847 NTM589844:NTM589847 ODI589844:ODI589847 ONE589844:ONE589847 OXA589844:OXA589847 PGW589844:PGW589847 PQS589844:PQS589847 QAO589844:QAO589847 QKK589844:QKK589847 QUG589844:QUG589847 REC589844:REC589847 RNY589844:RNY589847 RXU589844:RXU589847 SHQ589844:SHQ589847 SRM589844:SRM589847 TBI589844:TBI589847 TLE589844:TLE589847 TVA589844:TVA589847 UEW589844:UEW589847 UOS589844:UOS589847 UYO589844:UYO589847 VIK589844:VIK589847 VSG589844:VSG589847 WCC589844:WCC589847 WLY589844:WLY589847 WVU589844:WVU589847 M655380:M655383 JI655380:JI655383 TE655380:TE655383 ADA655380:ADA655383 AMW655380:AMW655383 AWS655380:AWS655383 BGO655380:BGO655383 BQK655380:BQK655383 CAG655380:CAG655383 CKC655380:CKC655383 CTY655380:CTY655383 DDU655380:DDU655383 DNQ655380:DNQ655383 DXM655380:DXM655383 EHI655380:EHI655383 ERE655380:ERE655383 FBA655380:FBA655383 FKW655380:FKW655383 FUS655380:FUS655383 GEO655380:GEO655383 GOK655380:GOK655383 GYG655380:GYG655383 HIC655380:HIC655383 HRY655380:HRY655383 IBU655380:IBU655383 ILQ655380:ILQ655383 IVM655380:IVM655383 JFI655380:JFI655383 JPE655380:JPE655383 JZA655380:JZA655383 KIW655380:KIW655383 KSS655380:KSS655383 LCO655380:LCO655383 LMK655380:LMK655383 LWG655380:LWG655383 MGC655380:MGC655383 MPY655380:MPY655383 MZU655380:MZU655383 NJQ655380:NJQ655383 NTM655380:NTM655383 ODI655380:ODI655383 ONE655380:ONE655383 OXA655380:OXA655383 PGW655380:PGW655383 PQS655380:PQS655383 QAO655380:QAO655383 QKK655380:QKK655383 QUG655380:QUG655383 REC655380:REC655383 RNY655380:RNY655383 RXU655380:RXU655383 SHQ655380:SHQ655383 SRM655380:SRM655383 TBI655380:TBI655383 TLE655380:TLE655383 TVA655380:TVA655383 UEW655380:UEW655383 UOS655380:UOS655383 UYO655380:UYO655383 VIK655380:VIK655383 VSG655380:VSG655383 WCC655380:WCC655383 WLY655380:WLY655383 WVU655380:WVU655383 M720916:M720919 JI720916:JI720919 TE720916:TE720919 ADA720916:ADA720919 AMW720916:AMW720919 AWS720916:AWS720919 BGO720916:BGO720919 BQK720916:BQK720919 CAG720916:CAG720919 CKC720916:CKC720919 CTY720916:CTY720919 DDU720916:DDU720919 DNQ720916:DNQ720919 DXM720916:DXM720919 EHI720916:EHI720919 ERE720916:ERE720919 FBA720916:FBA720919 FKW720916:FKW720919 FUS720916:FUS720919 GEO720916:GEO720919 GOK720916:GOK720919 GYG720916:GYG720919 HIC720916:HIC720919 HRY720916:HRY720919 IBU720916:IBU720919 ILQ720916:ILQ720919 IVM720916:IVM720919 JFI720916:JFI720919 JPE720916:JPE720919 JZA720916:JZA720919 KIW720916:KIW720919 KSS720916:KSS720919 LCO720916:LCO720919 LMK720916:LMK720919 LWG720916:LWG720919 MGC720916:MGC720919 MPY720916:MPY720919 MZU720916:MZU720919 NJQ720916:NJQ720919 NTM720916:NTM720919 ODI720916:ODI720919 ONE720916:ONE720919 OXA720916:OXA720919 PGW720916:PGW720919 PQS720916:PQS720919 QAO720916:QAO720919 QKK720916:QKK720919 QUG720916:QUG720919 REC720916:REC720919 RNY720916:RNY720919 RXU720916:RXU720919 SHQ720916:SHQ720919 SRM720916:SRM720919 TBI720916:TBI720919 TLE720916:TLE720919 TVA720916:TVA720919 UEW720916:UEW720919 UOS720916:UOS720919 UYO720916:UYO720919 VIK720916:VIK720919 VSG720916:VSG720919 WCC720916:WCC720919 WLY720916:WLY720919 WVU720916:WVU720919 M786452:M786455 JI786452:JI786455 TE786452:TE786455 ADA786452:ADA786455 AMW786452:AMW786455 AWS786452:AWS786455 BGO786452:BGO786455 BQK786452:BQK786455 CAG786452:CAG786455 CKC786452:CKC786455 CTY786452:CTY786455 DDU786452:DDU786455 DNQ786452:DNQ786455 DXM786452:DXM786455 EHI786452:EHI786455 ERE786452:ERE786455 FBA786452:FBA786455 FKW786452:FKW786455 FUS786452:FUS786455 GEO786452:GEO786455 GOK786452:GOK786455 GYG786452:GYG786455 HIC786452:HIC786455 HRY786452:HRY786455 IBU786452:IBU786455 ILQ786452:ILQ786455 IVM786452:IVM786455 JFI786452:JFI786455 JPE786452:JPE786455 JZA786452:JZA786455 KIW786452:KIW786455 KSS786452:KSS786455 LCO786452:LCO786455 LMK786452:LMK786455 LWG786452:LWG786455 MGC786452:MGC786455 MPY786452:MPY786455 MZU786452:MZU786455 NJQ786452:NJQ786455 NTM786452:NTM786455 ODI786452:ODI786455 ONE786452:ONE786455 OXA786452:OXA786455 PGW786452:PGW786455 PQS786452:PQS786455 QAO786452:QAO786455 QKK786452:QKK786455 QUG786452:QUG786455 REC786452:REC786455 RNY786452:RNY786455 RXU786452:RXU786455 SHQ786452:SHQ786455 SRM786452:SRM786455 TBI786452:TBI786455 TLE786452:TLE786455 TVA786452:TVA786455 UEW786452:UEW786455 UOS786452:UOS786455 UYO786452:UYO786455 VIK786452:VIK786455 VSG786452:VSG786455 WCC786452:WCC786455 WLY786452:WLY786455 WVU786452:WVU786455 M851988:M851991 JI851988:JI851991 TE851988:TE851991 ADA851988:ADA851991 AMW851988:AMW851991 AWS851988:AWS851991 BGO851988:BGO851991 BQK851988:BQK851991 CAG851988:CAG851991 CKC851988:CKC851991 CTY851988:CTY851991 DDU851988:DDU851991 DNQ851988:DNQ851991 DXM851988:DXM851991 EHI851988:EHI851991 ERE851988:ERE851991 FBA851988:FBA851991 FKW851988:FKW851991 FUS851988:FUS851991 GEO851988:GEO851991 GOK851988:GOK851991 GYG851988:GYG851991 HIC851988:HIC851991 HRY851988:HRY851991 IBU851988:IBU851991 ILQ851988:ILQ851991 IVM851988:IVM851991 JFI851988:JFI851991 JPE851988:JPE851991 JZA851988:JZA851991 KIW851988:KIW851991 KSS851988:KSS851991 LCO851988:LCO851991 LMK851988:LMK851991 LWG851988:LWG851991 MGC851988:MGC851991 MPY851988:MPY851991 MZU851988:MZU851991 NJQ851988:NJQ851991 NTM851988:NTM851991 ODI851988:ODI851991 ONE851988:ONE851991 OXA851988:OXA851991 PGW851988:PGW851991 PQS851988:PQS851991 QAO851988:QAO851991 QKK851988:QKK851991 QUG851988:QUG851991 REC851988:REC851991 RNY851988:RNY851991 RXU851988:RXU851991 SHQ851988:SHQ851991 SRM851988:SRM851991 TBI851988:TBI851991 TLE851988:TLE851991 TVA851988:TVA851991 UEW851988:UEW851991 UOS851988:UOS851991 UYO851988:UYO851991 VIK851988:VIK851991 VSG851988:VSG851991 WCC851988:WCC851991 WLY851988:WLY851991 WVU851988:WVU851991 M917524:M917527 JI917524:JI917527 TE917524:TE917527 ADA917524:ADA917527 AMW917524:AMW917527 AWS917524:AWS917527 BGO917524:BGO917527 BQK917524:BQK917527 CAG917524:CAG917527 CKC917524:CKC917527 CTY917524:CTY917527 DDU917524:DDU917527 DNQ917524:DNQ917527 DXM917524:DXM917527 EHI917524:EHI917527 ERE917524:ERE917527 FBA917524:FBA917527 FKW917524:FKW917527 FUS917524:FUS917527 GEO917524:GEO917527 GOK917524:GOK917527 GYG917524:GYG917527 HIC917524:HIC917527 HRY917524:HRY917527 IBU917524:IBU917527 ILQ917524:ILQ917527 IVM917524:IVM917527 JFI917524:JFI917527 JPE917524:JPE917527 JZA917524:JZA917527 KIW917524:KIW917527 KSS917524:KSS917527 LCO917524:LCO917527 LMK917524:LMK917527 LWG917524:LWG917527 MGC917524:MGC917527 MPY917524:MPY917527 MZU917524:MZU917527 NJQ917524:NJQ917527 NTM917524:NTM917527 ODI917524:ODI917527 ONE917524:ONE917527 OXA917524:OXA917527 PGW917524:PGW917527 PQS917524:PQS917527 QAO917524:QAO917527 QKK917524:QKK917527 QUG917524:QUG917527 REC917524:REC917527 RNY917524:RNY917527 RXU917524:RXU917527 SHQ917524:SHQ917527 SRM917524:SRM917527 TBI917524:TBI917527 TLE917524:TLE917527 TVA917524:TVA917527 UEW917524:UEW917527 UOS917524:UOS917527 UYO917524:UYO917527 VIK917524:VIK917527 VSG917524:VSG917527 WCC917524:WCC917527 WLY917524:WLY917527 WVU917524:WVU917527 M983060:M983063 JI983060:JI983063 TE983060:TE983063 ADA983060:ADA983063 AMW983060:AMW983063 AWS983060:AWS983063 BGO983060:BGO983063 BQK983060:BQK983063 CAG983060:CAG983063 CKC983060:CKC983063 CTY983060:CTY983063 DDU983060:DDU983063 DNQ983060:DNQ983063 DXM983060:DXM983063 EHI983060:EHI983063 ERE983060:ERE983063 FBA983060:FBA983063 FKW983060:FKW983063 FUS983060:FUS983063 GEO983060:GEO983063 GOK983060:GOK983063 GYG983060:GYG983063 HIC983060:HIC983063 HRY983060:HRY983063 IBU983060:IBU983063 ILQ983060:ILQ983063 IVM983060:IVM983063 JFI983060:JFI983063 JPE983060:JPE983063 JZA983060:JZA983063 KIW983060:KIW983063 KSS983060:KSS983063 LCO983060:LCO983063 LMK983060:LMK983063 LWG983060:LWG983063 MGC983060:MGC983063 MPY983060:MPY983063 MZU983060:MZU983063 NJQ983060:NJQ983063 NTM983060:NTM983063 ODI983060:ODI983063 ONE983060:ONE983063 OXA983060:OXA983063 PGW983060:PGW983063 PQS983060:PQS983063 QAO983060:QAO983063 QKK983060:QKK983063 QUG983060:QUG983063 REC983060:REC983063 RNY983060:RNY983063 RXU983060:RXU983063 SHQ983060:SHQ983063 SRM983060:SRM983063 TBI983060:TBI983063 TLE983060:TLE983063 TVA983060:TVA983063 UEW983060:UEW983063 UOS983060:UOS983063 UYO983060:UYO983063 VIK983060:VIK983063 VSG983060:VSG983063 WCC983060:WCC983063 WLY983060:WLY983063 WVU983060:WVU983063 Q22:Q23 JK20:JK23 TG20:TG23 ADC20:ADC23 AMY20:AMY23 AWU20:AWU23 BGQ20:BGQ23 BQM20:BQM23 CAI20:CAI23 CKE20:CKE23 CUA20:CUA23 DDW20:DDW23 DNS20:DNS23 DXO20:DXO23 EHK20:EHK23 ERG20:ERG23 FBC20:FBC23 FKY20:FKY23 FUU20:FUU23 GEQ20:GEQ23 GOM20:GOM23 GYI20:GYI23 HIE20:HIE23 HSA20:HSA23 IBW20:IBW23 ILS20:ILS23 IVO20:IVO23 JFK20:JFK23 JPG20:JPG23 JZC20:JZC23 KIY20:KIY23 KSU20:KSU23 LCQ20:LCQ23 LMM20:LMM23 LWI20:LWI23 MGE20:MGE23 MQA20:MQA23 MZW20:MZW23 NJS20:NJS23 NTO20:NTO23 ODK20:ODK23 ONG20:ONG23 OXC20:OXC23 PGY20:PGY23 PQU20:PQU23 QAQ20:QAQ23 QKM20:QKM23 QUI20:QUI23 REE20:REE23 ROA20:ROA23 RXW20:RXW23 SHS20:SHS23 SRO20:SRO23 TBK20:TBK23 TLG20:TLG23 TVC20:TVC23 UEY20:UEY23 UOU20:UOU23 UYQ20:UYQ23 VIM20:VIM23 VSI20:VSI23 WCE20:WCE23 WMA20:WMA23 WVW20:WVW23 O65556:O65559 JK65556:JK65559 TG65556:TG65559 ADC65556:ADC65559 AMY65556:AMY65559 AWU65556:AWU65559 BGQ65556:BGQ65559 BQM65556:BQM65559 CAI65556:CAI65559 CKE65556:CKE65559 CUA65556:CUA65559 DDW65556:DDW65559 DNS65556:DNS65559 DXO65556:DXO65559 EHK65556:EHK65559 ERG65556:ERG65559 FBC65556:FBC65559 FKY65556:FKY65559 FUU65556:FUU65559 GEQ65556:GEQ65559 GOM65556:GOM65559 GYI65556:GYI65559 HIE65556:HIE65559 HSA65556:HSA65559 IBW65556:IBW65559 ILS65556:ILS65559 IVO65556:IVO65559 JFK65556:JFK65559 JPG65556:JPG65559 JZC65556:JZC65559 KIY65556:KIY65559 KSU65556:KSU65559 LCQ65556:LCQ65559 LMM65556:LMM65559 LWI65556:LWI65559 MGE65556:MGE65559 MQA65556:MQA65559 MZW65556:MZW65559 NJS65556:NJS65559 NTO65556:NTO65559 ODK65556:ODK65559 ONG65556:ONG65559 OXC65556:OXC65559 PGY65556:PGY65559 PQU65556:PQU65559 QAQ65556:QAQ65559 QKM65556:QKM65559 QUI65556:QUI65559 REE65556:REE65559 ROA65556:ROA65559 RXW65556:RXW65559 SHS65556:SHS65559 SRO65556:SRO65559 TBK65556:TBK65559 TLG65556:TLG65559 TVC65556:TVC65559 UEY65556:UEY65559 UOU65556:UOU65559 UYQ65556:UYQ65559 VIM65556:VIM65559 VSI65556:VSI65559 WCE65556:WCE65559 WMA65556:WMA65559 WVW65556:WVW65559 O131092:O131095 JK131092:JK131095 TG131092:TG131095 ADC131092:ADC131095 AMY131092:AMY131095 AWU131092:AWU131095 BGQ131092:BGQ131095 BQM131092:BQM131095 CAI131092:CAI131095 CKE131092:CKE131095 CUA131092:CUA131095 DDW131092:DDW131095 DNS131092:DNS131095 DXO131092:DXO131095 EHK131092:EHK131095 ERG131092:ERG131095 FBC131092:FBC131095 FKY131092:FKY131095 FUU131092:FUU131095 GEQ131092:GEQ131095 GOM131092:GOM131095 GYI131092:GYI131095 HIE131092:HIE131095 HSA131092:HSA131095 IBW131092:IBW131095 ILS131092:ILS131095 IVO131092:IVO131095 JFK131092:JFK131095 JPG131092:JPG131095 JZC131092:JZC131095 KIY131092:KIY131095 KSU131092:KSU131095 LCQ131092:LCQ131095 LMM131092:LMM131095 LWI131092:LWI131095 MGE131092:MGE131095 MQA131092:MQA131095 MZW131092:MZW131095 NJS131092:NJS131095 NTO131092:NTO131095 ODK131092:ODK131095 ONG131092:ONG131095 OXC131092:OXC131095 PGY131092:PGY131095 PQU131092:PQU131095 QAQ131092:QAQ131095 QKM131092:QKM131095 QUI131092:QUI131095 REE131092:REE131095 ROA131092:ROA131095 RXW131092:RXW131095 SHS131092:SHS131095 SRO131092:SRO131095 TBK131092:TBK131095 TLG131092:TLG131095 TVC131092:TVC131095 UEY131092:UEY131095 UOU131092:UOU131095 UYQ131092:UYQ131095 VIM131092:VIM131095 VSI131092:VSI131095 WCE131092:WCE131095 WMA131092:WMA131095 WVW131092:WVW131095 O196628:O196631 JK196628:JK196631 TG196628:TG196631 ADC196628:ADC196631 AMY196628:AMY196631 AWU196628:AWU196631 BGQ196628:BGQ196631 BQM196628:BQM196631 CAI196628:CAI196631 CKE196628:CKE196631 CUA196628:CUA196631 DDW196628:DDW196631 DNS196628:DNS196631 DXO196628:DXO196631 EHK196628:EHK196631 ERG196628:ERG196631 FBC196628:FBC196631 FKY196628:FKY196631 FUU196628:FUU196631 GEQ196628:GEQ196631 GOM196628:GOM196631 GYI196628:GYI196631 HIE196628:HIE196631 HSA196628:HSA196631 IBW196628:IBW196631 ILS196628:ILS196631 IVO196628:IVO196631 JFK196628:JFK196631 JPG196628:JPG196631 JZC196628:JZC196631 KIY196628:KIY196631 KSU196628:KSU196631 LCQ196628:LCQ196631 LMM196628:LMM196631 LWI196628:LWI196631 MGE196628:MGE196631 MQA196628:MQA196631 MZW196628:MZW196631 NJS196628:NJS196631 NTO196628:NTO196631 ODK196628:ODK196631 ONG196628:ONG196631 OXC196628:OXC196631 PGY196628:PGY196631 PQU196628:PQU196631 QAQ196628:QAQ196631 QKM196628:QKM196631 QUI196628:QUI196631 REE196628:REE196631 ROA196628:ROA196631 RXW196628:RXW196631 SHS196628:SHS196631 SRO196628:SRO196631 TBK196628:TBK196631 TLG196628:TLG196631 TVC196628:TVC196631 UEY196628:UEY196631 UOU196628:UOU196631 UYQ196628:UYQ196631 VIM196628:VIM196631 VSI196628:VSI196631 WCE196628:WCE196631 WMA196628:WMA196631 WVW196628:WVW196631 O262164:O262167 JK262164:JK262167 TG262164:TG262167 ADC262164:ADC262167 AMY262164:AMY262167 AWU262164:AWU262167 BGQ262164:BGQ262167 BQM262164:BQM262167 CAI262164:CAI262167 CKE262164:CKE262167 CUA262164:CUA262167 DDW262164:DDW262167 DNS262164:DNS262167 DXO262164:DXO262167 EHK262164:EHK262167 ERG262164:ERG262167 FBC262164:FBC262167 FKY262164:FKY262167 FUU262164:FUU262167 GEQ262164:GEQ262167 GOM262164:GOM262167 GYI262164:GYI262167 HIE262164:HIE262167 HSA262164:HSA262167 IBW262164:IBW262167 ILS262164:ILS262167 IVO262164:IVO262167 JFK262164:JFK262167 JPG262164:JPG262167 JZC262164:JZC262167 KIY262164:KIY262167 KSU262164:KSU262167 LCQ262164:LCQ262167 LMM262164:LMM262167 LWI262164:LWI262167 MGE262164:MGE262167 MQA262164:MQA262167 MZW262164:MZW262167 NJS262164:NJS262167 NTO262164:NTO262167 ODK262164:ODK262167 ONG262164:ONG262167 OXC262164:OXC262167 PGY262164:PGY262167 PQU262164:PQU262167 QAQ262164:QAQ262167 QKM262164:QKM262167 QUI262164:QUI262167 REE262164:REE262167 ROA262164:ROA262167 RXW262164:RXW262167 SHS262164:SHS262167 SRO262164:SRO262167 TBK262164:TBK262167 TLG262164:TLG262167 TVC262164:TVC262167 UEY262164:UEY262167 UOU262164:UOU262167 UYQ262164:UYQ262167 VIM262164:VIM262167 VSI262164:VSI262167 WCE262164:WCE262167 WMA262164:WMA262167 WVW262164:WVW262167 O327700:O327703 JK327700:JK327703 TG327700:TG327703 ADC327700:ADC327703 AMY327700:AMY327703 AWU327700:AWU327703 BGQ327700:BGQ327703 BQM327700:BQM327703 CAI327700:CAI327703 CKE327700:CKE327703 CUA327700:CUA327703 DDW327700:DDW327703 DNS327700:DNS327703 DXO327700:DXO327703 EHK327700:EHK327703 ERG327700:ERG327703 FBC327700:FBC327703 FKY327700:FKY327703 FUU327700:FUU327703 GEQ327700:GEQ327703 GOM327700:GOM327703 GYI327700:GYI327703 HIE327700:HIE327703 HSA327700:HSA327703 IBW327700:IBW327703 ILS327700:ILS327703 IVO327700:IVO327703 JFK327700:JFK327703 JPG327700:JPG327703 JZC327700:JZC327703 KIY327700:KIY327703 KSU327700:KSU327703 LCQ327700:LCQ327703 LMM327700:LMM327703 LWI327700:LWI327703 MGE327700:MGE327703 MQA327700:MQA327703 MZW327700:MZW327703 NJS327700:NJS327703 NTO327700:NTO327703 ODK327700:ODK327703 ONG327700:ONG327703 OXC327700:OXC327703 PGY327700:PGY327703 PQU327700:PQU327703 QAQ327700:QAQ327703 QKM327700:QKM327703 QUI327700:QUI327703 REE327700:REE327703 ROA327700:ROA327703 RXW327700:RXW327703 SHS327700:SHS327703 SRO327700:SRO327703 TBK327700:TBK327703 TLG327700:TLG327703 TVC327700:TVC327703 UEY327700:UEY327703 UOU327700:UOU327703 UYQ327700:UYQ327703 VIM327700:VIM327703 VSI327700:VSI327703 WCE327700:WCE327703 WMA327700:WMA327703 WVW327700:WVW327703 O393236:O393239 JK393236:JK393239 TG393236:TG393239 ADC393236:ADC393239 AMY393236:AMY393239 AWU393236:AWU393239 BGQ393236:BGQ393239 BQM393236:BQM393239 CAI393236:CAI393239 CKE393236:CKE393239 CUA393236:CUA393239 DDW393236:DDW393239 DNS393236:DNS393239 DXO393236:DXO393239 EHK393236:EHK393239 ERG393236:ERG393239 FBC393236:FBC393239 FKY393236:FKY393239 FUU393236:FUU393239 GEQ393236:GEQ393239 GOM393236:GOM393239 GYI393236:GYI393239 HIE393236:HIE393239 HSA393236:HSA393239 IBW393236:IBW393239 ILS393236:ILS393239 IVO393236:IVO393239 JFK393236:JFK393239 JPG393236:JPG393239 JZC393236:JZC393239 KIY393236:KIY393239 KSU393236:KSU393239 LCQ393236:LCQ393239 LMM393236:LMM393239 LWI393236:LWI393239 MGE393236:MGE393239 MQA393236:MQA393239 MZW393236:MZW393239 NJS393236:NJS393239 NTO393236:NTO393239 ODK393236:ODK393239 ONG393236:ONG393239 OXC393236:OXC393239 PGY393236:PGY393239 PQU393236:PQU393239 QAQ393236:QAQ393239 QKM393236:QKM393239 QUI393236:QUI393239 REE393236:REE393239 ROA393236:ROA393239 RXW393236:RXW393239 SHS393236:SHS393239 SRO393236:SRO393239 TBK393236:TBK393239 TLG393236:TLG393239 TVC393236:TVC393239 UEY393236:UEY393239 UOU393236:UOU393239 UYQ393236:UYQ393239 VIM393236:VIM393239 VSI393236:VSI393239 WCE393236:WCE393239 WMA393236:WMA393239 WVW393236:WVW393239 O458772:O458775 JK458772:JK458775 TG458772:TG458775 ADC458772:ADC458775 AMY458772:AMY458775 AWU458772:AWU458775 BGQ458772:BGQ458775 BQM458772:BQM458775 CAI458772:CAI458775 CKE458772:CKE458775 CUA458772:CUA458775 DDW458772:DDW458775 DNS458772:DNS458775 DXO458772:DXO458775 EHK458772:EHK458775 ERG458772:ERG458775 FBC458772:FBC458775 FKY458772:FKY458775 FUU458772:FUU458775 GEQ458772:GEQ458775 GOM458772:GOM458775 GYI458772:GYI458775 HIE458772:HIE458775 HSA458772:HSA458775 IBW458772:IBW458775 ILS458772:ILS458775 IVO458772:IVO458775 JFK458772:JFK458775 JPG458772:JPG458775 JZC458772:JZC458775 KIY458772:KIY458775 KSU458772:KSU458775 LCQ458772:LCQ458775 LMM458772:LMM458775 LWI458772:LWI458775 MGE458772:MGE458775 MQA458772:MQA458775 MZW458772:MZW458775 NJS458772:NJS458775 NTO458772:NTO458775 ODK458772:ODK458775 ONG458772:ONG458775 OXC458772:OXC458775 PGY458772:PGY458775 PQU458772:PQU458775 QAQ458772:QAQ458775 QKM458772:QKM458775 QUI458772:QUI458775 REE458772:REE458775 ROA458772:ROA458775 RXW458772:RXW458775 SHS458772:SHS458775 SRO458772:SRO458775 TBK458772:TBK458775 TLG458772:TLG458775 TVC458772:TVC458775 UEY458772:UEY458775 UOU458772:UOU458775 UYQ458772:UYQ458775 VIM458772:VIM458775 VSI458772:VSI458775 WCE458772:WCE458775 WMA458772:WMA458775 WVW458772:WVW458775 O524308:O524311 JK524308:JK524311 TG524308:TG524311 ADC524308:ADC524311 AMY524308:AMY524311 AWU524308:AWU524311 BGQ524308:BGQ524311 BQM524308:BQM524311 CAI524308:CAI524311 CKE524308:CKE524311 CUA524308:CUA524311 DDW524308:DDW524311 DNS524308:DNS524311 DXO524308:DXO524311 EHK524308:EHK524311 ERG524308:ERG524311 FBC524308:FBC524311 FKY524308:FKY524311 FUU524308:FUU524311 GEQ524308:GEQ524311 GOM524308:GOM524311 GYI524308:GYI524311 HIE524308:HIE524311 HSA524308:HSA524311 IBW524308:IBW524311 ILS524308:ILS524311 IVO524308:IVO524311 JFK524308:JFK524311 JPG524308:JPG524311 JZC524308:JZC524311 KIY524308:KIY524311 KSU524308:KSU524311 LCQ524308:LCQ524311 LMM524308:LMM524311 LWI524308:LWI524311 MGE524308:MGE524311 MQA524308:MQA524311 MZW524308:MZW524311 NJS524308:NJS524311 NTO524308:NTO524311 ODK524308:ODK524311 ONG524308:ONG524311 OXC524308:OXC524311 PGY524308:PGY524311 PQU524308:PQU524311 QAQ524308:QAQ524311 QKM524308:QKM524311 QUI524308:QUI524311 REE524308:REE524311 ROA524308:ROA524311 RXW524308:RXW524311 SHS524308:SHS524311 SRO524308:SRO524311 TBK524308:TBK524311 TLG524308:TLG524311 TVC524308:TVC524311 UEY524308:UEY524311 UOU524308:UOU524311 UYQ524308:UYQ524311 VIM524308:VIM524311 VSI524308:VSI524311 WCE524308:WCE524311 WMA524308:WMA524311 WVW524308:WVW524311 O589844:O589847 JK589844:JK589847 TG589844:TG589847 ADC589844:ADC589847 AMY589844:AMY589847 AWU589844:AWU589847 BGQ589844:BGQ589847 BQM589844:BQM589847 CAI589844:CAI589847 CKE589844:CKE589847 CUA589844:CUA589847 DDW589844:DDW589847 DNS589844:DNS589847 DXO589844:DXO589847 EHK589844:EHK589847 ERG589844:ERG589847 FBC589844:FBC589847 FKY589844:FKY589847 FUU589844:FUU589847 GEQ589844:GEQ589847 GOM589844:GOM589847 GYI589844:GYI589847 HIE589844:HIE589847 HSA589844:HSA589847 IBW589844:IBW589847 ILS589844:ILS589847 IVO589844:IVO589847 JFK589844:JFK589847 JPG589844:JPG589847 JZC589844:JZC589847 KIY589844:KIY589847 KSU589844:KSU589847 LCQ589844:LCQ589847 LMM589844:LMM589847 LWI589844:LWI589847 MGE589844:MGE589847 MQA589844:MQA589847 MZW589844:MZW589847 NJS589844:NJS589847 NTO589844:NTO589847 ODK589844:ODK589847 ONG589844:ONG589847 OXC589844:OXC589847 PGY589844:PGY589847 PQU589844:PQU589847 QAQ589844:QAQ589847 QKM589844:QKM589847 QUI589844:QUI589847 REE589844:REE589847 ROA589844:ROA589847 RXW589844:RXW589847 SHS589844:SHS589847 SRO589844:SRO589847 TBK589844:TBK589847 TLG589844:TLG589847 TVC589844:TVC589847 UEY589844:UEY589847 UOU589844:UOU589847 UYQ589844:UYQ589847 VIM589844:VIM589847 VSI589844:VSI589847 WCE589844:WCE589847 WMA589844:WMA589847 WVW589844:WVW589847 O655380:O655383 JK655380:JK655383 TG655380:TG655383 ADC655380:ADC655383 AMY655380:AMY655383 AWU655380:AWU655383 BGQ655380:BGQ655383 BQM655380:BQM655383 CAI655380:CAI655383 CKE655380:CKE655383 CUA655380:CUA655383 DDW655380:DDW655383 DNS655380:DNS655383 DXO655380:DXO655383 EHK655380:EHK655383 ERG655380:ERG655383 FBC655380:FBC655383 FKY655380:FKY655383 FUU655380:FUU655383 GEQ655380:GEQ655383 GOM655380:GOM655383 GYI655380:GYI655383 HIE655380:HIE655383 HSA655380:HSA655383 IBW655380:IBW655383 ILS655380:ILS655383 IVO655380:IVO655383 JFK655380:JFK655383 JPG655380:JPG655383 JZC655380:JZC655383 KIY655380:KIY655383 KSU655380:KSU655383 LCQ655380:LCQ655383 LMM655380:LMM655383 LWI655380:LWI655383 MGE655380:MGE655383 MQA655380:MQA655383 MZW655380:MZW655383 NJS655380:NJS655383 NTO655380:NTO655383 ODK655380:ODK655383 ONG655380:ONG655383 OXC655380:OXC655383 PGY655380:PGY655383 PQU655380:PQU655383 QAQ655380:QAQ655383 QKM655380:QKM655383 QUI655380:QUI655383 REE655380:REE655383 ROA655380:ROA655383 RXW655380:RXW655383 SHS655380:SHS655383 SRO655380:SRO655383 TBK655380:TBK655383 TLG655380:TLG655383 TVC655380:TVC655383 UEY655380:UEY655383 UOU655380:UOU655383 UYQ655380:UYQ655383 VIM655380:VIM655383 VSI655380:VSI655383 WCE655380:WCE655383 WMA655380:WMA655383 WVW655380:WVW655383 O720916:O720919 JK720916:JK720919 TG720916:TG720919 ADC720916:ADC720919 AMY720916:AMY720919 AWU720916:AWU720919 BGQ720916:BGQ720919 BQM720916:BQM720919 CAI720916:CAI720919 CKE720916:CKE720919 CUA720916:CUA720919 DDW720916:DDW720919 DNS720916:DNS720919 DXO720916:DXO720919 EHK720916:EHK720919 ERG720916:ERG720919 FBC720916:FBC720919 FKY720916:FKY720919 FUU720916:FUU720919 GEQ720916:GEQ720919 GOM720916:GOM720919 GYI720916:GYI720919 HIE720916:HIE720919 HSA720916:HSA720919 IBW720916:IBW720919 ILS720916:ILS720919 IVO720916:IVO720919 JFK720916:JFK720919 JPG720916:JPG720919 JZC720916:JZC720919 KIY720916:KIY720919 KSU720916:KSU720919 LCQ720916:LCQ720919 LMM720916:LMM720919 LWI720916:LWI720919 MGE720916:MGE720919 MQA720916:MQA720919 MZW720916:MZW720919 NJS720916:NJS720919 NTO720916:NTO720919 ODK720916:ODK720919 ONG720916:ONG720919 OXC720916:OXC720919 PGY720916:PGY720919 PQU720916:PQU720919 QAQ720916:QAQ720919 QKM720916:QKM720919 QUI720916:QUI720919 REE720916:REE720919 ROA720916:ROA720919 RXW720916:RXW720919 SHS720916:SHS720919 SRO720916:SRO720919 TBK720916:TBK720919 TLG720916:TLG720919 TVC720916:TVC720919 UEY720916:UEY720919 UOU720916:UOU720919 UYQ720916:UYQ720919 VIM720916:VIM720919 VSI720916:VSI720919 WCE720916:WCE720919 WMA720916:WMA720919 WVW720916:WVW720919 O786452:O786455 JK786452:JK786455 TG786452:TG786455 ADC786452:ADC786455 AMY786452:AMY786455 AWU786452:AWU786455 BGQ786452:BGQ786455 BQM786452:BQM786455 CAI786452:CAI786455 CKE786452:CKE786455 CUA786452:CUA786455 DDW786452:DDW786455 DNS786452:DNS786455 DXO786452:DXO786455 EHK786452:EHK786455 ERG786452:ERG786455 FBC786452:FBC786455 FKY786452:FKY786455 FUU786452:FUU786455 GEQ786452:GEQ786455 GOM786452:GOM786455 GYI786452:GYI786455 HIE786452:HIE786455 HSA786452:HSA786455 IBW786452:IBW786455 ILS786452:ILS786455 IVO786452:IVO786455 JFK786452:JFK786455 JPG786452:JPG786455 JZC786452:JZC786455 KIY786452:KIY786455 KSU786452:KSU786455 LCQ786452:LCQ786455 LMM786452:LMM786455 LWI786452:LWI786455 MGE786452:MGE786455 MQA786452:MQA786455 MZW786452:MZW786455 NJS786452:NJS786455 NTO786452:NTO786455 ODK786452:ODK786455 ONG786452:ONG786455 OXC786452:OXC786455 PGY786452:PGY786455 PQU786452:PQU786455 QAQ786452:QAQ786455 QKM786452:QKM786455 QUI786452:QUI786455 REE786452:REE786455 ROA786452:ROA786455 RXW786452:RXW786455 SHS786452:SHS786455 SRO786452:SRO786455 TBK786452:TBK786455 TLG786452:TLG786455 TVC786452:TVC786455 UEY786452:UEY786455 UOU786452:UOU786455 UYQ786452:UYQ786455 VIM786452:VIM786455 VSI786452:VSI786455 WCE786452:WCE786455 WMA786452:WMA786455 WVW786452:WVW786455 O851988:O851991 JK851988:JK851991 TG851988:TG851991 ADC851988:ADC851991 AMY851988:AMY851991 AWU851988:AWU851991 BGQ851988:BGQ851991 BQM851988:BQM851991 CAI851988:CAI851991 CKE851988:CKE851991 CUA851988:CUA851991 DDW851988:DDW851991 DNS851988:DNS851991 DXO851988:DXO851991 EHK851988:EHK851991 ERG851988:ERG851991 FBC851988:FBC851991 FKY851988:FKY851991 FUU851988:FUU851991 GEQ851988:GEQ851991 GOM851988:GOM851991 GYI851988:GYI851991 HIE851988:HIE851991 HSA851988:HSA851991 IBW851988:IBW851991 ILS851988:ILS851991 IVO851988:IVO851991 JFK851988:JFK851991 JPG851988:JPG851991 JZC851988:JZC851991 KIY851988:KIY851991 KSU851988:KSU851991 LCQ851988:LCQ851991 LMM851988:LMM851991 LWI851988:LWI851991 MGE851988:MGE851991 MQA851988:MQA851991 MZW851988:MZW851991 NJS851988:NJS851991 NTO851988:NTO851991 ODK851988:ODK851991 ONG851988:ONG851991 OXC851988:OXC851991 PGY851988:PGY851991 PQU851988:PQU851991 QAQ851988:QAQ851991 QKM851988:QKM851991 QUI851988:QUI851991 REE851988:REE851991 ROA851988:ROA851991 RXW851988:RXW851991 SHS851988:SHS851991 SRO851988:SRO851991 TBK851988:TBK851991 TLG851988:TLG851991 TVC851988:TVC851991 UEY851988:UEY851991 UOU851988:UOU851991 UYQ851988:UYQ851991 VIM851988:VIM851991 VSI851988:VSI851991 WCE851988:WCE851991 WMA851988:WMA851991 WVW851988:WVW851991 O917524:O917527 JK917524:JK917527 TG917524:TG917527 ADC917524:ADC917527 AMY917524:AMY917527 AWU917524:AWU917527 BGQ917524:BGQ917527 BQM917524:BQM917527 CAI917524:CAI917527 CKE917524:CKE917527 CUA917524:CUA917527 DDW917524:DDW917527 DNS917524:DNS917527 DXO917524:DXO917527 EHK917524:EHK917527 ERG917524:ERG917527 FBC917524:FBC917527 FKY917524:FKY917527 FUU917524:FUU917527 GEQ917524:GEQ917527 GOM917524:GOM917527 GYI917524:GYI917527 HIE917524:HIE917527 HSA917524:HSA917527 IBW917524:IBW917527 ILS917524:ILS917527 IVO917524:IVO917527 JFK917524:JFK917527 JPG917524:JPG917527 JZC917524:JZC917527 KIY917524:KIY917527 KSU917524:KSU917527 LCQ917524:LCQ917527 LMM917524:LMM917527 LWI917524:LWI917527 MGE917524:MGE917527 MQA917524:MQA917527 MZW917524:MZW917527 NJS917524:NJS917527 NTO917524:NTO917527 ODK917524:ODK917527 ONG917524:ONG917527 OXC917524:OXC917527 PGY917524:PGY917527 PQU917524:PQU917527 QAQ917524:QAQ917527 QKM917524:QKM917527 QUI917524:QUI917527 REE917524:REE917527 ROA917524:ROA917527 RXW917524:RXW917527 SHS917524:SHS917527 SRO917524:SRO917527 TBK917524:TBK917527 TLG917524:TLG917527 TVC917524:TVC917527 UEY917524:UEY917527 UOU917524:UOU917527 UYQ917524:UYQ917527 VIM917524:VIM917527 VSI917524:VSI917527 WCE917524:WCE917527 WMA917524:WMA917527 WVW917524:WVW917527 O983060:O983063 JK983060:JK983063 TG983060:TG983063 ADC983060:ADC983063 AMY983060:AMY983063 AWU983060:AWU983063 BGQ983060:BGQ983063 BQM983060:BQM983063 CAI983060:CAI983063 CKE983060:CKE983063 CUA983060:CUA983063 DDW983060:DDW983063 DNS983060:DNS983063 DXO983060:DXO983063 EHK983060:EHK983063 ERG983060:ERG983063 FBC983060:FBC983063 FKY983060:FKY983063 FUU983060:FUU983063 GEQ983060:GEQ983063 GOM983060:GOM983063 GYI983060:GYI983063 HIE983060:HIE983063 HSA983060:HSA983063 IBW983060:IBW983063 ILS983060:ILS983063 IVO983060:IVO983063 JFK983060:JFK983063 JPG983060:JPG983063 JZC983060:JZC983063 KIY983060:KIY983063 KSU983060:KSU983063 LCQ983060:LCQ983063 LMM983060:LMM983063 LWI983060:LWI983063 MGE983060:MGE983063 MQA983060:MQA983063 MZW983060:MZW983063 NJS983060:NJS983063 NTO983060:NTO983063 ODK983060:ODK983063 ONG983060:ONG983063 OXC983060:OXC983063 PGY983060:PGY983063 PQU983060:PQU983063 QAQ983060:QAQ983063 QKM983060:QKM983063 QUI983060:QUI983063 REE983060:REE983063 ROA983060:ROA983063 RXW983060:RXW983063 SHS983060:SHS983063 SRO983060:SRO983063 TBK983060:TBK983063 TLG983060:TLG983063 TVC983060:TVC983063 UEY983060:UEY983063 UOU983060:UOU983063 UYQ983060:UYQ983063 VIM983060:VIM983063 VSI983060:VSI983063 WCE983060:WCE983063 WMA983060:WMA983063 WVW983060:WVW983063 WWA983062:WWA983063 JM20:JM23 TI20:TI23 ADE20:ADE23 ANA20:ANA23 AWW20:AWW23 BGS20:BGS23 BQO20:BQO23 CAK20:CAK23 CKG20:CKG23 CUC20:CUC23 DDY20:DDY23 DNU20:DNU23 DXQ20:DXQ23 EHM20:EHM23 ERI20:ERI23 FBE20:FBE23 FLA20:FLA23 FUW20:FUW23 GES20:GES23 GOO20:GOO23 GYK20:GYK23 HIG20:HIG23 HSC20:HSC23 IBY20:IBY23 ILU20:ILU23 IVQ20:IVQ23 JFM20:JFM23 JPI20:JPI23 JZE20:JZE23 KJA20:KJA23 KSW20:KSW23 LCS20:LCS23 LMO20:LMO23 LWK20:LWK23 MGG20:MGG23 MQC20:MQC23 MZY20:MZY23 NJU20:NJU23 NTQ20:NTQ23 ODM20:ODM23 ONI20:ONI23 OXE20:OXE23 PHA20:PHA23 PQW20:PQW23 QAS20:QAS23 QKO20:QKO23 QUK20:QUK23 REG20:REG23 ROC20:ROC23 RXY20:RXY23 SHU20:SHU23 SRQ20:SRQ23 TBM20:TBM23 TLI20:TLI23 TVE20:TVE23 UFA20:UFA23 UOW20:UOW23 UYS20:UYS23 VIO20:VIO23 VSK20:VSK23 WCG20:WCG23 WMC20:WMC23 WVY20:WVY23 Q65556:Q65559 JM65556:JM65559 TI65556:TI65559 ADE65556:ADE65559 ANA65556:ANA65559 AWW65556:AWW65559 BGS65556:BGS65559 BQO65556:BQO65559 CAK65556:CAK65559 CKG65556:CKG65559 CUC65556:CUC65559 DDY65556:DDY65559 DNU65556:DNU65559 DXQ65556:DXQ65559 EHM65556:EHM65559 ERI65556:ERI65559 FBE65556:FBE65559 FLA65556:FLA65559 FUW65556:FUW65559 GES65556:GES65559 GOO65556:GOO65559 GYK65556:GYK65559 HIG65556:HIG65559 HSC65556:HSC65559 IBY65556:IBY65559 ILU65556:ILU65559 IVQ65556:IVQ65559 JFM65556:JFM65559 JPI65556:JPI65559 JZE65556:JZE65559 KJA65556:KJA65559 KSW65556:KSW65559 LCS65556:LCS65559 LMO65556:LMO65559 LWK65556:LWK65559 MGG65556:MGG65559 MQC65556:MQC65559 MZY65556:MZY65559 NJU65556:NJU65559 NTQ65556:NTQ65559 ODM65556:ODM65559 ONI65556:ONI65559 OXE65556:OXE65559 PHA65556:PHA65559 PQW65556:PQW65559 QAS65556:QAS65559 QKO65556:QKO65559 QUK65556:QUK65559 REG65556:REG65559 ROC65556:ROC65559 RXY65556:RXY65559 SHU65556:SHU65559 SRQ65556:SRQ65559 TBM65556:TBM65559 TLI65556:TLI65559 TVE65556:TVE65559 UFA65556:UFA65559 UOW65556:UOW65559 UYS65556:UYS65559 VIO65556:VIO65559 VSK65556:VSK65559 WCG65556:WCG65559 WMC65556:WMC65559 WVY65556:WVY65559 Q131092:Q131095 JM131092:JM131095 TI131092:TI131095 ADE131092:ADE131095 ANA131092:ANA131095 AWW131092:AWW131095 BGS131092:BGS131095 BQO131092:BQO131095 CAK131092:CAK131095 CKG131092:CKG131095 CUC131092:CUC131095 DDY131092:DDY131095 DNU131092:DNU131095 DXQ131092:DXQ131095 EHM131092:EHM131095 ERI131092:ERI131095 FBE131092:FBE131095 FLA131092:FLA131095 FUW131092:FUW131095 GES131092:GES131095 GOO131092:GOO131095 GYK131092:GYK131095 HIG131092:HIG131095 HSC131092:HSC131095 IBY131092:IBY131095 ILU131092:ILU131095 IVQ131092:IVQ131095 JFM131092:JFM131095 JPI131092:JPI131095 JZE131092:JZE131095 KJA131092:KJA131095 KSW131092:KSW131095 LCS131092:LCS131095 LMO131092:LMO131095 LWK131092:LWK131095 MGG131092:MGG131095 MQC131092:MQC131095 MZY131092:MZY131095 NJU131092:NJU131095 NTQ131092:NTQ131095 ODM131092:ODM131095 ONI131092:ONI131095 OXE131092:OXE131095 PHA131092:PHA131095 PQW131092:PQW131095 QAS131092:QAS131095 QKO131092:QKO131095 QUK131092:QUK131095 REG131092:REG131095 ROC131092:ROC131095 RXY131092:RXY131095 SHU131092:SHU131095 SRQ131092:SRQ131095 TBM131092:TBM131095 TLI131092:TLI131095 TVE131092:TVE131095 UFA131092:UFA131095 UOW131092:UOW131095 UYS131092:UYS131095 VIO131092:VIO131095 VSK131092:VSK131095 WCG131092:WCG131095 WMC131092:WMC131095 WVY131092:WVY131095 Q196628:Q196631 JM196628:JM196631 TI196628:TI196631 ADE196628:ADE196631 ANA196628:ANA196631 AWW196628:AWW196631 BGS196628:BGS196631 BQO196628:BQO196631 CAK196628:CAK196631 CKG196628:CKG196631 CUC196628:CUC196631 DDY196628:DDY196631 DNU196628:DNU196631 DXQ196628:DXQ196631 EHM196628:EHM196631 ERI196628:ERI196631 FBE196628:FBE196631 FLA196628:FLA196631 FUW196628:FUW196631 GES196628:GES196631 GOO196628:GOO196631 GYK196628:GYK196631 HIG196628:HIG196631 HSC196628:HSC196631 IBY196628:IBY196631 ILU196628:ILU196631 IVQ196628:IVQ196631 JFM196628:JFM196631 JPI196628:JPI196631 JZE196628:JZE196631 KJA196628:KJA196631 KSW196628:KSW196631 LCS196628:LCS196631 LMO196628:LMO196631 LWK196628:LWK196631 MGG196628:MGG196631 MQC196628:MQC196631 MZY196628:MZY196631 NJU196628:NJU196631 NTQ196628:NTQ196631 ODM196628:ODM196631 ONI196628:ONI196631 OXE196628:OXE196631 PHA196628:PHA196631 PQW196628:PQW196631 QAS196628:QAS196631 QKO196628:QKO196631 QUK196628:QUK196631 REG196628:REG196631 ROC196628:ROC196631 RXY196628:RXY196631 SHU196628:SHU196631 SRQ196628:SRQ196631 TBM196628:TBM196631 TLI196628:TLI196631 TVE196628:TVE196631 UFA196628:UFA196631 UOW196628:UOW196631 UYS196628:UYS196631 VIO196628:VIO196631 VSK196628:VSK196631 WCG196628:WCG196631 WMC196628:WMC196631 WVY196628:WVY196631 Q262164:Q262167 JM262164:JM262167 TI262164:TI262167 ADE262164:ADE262167 ANA262164:ANA262167 AWW262164:AWW262167 BGS262164:BGS262167 BQO262164:BQO262167 CAK262164:CAK262167 CKG262164:CKG262167 CUC262164:CUC262167 DDY262164:DDY262167 DNU262164:DNU262167 DXQ262164:DXQ262167 EHM262164:EHM262167 ERI262164:ERI262167 FBE262164:FBE262167 FLA262164:FLA262167 FUW262164:FUW262167 GES262164:GES262167 GOO262164:GOO262167 GYK262164:GYK262167 HIG262164:HIG262167 HSC262164:HSC262167 IBY262164:IBY262167 ILU262164:ILU262167 IVQ262164:IVQ262167 JFM262164:JFM262167 JPI262164:JPI262167 JZE262164:JZE262167 KJA262164:KJA262167 KSW262164:KSW262167 LCS262164:LCS262167 LMO262164:LMO262167 LWK262164:LWK262167 MGG262164:MGG262167 MQC262164:MQC262167 MZY262164:MZY262167 NJU262164:NJU262167 NTQ262164:NTQ262167 ODM262164:ODM262167 ONI262164:ONI262167 OXE262164:OXE262167 PHA262164:PHA262167 PQW262164:PQW262167 QAS262164:QAS262167 QKO262164:QKO262167 QUK262164:QUK262167 REG262164:REG262167 ROC262164:ROC262167 RXY262164:RXY262167 SHU262164:SHU262167 SRQ262164:SRQ262167 TBM262164:TBM262167 TLI262164:TLI262167 TVE262164:TVE262167 UFA262164:UFA262167 UOW262164:UOW262167 UYS262164:UYS262167 VIO262164:VIO262167 VSK262164:VSK262167 WCG262164:WCG262167 WMC262164:WMC262167 WVY262164:WVY262167 Q327700:Q327703 JM327700:JM327703 TI327700:TI327703 ADE327700:ADE327703 ANA327700:ANA327703 AWW327700:AWW327703 BGS327700:BGS327703 BQO327700:BQO327703 CAK327700:CAK327703 CKG327700:CKG327703 CUC327700:CUC327703 DDY327700:DDY327703 DNU327700:DNU327703 DXQ327700:DXQ327703 EHM327700:EHM327703 ERI327700:ERI327703 FBE327700:FBE327703 FLA327700:FLA327703 FUW327700:FUW327703 GES327700:GES327703 GOO327700:GOO327703 GYK327700:GYK327703 HIG327700:HIG327703 HSC327700:HSC327703 IBY327700:IBY327703 ILU327700:ILU327703 IVQ327700:IVQ327703 JFM327700:JFM327703 JPI327700:JPI327703 JZE327700:JZE327703 KJA327700:KJA327703 KSW327700:KSW327703 LCS327700:LCS327703 LMO327700:LMO327703 LWK327700:LWK327703 MGG327700:MGG327703 MQC327700:MQC327703 MZY327700:MZY327703 NJU327700:NJU327703 NTQ327700:NTQ327703 ODM327700:ODM327703 ONI327700:ONI327703 OXE327700:OXE327703 PHA327700:PHA327703 PQW327700:PQW327703 QAS327700:QAS327703 QKO327700:QKO327703 QUK327700:QUK327703 REG327700:REG327703 ROC327700:ROC327703 RXY327700:RXY327703 SHU327700:SHU327703 SRQ327700:SRQ327703 TBM327700:TBM327703 TLI327700:TLI327703 TVE327700:TVE327703 UFA327700:UFA327703 UOW327700:UOW327703 UYS327700:UYS327703 VIO327700:VIO327703 VSK327700:VSK327703 WCG327700:WCG327703 WMC327700:WMC327703 WVY327700:WVY327703 Q393236:Q393239 JM393236:JM393239 TI393236:TI393239 ADE393236:ADE393239 ANA393236:ANA393239 AWW393236:AWW393239 BGS393236:BGS393239 BQO393236:BQO393239 CAK393236:CAK393239 CKG393236:CKG393239 CUC393236:CUC393239 DDY393236:DDY393239 DNU393236:DNU393239 DXQ393236:DXQ393239 EHM393236:EHM393239 ERI393236:ERI393239 FBE393236:FBE393239 FLA393236:FLA393239 FUW393236:FUW393239 GES393236:GES393239 GOO393236:GOO393239 GYK393236:GYK393239 HIG393236:HIG393239 HSC393236:HSC393239 IBY393236:IBY393239 ILU393236:ILU393239 IVQ393236:IVQ393239 JFM393236:JFM393239 JPI393236:JPI393239 JZE393236:JZE393239 KJA393236:KJA393239 KSW393236:KSW393239 LCS393236:LCS393239 LMO393236:LMO393239 LWK393236:LWK393239 MGG393236:MGG393239 MQC393236:MQC393239 MZY393236:MZY393239 NJU393236:NJU393239 NTQ393236:NTQ393239 ODM393236:ODM393239 ONI393236:ONI393239 OXE393236:OXE393239 PHA393236:PHA393239 PQW393236:PQW393239 QAS393236:QAS393239 QKO393236:QKO393239 QUK393236:QUK393239 REG393236:REG393239 ROC393236:ROC393239 RXY393236:RXY393239 SHU393236:SHU393239 SRQ393236:SRQ393239 TBM393236:TBM393239 TLI393236:TLI393239 TVE393236:TVE393239 UFA393236:UFA393239 UOW393236:UOW393239 UYS393236:UYS393239 VIO393236:VIO393239 VSK393236:VSK393239 WCG393236:WCG393239 WMC393236:WMC393239 WVY393236:WVY393239 Q458772:Q458775 JM458772:JM458775 TI458772:TI458775 ADE458772:ADE458775 ANA458772:ANA458775 AWW458772:AWW458775 BGS458772:BGS458775 BQO458772:BQO458775 CAK458772:CAK458775 CKG458772:CKG458775 CUC458772:CUC458775 DDY458772:DDY458775 DNU458772:DNU458775 DXQ458772:DXQ458775 EHM458772:EHM458775 ERI458772:ERI458775 FBE458772:FBE458775 FLA458772:FLA458775 FUW458772:FUW458775 GES458772:GES458775 GOO458772:GOO458775 GYK458772:GYK458775 HIG458772:HIG458775 HSC458772:HSC458775 IBY458772:IBY458775 ILU458772:ILU458775 IVQ458772:IVQ458775 JFM458772:JFM458775 JPI458772:JPI458775 JZE458772:JZE458775 KJA458772:KJA458775 KSW458772:KSW458775 LCS458772:LCS458775 LMO458772:LMO458775 LWK458772:LWK458775 MGG458772:MGG458775 MQC458772:MQC458775 MZY458772:MZY458775 NJU458772:NJU458775 NTQ458772:NTQ458775 ODM458772:ODM458775 ONI458772:ONI458775 OXE458772:OXE458775 PHA458772:PHA458775 PQW458772:PQW458775 QAS458772:QAS458775 QKO458772:QKO458775 QUK458772:QUK458775 REG458772:REG458775 ROC458772:ROC458775 RXY458772:RXY458775 SHU458772:SHU458775 SRQ458772:SRQ458775 TBM458772:TBM458775 TLI458772:TLI458775 TVE458772:TVE458775 UFA458772:UFA458775 UOW458772:UOW458775 UYS458772:UYS458775 VIO458772:VIO458775 VSK458772:VSK458775 WCG458772:WCG458775 WMC458772:WMC458775 WVY458772:WVY458775 Q524308:Q524311 JM524308:JM524311 TI524308:TI524311 ADE524308:ADE524311 ANA524308:ANA524311 AWW524308:AWW524311 BGS524308:BGS524311 BQO524308:BQO524311 CAK524308:CAK524311 CKG524308:CKG524311 CUC524308:CUC524311 DDY524308:DDY524311 DNU524308:DNU524311 DXQ524308:DXQ524311 EHM524308:EHM524311 ERI524308:ERI524311 FBE524308:FBE524311 FLA524308:FLA524311 FUW524308:FUW524311 GES524308:GES524311 GOO524308:GOO524311 GYK524308:GYK524311 HIG524308:HIG524311 HSC524308:HSC524311 IBY524308:IBY524311 ILU524308:ILU524311 IVQ524308:IVQ524311 JFM524308:JFM524311 JPI524308:JPI524311 JZE524308:JZE524311 KJA524308:KJA524311 KSW524308:KSW524311 LCS524308:LCS524311 LMO524308:LMO524311 LWK524308:LWK524311 MGG524308:MGG524311 MQC524308:MQC524311 MZY524308:MZY524311 NJU524308:NJU524311 NTQ524308:NTQ524311 ODM524308:ODM524311 ONI524308:ONI524311 OXE524308:OXE524311 PHA524308:PHA524311 PQW524308:PQW524311 QAS524308:QAS524311 QKO524308:QKO524311 QUK524308:QUK524311 REG524308:REG524311 ROC524308:ROC524311 RXY524308:RXY524311 SHU524308:SHU524311 SRQ524308:SRQ524311 TBM524308:TBM524311 TLI524308:TLI524311 TVE524308:TVE524311 UFA524308:UFA524311 UOW524308:UOW524311 UYS524308:UYS524311 VIO524308:VIO524311 VSK524308:VSK524311 WCG524308:WCG524311 WMC524308:WMC524311 WVY524308:WVY524311 Q589844:Q589847 JM589844:JM589847 TI589844:TI589847 ADE589844:ADE589847 ANA589844:ANA589847 AWW589844:AWW589847 BGS589844:BGS589847 BQO589844:BQO589847 CAK589844:CAK589847 CKG589844:CKG589847 CUC589844:CUC589847 DDY589844:DDY589847 DNU589844:DNU589847 DXQ589844:DXQ589847 EHM589844:EHM589847 ERI589844:ERI589847 FBE589844:FBE589847 FLA589844:FLA589847 FUW589844:FUW589847 GES589844:GES589847 GOO589844:GOO589847 GYK589844:GYK589847 HIG589844:HIG589847 HSC589844:HSC589847 IBY589844:IBY589847 ILU589844:ILU589847 IVQ589844:IVQ589847 JFM589844:JFM589847 JPI589844:JPI589847 JZE589844:JZE589847 KJA589844:KJA589847 KSW589844:KSW589847 LCS589844:LCS589847 LMO589844:LMO589847 LWK589844:LWK589847 MGG589844:MGG589847 MQC589844:MQC589847 MZY589844:MZY589847 NJU589844:NJU589847 NTQ589844:NTQ589847 ODM589844:ODM589847 ONI589844:ONI589847 OXE589844:OXE589847 PHA589844:PHA589847 PQW589844:PQW589847 QAS589844:QAS589847 QKO589844:QKO589847 QUK589844:QUK589847 REG589844:REG589847 ROC589844:ROC589847 RXY589844:RXY589847 SHU589844:SHU589847 SRQ589844:SRQ589847 TBM589844:TBM589847 TLI589844:TLI589847 TVE589844:TVE589847 UFA589844:UFA589847 UOW589844:UOW589847 UYS589844:UYS589847 VIO589844:VIO589847 VSK589844:VSK589847 WCG589844:WCG589847 WMC589844:WMC589847 WVY589844:WVY589847 Q655380:Q655383 JM655380:JM655383 TI655380:TI655383 ADE655380:ADE655383 ANA655380:ANA655383 AWW655380:AWW655383 BGS655380:BGS655383 BQO655380:BQO655383 CAK655380:CAK655383 CKG655380:CKG655383 CUC655380:CUC655383 DDY655380:DDY655383 DNU655380:DNU655383 DXQ655380:DXQ655383 EHM655380:EHM655383 ERI655380:ERI655383 FBE655380:FBE655383 FLA655380:FLA655383 FUW655380:FUW655383 GES655380:GES655383 GOO655380:GOO655383 GYK655380:GYK655383 HIG655380:HIG655383 HSC655380:HSC655383 IBY655380:IBY655383 ILU655380:ILU655383 IVQ655380:IVQ655383 JFM655380:JFM655383 JPI655380:JPI655383 JZE655380:JZE655383 KJA655380:KJA655383 KSW655380:KSW655383 LCS655380:LCS655383 LMO655380:LMO655383 LWK655380:LWK655383 MGG655380:MGG655383 MQC655380:MQC655383 MZY655380:MZY655383 NJU655380:NJU655383 NTQ655380:NTQ655383 ODM655380:ODM655383 ONI655380:ONI655383 OXE655380:OXE655383 PHA655380:PHA655383 PQW655380:PQW655383 QAS655380:QAS655383 QKO655380:QKO655383 QUK655380:QUK655383 REG655380:REG655383 ROC655380:ROC655383 RXY655380:RXY655383 SHU655380:SHU655383 SRQ655380:SRQ655383 TBM655380:TBM655383 TLI655380:TLI655383 TVE655380:TVE655383 UFA655380:UFA655383 UOW655380:UOW655383 UYS655380:UYS655383 VIO655380:VIO655383 VSK655380:VSK655383 WCG655380:WCG655383 WMC655380:WMC655383 WVY655380:WVY655383 Q720916:Q720919 JM720916:JM720919 TI720916:TI720919 ADE720916:ADE720919 ANA720916:ANA720919 AWW720916:AWW720919 BGS720916:BGS720919 BQO720916:BQO720919 CAK720916:CAK720919 CKG720916:CKG720919 CUC720916:CUC720919 DDY720916:DDY720919 DNU720916:DNU720919 DXQ720916:DXQ720919 EHM720916:EHM720919 ERI720916:ERI720919 FBE720916:FBE720919 FLA720916:FLA720919 FUW720916:FUW720919 GES720916:GES720919 GOO720916:GOO720919 GYK720916:GYK720919 HIG720916:HIG720919 HSC720916:HSC720919 IBY720916:IBY720919 ILU720916:ILU720919 IVQ720916:IVQ720919 JFM720916:JFM720919 JPI720916:JPI720919 JZE720916:JZE720919 KJA720916:KJA720919 KSW720916:KSW720919 LCS720916:LCS720919 LMO720916:LMO720919 LWK720916:LWK720919 MGG720916:MGG720919 MQC720916:MQC720919 MZY720916:MZY720919 NJU720916:NJU720919 NTQ720916:NTQ720919 ODM720916:ODM720919 ONI720916:ONI720919 OXE720916:OXE720919 PHA720916:PHA720919 PQW720916:PQW720919 QAS720916:QAS720919 QKO720916:QKO720919 QUK720916:QUK720919 REG720916:REG720919 ROC720916:ROC720919 RXY720916:RXY720919 SHU720916:SHU720919 SRQ720916:SRQ720919 TBM720916:TBM720919 TLI720916:TLI720919 TVE720916:TVE720919 UFA720916:UFA720919 UOW720916:UOW720919 UYS720916:UYS720919 VIO720916:VIO720919 VSK720916:VSK720919 WCG720916:WCG720919 WMC720916:WMC720919 WVY720916:WVY720919 Q786452:Q786455 JM786452:JM786455 TI786452:TI786455 ADE786452:ADE786455 ANA786452:ANA786455 AWW786452:AWW786455 BGS786452:BGS786455 BQO786452:BQO786455 CAK786452:CAK786455 CKG786452:CKG786455 CUC786452:CUC786455 DDY786452:DDY786455 DNU786452:DNU786455 DXQ786452:DXQ786455 EHM786452:EHM786455 ERI786452:ERI786455 FBE786452:FBE786455 FLA786452:FLA786455 FUW786452:FUW786455 GES786452:GES786455 GOO786452:GOO786455 GYK786452:GYK786455 HIG786452:HIG786455 HSC786452:HSC786455 IBY786452:IBY786455 ILU786452:ILU786455 IVQ786452:IVQ786455 JFM786452:JFM786455 JPI786452:JPI786455 JZE786452:JZE786455 KJA786452:KJA786455 KSW786452:KSW786455 LCS786452:LCS786455 LMO786452:LMO786455 LWK786452:LWK786455 MGG786452:MGG786455 MQC786452:MQC786455 MZY786452:MZY786455 NJU786452:NJU786455 NTQ786452:NTQ786455 ODM786452:ODM786455 ONI786452:ONI786455 OXE786452:OXE786455 PHA786452:PHA786455 PQW786452:PQW786455 QAS786452:QAS786455 QKO786452:QKO786455 QUK786452:QUK786455 REG786452:REG786455 ROC786452:ROC786455 RXY786452:RXY786455 SHU786452:SHU786455 SRQ786452:SRQ786455 TBM786452:TBM786455 TLI786452:TLI786455 TVE786452:TVE786455 UFA786452:UFA786455 UOW786452:UOW786455 UYS786452:UYS786455 VIO786452:VIO786455 VSK786452:VSK786455 WCG786452:WCG786455 WMC786452:WMC786455 WVY786452:WVY786455 Q851988:Q851991 JM851988:JM851991 TI851988:TI851991 ADE851988:ADE851991 ANA851988:ANA851991 AWW851988:AWW851991 BGS851988:BGS851991 BQO851988:BQO851991 CAK851988:CAK851991 CKG851988:CKG851991 CUC851988:CUC851991 DDY851988:DDY851991 DNU851988:DNU851991 DXQ851988:DXQ851991 EHM851988:EHM851991 ERI851988:ERI851991 FBE851988:FBE851991 FLA851988:FLA851991 FUW851988:FUW851991 GES851988:GES851991 GOO851988:GOO851991 GYK851988:GYK851991 HIG851988:HIG851991 HSC851988:HSC851991 IBY851988:IBY851991 ILU851988:ILU851991 IVQ851988:IVQ851991 JFM851988:JFM851991 JPI851988:JPI851991 JZE851988:JZE851991 KJA851988:KJA851991 KSW851988:KSW851991 LCS851988:LCS851991 LMO851988:LMO851991 LWK851988:LWK851991 MGG851988:MGG851991 MQC851988:MQC851991 MZY851988:MZY851991 NJU851988:NJU851991 NTQ851988:NTQ851991 ODM851988:ODM851991 ONI851988:ONI851991 OXE851988:OXE851991 PHA851988:PHA851991 PQW851988:PQW851991 QAS851988:QAS851991 QKO851988:QKO851991 QUK851988:QUK851991 REG851988:REG851991 ROC851988:ROC851991 RXY851988:RXY851991 SHU851988:SHU851991 SRQ851988:SRQ851991 TBM851988:TBM851991 TLI851988:TLI851991 TVE851988:TVE851991 UFA851988:UFA851991 UOW851988:UOW851991 UYS851988:UYS851991 VIO851988:VIO851991 VSK851988:VSK851991 WCG851988:WCG851991 WMC851988:WMC851991 WVY851988:WVY851991 Q917524:Q917527 JM917524:JM917527 TI917524:TI917527 ADE917524:ADE917527 ANA917524:ANA917527 AWW917524:AWW917527 BGS917524:BGS917527 BQO917524:BQO917527 CAK917524:CAK917527 CKG917524:CKG917527 CUC917524:CUC917527 DDY917524:DDY917527 DNU917524:DNU917527 DXQ917524:DXQ917527 EHM917524:EHM917527 ERI917524:ERI917527 FBE917524:FBE917527 FLA917524:FLA917527 FUW917524:FUW917527 GES917524:GES917527 GOO917524:GOO917527 GYK917524:GYK917527 HIG917524:HIG917527 HSC917524:HSC917527 IBY917524:IBY917527 ILU917524:ILU917527 IVQ917524:IVQ917527 JFM917524:JFM917527 JPI917524:JPI917527 JZE917524:JZE917527 KJA917524:KJA917527 KSW917524:KSW917527 LCS917524:LCS917527 LMO917524:LMO917527 LWK917524:LWK917527 MGG917524:MGG917527 MQC917524:MQC917527 MZY917524:MZY917527 NJU917524:NJU917527 NTQ917524:NTQ917527 ODM917524:ODM917527 ONI917524:ONI917527 OXE917524:OXE917527 PHA917524:PHA917527 PQW917524:PQW917527 QAS917524:QAS917527 QKO917524:QKO917527 QUK917524:QUK917527 REG917524:REG917527 ROC917524:ROC917527 RXY917524:RXY917527 SHU917524:SHU917527 SRQ917524:SRQ917527 TBM917524:TBM917527 TLI917524:TLI917527 TVE917524:TVE917527 UFA917524:UFA917527 UOW917524:UOW917527 UYS917524:UYS917527 VIO917524:VIO917527 VSK917524:VSK917527 WCG917524:WCG917527 WMC917524:WMC917527 WVY917524:WVY917527 Q983060:Q983063 JM983060:JM983063 TI983060:TI983063 ADE983060:ADE983063 ANA983060:ANA983063 AWW983060:AWW983063 BGS983060:BGS983063 BQO983060:BQO983063 CAK983060:CAK983063 CKG983060:CKG983063 CUC983060:CUC983063 DDY983060:DDY983063 DNU983060:DNU983063 DXQ983060:DXQ983063 EHM983060:EHM983063 ERI983060:ERI983063 FBE983060:FBE983063 FLA983060:FLA983063 FUW983060:FUW983063 GES983060:GES983063 GOO983060:GOO983063 GYK983060:GYK983063 HIG983060:HIG983063 HSC983060:HSC983063 IBY983060:IBY983063 ILU983060:ILU983063 IVQ983060:IVQ983063 JFM983060:JFM983063 JPI983060:JPI983063 JZE983060:JZE983063 KJA983060:KJA983063 KSW983060:KSW983063 LCS983060:LCS983063 LMO983060:LMO983063 LWK983060:LWK983063 MGG983060:MGG983063 MQC983060:MQC983063 MZY983060:MZY983063 NJU983060:NJU983063 NTQ983060:NTQ983063 ODM983060:ODM983063 ONI983060:ONI983063 OXE983060:OXE983063 PHA983060:PHA983063 PQW983060:PQW983063 QAS983060:QAS983063 QKO983060:QKO983063 QUK983060:QUK983063 REG983060:REG983063 ROC983060:ROC983063 RXY983060:RXY983063 SHU983060:SHU983063 SRQ983060:SRQ983063 TBM983060:TBM983063 TLI983060:TLI983063 TVE983060:TVE983063 UFA983060:UFA983063 UOW983060:UOW983063 UYS983060:UYS983063 VIO983060:VIO983063 VSK983060:VSK983063 WCG983060:WCG983063 WMC983060:WMC983063 WVY983060:WVY983063 S22:S23 JO22:JO23 TK22:TK23 ADG22:ADG23 ANC22:ANC23 AWY22:AWY23 BGU22:BGU23 BQQ22:BQQ23 CAM22:CAM23 CKI22:CKI23 CUE22:CUE23 DEA22:DEA23 DNW22:DNW23 DXS22:DXS23 EHO22:EHO23 ERK22:ERK23 FBG22:FBG23 FLC22:FLC23 FUY22:FUY23 GEU22:GEU23 GOQ22:GOQ23 GYM22:GYM23 HII22:HII23 HSE22:HSE23 ICA22:ICA23 ILW22:ILW23 IVS22:IVS23 JFO22:JFO23 JPK22:JPK23 JZG22:JZG23 KJC22:KJC23 KSY22:KSY23 LCU22:LCU23 LMQ22:LMQ23 LWM22:LWM23 MGI22:MGI23 MQE22:MQE23 NAA22:NAA23 NJW22:NJW23 NTS22:NTS23 ODO22:ODO23 ONK22:ONK23 OXG22:OXG23 PHC22:PHC23 PQY22:PQY23 QAU22:QAU23 QKQ22:QKQ23 QUM22:QUM23 REI22:REI23 ROE22:ROE23 RYA22:RYA23 SHW22:SHW23 SRS22:SRS23 TBO22:TBO23 TLK22:TLK23 TVG22:TVG23 UFC22:UFC23 UOY22:UOY23 UYU22:UYU23 VIQ22:VIQ23 VSM22:VSM23 WCI22:WCI23 WME22:WME23 WWA22:WWA23 S65558:S65559 JO65558:JO65559 TK65558:TK65559 ADG65558:ADG65559 ANC65558:ANC65559 AWY65558:AWY65559 BGU65558:BGU65559 BQQ65558:BQQ65559 CAM65558:CAM65559 CKI65558:CKI65559 CUE65558:CUE65559 DEA65558:DEA65559 DNW65558:DNW65559 DXS65558:DXS65559 EHO65558:EHO65559 ERK65558:ERK65559 FBG65558:FBG65559 FLC65558:FLC65559 FUY65558:FUY65559 GEU65558:GEU65559 GOQ65558:GOQ65559 GYM65558:GYM65559 HII65558:HII65559 HSE65558:HSE65559 ICA65558:ICA65559 ILW65558:ILW65559 IVS65558:IVS65559 JFO65558:JFO65559 JPK65558:JPK65559 JZG65558:JZG65559 KJC65558:KJC65559 KSY65558:KSY65559 LCU65558:LCU65559 LMQ65558:LMQ65559 LWM65558:LWM65559 MGI65558:MGI65559 MQE65558:MQE65559 NAA65558:NAA65559 NJW65558:NJW65559 NTS65558:NTS65559 ODO65558:ODO65559 ONK65558:ONK65559 OXG65558:OXG65559 PHC65558:PHC65559 PQY65558:PQY65559 QAU65558:QAU65559 QKQ65558:QKQ65559 QUM65558:QUM65559 REI65558:REI65559 ROE65558:ROE65559 RYA65558:RYA65559 SHW65558:SHW65559 SRS65558:SRS65559 TBO65558:TBO65559 TLK65558:TLK65559 TVG65558:TVG65559 UFC65558:UFC65559 UOY65558:UOY65559 UYU65558:UYU65559 VIQ65558:VIQ65559 VSM65558:VSM65559 WCI65558:WCI65559 WME65558:WME65559 WWA65558:WWA65559 S131094:S131095 JO131094:JO131095 TK131094:TK131095 ADG131094:ADG131095 ANC131094:ANC131095 AWY131094:AWY131095 BGU131094:BGU131095 BQQ131094:BQQ131095 CAM131094:CAM131095 CKI131094:CKI131095 CUE131094:CUE131095 DEA131094:DEA131095 DNW131094:DNW131095 DXS131094:DXS131095 EHO131094:EHO131095 ERK131094:ERK131095 FBG131094:FBG131095 FLC131094:FLC131095 FUY131094:FUY131095 GEU131094:GEU131095 GOQ131094:GOQ131095 GYM131094:GYM131095 HII131094:HII131095 HSE131094:HSE131095 ICA131094:ICA131095 ILW131094:ILW131095 IVS131094:IVS131095 JFO131094:JFO131095 JPK131094:JPK131095 JZG131094:JZG131095 KJC131094:KJC131095 KSY131094:KSY131095 LCU131094:LCU131095 LMQ131094:LMQ131095 LWM131094:LWM131095 MGI131094:MGI131095 MQE131094:MQE131095 NAA131094:NAA131095 NJW131094:NJW131095 NTS131094:NTS131095 ODO131094:ODO131095 ONK131094:ONK131095 OXG131094:OXG131095 PHC131094:PHC131095 PQY131094:PQY131095 QAU131094:QAU131095 QKQ131094:QKQ131095 QUM131094:QUM131095 REI131094:REI131095 ROE131094:ROE131095 RYA131094:RYA131095 SHW131094:SHW131095 SRS131094:SRS131095 TBO131094:TBO131095 TLK131094:TLK131095 TVG131094:TVG131095 UFC131094:UFC131095 UOY131094:UOY131095 UYU131094:UYU131095 VIQ131094:VIQ131095 VSM131094:VSM131095 WCI131094:WCI131095 WME131094:WME131095 WWA131094:WWA131095 S196630:S196631 JO196630:JO196631 TK196630:TK196631 ADG196630:ADG196631 ANC196630:ANC196631 AWY196630:AWY196631 BGU196630:BGU196631 BQQ196630:BQQ196631 CAM196630:CAM196631 CKI196630:CKI196631 CUE196630:CUE196631 DEA196630:DEA196631 DNW196630:DNW196631 DXS196630:DXS196631 EHO196630:EHO196631 ERK196630:ERK196631 FBG196630:FBG196631 FLC196630:FLC196631 FUY196630:FUY196631 GEU196630:GEU196631 GOQ196630:GOQ196631 GYM196630:GYM196631 HII196630:HII196631 HSE196630:HSE196631 ICA196630:ICA196631 ILW196630:ILW196631 IVS196630:IVS196631 JFO196630:JFO196631 JPK196630:JPK196631 JZG196630:JZG196631 KJC196630:KJC196631 KSY196630:KSY196631 LCU196630:LCU196631 LMQ196630:LMQ196631 LWM196630:LWM196631 MGI196630:MGI196631 MQE196630:MQE196631 NAA196630:NAA196631 NJW196630:NJW196631 NTS196630:NTS196631 ODO196630:ODO196631 ONK196630:ONK196631 OXG196630:OXG196631 PHC196630:PHC196631 PQY196630:PQY196631 QAU196630:QAU196631 QKQ196630:QKQ196631 QUM196630:QUM196631 REI196630:REI196631 ROE196630:ROE196631 RYA196630:RYA196631 SHW196630:SHW196631 SRS196630:SRS196631 TBO196630:TBO196631 TLK196630:TLK196631 TVG196630:TVG196631 UFC196630:UFC196631 UOY196630:UOY196631 UYU196630:UYU196631 VIQ196630:VIQ196631 VSM196630:VSM196631 WCI196630:WCI196631 WME196630:WME196631 WWA196630:WWA196631 S262166:S262167 JO262166:JO262167 TK262166:TK262167 ADG262166:ADG262167 ANC262166:ANC262167 AWY262166:AWY262167 BGU262166:BGU262167 BQQ262166:BQQ262167 CAM262166:CAM262167 CKI262166:CKI262167 CUE262166:CUE262167 DEA262166:DEA262167 DNW262166:DNW262167 DXS262166:DXS262167 EHO262166:EHO262167 ERK262166:ERK262167 FBG262166:FBG262167 FLC262166:FLC262167 FUY262166:FUY262167 GEU262166:GEU262167 GOQ262166:GOQ262167 GYM262166:GYM262167 HII262166:HII262167 HSE262166:HSE262167 ICA262166:ICA262167 ILW262166:ILW262167 IVS262166:IVS262167 JFO262166:JFO262167 JPK262166:JPK262167 JZG262166:JZG262167 KJC262166:KJC262167 KSY262166:KSY262167 LCU262166:LCU262167 LMQ262166:LMQ262167 LWM262166:LWM262167 MGI262166:MGI262167 MQE262166:MQE262167 NAA262166:NAA262167 NJW262166:NJW262167 NTS262166:NTS262167 ODO262166:ODO262167 ONK262166:ONK262167 OXG262166:OXG262167 PHC262166:PHC262167 PQY262166:PQY262167 QAU262166:QAU262167 QKQ262166:QKQ262167 QUM262166:QUM262167 REI262166:REI262167 ROE262166:ROE262167 RYA262166:RYA262167 SHW262166:SHW262167 SRS262166:SRS262167 TBO262166:TBO262167 TLK262166:TLK262167 TVG262166:TVG262167 UFC262166:UFC262167 UOY262166:UOY262167 UYU262166:UYU262167 VIQ262166:VIQ262167 VSM262166:VSM262167 WCI262166:WCI262167 WME262166:WME262167 WWA262166:WWA262167 S327702:S327703 JO327702:JO327703 TK327702:TK327703 ADG327702:ADG327703 ANC327702:ANC327703 AWY327702:AWY327703 BGU327702:BGU327703 BQQ327702:BQQ327703 CAM327702:CAM327703 CKI327702:CKI327703 CUE327702:CUE327703 DEA327702:DEA327703 DNW327702:DNW327703 DXS327702:DXS327703 EHO327702:EHO327703 ERK327702:ERK327703 FBG327702:FBG327703 FLC327702:FLC327703 FUY327702:FUY327703 GEU327702:GEU327703 GOQ327702:GOQ327703 GYM327702:GYM327703 HII327702:HII327703 HSE327702:HSE327703 ICA327702:ICA327703 ILW327702:ILW327703 IVS327702:IVS327703 JFO327702:JFO327703 JPK327702:JPK327703 JZG327702:JZG327703 KJC327702:KJC327703 KSY327702:KSY327703 LCU327702:LCU327703 LMQ327702:LMQ327703 LWM327702:LWM327703 MGI327702:MGI327703 MQE327702:MQE327703 NAA327702:NAA327703 NJW327702:NJW327703 NTS327702:NTS327703 ODO327702:ODO327703 ONK327702:ONK327703 OXG327702:OXG327703 PHC327702:PHC327703 PQY327702:PQY327703 QAU327702:QAU327703 QKQ327702:QKQ327703 QUM327702:QUM327703 REI327702:REI327703 ROE327702:ROE327703 RYA327702:RYA327703 SHW327702:SHW327703 SRS327702:SRS327703 TBO327702:TBO327703 TLK327702:TLK327703 TVG327702:TVG327703 UFC327702:UFC327703 UOY327702:UOY327703 UYU327702:UYU327703 VIQ327702:VIQ327703 VSM327702:VSM327703 WCI327702:WCI327703 WME327702:WME327703 WWA327702:WWA327703 S393238:S393239 JO393238:JO393239 TK393238:TK393239 ADG393238:ADG393239 ANC393238:ANC393239 AWY393238:AWY393239 BGU393238:BGU393239 BQQ393238:BQQ393239 CAM393238:CAM393239 CKI393238:CKI393239 CUE393238:CUE393239 DEA393238:DEA393239 DNW393238:DNW393239 DXS393238:DXS393239 EHO393238:EHO393239 ERK393238:ERK393239 FBG393238:FBG393239 FLC393238:FLC393239 FUY393238:FUY393239 GEU393238:GEU393239 GOQ393238:GOQ393239 GYM393238:GYM393239 HII393238:HII393239 HSE393238:HSE393239 ICA393238:ICA393239 ILW393238:ILW393239 IVS393238:IVS393239 JFO393238:JFO393239 JPK393238:JPK393239 JZG393238:JZG393239 KJC393238:KJC393239 KSY393238:KSY393239 LCU393238:LCU393239 LMQ393238:LMQ393239 LWM393238:LWM393239 MGI393238:MGI393239 MQE393238:MQE393239 NAA393238:NAA393239 NJW393238:NJW393239 NTS393238:NTS393239 ODO393238:ODO393239 ONK393238:ONK393239 OXG393238:OXG393239 PHC393238:PHC393239 PQY393238:PQY393239 QAU393238:QAU393239 QKQ393238:QKQ393239 QUM393238:QUM393239 REI393238:REI393239 ROE393238:ROE393239 RYA393238:RYA393239 SHW393238:SHW393239 SRS393238:SRS393239 TBO393238:TBO393239 TLK393238:TLK393239 TVG393238:TVG393239 UFC393238:UFC393239 UOY393238:UOY393239 UYU393238:UYU393239 VIQ393238:VIQ393239 VSM393238:VSM393239 WCI393238:WCI393239 WME393238:WME393239 WWA393238:WWA393239 S458774:S458775 JO458774:JO458775 TK458774:TK458775 ADG458774:ADG458775 ANC458774:ANC458775 AWY458774:AWY458775 BGU458774:BGU458775 BQQ458774:BQQ458775 CAM458774:CAM458775 CKI458774:CKI458775 CUE458774:CUE458775 DEA458774:DEA458775 DNW458774:DNW458775 DXS458774:DXS458775 EHO458774:EHO458775 ERK458774:ERK458775 FBG458774:FBG458775 FLC458774:FLC458775 FUY458774:FUY458775 GEU458774:GEU458775 GOQ458774:GOQ458775 GYM458774:GYM458775 HII458774:HII458775 HSE458774:HSE458775 ICA458774:ICA458775 ILW458774:ILW458775 IVS458774:IVS458775 JFO458774:JFO458775 JPK458774:JPK458775 JZG458774:JZG458775 KJC458774:KJC458775 KSY458774:KSY458775 LCU458774:LCU458775 LMQ458774:LMQ458775 LWM458774:LWM458775 MGI458774:MGI458775 MQE458774:MQE458775 NAA458774:NAA458775 NJW458774:NJW458775 NTS458774:NTS458775 ODO458774:ODO458775 ONK458774:ONK458775 OXG458774:OXG458775 PHC458774:PHC458775 PQY458774:PQY458775 QAU458774:QAU458775 QKQ458774:QKQ458775 QUM458774:QUM458775 REI458774:REI458775 ROE458774:ROE458775 RYA458774:RYA458775 SHW458774:SHW458775 SRS458774:SRS458775 TBO458774:TBO458775 TLK458774:TLK458775 TVG458774:TVG458775 UFC458774:UFC458775 UOY458774:UOY458775 UYU458774:UYU458775 VIQ458774:VIQ458775 VSM458774:VSM458775 WCI458774:WCI458775 WME458774:WME458775 WWA458774:WWA458775 S524310:S524311 JO524310:JO524311 TK524310:TK524311 ADG524310:ADG524311 ANC524310:ANC524311 AWY524310:AWY524311 BGU524310:BGU524311 BQQ524310:BQQ524311 CAM524310:CAM524311 CKI524310:CKI524311 CUE524310:CUE524311 DEA524310:DEA524311 DNW524310:DNW524311 DXS524310:DXS524311 EHO524310:EHO524311 ERK524310:ERK524311 FBG524310:FBG524311 FLC524310:FLC524311 FUY524310:FUY524311 GEU524310:GEU524311 GOQ524310:GOQ524311 GYM524310:GYM524311 HII524310:HII524311 HSE524310:HSE524311 ICA524310:ICA524311 ILW524310:ILW524311 IVS524310:IVS524311 JFO524310:JFO524311 JPK524310:JPK524311 JZG524310:JZG524311 KJC524310:KJC524311 KSY524310:KSY524311 LCU524310:LCU524311 LMQ524310:LMQ524311 LWM524310:LWM524311 MGI524310:MGI524311 MQE524310:MQE524311 NAA524310:NAA524311 NJW524310:NJW524311 NTS524310:NTS524311 ODO524310:ODO524311 ONK524310:ONK524311 OXG524310:OXG524311 PHC524310:PHC524311 PQY524310:PQY524311 QAU524310:QAU524311 QKQ524310:QKQ524311 QUM524310:QUM524311 REI524310:REI524311 ROE524310:ROE524311 RYA524310:RYA524311 SHW524310:SHW524311 SRS524310:SRS524311 TBO524310:TBO524311 TLK524310:TLK524311 TVG524310:TVG524311 UFC524310:UFC524311 UOY524310:UOY524311 UYU524310:UYU524311 VIQ524310:VIQ524311 VSM524310:VSM524311 WCI524310:WCI524311 WME524310:WME524311 WWA524310:WWA524311 S589846:S589847 JO589846:JO589847 TK589846:TK589847 ADG589846:ADG589847 ANC589846:ANC589847 AWY589846:AWY589847 BGU589846:BGU589847 BQQ589846:BQQ589847 CAM589846:CAM589847 CKI589846:CKI589847 CUE589846:CUE589847 DEA589846:DEA589847 DNW589846:DNW589847 DXS589846:DXS589847 EHO589846:EHO589847 ERK589846:ERK589847 FBG589846:FBG589847 FLC589846:FLC589847 FUY589846:FUY589847 GEU589846:GEU589847 GOQ589846:GOQ589847 GYM589846:GYM589847 HII589846:HII589847 HSE589846:HSE589847 ICA589846:ICA589847 ILW589846:ILW589847 IVS589846:IVS589847 JFO589846:JFO589847 JPK589846:JPK589847 JZG589846:JZG589847 KJC589846:KJC589847 KSY589846:KSY589847 LCU589846:LCU589847 LMQ589846:LMQ589847 LWM589846:LWM589847 MGI589846:MGI589847 MQE589846:MQE589847 NAA589846:NAA589847 NJW589846:NJW589847 NTS589846:NTS589847 ODO589846:ODO589847 ONK589846:ONK589847 OXG589846:OXG589847 PHC589846:PHC589847 PQY589846:PQY589847 QAU589846:QAU589847 QKQ589846:QKQ589847 QUM589846:QUM589847 REI589846:REI589847 ROE589846:ROE589847 RYA589846:RYA589847 SHW589846:SHW589847 SRS589846:SRS589847 TBO589846:TBO589847 TLK589846:TLK589847 TVG589846:TVG589847 UFC589846:UFC589847 UOY589846:UOY589847 UYU589846:UYU589847 VIQ589846:VIQ589847 VSM589846:VSM589847 WCI589846:WCI589847 WME589846:WME589847 WWA589846:WWA589847 S655382:S655383 JO655382:JO655383 TK655382:TK655383 ADG655382:ADG655383 ANC655382:ANC655383 AWY655382:AWY655383 BGU655382:BGU655383 BQQ655382:BQQ655383 CAM655382:CAM655383 CKI655382:CKI655383 CUE655382:CUE655383 DEA655382:DEA655383 DNW655382:DNW655383 DXS655382:DXS655383 EHO655382:EHO655383 ERK655382:ERK655383 FBG655382:FBG655383 FLC655382:FLC655383 FUY655382:FUY655383 GEU655382:GEU655383 GOQ655382:GOQ655383 GYM655382:GYM655383 HII655382:HII655383 HSE655382:HSE655383 ICA655382:ICA655383 ILW655382:ILW655383 IVS655382:IVS655383 JFO655382:JFO655383 JPK655382:JPK655383 JZG655382:JZG655383 KJC655382:KJC655383 KSY655382:KSY655383 LCU655382:LCU655383 LMQ655382:LMQ655383 LWM655382:LWM655383 MGI655382:MGI655383 MQE655382:MQE655383 NAA655382:NAA655383 NJW655382:NJW655383 NTS655382:NTS655383 ODO655382:ODO655383 ONK655382:ONK655383 OXG655382:OXG655383 PHC655382:PHC655383 PQY655382:PQY655383 QAU655382:QAU655383 QKQ655382:QKQ655383 QUM655382:QUM655383 REI655382:REI655383 ROE655382:ROE655383 RYA655382:RYA655383 SHW655382:SHW655383 SRS655382:SRS655383 TBO655382:TBO655383 TLK655382:TLK655383 TVG655382:TVG655383 UFC655382:UFC655383 UOY655382:UOY655383 UYU655382:UYU655383 VIQ655382:VIQ655383 VSM655382:VSM655383 WCI655382:WCI655383 WME655382:WME655383 WWA655382:WWA655383 S720918:S720919 JO720918:JO720919 TK720918:TK720919 ADG720918:ADG720919 ANC720918:ANC720919 AWY720918:AWY720919 BGU720918:BGU720919 BQQ720918:BQQ720919 CAM720918:CAM720919 CKI720918:CKI720919 CUE720918:CUE720919 DEA720918:DEA720919 DNW720918:DNW720919 DXS720918:DXS720919 EHO720918:EHO720919 ERK720918:ERK720919 FBG720918:FBG720919 FLC720918:FLC720919 FUY720918:FUY720919 GEU720918:GEU720919 GOQ720918:GOQ720919 GYM720918:GYM720919 HII720918:HII720919 HSE720918:HSE720919 ICA720918:ICA720919 ILW720918:ILW720919 IVS720918:IVS720919 JFO720918:JFO720919 JPK720918:JPK720919 JZG720918:JZG720919 KJC720918:KJC720919 KSY720918:KSY720919 LCU720918:LCU720919 LMQ720918:LMQ720919 LWM720918:LWM720919 MGI720918:MGI720919 MQE720918:MQE720919 NAA720918:NAA720919 NJW720918:NJW720919 NTS720918:NTS720919 ODO720918:ODO720919 ONK720918:ONK720919 OXG720918:OXG720919 PHC720918:PHC720919 PQY720918:PQY720919 QAU720918:QAU720919 QKQ720918:QKQ720919 QUM720918:QUM720919 REI720918:REI720919 ROE720918:ROE720919 RYA720918:RYA720919 SHW720918:SHW720919 SRS720918:SRS720919 TBO720918:TBO720919 TLK720918:TLK720919 TVG720918:TVG720919 UFC720918:UFC720919 UOY720918:UOY720919 UYU720918:UYU720919 VIQ720918:VIQ720919 VSM720918:VSM720919 WCI720918:WCI720919 WME720918:WME720919 WWA720918:WWA720919 S786454:S786455 JO786454:JO786455 TK786454:TK786455 ADG786454:ADG786455 ANC786454:ANC786455 AWY786454:AWY786455 BGU786454:BGU786455 BQQ786454:BQQ786455 CAM786454:CAM786455 CKI786454:CKI786455 CUE786454:CUE786455 DEA786454:DEA786455 DNW786454:DNW786455 DXS786454:DXS786455 EHO786454:EHO786455 ERK786454:ERK786455 FBG786454:FBG786455 FLC786454:FLC786455 FUY786454:FUY786455 GEU786454:GEU786455 GOQ786454:GOQ786455 GYM786454:GYM786455 HII786454:HII786455 HSE786454:HSE786455 ICA786454:ICA786455 ILW786454:ILW786455 IVS786454:IVS786455 JFO786454:JFO786455 JPK786454:JPK786455 JZG786454:JZG786455 KJC786454:KJC786455 KSY786454:KSY786455 LCU786454:LCU786455 LMQ786454:LMQ786455 LWM786454:LWM786455 MGI786454:MGI786455 MQE786454:MQE786455 NAA786454:NAA786455 NJW786454:NJW786455 NTS786454:NTS786455 ODO786454:ODO786455 ONK786454:ONK786455 OXG786454:OXG786455 PHC786454:PHC786455 PQY786454:PQY786455 QAU786454:QAU786455 QKQ786454:QKQ786455 QUM786454:QUM786455 REI786454:REI786455 ROE786454:ROE786455 RYA786454:RYA786455 SHW786454:SHW786455 SRS786454:SRS786455 TBO786454:TBO786455 TLK786454:TLK786455 TVG786454:TVG786455 UFC786454:UFC786455 UOY786454:UOY786455 UYU786454:UYU786455 VIQ786454:VIQ786455 VSM786454:VSM786455 WCI786454:WCI786455 WME786454:WME786455 WWA786454:WWA786455 S851990:S851991 JO851990:JO851991 TK851990:TK851991 ADG851990:ADG851991 ANC851990:ANC851991 AWY851990:AWY851991 BGU851990:BGU851991 BQQ851990:BQQ851991 CAM851990:CAM851991 CKI851990:CKI851991 CUE851990:CUE851991 DEA851990:DEA851991 DNW851990:DNW851991 DXS851990:DXS851991 EHO851990:EHO851991 ERK851990:ERK851991 FBG851990:FBG851991 FLC851990:FLC851991 FUY851990:FUY851991 GEU851990:GEU851991 GOQ851990:GOQ851991 GYM851990:GYM851991 HII851990:HII851991 HSE851990:HSE851991 ICA851990:ICA851991 ILW851990:ILW851991 IVS851990:IVS851991 JFO851990:JFO851991 JPK851990:JPK851991 JZG851990:JZG851991 KJC851990:KJC851991 KSY851990:KSY851991 LCU851990:LCU851991 LMQ851990:LMQ851991 LWM851990:LWM851991 MGI851990:MGI851991 MQE851990:MQE851991 NAA851990:NAA851991 NJW851990:NJW851991 NTS851990:NTS851991 ODO851990:ODO851991 ONK851990:ONK851991 OXG851990:OXG851991 PHC851990:PHC851991 PQY851990:PQY851991 QAU851990:QAU851991 QKQ851990:QKQ851991 QUM851990:QUM851991 REI851990:REI851991 ROE851990:ROE851991 RYA851990:RYA851991 SHW851990:SHW851991 SRS851990:SRS851991 TBO851990:TBO851991 TLK851990:TLK851991 TVG851990:TVG851991 UFC851990:UFC851991 UOY851990:UOY851991 UYU851990:UYU851991 VIQ851990:VIQ851991 VSM851990:VSM851991 WCI851990:WCI851991 WME851990:WME851991 WWA851990:WWA851991 S917526:S917527 JO917526:JO917527 TK917526:TK917527 ADG917526:ADG917527 ANC917526:ANC917527 AWY917526:AWY917527 BGU917526:BGU917527 BQQ917526:BQQ917527 CAM917526:CAM917527 CKI917526:CKI917527 CUE917526:CUE917527 DEA917526:DEA917527 DNW917526:DNW917527 DXS917526:DXS917527 EHO917526:EHO917527 ERK917526:ERK917527 FBG917526:FBG917527 FLC917526:FLC917527 FUY917526:FUY917527 GEU917526:GEU917527 GOQ917526:GOQ917527 GYM917526:GYM917527 HII917526:HII917527 HSE917526:HSE917527 ICA917526:ICA917527 ILW917526:ILW917527 IVS917526:IVS917527 JFO917526:JFO917527 JPK917526:JPK917527 JZG917526:JZG917527 KJC917526:KJC917527 KSY917526:KSY917527 LCU917526:LCU917527 LMQ917526:LMQ917527 LWM917526:LWM917527 MGI917526:MGI917527 MQE917526:MQE917527 NAA917526:NAA917527 NJW917526:NJW917527 NTS917526:NTS917527 ODO917526:ODO917527 ONK917526:ONK917527 OXG917526:OXG917527 PHC917526:PHC917527 PQY917526:PQY917527 QAU917526:QAU917527 QKQ917526:QKQ917527 QUM917526:QUM917527 REI917526:REI917527 ROE917526:ROE917527 RYA917526:RYA917527 SHW917526:SHW917527 SRS917526:SRS917527 TBO917526:TBO917527 TLK917526:TLK917527 TVG917526:TVG917527 UFC917526:UFC917527 UOY917526:UOY917527 UYU917526:UYU917527 VIQ917526:VIQ917527 VSM917526:VSM917527 WCI917526:WCI917527 WME917526:WME917527 WWA917526:WWA917527 S983062:S983063 JO983062:JO983063 TK983062:TK983063 ADG983062:ADG983063 ANC983062:ANC983063 AWY983062:AWY983063 BGU983062:BGU983063 BQQ983062:BQQ983063 CAM983062:CAM983063 CKI983062:CKI983063 CUE983062:CUE983063 DEA983062:DEA983063 DNW983062:DNW983063 DXS983062:DXS983063 EHO983062:EHO983063 ERK983062:ERK983063 FBG983062:FBG983063 FLC983062:FLC983063 FUY983062:FUY983063 GEU983062:GEU983063 GOQ983062:GOQ983063 GYM983062:GYM983063 HII983062:HII983063 HSE983062:HSE983063 ICA983062:ICA983063 ILW983062:ILW983063 IVS983062:IVS983063 JFO983062:JFO983063 JPK983062:JPK983063 JZG983062:JZG983063 KJC983062:KJC983063 KSY983062:KSY983063 LCU983062:LCU983063 LMQ983062:LMQ983063 LWM983062:LWM983063 MGI983062:MGI983063 MQE983062:MQE983063 NAA983062:NAA983063 NJW983062:NJW983063 NTS983062:NTS983063 ODO983062:ODO983063 ONK983062:ONK983063 OXG983062:OXG983063 PHC983062:PHC983063 PQY983062:PQY983063 QAU983062:QAU983063 QKQ983062:QKQ983063 QUM983062:QUM983063 REI983062:REI983063 ROE983062:ROE983063 RYA983062:RYA983063 SHW983062:SHW983063 SRS983062:SRS983063 TBO983062:TBO983063 TLK983062:TLK983063 TVG983062:TVG983063 UFC983062:UFC983063 UOY983062:UOY983063 UYU983062:UYU983063 VIQ983062:VIQ983063 VSM983062:VSM983063 WCI983062:WCI983063 WME983062:WME983063 C22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8"/>
  <dimension ref="A1:CJ130"/>
  <sheetViews>
    <sheetView zoomScaleNormal="100" workbookViewId="0">
      <selection activeCell="C31" sqref="C31"/>
    </sheetView>
  </sheetViews>
  <sheetFormatPr defaultRowHeight="12.75"/>
  <cols>
    <col min="1" max="1" width="0.7109375" style="221" customWidth="1"/>
    <col min="2" max="2" width="0.42578125" style="221" customWidth="1"/>
    <col min="3" max="3" width="0.5703125" style="221" customWidth="1"/>
    <col min="4" max="4" width="0.28515625" style="221" customWidth="1"/>
    <col min="5" max="5" width="3.42578125" style="278" customWidth="1"/>
    <col min="6" max="6" width="0.5703125" style="278" customWidth="1"/>
    <col min="7" max="7" width="0.7109375" style="278" customWidth="1"/>
    <col min="8" max="10" width="0.7109375" style="279" customWidth="1"/>
    <col min="11" max="26" width="0.7109375" style="280" customWidth="1"/>
    <col min="27" max="27" width="0.5703125" style="280" customWidth="1"/>
    <col min="28" max="28" width="2.710937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14062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140625" style="280" customWidth="1"/>
    <col min="63" max="63" width="0.5703125" style="280" customWidth="1"/>
    <col min="64" max="64" width="2.140625" style="280" customWidth="1"/>
    <col min="65" max="65" width="0.5703125" style="280" customWidth="1"/>
    <col min="66" max="66" width="2.140625" style="280" customWidth="1"/>
    <col min="67" max="67" width="0.5703125" style="280" customWidth="1"/>
    <col min="68" max="68" width="2.140625" style="280" customWidth="1"/>
    <col min="69" max="69" width="0.5703125" style="280" customWidth="1"/>
    <col min="70" max="70" width="2.140625" style="280" customWidth="1"/>
    <col min="71" max="71" width="0.5703125" style="280" customWidth="1"/>
    <col min="72" max="72" width="2.140625" style="280" customWidth="1"/>
    <col min="73" max="73" width="0.5703125" style="280" customWidth="1"/>
    <col min="74" max="74" width="2.140625" style="280" customWidth="1"/>
    <col min="75" max="75" width="0.5703125" style="280" customWidth="1"/>
    <col min="76" max="76" width="2.140625" style="280" customWidth="1"/>
    <col min="77" max="77" width="0.5703125" style="280" customWidth="1"/>
    <col min="78" max="78" width="2.140625" style="280" customWidth="1"/>
    <col min="79" max="79" width="0.5703125" style="280" customWidth="1"/>
    <col min="80" max="80" width="2.140625" style="280" customWidth="1"/>
    <col min="81" max="81" width="0.5703125" style="280" customWidth="1"/>
    <col min="82" max="82" width="2.140625" style="280" customWidth="1"/>
    <col min="83" max="83" width="0.5703125" style="280" customWidth="1"/>
    <col min="84" max="84" width="2.140625" style="280" customWidth="1"/>
    <col min="85" max="85" width="0.5703125" style="280" customWidth="1"/>
    <col min="86" max="86" width="1.7109375" style="221" customWidth="1"/>
    <col min="87" max="87" width="2.42578125" style="221" customWidth="1"/>
    <col min="88" max="88" width="1.28515625" style="220" customWidth="1"/>
    <col min="89" max="256" width="9.140625" style="221"/>
    <col min="257" max="257" width="0.7109375" style="221" customWidth="1"/>
    <col min="258" max="258" width="0.42578125" style="221" customWidth="1"/>
    <col min="259" max="259" width="0.5703125" style="221" customWidth="1"/>
    <col min="260" max="260" width="0.28515625" style="221" customWidth="1"/>
    <col min="261" max="261" width="3.42578125" style="221" customWidth="1"/>
    <col min="262" max="262" width="0.5703125" style="221" customWidth="1"/>
    <col min="263" max="282" width="0.7109375" style="221" customWidth="1"/>
    <col min="283" max="283" width="0.5703125" style="221" customWidth="1"/>
    <col min="284" max="284" width="2.710937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14062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140625" style="221" customWidth="1"/>
    <col min="319" max="319" width="0.5703125" style="221" customWidth="1"/>
    <col min="320" max="320" width="2.140625" style="221" customWidth="1"/>
    <col min="321" max="321" width="0.5703125" style="221" customWidth="1"/>
    <col min="322" max="322" width="2.140625" style="221" customWidth="1"/>
    <col min="323" max="323" width="0.5703125" style="221" customWidth="1"/>
    <col min="324" max="324" width="2.140625" style="221" customWidth="1"/>
    <col min="325" max="325" width="0.5703125" style="221" customWidth="1"/>
    <col min="326" max="326" width="2.140625" style="221" customWidth="1"/>
    <col min="327" max="327" width="0.5703125" style="221" customWidth="1"/>
    <col min="328" max="328" width="2.140625" style="221" customWidth="1"/>
    <col min="329" max="329" width="0.5703125" style="221" customWidth="1"/>
    <col min="330" max="330" width="2.140625" style="221" customWidth="1"/>
    <col min="331" max="331" width="0.5703125" style="221" customWidth="1"/>
    <col min="332" max="332" width="2.140625" style="221" customWidth="1"/>
    <col min="333" max="333" width="0.5703125" style="221" customWidth="1"/>
    <col min="334" max="334" width="2.140625" style="221" customWidth="1"/>
    <col min="335" max="335" width="0.5703125" style="221" customWidth="1"/>
    <col min="336" max="336" width="2.140625" style="221" customWidth="1"/>
    <col min="337" max="337" width="0.5703125" style="221" customWidth="1"/>
    <col min="338" max="338" width="2.140625" style="221" customWidth="1"/>
    <col min="339" max="339" width="0.5703125" style="221" customWidth="1"/>
    <col min="340" max="340" width="2.140625" style="221" customWidth="1"/>
    <col min="341" max="341" width="0.5703125" style="221" customWidth="1"/>
    <col min="342" max="342" width="1.7109375" style="221" customWidth="1"/>
    <col min="343" max="343" width="2.42578125" style="221" customWidth="1"/>
    <col min="344" max="344" width="1.28515625" style="221" customWidth="1"/>
    <col min="345" max="512" width="9.140625" style="221"/>
    <col min="513" max="513" width="0.7109375" style="221" customWidth="1"/>
    <col min="514" max="514" width="0.42578125" style="221" customWidth="1"/>
    <col min="515" max="515" width="0.5703125" style="221" customWidth="1"/>
    <col min="516" max="516" width="0.28515625" style="221" customWidth="1"/>
    <col min="517" max="517" width="3.42578125" style="221" customWidth="1"/>
    <col min="518" max="518" width="0.5703125" style="221" customWidth="1"/>
    <col min="519" max="538" width="0.7109375" style="221" customWidth="1"/>
    <col min="539" max="539" width="0.5703125" style="221" customWidth="1"/>
    <col min="540" max="540" width="2.710937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14062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140625" style="221" customWidth="1"/>
    <col min="575" max="575" width="0.5703125" style="221" customWidth="1"/>
    <col min="576" max="576" width="2.140625" style="221" customWidth="1"/>
    <col min="577" max="577" width="0.5703125" style="221" customWidth="1"/>
    <col min="578" max="578" width="2.140625" style="221" customWidth="1"/>
    <col min="579" max="579" width="0.5703125" style="221" customWidth="1"/>
    <col min="580" max="580" width="2.140625" style="221" customWidth="1"/>
    <col min="581" max="581" width="0.5703125" style="221" customWidth="1"/>
    <col min="582" max="582" width="2.140625" style="221" customWidth="1"/>
    <col min="583" max="583" width="0.5703125" style="221" customWidth="1"/>
    <col min="584" max="584" width="2.140625" style="221" customWidth="1"/>
    <col min="585" max="585" width="0.5703125" style="221" customWidth="1"/>
    <col min="586" max="586" width="2.140625" style="221" customWidth="1"/>
    <col min="587" max="587" width="0.5703125" style="221" customWidth="1"/>
    <col min="588" max="588" width="2.140625" style="221" customWidth="1"/>
    <col min="589" max="589" width="0.5703125" style="221" customWidth="1"/>
    <col min="590" max="590" width="2.140625" style="221" customWidth="1"/>
    <col min="591" max="591" width="0.5703125" style="221" customWidth="1"/>
    <col min="592" max="592" width="2.140625" style="221" customWidth="1"/>
    <col min="593" max="593" width="0.5703125" style="221" customWidth="1"/>
    <col min="594" max="594" width="2.140625" style="221" customWidth="1"/>
    <col min="595" max="595" width="0.5703125" style="221" customWidth="1"/>
    <col min="596" max="596" width="2.140625" style="221" customWidth="1"/>
    <col min="597" max="597" width="0.5703125" style="221" customWidth="1"/>
    <col min="598" max="598" width="1.7109375" style="221" customWidth="1"/>
    <col min="599" max="599" width="2.42578125" style="221" customWidth="1"/>
    <col min="600" max="600" width="1.28515625" style="221" customWidth="1"/>
    <col min="601" max="768" width="9.140625" style="221"/>
    <col min="769" max="769" width="0.7109375" style="221" customWidth="1"/>
    <col min="770" max="770" width="0.42578125" style="221" customWidth="1"/>
    <col min="771" max="771" width="0.5703125" style="221" customWidth="1"/>
    <col min="772" max="772" width="0.28515625" style="221" customWidth="1"/>
    <col min="773" max="773" width="3.42578125" style="221" customWidth="1"/>
    <col min="774" max="774" width="0.5703125" style="221" customWidth="1"/>
    <col min="775" max="794" width="0.7109375" style="221" customWidth="1"/>
    <col min="795" max="795" width="0.5703125" style="221" customWidth="1"/>
    <col min="796" max="796" width="2.710937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14062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140625" style="221" customWidth="1"/>
    <col min="831" max="831" width="0.5703125" style="221" customWidth="1"/>
    <col min="832" max="832" width="2.140625" style="221" customWidth="1"/>
    <col min="833" max="833" width="0.5703125" style="221" customWidth="1"/>
    <col min="834" max="834" width="2.140625" style="221" customWidth="1"/>
    <col min="835" max="835" width="0.5703125" style="221" customWidth="1"/>
    <col min="836" max="836" width="2.140625" style="221" customWidth="1"/>
    <col min="837" max="837" width="0.5703125" style="221" customWidth="1"/>
    <col min="838" max="838" width="2.140625" style="221" customWidth="1"/>
    <col min="839" max="839" width="0.5703125" style="221" customWidth="1"/>
    <col min="840" max="840" width="2.140625" style="221" customWidth="1"/>
    <col min="841" max="841" width="0.5703125" style="221" customWidth="1"/>
    <col min="842" max="842" width="2.140625" style="221" customWidth="1"/>
    <col min="843" max="843" width="0.5703125" style="221" customWidth="1"/>
    <col min="844" max="844" width="2.140625" style="221" customWidth="1"/>
    <col min="845" max="845" width="0.5703125" style="221" customWidth="1"/>
    <col min="846" max="846" width="2.140625" style="221" customWidth="1"/>
    <col min="847" max="847" width="0.5703125" style="221" customWidth="1"/>
    <col min="848" max="848" width="2.140625" style="221" customWidth="1"/>
    <col min="849" max="849" width="0.5703125" style="221" customWidth="1"/>
    <col min="850" max="850" width="2.140625" style="221" customWidth="1"/>
    <col min="851" max="851" width="0.5703125" style="221" customWidth="1"/>
    <col min="852" max="852" width="2.140625" style="221" customWidth="1"/>
    <col min="853" max="853" width="0.5703125" style="221" customWidth="1"/>
    <col min="854" max="854" width="1.7109375" style="221" customWidth="1"/>
    <col min="855" max="855" width="2.42578125" style="221" customWidth="1"/>
    <col min="856" max="856" width="1.28515625" style="221" customWidth="1"/>
    <col min="857"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42578125" style="221" customWidth="1"/>
    <col min="1030" max="1030" width="0.5703125" style="221" customWidth="1"/>
    <col min="1031" max="1050" width="0.7109375" style="221" customWidth="1"/>
    <col min="1051" max="1051" width="0.5703125" style="221" customWidth="1"/>
    <col min="1052" max="1052" width="2.710937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14062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140625" style="221" customWidth="1"/>
    <col min="1087" max="1087" width="0.5703125" style="221" customWidth="1"/>
    <col min="1088" max="1088" width="2.140625" style="221" customWidth="1"/>
    <col min="1089" max="1089" width="0.5703125" style="221" customWidth="1"/>
    <col min="1090" max="1090" width="2.140625" style="221" customWidth="1"/>
    <col min="1091" max="1091" width="0.5703125" style="221" customWidth="1"/>
    <col min="1092" max="1092" width="2.140625" style="221" customWidth="1"/>
    <col min="1093" max="1093" width="0.5703125" style="221" customWidth="1"/>
    <col min="1094" max="1094" width="2.140625" style="221" customWidth="1"/>
    <col min="1095" max="1095" width="0.5703125" style="221" customWidth="1"/>
    <col min="1096" max="1096" width="2.140625" style="221" customWidth="1"/>
    <col min="1097" max="1097" width="0.5703125" style="221" customWidth="1"/>
    <col min="1098" max="1098" width="2.140625" style="221" customWidth="1"/>
    <col min="1099" max="1099" width="0.5703125" style="221" customWidth="1"/>
    <col min="1100" max="1100" width="2.140625" style="221" customWidth="1"/>
    <col min="1101" max="1101" width="0.5703125" style="221" customWidth="1"/>
    <col min="1102" max="1102" width="2.140625" style="221" customWidth="1"/>
    <col min="1103" max="1103" width="0.5703125" style="221" customWidth="1"/>
    <col min="1104" max="1104" width="2.140625" style="221" customWidth="1"/>
    <col min="1105" max="1105" width="0.5703125" style="221" customWidth="1"/>
    <col min="1106" max="1106" width="2.140625" style="221" customWidth="1"/>
    <col min="1107" max="1107" width="0.5703125" style="221" customWidth="1"/>
    <col min="1108" max="1108" width="2.140625" style="221" customWidth="1"/>
    <col min="1109" max="1109" width="0.5703125" style="221" customWidth="1"/>
    <col min="1110" max="1110" width="1.7109375" style="221" customWidth="1"/>
    <col min="1111" max="1111" width="2.42578125" style="221" customWidth="1"/>
    <col min="1112" max="1112" width="1.28515625" style="221" customWidth="1"/>
    <col min="1113"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42578125" style="221" customWidth="1"/>
    <col min="1286" max="1286" width="0.5703125" style="221" customWidth="1"/>
    <col min="1287" max="1306" width="0.7109375" style="221" customWidth="1"/>
    <col min="1307" max="1307" width="0.5703125" style="221" customWidth="1"/>
    <col min="1308" max="1308" width="2.710937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14062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140625" style="221" customWidth="1"/>
    <col min="1343" max="1343" width="0.5703125" style="221" customWidth="1"/>
    <col min="1344" max="1344" width="2.140625" style="221" customWidth="1"/>
    <col min="1345" max="1345" width="0.5703125" style="221" customWidth="1"/>
    <col min="1346" max="1346" width="2.140625" style="221" customWidth="1"/>
    <col min="1347" max="1347" width="0.5703125" style="221" customWidth="1"/>
    <col min="1348" max="1348" width="2.140625" style="221" customWidth="1"/>
    <col min="1349" max="1349" width="0.5703125" style="221" customWidth="1"/>
    <col min="1350" max="1350" width="2.140625" style="221" customWidth="1"/>
    <col min="1351" max="1351" width="0.5703125" style="221" customWidth="1"/>
    <col min="1352" max="1352" width="2.140625" style="221" customWidth="1"/>
    <col min="1353" max="1353" width="0.5703125" style="221" customWidth="1"/>
    <col min="1354" max="1354" width="2.140625" style="221" customWidth="1"/>
    <col min="1355" max="1355" width="0.5703125" style="221" customWidth="1"/>
    <col min="1356" max="1356" width="2.140625" style="221" customWidth="1"/>
    <col min="1357" max="1357" width="0.5703125" style="221" customWidth="1"/>
    <col min="1358" max="1358" width="2.140625" style="221" customWidth="1"/>
    <col min="1359" max="1359" width="0.5703125" style="221" customWidth="1"/>
    <col min="1360" max="1360" width="2.140625" style="221" customWidth="1"/>
    <col min="1361" max="1361" width="0.5703125" style="221" customWidth="1"/>
    <col min="1362" max="1362" width="2.140625" style="221" customWidth="1"/>
    <col min="1363" max="1363" width="0.5703125" style="221" customWidth="1"/>
    <col min="1364" max="1364" width="2.140625" style="221" customWidth="1"/>
    <col min="1365" max="1365" width="0.5703125" style="221" customWidth="1"/>
    <col min="1366" max="1366" width="1.7109375" style="221" customWidth="1"/>
    <col min="1367" max="1367" width="2.42578125" style="221" customWidth="1"/>
    <col min="1368" max="1368" width="1.28515625" style="221" customWidth="1"/>
    <col min="1369"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42578125" style="221" customWidth="1"/>
    <col min="1542" max="1542" width="0.5703125" style="221" customWidth="1"/>
    <col min="1543" max="1562" width="0.7109375" style="221" customWidth="1"/>
    <col min="1563" max="1563" width="0.5703125" style="221" customWidth="1"/>
    <col min="1564" max="1564" width="2.710937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14062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140625" style="221" customWidth="1"/>
    <col min="1599" max="1599" width="0.5703125" style="221" customWidth="1"/>
    <col min="1600" max="1600" width="2.140625" style="221" customWidth="1"/>
    <col min="1601" max="1601" width="0.5703125" style="221" customWidth="1"/>
    <col min="1602" max="1602" width="2.140625" style="221" customWidth="1"/>
    <col min="1603" max="1603" width="0.5703125" style="221" customWidth="1"/>
    <col min="1604" max="1604" width="2.140625" style="221" customWidth="1"/>
    <col min="1605" max="1605" width="0.5703125" style="221" customWidth="1"/>
    <col min="1606" max="1606" width="2.140625" style="221" customWidth="1"/>
    <col min="1607" max="1607" width="0.5703125" style="221" customWidth="1"/>
    <col min="1608" max="1608" width="2.140625" style="221" customWidth="1"/>
    <col min="1609" max="1609" width="0.5703125" style="221" customWidth="1"/>
    <col min="1610" max="1610" width="2.140625" style="221" customWidth="1"/>
    <col min="1611" max="1611" width="0.5703125" style="221" customWidth="1"/>
    <col min="1612" max="1612" width="2.140625" style="221" customWidth="1"/>
    <col min="1613" max="1613" width="0.5703125" style="221" customWidth="1"/>
    <col min="1614" max="1614" width="2.140625" style="221" customWidth="1"/>
    <col min="1615" max="1615" width="0.5703125" style="221" customWidth="1"/>
    <col min="1616" max="1616" width="2.140625" style="221" customWidth="1"/>
    <col min="1617" max="1617" width="0.5703125" style="221" customWidth="1"/>
    <col min="1618" max="1618" width="2.140625" style="221" customWidth="1"/>
    <col min="1619" max="1619" width="0.5703125" style="221" customWidth="1"/>
    <col min="1620" max="1620" width="2.140625" style="221" customWidth="1"/>
    <col min="1621" max="1621" width="0.5703125" style="221" customWidth="1"/>
    <col min="1622" max="1622" width="1.7109375" style="221" customWidth="1"/>
    <col min="1623" max="1623" width="2.42578125" style="221" customWidth="1"/>
    <col min="1624" max="1624" width="1.28515625" style="221" customWidth="1"/>
    <col min="1625"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42578125" style="221" customWidth="1"/>
    <col min="1798" max="1798" width="0.5703125" style="221" customWidth="1"/>
    <col min="1799" max="1818" width="0.7109375" style="221" customWidth="1"/>
    <col min="1819" max="1819" width="0.5703125" style="221" customWidth="1"/>
    <col min="1820" max="1820" width="2.710937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14062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140625" style="221" customWidth="1"/>
    <col min="1855" max="1855" width="0.5703125" style="221" customWidth="1"/>
    <col min="1856" max="1856" width="2.140625" style="221" customWidth="1"/>
    <col min="1857" max="1857" width="0.5703125" style="221" customWidth="1"/>
    <col min="1858" max="1858" width="2.140625" style="221" customWidth="1"/>
    <col min="1859" max="1859" width="0.5703125" style="221" customWidth="1"/>
    <col min="1860" max="1860" width="2.140625" style="221" customWidth="1"/>
    <col min="1861" max="1861" width="0.5703125" style="221" customWidth="1"/>
    <col min="1862" max="1862" width="2.140625" style="221" customWidth="1"/>
    <col min="1863" max="1863" width="0.5703125" style="221" customWidth="1"/>
    <col min="1864" max="1864" width="2.140625" style="221" customWidth="1"/>
    <col min="1865" max="1865" width="0.5703125" style="221" customWidth="1"/>
    <col min="1866" max="1866" width="2.140625" style="221" customWidth="1"/>
    <col min="1867" max="1867" width="0.5703125" style="221" customWidth="1"/>
    <col min="1868" max="1868" width="2.140625" style="221" customWidth="1"/>
    <col min="1869" max="1869" width="0.5703125" style="221" customWidth="1"/>
    <col min="1870" max="1870" width="2.140625" style="221" customWidth="1"/>
    <col min="1871" max="1871" width="0.5703125" style="221" customWidth="1"/>
    <col min="1872" max="1872" width="2.140625" style="221" customWidth="1"/>
    <col min="1873" max="1873" width="0.5703125" style="221" customWidth="1"/>
    <col min="1874" max="1874" width="2.140625" style="221" customWidth="1"/>
    <col min="1875" max="1875" width="0.5703125" style="221" customWidth="1"/>
    <col min="1876" max="1876" width="2.140625" style="221" customWidth="1"/>
    <col min="1877" max="1877" width="0.5703125" style="221" customWidth="1"/>
    <col min="1878" max="1878" width="1.7109375" style="221" customWidth="1"/>
    <col min="1879" max="1879" width="2.42578125" style="221" customWidth="1"/>
    <col min="1880" max="1880" width="1.28515625" style="221" customWidth="1"/>
    <col min="1881"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42578125" style="221" customWidth="1"/>
    <col min="2054" max="2054" width="0.5703125" style="221" customWidth="1"/>
    <col min="2055" max="2074" width="0.7109375" style="221" customWidth="1"/>
    <col min="2075" max="2075" width="0.5703125" style="221" customWidth="1"/>
    <col min="2076" max="2076" width="2.710937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14062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140625" style="221" customWidth="1"/>
    <col min="2111" max="2111" width="0.5703125" style="221" customWidth="1"/>
    <col min="2112" max="2112" width="2.140625" style="221" customWidth="1"/>
    <col min="2113" max="2113" width="0.5703125" style="221" customWidth="1"/>
    <col min="2114" max="2114" width="2.140625" style="221" customWidth="1"/>
    <col min="2115" max="2115" width="0.5703125" style="221" customWidth="1"/>
    <col min="2116" max="2116" width="2.140625" style="221" customWidth="1"/>
    <col min="2117" max="2117" width="0.5703125" style="221" customWidth="1"/>
    <col min="2118" max="2118" width="2.140625" style="221" customWidth="1"/>
    <col min="2119" max="2119" width="0.5703125" style="221" customWidth="1"/>
    <col min="2120" max="2120" width="2.140625" style="221" customWidth="1"/>
    <col min="2121" max="2121" width="0.5703125" style="221" customWidth="1"/>
    <col min="2122" max="2122" width="2.140625" style="221" customWidth="1"/>
    <col min="2123" max="2123" width="0.5703125" style="221" customWidth="1"/>
    <col min="2124" max="2124" width="2.140625" style="221" customWidth="1"/>
    <col min="2125" max="2125" width="0.5703125" style="221" customWidth="1"/>
    <col min="2126" max="2126" width="2.140625" style="221" customWidth="1"/>
    <col min="2127" max="2127" width="0.5703125" style="221" customWidth="1"/>
    <col min="2128" max="2128" width="2.140625" style="221" customWidth="1"/>
    <col min="2129" max="2129" width="0.5703125" style="221" customWidth="1"/>
    <col min="2130" max="2130" width="2.140625" style="221" customWidth="1"/>
    <col min="2131" max="2131" width="0.5703125" style="221" customWidth="1"/>
    <col min="2132" max="2132" width="2.140625" style="221" customWidth="1"/>
    <col min="2133" max="2133" width="0.5703125" style="221" customWidth="1"/>
    <col min="2134" max="2134" width="1.7109375" style="221" customWidth="1"/>
    <col min="2135" max="2135" width="2.42578125" style="221" customWidth="1"/>
    <col min="2136" max="2136" width="1.28515625" style="221" customWidth="1"/>
    <col min="2137"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42578125" style="221" customWidth="1"/>
    <col min="2310" max="2310" width="0.5703125" style="221" customWidth="1"/>
    <col min="2311" max="2330" width="0.7109375" style="221" customWidth="1"/>
    <col min="2331" max="2331" width="0.5703125" style="221" customWidth="1"/>
    <col min="2332" max="2332" width="2.710937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14062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140625" style="221" customWidth="1"/>
    <col min="2367" max="2367" width="0.5703125" style="221" customWidth="1"/>
    <col min="2368" max="2368" width="2.140625" style="221" customWidth="1"/>
    <col min="2369" max="2369" width="0.5703125" style="221" customWidth="1"/>
    <col min="2370" max="2370" width="2.140625" style="221" customWidth="1"/>
    <col min="2371" max="2371" width="0.5703125" style="221" customWidth="1"/>
    <col min="2372" max="2372" width="2.140625" style="221" customWidth="1"/>
    <col min="2373" max="2373" width="0.5703125" style="221" customWidth="1"/>
    <col min="2374" max="2374" width="2.140625" style="221" customWidth="1"/>
    <col min="2375" max="2375" width="0.5703125" style="221" customWidth="1"/>
    <col min="2376" max="2376" width="2.140625" style="221" customWidth="1"/>
    <col min="2377" max="2377" width="0.5703125" style="221" customWidth="1"/>
    <col min="2378" max="2378" width="2.140625" style="221" customWidth="1"/>
    <col min="2379" max="2379" width="0.5703125" style="221" customWidth="1"/>
    <col min="2380" max="2380" width="2.140625" style="221" customWidth="1"/>
    <col min="2381" max="2381" width="0.5703125" style="221" customWidth="1"/>
    <col min="2382" max="2382" width="2.140625" style="221" customWidth="1"/>
    <col min="2383" max="2383" width="0.5703125" style="221" customWidth="1"/>
    <col min="2384" max="2384" width="2.140625" style="221" customWidth="1"/>
    <col min="2385" max="2385" width="0.5703125" style="221" customWidth="1"/>
    <col min="2386" max="2386" width="2.140625" style="221" customWidth="1"/>
    <col min="2387" max="2387" width="0.5703125" style="221" customWidth="1"/>
    <col min="2388" max="2388" width="2.140625" style="221" customWidth="1"/>
    <col min="2389" max="2389" width="0.5703125" style="221" customWidth="1"/>
    <col min="2390" max="2390" width="1.7109375" style="221" customWidth="1"/>
    <col min="2391" max="2391" width="2.42578125" style="221" customWidth="1"/>
    <col min="2392" max="2392" width="1.28515625" style="221" customWidth="1"/>
    <col min="2393"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42578125" style="221" customWidth="1"/>
    <col min="2566" max="2566" width="0.5703125" style="221" customWidth="1"/>
    <col min="2567" max="2586" width="0.7109375" style="221" customWidth="1"/>
    <col min="2587" max="2587" width="0.5703125" style="221" customWidth="1"/>
    <col min="2588" max="2588" width="2.710937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14062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140625" style="221" customWidth="1"/>
    <col min="2623" max="2623" width="0.5703125" style="221" customWidth="1"/>
    <col min="2624" max="2624" width="2.140625" style="221" customWidth="1"/>
    <col min="2625" max="2625" width="0.5703125" style="221" customWidth="1"/>
    <col min="2626" max="2626" width="2.140625" style="221" customWidth="1"/>
    <col min="2627" max="2627" width="0.5703125" style="221" customWidth="1"/>
    <col min="2628" max="2628" width="2.140625" style="221" customWidth="1"/>
    <col min="2629" max="2629" width="0.5703125" style="221" customWidth="1"/>
    <col min="2630" max="2630" width="2.140625" style="221" customWidth="1"/>
    <col min="2631" max="2631" width="0.5703125" style="221" customWidth="1"/>
    <col min="2632" max="2632" width="2.140625" style="221" customWidth="1"/>
    <col min="2633" max="2633" width="0.5703125" style="221" customWidth="1"/>
    <col min="2634" max="2634" width="2.140625" style="221" customWidth="1"/>
    <col min="2635" max="2635" width="0.5703125" style="221" customWidth="1"/>
    <col min="2636" max="2636" width="2.140625" style="221" customWidth="1"/>
    <col min="2637" max="2637" width="0.5703125" style="221" customWidth="1"/>
    <col min="2638" max="2638" width="2.140625" style="221" customWidth="1"/>
    <col min="2639" max="2639" width="0.5703125" style="221" customWidth="1"/>
    <col min="2640" max="2640" width="2.140625" style="221" customWidth="1"/>
    <col min="2641" max="2641" width="0.5703125" style="221" customWidth="1"/>
    <col min="2642" max="2642" width="2.140625" style="221" customWidth="1"/>
    <col min="2643" max="2643" width="0.5703125" style="221" customWidth="1"/>
    <col min="2644" max="2644" width="2.140625" style="221" customWidth="1"/>
    <col min="2645" max="2645" width="0.5703125" style="221" customWidth="1"/>
    <col min="2646" max="2646" width="1.7109375" style="221" customWidth="1"/>
    <col min="2647" max="2647" width="2.42578125" style="221" customWidth="1"/>
    <col min="2648" max="2648" width="1.28515625" style="221" customWidth="1"/>
    <col min="2649"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42578125" style="221" customWidth="1"/>
    <col min="2822" max="2822" width="0.5703125" style="221" customWidth="1"/>
    <col min="2823" max="2842" width="0.7109375" style="221" customWidth="1"/>
    <col min="2843" max="2843" width="0.5703125" style="221" customWidth="1"/>
    <col min="2844" max="2844" width="2.710937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14062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140625" style="221" customWidth="1"/>
    <col min="2879" max="2879" width="0.5703125" style="221" customWidth="1"/>
    <col min="2880" max="2880" width="2.140625" style="221" customWidth="1"/>
    <col min="2881" max="2881" width="0.5703125" style="221" customWidth="1"/>
    <col min="2882" max="2882" width="2.140625" style="221" customWidth="1"/>
    <col min="2883" max="2883" width="0.5703125" style="221" customWidth="1"/>
    <col min="2884" max="2884" width="2.140625" style="221" customWidth="1"/>
    <col min="2885" max="2885" width="0.5703125" style="221" customWidth="1"/>
    <col min="2886" max="2886" width="2.140625" style="221" customWidth="1"/>
    <col min="2887" max="2887" width="0.5703125" style="221" customWidth="1"/>
    <col min="2888" max="2888" width="2.140625" style="221" customWidth="1"/>
    <col min="2889" max="2889" width="0.5703125" style="221" customWidth="1"/>
    <col min="2890" max="2890" width="2.140625" style="221" customWidth="1"/>
    <col min="2891" max="2891" width="0.5703125" style="221" customWidth="1"/>
    <col min="2892" max="2892" width="2.140625" style="221" customWidth="1"/>
    <col min="2893" max="2893" width="0.5703125" style="221" customWidth="1"/>
    <col min="2894" max="2894" width="2.140625" style="221" customWidth="1"/>
    <col min="2895" max="2895" width="0.5703125" style="221" customWidth="1"/>
    <col min="2896" max="2896" width="2.140625" style="221" customWidth="1"/>
    <col min="2897" max="2897" width="0.5703125" style="221" customWidth="1"/>
    <col min="2898" max="2898" width="2.140625" style="221" customWidth="1"/>
    <col min="2899" max="2899" width="0.5703125" style="221" customWidth="1"/>
    <col min="2900" max="2900" width="2.140625" style="221" customWidth="1"/>
    <col min="2901" max="2901" width="0.5703125" style="221" customWidth="1"/>
    <col min="2902" max="2902" width="1.7109375" style="221" customWidth="1"/>
    <col min="2903" max="2903" width="2.42578125" style="221" customWidth="1"/>
    <col min="2904" max="2904" width="1.28515625" style="221" customWidth="1"/>
    <col min="2905"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42578125" style="221" customWidth="1"/>
    <col min="3078" max="3078" width="0.5703125" style="221" customWidth="1"/>
    <col min="3079" max="3098" width="0.7109375" style="221" customWidth="1"/>
    <col min="3099" max="3099" width="0.5703125" style="221" customWidth="1"/>
    <col min="3100" max="3100" width="2.710937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14062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140625" style="221" customWidth="1"/>
    <col min="3135" max="3135" width="0.5703125" style="221" customWidth="1"/>
    <col min="3136" max="3136" width="2.140625" style="221" customWidth="1"/>
    <col min="3137" max="3137" width="0.5703125" style="221" customWidth="1"/>
    <col min="3138" max="3138" width="2.140625" style="221" customWidth="1"/>
    <col min="3139" max="3139" width="0.5703125" style="221" customWidth="1"/>
    <col min="3140" max="3140" width="2.140625" style="221" customWidth="1"/>
    <col min="3141" max="3141" width="0.5703125" style="221" customWidth="1"/>
    <col min="3142" max="3142" width="2.140625" style="221" customWidth="1"/>
    <col min="3143" max="3143" width="0.5703125" style="221" customWidth="1"/>
    <col min="3144" max="3144" width="2.140625" style="221" customWidth="1"/>
    <col min="3145" max="3145" width="0.5703125" style="221" customWidth="1"/>
    <col min="3146" max="3146" width="2.140625" style="221" customWidth="1"/>
    <col min="3147" max="3147" width="0.5703125" style="221" customWidth="1"/>
    <col min="3148" max="3148" width="2.140625" style="221" customWidth="1"/>
    <col min="3149" max="3149" width="0.5703125" style="221" customWidth="1"/>
    <col min="3150" max="3150" width="2.140625" style="221" customWidth="1"/>
    <col min="3151" max="3151" width="0.5703125" style="221" customWidth="1"/>
    <col min="3152" max="3152" width="2.140625" style="221" customWidth="1"/>
    <col min="3153" max="3153" width="0.5703125" style="221" customWidth="1"/>
    <col min="3154" max="3154" width="2.140625" style="221" customWidth="1"/>
    <col min="3155" max="3155" width="0.5703125" style="221" customWidth="1"/>
    <col min="3156" max="3156" width="2.140625" style="221" customWidth="1"/>
    <col min="3157" max="3157" width="0.5703125" style="221" customWidth="1"/>
    <col min="3158" max="3158" width="1.7109375" style="221" customWidth="1"/>
    <col min="3159" max="3159" width="2.42578125" style="221" customWidth="1"/>
    <col min="3160" max="3160" width="1.28515625" style="221" customWidth="1"/>
    <col min="3161"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42578125" style="221" customWidth="1"/>
    <col min="3334" max="3334" width="0.5703125" style="221" customWidth="1"/>
    <col min="3335" max="3354" width="0.7109375" style="221" customWidth="1"/>
    <col min="3355" max="3355" width="0.5703125" style="221" customWidth="1"/>
    <col min="3356" max="3356" width="2.710937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14062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140625" style="221" customWidth="1"/>
    <col min="3391" max="3391" width="0.5703125" style="221" customWidth="1"/>
    <col min="3392" max="3392" width="2.140625" style="221" customWidth="1"/>
    <col min="3393" max="3393" width="0.5703125" style="221" customWidth="1"/>
    <col min="3394" max="3394" width="2.140625" style="221" customWidth="1"/>
    <col min="3395" max="3395" width="0.5703125" style="221" customWidth="1"/>
    <col min="3396" max="3396" width="2.140625" style="221" customWidth="1"/>
    <col min="3397" max="3397" width="0.5703125" style="221" customWidth="1"/>
    <col min="3398" max="3398" width="2.140625" style="221" customWidth="1"/>
    <col min="3399" max="3399" width="0.5703125" style="221" customWidth="1"/>
    <col min="3400" max="3400" width="2.140625" style="221" customWidth="1"/>
    <col min="3401" max="3401" width="0.5703125" style="221" customWidth="1"/>
    <col min="3402" max="3402" width="2.140625" style="221" customWidth="1"/>
    <col min="3403" max="3403" width="0.5703125" style="221" customWidth="1"/>
    <col min="3404" max="3404" width="2.140625" style="221" customWidth="1"/>
    <col min="3405" max="3405" width="0.5703125" style="221" customWidth="1"/>
    <col min="3406" max="3406" width="2.140625" style="221" customWidth="1"/>
    <col min="3407" max="3407" width="0.5703125" style="221" customWidth="1"/>
    <col min="3408" max="3408" width="2.140625" style="221" customWidth="1"/>
    <col min="3409" max="3409" width="0.5703125" style="221" customWidth="1"/>
    <col min="3410" max="3410" width="2.140625" style="221" customWidth="1"/>
    <col min="3411" max="3411" width="0.5703125" style="221" customWidth="1"/>
    <col min="3412" max="3412" width="2.140625" style="221" customWidth="1"/>
    <col min="3413" max="3413" width="0.5703125" style="221" customWidth="1"/>
    <col min="3414" max="3414" width="1.7109375" style="221" customWidth="1"/>
    <col min="3415" max="3415" width="2.42578125" style="221" customWidth="1"/>
    <col min="3416" max="3416" width="1.28515625" style="221" customWidth="1"/>
    <col min="3417"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42578125" style="221" customWidth="1"/>
    <col min="3590" max="3590" width="0.5703125" style="221" customWidth="1"/>
    <col min="3591" max="3610" width="0.7109375" style="221" customWidth="1"/>
    <col min="3611" max="3611" width="0.5703125" style="221" customWidth="1"/>
    <col min="3612" max="3612" width="2.710937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14062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140625" style="221" customWidth="1"/>
    <col min="3647" max="3647" width="0.5703125" style="221" customWidth="1"/>
    <col min="3648" max="3648" width="2.140625" style="221" customWidth="1"/>
    <col min="3649" max="3649" width="0.5703125" style="221" customWidth="1"/>
    <col min="3650" max="3650" width="2.140625" style="221" customWidth="1"/>
    <col min="3651" max="3651" width="0.5703125" style="221" customWidth="1"/>
    <col min="3652" max="3652" width="2.140625" style="221" customWidth="1"/>
    <col min="3653" max="3653" width="0.5703125" style="221" customWidth="1"/>
    <col min="3654" max="3654" width="2.140625" style="221" customWidth="1"/>
    <col min="3655" max="3655" width="0.5703125" style="221" customWidth="1"/>
    <col min="3656" max="3656" width="2.140625" style="221" customWidth="1"/>
    <col min="3657" max="3657" width="0.5703125" style="221" customWidth="1"/>
    <col min="3658" max="3658" width="2.140625" style="221" customWidth="1"/>
    <col min="3659" max="3659" width="0.5703125" style="221" customWidth="1"/>
    <col min="3660" max="3660" width="2.140625" style="221" customWidth="1"/>
    <col min="3661" max="3661" width="0.5703125" style="221" customWidth="1"/>
    <col min="3662" max="3662" width="2.140625" style="221" customWidth="1"/>
    <col min="3663" max="3663" width="0.5703125" style="221" customWidth="1"/>
    <col min="3664" max="3664" width="2.140625" style="221" customWidth="1"/>
    <col min="3665" max="3665" width="0.5703125" style="221" customWidth="1"/>
    <col min="3666" max="3666" width="2.140625" style="221" customWidth="1"/>
    <col min="3667" max="3667" width="0.5703125" style="221" customWidth="1"/>
    <col min="3668" max="3668" width="2.140625" style="221" customWidth="1"/>
    <col min="3669" max="3669" width="0.5703125" style="221" customWidth="1"/>
    <col min="3670" max="3670" width="1.7109375" style="221" customWidth="1"/>
    <col min="3671" max="3671" width="2.42578125" style="221" customWidth="1"/>
    <col min="3672" max="3672" width="1.28515625" style="221" customWidth="1"/>
    <col min="3673"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42578125" style="221" customWidth="1"/>
    <col min="3846" max="3846" width="0.5703125" style="221" customWidth="1"/>
    <col min="3847" max="3866" width="0.7109375" style="221" customWidth="1"/>
    <col min="3867" max="3867" width="0.5703125" style="221" customWidth="1"/>
    <col min="3868" max="3868" width="2.710937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14062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140625" style="221" customWidth="1"/>
    <col min="3903" max="3903" width="0.5703125" style="221" customWidth="1"/>
    <col min="3904" max="3904" width="2.140625" style="221" customWidth="1"/>
    <col min="3905" max="3905" width="0.5703125" style="221" customWidth="1"/>
    <col min="3906" max="3906" width="2.140625" style="221" customWidth="1"/>
    <col min="3907" max="3907" width="0.5703125" style="221" customWidth="1"/>
    <col min="3908" max="3908" width="2.140625" style="221" customWidth="1"/>
    <col min="3909" max="3909" width="0.5703125" style="221" customWidth="1"/>
    <col min="3910" max="3910" width="2.140625" style="221" customWidth="1"/>
    <col min="3911" max="3911" width="0.5703125" style="221" customWidth="1"/>
    <col min="3912" max="3912" width="2.140625" style="221" customWidth="1"/>
    <col min="3913" max="3913" width="0.5703125" style="221" customWidth="1"/>
    <col min="3914" max="3914" width="2.140625" style="221" customWidth="1"/>
    <col min="3915" max="3915" width="0.5703125" style="221" customWidth="1"/>
    <col min="3916" max="3916" width="2.140625" style="221" customWidth="1"/>
    <col min="3917" max="3917" width="0.5703125" style="221" customWidth="1"/>
    <col min="3918" max="3918" width="2.140625" style="221" customWidth="1"/>
    <col min="3919" max="3919" width="0.5703125" style="221" customWidth="1"/>
    <col min="3920" max="3920" width="2.140625" style="221" customWidth="1"/>
    <col min="3921" max="3921" width="0.5703125" style="221" customWidth="1"/>
    <col min="3922" max="3922" width="2.140625" style="221" customWidth="1"/>
    <col min="3923" max="3923" width="0.5703125" style="221" customWidth="1"/>
    <col min="3924" max="3924" width="2.140625" style="221" customWidth="1"/>
    <col min="3925" max="3925" width="0.5703125" style="221" customWidth="1"/>
    <col min="3926" max="3926" width="1.7109375" style="221" customWidth="1"/>
    <col min="3927" max="3927" width="2.42578125" style="221" customWidth="1"/>
    <col min="3928" max="3928" width="1.28515625" style="221" customWidth="1"/>
    <col min="3929"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42578125" style="221" customWidth="1"/>
    <col min="4102" max="4102" width="0.5703125" style="221" customWidth="1"/>
    <col min="4103" max="4122" width="0.7109375" style="221" customWidth="1"/>
    <col min="4123" max="4123" width="0.5703125" style="221" customWidth="1"/>
    <col min="4124" max="4124" width="2.710937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14062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140625" style="221" customWidth="1"/>
    <col min="4159" max="4159" width="0.5703125" style="221" customWidth="1"/>
    <col min="4160" max="4160" width="2.140625" style="221" customWidth="1"/>
    <col min="4161" max="4161" width="0.5703125" style="221" customWidth="1"/>
    <col min="4162" max="4162" width="2.140625" style="221" customWidth="1"/>
    <col min="4163" max="4163" width="0.5703125" style="221" customWidth="1"/>
    <col min="4164" max="4164" width="2.140625" style="221" customWidth="1"/>
    <col min="4165" max="4165" width="0.5703125" style="221" customWidth="1"/>
    <col min="4166" max="4166" width="2.140625" style="221" customWidth="1"/>
    <col min="4167" max="4167" width="0.5703125" style="221" customWidth="1"/>
    <col min="4168" max="4168" width="2.140625" style="221" customWidth="1"/>
    <col min="4169" max="4169" width="0.5703125" style="221" customWidth="1"/>
    <col min="4170" max="4170" width="2.140625" style="221" customWidth="1"/>
    <col min="4171" max="4171" width="0.5703125" style="221" customWidth="1"/>
    <col min="4172" max="4172" width="2.140625" style="221" customWidth="1"/>
    <col min="4173" max="4173" width="0.5703125" style="221" customWidth="1"/>
    <col min="4174" max="4174" width="2.140625" style="221" customWidth="1"/>
    <col min="4175" max="4175" width="0.5703125" style="221" customWidth="1"/>
    <col min="4176" max="4176" width="2.140625" style="221" customWidth="1"/>
    <col min="4177" max="4177" width="0.5703125" style="221" customWidth="1"/>
    <col min="4178" max="4178" width="2.140625" style="221" customWidth="1"/>
    <col min="4179" max="4179" width="0.5703125" style="221" customWidth="1"/>
    <col min="4180" max="4180" width="2.140625" style="221" customWidth="1"/>
    <col min="4181" max="4181" width="0.5703125" style="221" customWidth="1"/>
    <col min="4182" max="4182" width="1.7109375" style="221" customWidth="1"/>
    <col min="4183" max="4183" width="2.42578125" style="221" customWidth="1"/>
    <col min="4184" max="4184" width="1.28515625" style="221" customWidth="1"/>
    <col min="4185"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42578125" style="221" customWidth="1"/>
    <col min="4358" max="4358" width="0.5703125" style="221" customWidth="1"/>
    <col min="4359" max="4378" width="0.7109375" style="221" customWidth="1"/>
    <col min="4379" max="4379" width="0.5703125" style="221" customWidth="1"/>
    <col min="4380" max="4380" width="2.710937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14062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140625" style="221" customWidth="1"/>
    <col min="4415" max="4415" width="0.5703125" style="221" customWidth="1"/>
    <col min="4416" max="4416" width="2.140625" style="221" customWidth="1"/>
    <col min="4417" max="4417" width="0.5703125" style="221" customWidth="1"/>
    <col min="4418" max="4418" width="2.140625" style="221" customWidth="1"/>
    <col min="4419" max="4419" width="0.5703125" style="221" customWidth="1"/>
    <col min="4420" max="4420" width="2.140625" style="221" customWidth="1"/>
    <col min="4421" max="4421" width="0.5703125" style="221" customWidth="1"/>
    <col min="4422" max="4422" width="2.140625" style="221" customWidth="1"/>
    <col min="4423" max="4423" width="0.5703125" style="221" customWidth="1"/>
    <col min="4424" max="4424" width="2.140625" style="221" customWidth="1"/>
    <col min="4425" max="4425" width="0.5703125" style="221" customWidth="1"/>
    <col min="4426" max="4426" width="2.140625" style="221" customWidth="1"/>
    <col min="4427" max="4427" width="0.5703125" style="221" customWidth="1"/>
    <col min="4428" max="4428" width="2.140625" style="221" customWidth="1"/>
    <col min="4429" max="4429" width="0.5703125" style="221" customWidth="1"/>
    <col min="4430" max="4430" width="2.140625" style="221" customWidth="1"/>
    <col min="4431" max="4431" width="0.5703125" style="221" customWidth="1"/>
    <col min="4432" max="4432" width="2.140625" style="221" customWidth="1"/>
    <col min="4433" max="4433" width="0.5703125" style="221" customWidth="1"/>
    <col min="4434" max="4434" width="2.140625" style="221" customWidth="1"/>
    <col min="4435" max="4435" width="0.5703125" style="221" customWidth="1"/>
    <col min="4436" max="4436" width="2.140625" style="221" customWidth="1"/>
    <col min="4437" max="4437" width="0.5703125" style="221" customWidth="1"/>
    <col min="4438" max="4438" width="1.7109375" style="221" customWidth="1"/>
    <col min="4439" max="4439" width="2.42578125" style="221" customWidth="1"/>
    <col min="4440" max="4440" width="1.28515625" style="221" customWidth="1"/>
    <col min="4441"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42578125" style="221" customWidth="1"/>
    <col min="4614" max="4614" width="0.5703125" style="221" customWidth="1"/>
    <col min="4615" max="4634" width="0.7109375" style="221" customWidth="1"/>
    <col min="4635" max="4635" width="0.5703125" style="221" customWidth="1"/>
    <col min="4636" max="4636" width="2.710937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14062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140625" style="221" customWidth="1"/>
    <col min="4671" max="4671" width="0.5703125" style="221" customWidth="1"/>
    <col min="4672" max="4672" width="2.140625" style="221" customWidth="1"/>
    <col min="4673" max="4673" width="0.5703125" style="221" customWidth="1"/>
    <col min="4674" max="4674" width="2.140625" style="221" customWidth="1"/>
    <col min="4675" max="4675" width="0.5703125" style="221" customWidth="1"/>
    <col min="4676" max="4676" width="2.140625" style="221" customWidth="1"/>
    <col min="4677" max="4677" width="0.5703125" style="221" customWidth="1"/>
    <col min="4678" max="4678" width="2.140625" style="221" customWidth="1"/>
    <col min="4679" max="4679" width="0.5703125" style="221" customWidth="1"/>
    <col min="4680" max="4680" width="2.140625" style="221" customWidth="1"/>
    <col min="4681" max="4681" width="0.5703125" style="221" customWidth="1"/>
    <col min="4682" max="4682" width="2.140625" style="221" customWidth="1"/>
    <col min="4683" max="4683" width="0.5703125" style="221" customWidth="1"/>
    <col min="4684" max="4684" width="2.140625" style="221" customWidth="1"/>
    <col min="4685" max="4685" width="0.5703125" style="221" customWidth="1"/>
    <col min="4686" max="4686" width="2.140625" style="221" customWidth="1"/>
    <col min="4687" max="4687" width="0.5703125" style="221" customWidth="1"/>
    <col min="4688" max="4688" width="2.140625" style="221" customWidth="1"/>
    <col min="4689" max="4689" width="0.5703125" style="221" customWidth="1"/>
    <col min="4690" max="4690" width="2.140625" style="221" customWidth="1"/>
    <col min="4691" max="4691" width="0.5703125" style="221" customWidth="1"/>
    <col min="4692" max="4692" width="2.140625" style="221" customWidth="1"/>
    <col min="4693" max="4693" width="0.5703125" style="221" customWidth="1"/>
    <col min="4694" max="4694" width="1.7109375" style="221" customWidth="1"/>
    <col min="4695" max="4695" width="2.42578125" style="221" customWidth="1"/>
    <col min="4696" max="4696" width="1.28515625" style="221" customWidth="1"/>
    <col min="4697"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42578125" style="221" customWidth="1"/>
    <col min="4870" max="4870" width="0.5703125" style="221" customWidth="1"/>
    <col min="4871" max="4890" width="0.7109375" style="221" customWidth="1"/>
    <col min="4891" max="4891" width="0.5703125" style="221" customWidth="1"/>
    <col min="4892" max="4892" width="2.710937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14062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140625" style="221" customWidth="1"/>
    <col min="4927" max="4927" width="0.5703125" style="221" customWidth="1"/>
    <col min="4928" max="4928" width="2.140625" style="221" customWidth="1"/>
    <col min="4929" max="4929" width="0.5703125" style="221" customWidth="1"/>
    <col min="4930" max="4930" width="2.140625" style="221" customWidth="1"/>
    <col min="4931" max="4931" width="0.5703125" style="221" customWidth="1"/>
    <col min="4932" max="4932" width="2.140625" style="221" customWidth="1"/>
    <col min="4933" max="4933" width="0.5703125" style="221" customWidth="1"/>
    <col min="4934" max="4934" width="2.140625" style="221" customWidth="1"/>
    <col min="4935" max="4935" width="0.5703125" style="221" customWidth="1"/>
    <col min="4936" max="4936" width="2.140625" style="221" customWidth="1"/>
    <col min="4937" max="4937" width="0.5703125" style="221" customWidth="1"/>
    <col min="4938" max="4938" width="2.140625" style="221" customWidth="1"/>
    <col min="4939" max="4939" width="0.5703125" style="221" customWidth="1"/>
    <col min="4940" max="4940" width="2.140625" style="221" customWidth="1"/>
    <col min="4941" max="4941" width="0.5703125" style="221" customWidth="1"/>
    <col min="4942" max="4942" width="2.140625" style="221" customWidth="1"/>
    <col min="4943" max="4943" width="0.5703125" style="221" customWidth="1"/>
    <col min="4944" max="4944" width="2.140625" style="221" customWidth="1"/>
    <col min="4945" max="4945" width="0.5703125" style="221" customWidth="1"/>
    <col min="4946" max="4946" width="2.140625" style="221" customWidth="1"/>
    <col min="4947" max="4947" width="0.5703125" style="221" customWidth="1"/>
    <col min="4948" max="4948" width="2.140625" style="221" customWidth="1"/>
    <col min="4949" max="4949" width="0.5703125" style="221" customWidth="1"/>
    <col min="4950" max="4950" width="1.7109375" style="221" customWidth="1"/>
    <col min="4951" max="4951" width="2.42578125" style="221" customWidth="1"/>
    <col min="4952" max="4952" width="1.28515625" style="221" customWidth="1"/>
    <col min="4953"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42578125" style="221" customWidth="1"/>
    <col min="5126" max="5126" width="0.5703125" style="221" customWidth="1"/>
    <col min="5127" max="5146" width="0.7109375" style="221" customWidth="1"/>
    <col min="5147" max="5147" width="0.5703125" style="221" customWidth="1"/>
    <col min="5148" max="5148" width="2.710937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14062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140625" style="221" customWidth="1"/>
    <col min="5183" max="5183" width="0.5703125" style="221" customWidth="1"/>
    <col min="5184" max="5184" width="2.140625" style="221" customWidth="1"/>
    <col min="5185" max="5185" width="0.5703125" style="221" customWidth="1"/>
    <col min="5186" max="5186" width="2.140625" style="221" customWidth="1"/>
    <col min="5187" max="5187" width="0.5703125" style="221" customWidth="1"/>
    <col min="5188" max="5188" width="2.140625" style="221" customWidth="1"/>
    <col min="5189" max="5189" width="0.5703125" style="221" customWidth="1"/>
    <col min="5190" max="5190" width="2.140625" style="221" customWidth="1"/>
    <col min="5191" max="5191" width="0.5703125" style="221" customWidth="1"/>
    <col min="5192" max="5192" width="2.140625" style="221" customWidth="1"/>
    <col min="5193" max="5193" width="0.5703125" style="221" customWidth="1"/>
    <col min="5194" max="5194" width="2.140625" style="221" customWidth="1"/>
    <col min="5195" max="5195" width="0.5703125" style="221" customWidth="1"/>
    <col min="5196" max="5196" width="2.140625" style="221" customWidth="1"/>
    <col min="5197" max="5197" width="0.5703125" style="221" customWidth="1"/>
    <col min="5198" max="5198" width="2.140625" style="221" customWidth="1"/>
    <col min="5199" max="5199" width="0.5703125" style="221" customWidth="1"/>
    <col min="5200" max="5200" width="2.140625" style="221" customWidth="1"/>
    <col min="5201" max="5201" width="0.5703125" style="221" customWidth="1"/>
    <col min="5202" max="5202" width="2.140625" style="221" customWidth="1"/>
    <col min="5203" max="5203" width="0.5703125" style="221" customWidth="1"/>
    <col min="5204" max="5204" width="2.140625" style="221" customWidth="1"/>
    <col min="5205" max="5205" width="0.5703125" style="221" customWidth="1"/>
    <col min="5206" max="5206" width="1.7109375" style="221" customWidth="1"/>
    <col min="5207" max="5207" width="2.42578125" style="221" customWidth="1"/>
    <col min="5208" max="5208" width="1.28515625" style="221" customWidth="1"/>
    <col min="5209"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42578125" style="221" customWidth="1"/>
    <col min="5382" max="5382" width="0.5703125" style="221" customWidth="1"/>
    <col min="5383" max="5402" width="0.7109375" style="221" customWidth="1"/>
    <col min="5403" max="5403" width="0.5703125" style="221" customWidth="1"/>
    <col min="5404" max="5404" width="2.710937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14062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140625" style="221" customWidth="1"/>
    <col min="5439" max="5439" width="0.5703125" style="221" customWidth="1"/>
    <col min="5440" max="5440" width="2.140625" style="221" customWidth="1"/>
    <col min="5441" max="5441" width="0.5703125" style="221" customWidth="1"/>
    <col min="5442" max="5442" width="2.140625" style="221" customWidth="1"/>
    <col min="5443" max="5443" width="0.5703125" style="221" customWidth="1"/>
    <col min="5444" max="5444" width="2.140625" style="221" customWidth="1"/>
    <col min="5445" max="5445" width="0.5703125" style="221" customWidth="1"/>
    <col min="5446" max="5446" width="2.140625" style="221" customWidth="1"/>
    <col min="5447" max="5447" width="0.5703125" style="221" customWidth="1"/>
    <col min="5448" max="5448" width="2.140625" style="221" customWidth="1"/>
    <col min="5449" max="5449" width="0.5703125" style="221" customWidth="1"/>
    <col min="5450" max="5450" width="2.140625" style="221" customWidth="1"/>
    <col min="5451" max="5451" width="0.5703125" style="221" customWidth="1"/>
    <col min="5452" max="5452" width="2.140625" style="221" customWidth="1"/>
    <col min="5453" max="5453" width="0.5703125" style="221" customWidth="1"/>
    <col min="5454" max="5454" width="2.140625" style="221" customWidth="1"/>
    <col min="5455" max="5455" width="0.5703125" style="221" customWidth="1"/>
    <col min="5456" max="5456" width="2.140625" style="221" customWidth="1"/>
    <col min="5457" max="5457" width="0.5703125" style="221" customWidth="1"/>
    <col min="5458" max="5458" width="2.140625" style="221" customWidth="1"/>
    <col min="5459" max="5459" width="0.5703125" style="221" customWidth="1"/>
    <col min="5460" max="5460" width="2.140625" style="221" customWidth="1"/>
    <col min="5461" max="5461" width="0.5703125" style="221" customWidth="1"/>
    <col min="5462" max="5462" width="1.7109375" style="221" customWidth="1"/>
    <col min="5463" max="5463" width="2.42578125" style="221" customWidth="1"/>
    <col min="5464" max="5464" width="1.28515625" style="221" customWidth="1"/>
    <col min="5465"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42578125" style="221" customWidth="1"/>
    <col min="5638" max="5638" width="0.5703125" style="221" customWidth="1"/>
    <col min="5639" max="5658" width="0.7109375" style="221" customWidth="1"/>
    <col min="5659" max="5659" width="0.5703125" style="221" customWidth="1"/>
    <col min="5660" max="5660" width="2.710937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14062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140625" style="221" customWidth="1"/>
    <col min="5695" max="5695" width="0.5703125" style="221" customWidth="1"/>
    <col min="5696" max="5696" width="2.140625" style="221" customWidth="1"/>
    <col min="5697" max="5697" width="0.5703125" style="221" customWidth="1"/>
    <col min="5698" max="5698" width="2.140625" style="221" customWidth="1"/>
    <col min="5699" max="5699" width="0.5703125" style="221" customWidth="1"/>
    <col min="5700" max="5700" width="2.140625" style="221" customWidth="1"/>
    <col min="5701" max="5701" width="0.5703125" style="221" customWidth="1"/>
    <col min="5702" max="5702" width="2.140625" style="221" customWidth="1"/>
    <col min="5703" max="5703" width="0.5703125" style="221" customWidth="1"/>
    <col min="5704" max="5704" width="2.140625" style="221" customWidth="1"/>
    <col min="5705" max="5705" width="0.5703125" style="221" customWidth="1"/>
    <col min="5706" max="5706" width="2.140625" style="221" customWidth="1"/>
    <col min="5707" max="5707" width="0.5703125" style="221" customWidth="1"/>
    <col min="5708" max="5708" width="2.140625" style="221" customWidth="1"/>
    <col min="5709" max="5709" width="0.5703125" style="221" customWidth="1"/>
    <col min="5710" max="5710" width="2.140625" style="221" customWidth="1"/>
    <col min="5711" max="5711" width="0.5703125" style="221" customWidth="1"/>
    <col min="5712" max="5712" width="2.140625" style="221" customWidth="1"/>
    <col min="5713" max="5713" width="0.5703125" style="221" customWidth="1"/>
    <col min="5714" max="5714" width="2.140625" style="221" customWidth="1"/>
    <col min="5715" max="5715" width="0.5703125" style="221" customWidth="1"/>
    <col min="5716" max="5716" width="2.140625" style="221" customWidth="1"/>
    <col min="5717" max="5717" width="0.5703125" style="221" customWidth="1"/>
    <col min="5718" max="5718" width="1.7109375" style="221" customWidth="1"/>
    <col min="5719" max="5719" width="2.42578125" style="221" customWidth="1"/>
    <col min="5720" max="5720" width="1.28515625" style="221" customWidth="1"/>
    <col min="5721"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42578125" style="221" customWidth="1"/>
    <col min="5894" max="5894" width="0.5703125" style="221" customWidth="1"/>
    <col min="5895" max="5914" width="0.7109375" style="221" customWidth="1"/>
    <col min="5915" max="5915" width="0.5703125" style="221" customWidth="1"/>
    <col min="5916" max="5916" width="2.710937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14062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140625" style="221" customWidth="1"/>
    <col min="5951" max="5951" width="0.5703125" style="221" customWidth="1"/>
    <col min="5952" max="5952" width="2.140625" style="221" customWidth="1"/>
    <col min="5953" max="5953" width="0.5703125" style="221" customWidth="1"/>
    <col min="5954" max="5954" width="2.140625" style="221" customWidth="1"/>
    <col min="5955" max="5955" width="0.5703125" style="221" customWidth="1"/>
    <col min="5956" max="5956" width="2.140625" style="221" customWidth="1"/>
    <col min="5957" max="5957" width="0.5703125" style="221" customWidth="1"/>
    <col min="5958" max="5958" width="2.140625" style="221" customWidth="1"/>
    <col min="5959" max="5959" width="0.5703125" style="221" customWidth="1"/>
    <col min="5960" max="5960" width="2.140625" style="221" customWidth="1"/>
    <col min="5961" max="5961" width="0.5703125" style="221" customWidth="1"/>
    <col min="5962" max="5962" width="2.140625" style="221" customWidth="1"/>
    <col min="5963" max="5963" width="0.5703125" style="221" customWidth="1"/>
    <col min="5964" max="5964" width="2.140625" style="221" customWidth="1"/>
    <col min="5965" max="5965" width="0.5703125" style="221" customWidth="1"/>
    <col min="5966" max="5966" width="2.140625" style="221" customWidth="1"/>
    <col min="5967" max="5967" width="0.5703125" style="221" customWidth="1"/>
    <col min="5968" max="5968" width="2.140625" style="221" customWidth="1"/>
    <col min="5969" max="5969" width="0.5703125" style="221" customWidth="1"/>
    <col min="5970" max="5970" width="2.140625" style="221" customWidth="1"/>
    <col min="5971" max="5971" width="0.5703125" style="221" customWidth="1"/>
    <col min="5972" max="5972" width="2.140625" style="221" customWidth="1"/>
    <col min="5973" max="5973" width="0.5703125" style="221" customWidth="1"/>
    <col min="5974" max="5974" width="1.7109375" style="221" customWidth="1"/>
    <col min="5975" max="5975" width="2.42578125" style="221" customWidth="1"/>
    <col min="5976" max="5976" width="1.28515625" style="221" customWidth="1"/>
    <col min="5977"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42578125" style="221" customWidth="1"/>
    <col min="6150" max="6150" width="0.5703125" style="221" customWidth="1"/>
    <col min="6151" max="6170" width="0.7109375" style="221" customWidth="1"/>
    <col min="6171" max="6171" width="0.5703125" style="221" customWidth="1"/>
    <col min="6172" max="6172" width="2.710937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14062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140625" style="221" customWidth="1"/>
    <col min="6207" max="6207" width="0.5703125" style="221" customWidth="1"/>
    <col min="6208" max="6208" width="2.140625" style="221" customWidth="1"/>
    <col min="6209" max="6209" width="0.5703125" style="221" customWidth="1"/>
    <col min="6210" max="6210" width="2.140625" style="221" customWidth="1"/>
    <col min="6211" max="6211" width="0.5703125" style="221" customWidth="1"/>
    <col min="6212" max="6212" width="2.140625" style="221" customWidth="1"/>
    <col min="6213" max="6213" width="0.5703125" style="221" customWidth="1"/>
    <col min="6214" max="6214" width="2.140625" style="221" customWidth="1"/>
    <col min="6215" max="6215" width="0.5703125" style="221" customWidth="1"/>
    <col min="6216" max="6216" width="2.140625" style="221" customWidth="1"/>
    <col min="6217" max="6217" width="0.5703125" style="221" customWidth="1"/>
    <col min="6218" max="6218" width="2.140625" style="221" customWidth="1"/>
    <col min="6219" max="6219" width="0.5703125" style="221" customWidth="1"/>
    <col min="6220" max="6220" width="2.140625" style="221" customWidth="1"/>
    <col min="6221" max="6221" width="0.5703125" style="221" customWidth="1"/>
    <col min="6222" max="6222" width="2.140625" style="221" customWidth="1"/>
    <col min="6223" max="6223" width="0.5703125" style="221" customWidth="1"/>
    <col min="6224" max="6224" width="2.140625" style="221" customWidth="1"/>
    <col min="6225" max="6225" width="0.5703125" style="221" customWidth="1"/>
    <col min="6226" max="6226" width="2.140625" style="221" customWidth="1"/>
    <col min="6227" max="6227" width="0.5703125" style="221" customWidth="1"/>
    <col min="6228" max="6228" width="2.140625" style="221" customWidth="1"/>
    <col min="6229" max="6229" width="0.5703125" style="221" customWidth="1"/>
    <col min="6230" max="6230" width="1.7109375" style="221" customWidth="1"/>
    <col min="6231" max="6231" width="2.42578125" style="221" customWidth="1"/>
    <col min="6232" max="6232" width="1.28515625" style="221" customWidth="1"/>
    <col min="6233"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42578125" style="221" customWidth="1"/>
    <col min="6406" max="6406" width="0.5703125" style="221" customWidth="1"/>
    <col min="6407" max="6426" width="0.7109375" style="221" customWidth="1"/>
    <col min="6427" max="6427" width="0.5703125" style="221" customWidth="1"/>
    <col min="6428" max="6428" width="2.710937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14062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140625" style="221" customWidth="1"/>
    <col min="6463" max="6463" width="0.5703125" style="221" customWidth="1"/>
    <col min="6464" max="6464" width="2.140625" style="221" customWidth="1"/>
    <col min="6465" max="6465" width="0.5703125" style="221" customWidth="1"/>
    <col min="6466" max="6466" width="2.140625" style="221" customWidth="1"/>
    <col min="6467" max="6467" width="0.5703125" style="221" customWidth="1"/>
    <col min="6468" max="6468" width="2.140625" style="221" customWidth="1"/>
    <col min="6469" max="6469" width="0.5703125" style="221" customWidth="1"/>
    <col min="6470" max="6470" width="2.140625" style="221" customWidth="1"/>
    <col min="6471" max="6471" width="0.5703125" style="221" customWidth="1"/>
    <col min="6472" max="6472" width="2.140625" style="221" customWidth="1"/>
    <col min="6473" max="6473" width="0.5703125" style="221" customWidth="1"/>
    <col min="6474" max="6474" width="2.140625" style="221" customWidth="1"/>
    <col min="6475" max="6475" width="0.5703125" style="221" customWidth="1"/>
    <col min="6476" max="6476" width="2.140625" style="221" customWidth="1"/>
    <col min="6477" max="6477" width="0.5703125" style="221" customWidth="1"/>
    <col min="6478" max="6478" width="2.140625" style="221" customWidth="1"/>
    <col min="6479" max="6479" width="0.5703125" style="221" customWidth="1"/>
    <col min="6480" max="6480" width="2.140625" style="221" customWidth="1"/>
    <col min="6481" max="6481" width="0.5703125" style="221" customWidth="1"/>
    <col min="6482" max="6482" width="2.140625" style="221" customWidth="1"/>
    <col min="6483" max="6483" width="0.5703125" style="221" customWidth="1"/>
    <col min="6484" max="6484" width="2.140625" style="221" customWidth="1"/>
    <col min="6485" max="6485" width="0.5703125" style="221" customWidth="1"/>
    <col min="6486" max="6486" width="1.7109375" style="221" customWidth="1"/>
    <col min="6487" max="6487" width="2.42578125" style="221" customWidth="1"/>
    <col min="6488" max="6488" width="1.28515625" style="221" customWidth="1"/>
    <col min="6489"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42578125" style="221" customWidth="1"/>
    <col min="6662" max="6662" width="0.5703125" style="221" customWidth="1"/>
    <col min="6663" max="6682" width="0.7109375" style="221" customWidth="1"/>
    <col min="6683" max="6683" width="0.5703125" style="221" customWidth="1"/>
    <col min="6684" max="6684" width="2.710937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14062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140625" style="221" customWidth="1"/>
    <col min="6719" max="6719" width="0.5703125" style="221" customWidth="1"/>
    <col min="6720" max="6720" width="2.140625" style="221" customWidth="1"/>
    <col min="6721" max="6721" width="0.5703125" style="221" customWidth="1"/>
    <col min="6722" max="6722" width="2.140625" style="221" customWidth="1"/>
    <col min="6723" max="6723" width="0.5703125" style="221" customWidth="1"/>
    <col min="6724" max="6724" width="2.140625" style="221" customWidth="1"/>
    <col min="6725" max="6725" width="0.5703125" style="221" customWidth="1"/>
    <col min="6726" max="6726" width="2.140625" style="221" customWidth="1"/>
    <col min="6727" max="6727" width="0.5703125" style="221" customWidth="1"/>
    <col min="6728" max="6728" width="2.140625" style="221" customWidth="1"/>
    <col min="6729" max="6729" width="0.5703125" style="221" customWidth="1"/>
    <col min="6730" max="6730" width="2.140625" style="221" customWidth="1"/>
    <col min="6731" max="6731" width="0.5703125" style="221" customWidth="1"/>
    <col min="6732" max="6732" width="2.140625" style="221" customWidth="1"/>
    <col min="6733" max="6733" width="0.5703125" style="221" customWidth="1"/>
    <col min="6734" max="6734" width="2.140625" style="221" customWidth="1"/>
    <col min="6735" max="6735" width="0.5703125" style="221" customWidth="1"/>
    <col min="6736" max="6736" width="2.140625" style="221" customWidth="1"/>
    <col min="6737" max="6737" width="0.5703125" style="221" customWidth="1"/>
    <col min="6738" max="6738" width="2.140625" style="221" customWidth="1"/>
    <col min="6739" max="6739" width="0.5703125" style="221" customWidth="1"/>
    <col min="6740" max="6740" width="2.140625" style="221" customWidth="1"/>
    <col min="6741" max="6741" width="0.5703125" style="221" customWidth="1"/>
    <col min="6742" max="6742" width="1.7109375" style="221" customWidth="1"/>
    <col min="6743" max="6743" width="2.42578125" style="221" customWidth="1"/>
    <col min="6744" max="6744" width="1.28515625" style="221" customWidth="1"/>
    <col min="6745"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42578125" style="221" customWidth="1"/>
    <col min="6918" max="6918" width="0.5703125" style="221" customWidth="1"/>
    <col min="6919" max="6938" width="0.7109375" style="221" customWidth="1"/>
    <col min="6939" max="6939" width="0.5703125" style="221" customWidth="1"/>
    <col min="6940" max="6940" width="2.710937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14062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140625" style="221" customWidth="1"/>
    <col min="6975" max="6975" width="0.5703125" style="221" customWidth="1"/>
    <col min="6976" max="6976" width="2.140625" style="221" customWidth="1"/>
    <col min="6977" max="6977" width="0.5703125" style="221" customWidth="1"/>
    <col min="6978" max="6978" width="2.140625" style="221" customWidth="1"/>
    <col min="6979" max="6979" width="0.5703125" style="221" customWidth="1"/>
    <col min="6980" max="6980" width="2.140625" style="221" customWidth="1"/>
    <col min="6981" max="6981" width="0.5703125" style="221" customWidth="1"/>
    <col min="6982" max="6982" width="2.140625" style="221" customWidth="1"/>
    <col min="6983" max="6983" width="0.5703125" style="221" customWidth="1"/>
    <col min="6984" max="6984" width="2.140625" style="221" customWidth="1"/>
    <col min="6985" max="6985" width="0.5703125" style="221" customWidth="1"/>
    <col min="6986" max="6986" width="2.140625" style="221" customWidth="1"/>
    <col min="6987" max="6987" width="0.5703125" style="221" customWidth="1"/>
    <col min="6988" max="6988" width="2.140625" style="221" customWidth="1"/>
    <col min="6989" max="6989" width="0.5703125" style="221" customWidth="1"/>
    <col min="6990" max="6990" width="2.140625" style="221" customWidth="1"/>
    <col min="6991" max="6991" width="0.5703125" style="221" customWidth="1"/>
    <col min="6992" max="6992" width="2.140625" style="221" customWidth="1"/>
    <col min="6993" max="6993" width="0.5703125" style="221" customWidth="1"/>
    <col min="6994" max="6994" width="2.140625" style="221" customWidth="1"/>
    <col min="6995" max="6995" width="0.5703125" style="221" customWidth="1"/>
    <col min="6996" max="6996" width="2.140625" style="221" customWidth="1"/>
    <col min="6997" max="6997" width="0.5703125" style="221" customWidth="1"/>
    <col min="6998" max="6998" width="1.7109375" style="221" customWidth="1"/>
    <col min="6999" max="6999" width="2.42578125" style="221" customWidth="1"/>
    <col min="7000" max="7000" width="1.28515625" style="221" customWidth="1"/>
    <col min="7001"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42578125" style="221" customWidth="1"/>
    <col min="7174" max="7174" width="0.5703125" style="221" customWidth="1"/>
    <col min="7175" max="7194" width="0.7109375" style="221" customWidth="1"/>
    <col min="7195" max="7195" width="0.5703125" style="221" customWidth="1"/>
    <col min="7196" max="7196" width="2.710937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14062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140625" style="221" customWidth="1"/>
    <col min="7231" max="7231" width="0.5703125" style="221" customWidth="1"/>
    <col min="7232" max="7232" width="2.140625" style="221" customWidth="1"/>
    <col min="7233" max="7233" width="0.5703125" style="221" customWidth="1"/>
    <col min="7234" max="7234" width="2.140625" style="221" customWidth="1"/>
    <col min="7235" max="7235" width="0.5703125" style="221" customWidth="1"/>
    <col min="7236" max="7236" width="2.140625" style="221" customWidth="1"/>
    <col min="7237" max="7237" width="0.5703125" style="221" customWidth="1"/>
    <col min="7238" max="7238" width="2.140625" style="221" customWidth="1"/>
    <col min="7239" max="7239" width="0.5703125" style="221" customWidth="1"/>
    <col min="7240" max="7240" width="2.140625" style="221" customWidth="1"/>
    <col min="7241" max="7241" width="0.5703125" style="221" customWidth="1"/>
    <col min="7242" max="7242" width="2.140625" style="221" customWidth="1"/>
    <col min="7243" max="7243" width="0.5703125" style="221" customWidth="1"/>
    <col min="7244" max="7244" width="2.140625" style="221" customWidth="1"/>
    <col min="7245" max="7245" width="0.5703125" style="221" customWidth="1"/>
    <col min="7246" max="7246" width="2.140625" style="221" customWidth="1"/>
    <col min="7247" max="7247" width="0.5703125" style="221" customWidth="1"/>
    <col min="7248" max="7248" width="2.140625" style="221" customWidth="1"/>
    <col min="7249" max="7249" width="0.5703125" style="221" customWidth="1"/>
    <col min="7250" max="7250" width="2.140625" style="221" customWidth="1"/>
    <col min="7251" max="7251" width="0.5703125" style="221" customWidth="1"/>
    <col min="7252" max="7252" width="2.140625" style="221" customWidth="1"/>
    <col min="7253" max="7253" width="0.5703125" style="221" customWidth="1"/>
    <col min="7254" max="7254" width="1.7109375" style="221" customWidth="1"/>
    <col min="7255" max="7255" width="2.42578125" style="221" customWidth="1"/>
    <col min="7256" max="7256" width="1.28515625" style="221" customWidth="1"/>
    <col min="7257"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42578125" style="221" customWidth="1"/>
    <col min="7430" max="7430" width="0.5703125" style="221" customWidth="1"/>
    <col min="7431" max="7450" width="0.7109375" style="221" customWidth="1"/>
    <col min="7451" max="7451" width="0.5703125" style="221" customWidth="1"/>
    <col min="7452" max="7452" width="2.710937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14062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140625" style="221" customWidth="1"/>
    <col min="7487" max="7487" width="0.5703125" style="221" customWidth="1"/>
    <col min="7488" max="7488" width="2.140625" style="221" customWidth="1"/>
    <col min="7489" max="7489" width="0.5703125" style="221" customWidth="1"/>
    <col min="7490" max="7490" width="2.140625" style="221" customWidth="1"/>
    <col min="7491" max="7491" width="0.5703125" style="221" customWidth="1"/>
    <col min="7492" max="7492" width="2.140625" style="221" customWidth="1"/>
    <col min="7493" max="7493" width="0.5703125" style="221" customWidth="1"/>
    <col min="7494" max="7494" width="2.140625" style="221" customWidth="1"/>
    <col min="7495" max="7495" width="0.5703125" style="221" customWidth="1"/>
    <col min="7496" max="7496" width="2.140625" style="221" customWidth="1"/>
    <col min="7497" max="7497" width="0.5703125" style="221" customWidth="1"/>
    <col min="7498" max="7498" width="2.140625" style="221" customWidth="1"/>
    <col min="7499" max="7499" width="0.5703125" style="221" customWidth="1"/>
    <col min="7500" max="7500" width="2.140625" style="221" customWidth="1"/>
    <col min="7501" max="7501" width="0.5703125" style="221" customWidth="1"/>
    <col min="7502" max="7502" width="2.140625" style="221" customWidth="1"/>
    <col min="7503" max="7503" width="0.5703125" style="221" customWidth="1"/>
    <col min="7504" max="7504" width="2.140625" style="221" customWidth="1"/>
    <col min="7505" max="7505" width="0.5703125" style="221" customWidth="1"/>
    <col min="7506" max="7506" width="2.140625" style="221" customWidth="1"/>
    <col min="7507" max="7507" width="0.5703125" style="221" customWidth="1"/>
    <col min="7508" max="7508" width="2.140625" style="221" customWidth="1"/>
    <col min="7509" max="7509" width="0.5703125" style="221" customWidth="1"/>
    <col min="7510" max="7510" width="1.7109375" style="221" customWidth="1"/>
    <col min="7511" max="7511" width="2.42578125" style="221" customWidth="1"/>
    <col min="7512" max="7512" width="1.28515625" style="221" customWidth="1"/>
    <col min="7513"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42578125" style="221" customWidth="1"/>
    <col min="7686" max="7686" width="0.5703125" style="221" customWidth="1"/>
    <col min="7687" max="7706" width="0.7109375" style="221" customWidth="1"/>
    <col min="7707" max="7707" width="0.5703125" style="221" customWidth="1"/>
    <col min="7708" max="7708" width="2.710937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14062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140625" style="221" customWidth="1"/>
    <col min="7743" max="7743" width="0.5703125" style="221" customWidth="1"/>
    <col min="7744" max="7744" width="2.140625" style="221" customWidth="1"/>
    <col min="7745" max="7745" width="0.5703125" style="221" customWidth="1"/>
    <col min="7746" max="7746" width="2.140625" style="221" customWidth="1"/>
    <col min="7747" max="7747" width="0.5703125" style="221" customWidth="1"/>
    <col min="7748" max="7748" width="2.140625" style="221" customWidth="1"/>
    <col min="7749" max="7749" width="0.5703125" style="221" customWidth="1"/>
    <col min="7750" max="7750" width="2.140625" style="221" customWidth="1"/>
    <col min="7751" max="7751" width="0.5703125" style="221" customWidth="1"/>
    <col min="7752" max="7752" width="2.140625" style="221" customWidth="1"/>
    <col min="7753" max="7753" width="0.5703125" style="221" customWidth="1"/>
    <col min="7754" max="7754" width="2.140625" style="221" customWidth="1"/>
    <col min="7755" max="7755" width="0.5703125" style="221" customWidth="1"/>
    <col min="7756" max="7756" width="2.140625" style="221" customWidth="1"/>
    <col min="7757" max="7757" width="0.5703125" style="221" customWidth="1"/>
    <col min="7758" max="7758" width="2.140625" style="221" customWidth="1"/>
    <col min="7759" max="7759" width="0.5703125" style="221" customWidth="1"/>
    <col min="7760" max="7760" width="2.140625" style="221" customWidth="1"/>
    <col min="7761" max="7761" width="0.5703125" style="221" customWidth="1"/>
    <col min="7762" max="7762" width="2.140625" style="221" customWidth="1"/>
    <col min="7763" max="7763" width="0.5703125" style="221" customWidth="1"/>
    <col min="7764" max="7764" width="2.140625" style="221" customWidth="1"/>
    <col min="7765" max="7765" width="0.5703125" style="221" customWidth="1"/>
    <col min="7766" max="7766" width="1.7109375" style="221" customWidth="1"/>
    <col min="7767" max="7767" width="2.42578125" style="221" customWidth="1"/>
    <col min="7768" max="7768" width="1.28515625" style="221" customWidth="1"/>
    <col min="7769"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42578125" style="221" customWidth="1"/>
    <col min="7942" max="7942" width="0.5703125" style="221" customWidth="1"/>
    <col min="7943" max="7962" width="0.7109375" style="221" customWidth="1"/>
    <col min="7963" max="7963" width="0.5703125" style="221" customWidth="1"/>
    <col min="7964" max="7964" width="2.710937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14062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140625" style="221" customWidth="1"/>
    <col min="7999" max="7999" width="0.5703125" style="221" customWidth="1"/>
    <col min="8000" max="8000" width="2.140625" style="221" customWidth="1"/>
    <col min="8001" max="8001" width="0.5703125" style="221" customWidth="1"/>
    <col min="8002" max="8002" width="2.140625" style="221" customWidth="1"/>
    <col min="8003" max="8003" width="0.5703125" style="221" customWidth="1"/>
    <col min="8004" max="8004" width="2.140625" style="221" customWidth="1"/>
    <col min="8005" max="8005" width="0.5703125" style="221" customWidth="1"/>
    <col min="8006" max="8006" width="2.140625" style="221" customWidth="1"/>
    <col min="8007" max="8007" width="0.5703125" style="221" customWidth="1"/>
    <col min="8008" max="8008" width="2.140625" style="221" customWidth="1"/>
    <col min="8009" max="8009" width="0.5703125" style="221" customWidth="1"/>
    <col min="8010" max="8010" width="2.140625" style="221" customWidth="1"/>
    <col min="8011" max="8011" width="0.5703125" style="221" customWidth="1"/>
    <col min="8012" max="8012" width="2.140625" style="221" customWidth="1"/>
    <col min="8013" max="8013" width="0.5703125" style="221" customWidth="1"/>
    <col min="8014" max="8014" width="2.140625" style="221" customWidth="1"/>
    <col min="8015" max="8015" width="0.5703125" style="221" customWidth="1"/>
    <col min="8016" max="8016" width="2.140625" style="221" customWidth="1"/>
    <col min="8017" max="8017" width="0.5703125" style="221" customWidth="1"/>
    <col min="8018" max="8018" width="2.140625" style="221" customWidth="1"/>
    <col min="8019" max="8019" width="0.5703125" style="221" customWidth="1"/>
    <col min="8020" max="8020" width="2.140625" style="221" customWidth="1"/>
    <col min="8021" max="8021" width="0.5703125" style="221" customWidth="1"/>
    <col min="8022" max="8022" width="1.7109375" style="221" customWidth="1"/>
    <col min="8023" max="8023" width="2.42578125" style="221" customWidth="1"/>
    <col min="8024" max="8024" width="1.28515625" style="221" customWidth="1"/>
    <col min="8025"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42578125" style="221" customWidth="1"/>
    <col min="8198" max="8198" width="0.5703125" style="221" customWidth="1"/>
    <col min="8199" max="8218" width="0.7109375" style="221" customWidth="1"/>
    <col min="8219" max="8219" width="0.5703125" style="221" customWidth="1"/>
    <col min="8220" max="8220" width="2.710937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14062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140625" style="221" customWidth="1"/>
    <col min="8255" max="8255" width="0.5703125" style="221" customWidth="1"/>
    <col min="8256" max="8256" width="2.140625" style="221" customWidth="1"/>
    <col min="8257" max="8257" width="0.5703125" style="221" customWidth="1"/>
    <col min="8258" max="8258" width="2.140625" style="221" customWidth="1"/>
    <col min="8259" max="8259" width="0.5703125" style="221" customWidth="1"/>
    <col min="8260" max="8260" width="2.140625" style="221" customWidth="1"/>
    <col min="8261" max="8261" width="0.5703125" style="221" customWidth="1"/>
    <col min="8262" max="8262" width="2.140625" style="221" customWidth="1"/>
    <col min="8263" max="8263" width="0.5703125" style="221" customWidth="1"/>
    <col min="8264" max="8264" width="2.140625" style="221" customWidth="1"/>
    <col min="8265" max="8265" width="0.5703125" style="221" customWidth="1"/>
    <col min="8266" max="8266" width="2.140625" style="221" customWidth="1"/>
    <col min="8267" max="8267" width="0.5703125" style="221" customWidth="1"/>
    <col min="8268" max="8268" width="2.140625" style="221" customWidth="1"/>
    <col min="8269" max="8269" width="0.5703125" style="221" customWidth="1"/>
    <col min="8270" max="8270" width="2.140625" style="221" customWidth="1"/>
    <col min="8271" max="8271" width="0.5703125" style="221" customWidth="1"/>
    <col min="8272" max="8272" width="2.140625" style="221" customWidth="1"/>
    <col min="8273" max="8273" width="0.5703125" style="221" customWidth="1"/>
    <col min="8274" max="8274" width="2.140625" style="221" customWidth="1"/>
    <col min="8275" max="8275" width="0.5703125" style="221" customWidth="1"/>
    <col min="8276" max="8276" width="2.140625" style="221" customWidth="1"/>
    <col min="8277" max="8277" width="0.5703125" style="221" customWidth="1"/>
    <col min="8278" max="8278" width="1.7109375" style="221" customWidth="1"/>
    <col min="8279" max="8279" width="2.42578125" style="221" customWidth="1"/>
    <col min="8280" max="8280" width="1.28515625" style="221" customWidth="1"/>
    <col min="8281"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42578125" style="221" customWidth="1"/>
    <col min="8454" max="8454" width="0.5703125" style="221" customWidth="1"/>
    <col min="8455" max="8474" width="0.7109375" style="221" customWidth="1"/>
    <col min="8475" max="8475" width="0.5703125" style="221" customWidth="1"/>
    <col min="8476" max="8476" width="2.710937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14062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140625" style="221" customWidth="1"/>
    <col min="8511" max="8511" width="0.5703125" style="221" customWidth="1"/>
    <col min="8512" max="8512" width="2.140625" style="221" customWidth="1"/>
    <col min="8513" max="8513" width="0.5703125" style="221" customWidth="1"/>
    <col min="8514" max="8514" width="2.140625" style="221" customWidth="1"/>
    <col min="8515" max="8515" width="0.5703125" style="221" customWidth="1"/>
    <col min="8516" max="8516" width="2.140625" style="221" customWidth="1"/>
    <col min="8517" max="8517" width="0.5703125" style="221" customWidth="1"/>
    <col min="8518" max="8518" width="2.140625" style="221" customWidth="1"/>
    <col min="8519" max="8519" width="0.5703125" style="221" customWidth="1"/>
    <col min="8520" max="8520" width="2.140625" style="221" customWidth="1"/>
    <col min="8521" max="8521" width="0.5703125" style="221" customWidth="1"/>
    <col min="8522" max="8522" width="2.140625" style="221" customWidth="1"/>
    <col min="8523" max="8523" width="0.5703125" style="221" customWidth="1"/>
    <col min="8524" max="8524" width="2.140625" style="221" customWidth="1"/>
    <col min="8525" max="8525" width="0.5703125" style="221" customWidth="1"/>
    <col min="8526" max="8526" width="2.140625" style="221" customWidth="1"/>
    <col min="8527" max="8527" width="0.5703125" style="221" customWidth="1"/>
    <col min="8528" max="8528" width="2.140625" style="221" customWidth="1"/>
    <col min="8529" max="8529" width="0.5703125" style="221" customWidth="1"/>
    <col min="8530" max="8530" width="2.140625" style="221" customWidth="1"/>
    <col min="8531" max="8531" width="0.5703125" style="221" customWidth="1"/>
    <col min="8532" max="8532" width="2.140625" style="221" customWidth="1"/>
    <col min="8533" max="8533" width="0.5703125" style="221" customWidth="1"/>
    <col min="8534" max="8534" width="1.7109375" style="221" customWidth="1"/>
    <col min="8535" max="8535" width="2.42578125" style="221" customWidth="1"/>
    <col min="8536" max="8536" width="1.28515625" style="221" customWidth="1"/>
    <col min="8537"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42578125" style="221" customWidth="1"/>
    <col min="8710" max="8710" width="0.5703125" style="221" customWidth="1"/>
    <col min="8711" max="8730" width="0.7109375" style="221" customWidth="1"/>
    <col min="8731" max="8731" width="0.5703125" style="221" customWidth="1"/>
    <col min="8732" max="8732" width="2.710937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14062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140625" style="221" customWidth="1"/>
    <col min="8767" max="8767" width="0.5703125" style="221" customWidth="1"/>
    <col min="8768" max="8768" width="2.140625" style="221" customWidth="1"/>
    <col min="8769" max="8769" width="0.5703125" style="221" customWidth="1"/>
    <col min="8770" max="8770" width="2.140625" style="221" customWidth="1"/>
    <col min="8771" max="8771" width="0.5703125" style="221" customWidth="1"/>
    <col min="8772" max="8772" width="2.140625" style="221" customWidth="1"/>
    <col min="8773" max="8773" width="0.5703125" style="221" customWidth="1"/>
    <col min="8774" max="8774" width="2.140625" style="221" customWidth="1"/>
    <col min="8775" max="8775" width="0.5703125" style="221" customWidth="1"/>
    <col min="8776" max="8776" width="2.140625" style="221" customWidth="1"/>
    <col min="8777" max="8777" width="0.5703125" style="221" customWidth="1"/>
    <col min="8778" max="8778" width="2.140625" style="221" customWidth="1"/>
    <col min="8779" max="8779" width="0.5703125" style="221" customWidth="1"/>
    <col min="8780" max="8780" width="2.140625" style="221" customWidth="1"/>
    <col min="8781" max="8781" width="0.5703125" style="221" customWidth="1"/>
    <col min="8782" max="8782" width="2.140625" style="221" customWidth="1"/>
    <col min="8783" max="8783" width="0.5703125" style="221" customWidth="1"/>
    <col min="8784" max="8784" width="2.140625" style="221" customWidth="1"/>
    <col min="8785" max="8785" width="0.5703125" style="221" customWidth="1"/>
    <col min="8786" max="8786" width="2.140625" style="221" customWidth="1"/>
    <col min="8787" max="8787" width="0.5703125" style="221" customWidth="1"/>
    <col min="8788" max="8788" width="2.140625" style="221" customWidth="1"/>
    <col min="8789" max="8789" width="0.5703125" style="221" customWidth="1"/>
    <col min="8790" max="8790" width="1.7109375" style="221" customWidth="1"/>
    <col min="8791" max="8791" width="2.42578125" style="221" customWidth="1"/>
    <col min="8792" max="8792" width="1.28515625" style="221" customWidth="1"/>
    <col min="8793"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42578125" style="221" customWidth="1"/>
    <col min="8966" max="8966" width="0.5703125" style="221" customWidth="1"/>
    <col min="8967" max="8986" width="0.7109375" style="221" customWidth="1"/>
    <col min="8987" max="8987" width="0.5703125" style="221" customWidth="1"/>
    <col min="8988" max="8988" width="2.710937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14062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140625" style="221" customWidth="1"/>
    <col min="9023" max="9023" width="0.5703125" style="221" customWidth="1"/>
    <col min="9024" max="9024" width="2.140625" style="221" customWidth="1"/>
    <col min="9025" max="9025" width="0.5703125" style="221" customWidth="1"/>
    <col min="9026" max="9026" width="2.140625" style="221" customWidth="1"/>
    <col min="9027" max="9027" width="0.5703125" style="221" customWidth="1"/>
    <col min="9028" max="9028" width="2.140625" style="221" customWidth="1"/>
    <col min="9029" max="9029" width="0.5703125" style="221" customWidth="1"/>
    <col min="9030" max="9030" width="2.140625" style="221" customWidth="1"/>
    <col min="9031" max="9031" width="0.5703125" style="221" customWidth="1"/>
    <col min="9032" max="9032" width="2.140625" style="221" customWidth="1"/>
    <col min="9033" max="9033" width="0.5703125" style="221" customWidth="1"/>
    <col min="9034" max="9034" width="2.140625" style="221" customWidth="1"/>
    <col min="9035" max="9035" width="0.5703125" style="221" customWidth="1"/>
    <col min="9036" max="9036" width="2.140625" style="221" customWidth="1"/>
    <col min="9037" max="9037" width="0.5703125" style="221" customWidth="1"/>
    <col min="9038" max="9038" width="2.140625" style="221" customWidth="1"/>
    <col min="9039" max="9039" width="0.5703125" style="221" customWidth="1"/>
    <col min="9040" max="9040" width="2.140625" style="221" customWidth="1"/>
    <col min="9041" max="9041" width="0.5703125" style="221" customWidth="1"/>
    <col min="9042" max="9042" width="2.140625" style="221" customWidth="1"/>
    <col min="9043" max="9043" width="0.5703125" style="221" customWidth="1"/>
    <col min="9044" max="9044" width="2.140625" style="221" customWidth="1"/>
    <col min="9045" max="9045" width="0.5703125" style="221" customWidth="1"/>
    <col min="9046" max="9046" width="1.7109375" style="221" customWidth="1"/>
    <col min="9047" max="9047" width="2.42578125" style="221" customWidth="1"/>
    <col min="9048" max="9048" width="1.28515625" style="221" customWidth="1"/>
    <col min="9049"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42578125" style="221" customWidth="1"/>
    <col min="9222" max="9222" width="0.5703125" style="221" customWidth="1"/>
    <col min="9223" max="9242" width="0.7109375" style="221" customWidth="1"/>
    <col min="9243" max="9243" width="0.5703125" style="221" customWidth="1"/>
    <col min="9244" max="9244" width="2.710937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14062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140625" style="221" customWidth="1"/>
    <col min="9279" max="9279" width="0.5703125" style="221" customWidth="1"/>
    <col min="9280" max="9280" width="2.140625" style="221" customWidth="1"/>
    <col min="9281" max="9281" width="0.5703125" style="221" customWidth="1"/>
    <col min="9282" max="9282" width="2.140625" style="221" customWidth="1"/>
    <col min="9283" max="9283" width="0.5703125" style="221" customWidth="1"/>
    <col min="9284" max="9284" width="2.140625" style="221" customWidth="1"/>
    <col min="9285" max="9285" width="0.5703125" style="221" customWidth="1"/>
    <col min="9286" max="9286" width="2.140625" style="221" customWidth="1"/>
    <col min="9287" max="9287" width="0.5703125" style="221" customWidth="1"/>
    <col min="9288" max="9288" width="2.140625" style="221" customWidth="1"/>
    <col min="9289" max="9289" width="0.5703125" style="221" customWidth="1"/>
    <col min="9290" max="9290" width="2.140625" style="221" customWidth="1"/>
    <col min="9291" max="9291" width="0.5703125" style="221" customWidth="1"/>
    <col min="9292" max="9292" width="2.140625" style="221" customWidth="1"/>
    <col min="9293" max="9293" width="0.5703125" style="221" customWidth="1"/>
    <col min="9294" max="9294" width="2.140625" style="221" customWidth="1"/>
    <col min="9295" max="9295" width="0.5703125" style="221" customWidth="1"/>
    <col min="9296" max="9296" width="2.140625" style="221" customWidth="1"/>
    <col min="9297" max="9297" width="0.5703125" style="221" customWidth="1"/>
    <col min="9298" max="9298" width="2.140625" style="221" customWidth="1"/>
    <col min="9299" max="9299" width="0.5703125" style="221" customWidth="1"/>
    <col min="9300" max="9300" width="2.140625" style="221" customWidth="1"/>
    <col min="9301" max="9301" width="0.5703125" style="221" customWidth="1"/>
    <col min="9302" max="9302" width="1.7109375" style="221" customWidth="1"/>
    <col min="9303" max="9303" width="2.42578125" style="221" customWidth="1"/>
    <col min="9304" max="9304" width="1.28515625" style="221" customWidth="1"/>
    <col min="9305"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42578125" style="221" customWidth="1"/>
    <col min="9478" max="9478" width="0.5703125" style="221" customWidth="1"/>
    <col min="9479" max="9498" width="0.7109375" style="221" customWidth="1"/>
    <col min="9499" max="9499" width="0.5703125" style="221" customWidth="1"/>
    <col min="9500" max="9500" width="2.710937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14062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140625" style="221" customWidth="1"/>
    <col min="9535" max="9535" width="0.5703125" style="221" customWidth="1"/>
    <col min="9536" max="9536" width="2.140625" style="221" customWidth="1"/>
    <col min="9537" max="9537" width="0.5703125" style="221" customWidth="1"/>
    <col min="9538" max="9538" width="2.140625" style="221" customWidth="1"/>
    <col min="9539" max="9539" width="0.5703125" style="221" customWidth="1"/>
    <col min="9540" max="9540" width="2.140625" style="221" customWidth="1"/>
    <col min="9541" max="9541" width="0.5703125" style="221" customWidth="1"/>
    <col min="9542" max="9542" width="2.140625" style="221" customWidth="1"/>
    <col min="9543" max="9543" width="0.5703125" style="221" customWidth="1"/>
    <col min="9544" max="9544" width="2.140625" style="221" customWidth="1"/>
    <col min="9545" max="9545" width="0.5703125" style="221" customWidth="1"/>
    <col min="9546" max="9546" width="2.140625" style="221" customWidth="1"/>
    <col min="9547" max="9547" width="0.5703125" style="221" customWidth="1"/>
    <col min="9548" max="9548" width="2.140625" style="221" customWidth="1"/>
    <col min="9549" max="9549" width="0.5703125" style="221" customWidth="1"/>
    <col min="9550" max="9550" width="2.140625" style="221" customWidth="1"/>
    <col min="9551" max="9551" width="0.5703125" style="221" customWidth="1"/>
    <col min="9552" max="9552" width="2.140625" style="221" customWidth="1"/>
    <col min="9553" max="9553" width="0.5703125" style="221" customWidth="1"/>
    <col min="9554" max="9554" width="2.140625" style="221" customWidth="1"/>
    <col min="9555" max="9555" width="0.5703125" style="221" customWidth="1"/>
    <col min="9556" max="9556" width="2.140625" style="221" customWidth="1"/>
    <col min="9557" max="9557" width="0.5703125" style="221" customWidth="1"/>
    <col min="9558" max="9558" width="1.7109375" style="221" customWidth="1"/>
    <col min="9559" max="9559" width="2.42578125" style="221" customWidth="1"/>
    <col min="9560" max="9560" width="1.28515625" style="221" customWidth="1"/>
    <col min="9561"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42578125" style="221" customWidth="1"/>
    <col min="9734" max="9734" width="0.5703125" style="221" customWidth="1"/>
    <col min="9735" max="9754" width="0.7109375" style="221" customWidth="1"/>
    <col min="9755" max="9755" width="0.5703125" style="221" customWidth="1"/>
    <col min="9756" max="9756" width="2.710937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14062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140625" style="221" customWidth="1"/>
    <col min="9791" max="9791" width="0.5703125" style="221" customWidth="1"/>
    <col min="9792" max="9792" width="2.140625" style="221" customWidth="1"/>
    <col min="9793" max="9793" width="0.5703125" style="221" customWidth="1"/>
    <col min="9794" max="9794" width="2.140625" style="221" customWidth="1"/>
    <col min="9795" max="9795" width="0.5703125" style="221" customWidth="1"/>
    <col min="9796" max="9796" width="2.140625" style="221" customWidth="1"/>
    <col min="9797" max="9797" width="0.5703125" style="221" customWidth="1"/>
    <col min="9798" max="9798" width="2.140625" style="221" customWidth="1"/>
    <col min="9799" max="9799" width="0.5703125" style="221" customWidth="1"/>
    <col min="9800" max="9800" width="2.140625" style="221" customWidth="1"/>
    <col min="9801" max="9801" width="0.5703125" style="221" customWidth="1"/>
    <col min="9802" max="9802" width="2.140625" style="221" customWidth="1"/>
    <col min="9803" max="9803" width="0.5703125" style="221" customWidth="1"/>
    <col min="9804" max="9804" width="2.140625" style="221" customWidth="1"/>
    <col min="9805" max="9805" width="0.5703125" style="221" customWidth="1"/>
    <col min="9806" max="9806" width="2.140625" style="221" customWidth="1"/>
    <col min="9807" max="9807" width="0.5703125" style="221" customWidth="1"/>
    <col min="9808" max="9808" width="2.140625" style="221" customWidth="1"/>
    <col min="9809" max="9809" width="0.5703125" style="221" customWidth="1"/>
    <col min="9810" max="9810" width="2.140625" style="221" customWidth="1"/>
    <col min="9811" max="9811" width="0.5703125" style="221" customWidth="1"/>
    <col min="9812" max="9812" width="2.140625" style="221" customWidth="1"/>
    <col min="9813" max="9813" width="0.5703125" style="221" customWidth="1"/>
    <col min="9814" max="9814" width="1.7109375" style="221" customWidth="1"/>
    <col min="9815" max="9815" width="2.42578125" style="221" customWidth="1"/>
    <col min="9816" max="9816" width="1.28515625" style="221" customWidth="1"/>
    <col min="9817"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42578125" style="221" customWidth="1"/>
    <col min="9990" max="9990" width="0.5703125" style="221" customWidth="1"/>
    <col min="9991" max="10010" width="0.7109375" style="221" customWidth="1"/>
    <col min="10011" max="10011" width="0.5703125" style="221" customWidth="1"/>
    <col min="10012" max="10012" width="2.710937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14062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140625" style="221" customWidth="1"/>
    <col min="10047" max="10047" width="0.5703125" style="221" customWidth="1"/>
    <col min="10048" max="10048" width="2.140625" style="221" customWidth="1"/>
    <col min="10049" max="10049" width="0.5703125" style="221" customWidth="1"/>
    <col min="10050" max="10050" width="2.140625" style="221" customWidth="1"/>
    <col min="10051" max="10051" width="0.5703125" style="221" customWidth="1"/>
    <col min="10052" max="10052" width="2.140625" style="221" customWidth="1"/>
    <col min="10053" max="10053" width="0.5703125" style="221" customWidth="1"/>
    <col min="10054" max="10054" width="2.140625" style="221" customWidth="1"/>
    <col min="10055" max="10055" width="0.5703125" style="221" customWidth="1"/>
    <col min="10056" max="10056" width="2.140625" style="221" customWidth="1"/>
    <col min="10057" max="10057" width="0.5703125" style="221" customWidth="1"/>
    <col min="10058" max="10058" width="2.140625" style="221" customWidth="1"/>
    <col min="10059" max="10059" width="0.5703125" style="221" customWidth="1"/>
    <col min="10060" max="10060" width="2.140625" style="221" customWidth="1"/>
    <col min="10061" max="10061" width="0.5703125" style="221" customWidth="1"/>
    <col min="10062" max="10062" width="2.140625" style="221" customWidth="1"/>
    <col min="10063" max="10063" width="0.5703125" style="221" customWidth="1"/>
    <col min="10064" max="10064" width="2.140625" style="221" customWidth="1"/>
    <col min="10065" max="10065" width="0.5703125" style="221" customWidth="1"/>
    <col min="10066" max="10066" width="2.140625" style="221" customWidth="1"/>
    <col min="10067" max="10067" width="0.5703125" style="221" customWidth="1"/>
    <col min="10068" max="10068" width="2.140625" style="221" customWidth="1"/>
    <col min="10069" max="10069" width="0.5703125" style="221" customWidth="1"/>
    <col min="10070" max="10070" width="1.7109375" style="221" customWidth="1"/>
    <col min="10071" max="10071" width="2.42578125" style="221" customWidth="1"/>
    <col min="10072" max="10072" width="1.28515625" style="221" customWidth="1"/>
    <col min="10073"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42578125" style="221" customWidth="1"/>
    <col min="10246" max="10246" width="0.5703125" style="221" customWidth="1"/>
    <col min="10247" max="10266" width="0.7109375" style="221" customWidth="1"/>
    <col min="10267" max="10267" width="0.5703125" style="221" customWidth="1"/>
    <col min="10268" max="10268" width="2.710937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14062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140625" style="221" customWidth="1"/>
    <col min="10303" max="10303" width="0.5703125" style="221" customWidth="1"/>
    <col min="10304" max="10304" width="2.140625" style="221" customWidth="1"/>
    <col min="10305" max="10305" width="0.5703125" style="221" customWidth="1"/>
    <col min="10306" max="10306" width="2.140625" style="221" customWidth="1"/>
    <col min="10307" max="10307" width="0.5703125" style="221" customWidth="1"/>
    <col min="10308" max="10308" width="2.140625" style="221" customWidth="1"/>
    <col min="10309" max="10309" width="0.5703125" style="221" customWidth="1"/>
    <col min="10310" max="10310" width="2.140625" style="221" customWidth="1"/>
    <col min="10311" max="10311" width="0.5703125" style="221" customWidth="1"/>
    <col min="10312" max="10312" width="2.140625" style="221" customWidth="1"/>
    <col min="10313" max="10313" width="0.5703125" style="221" customWidth="1"/>
    <col min="10314" max="10314" width="2.140625" style="221" customWidth="1"/>
    <col min="10315" max="10315" width="0.5703125" style="221" customWidth="1"/>
    <col min="10316" max="10316" width="2.140625" style="221" customWidth="1"/>
    <col min="10317" max="10317" width="0.5703125" style="221" customWidth="1"/>
    <col min="10318" max="10318" width="2.140625" style="221" customWidth="1"/>
    <col min="10319" max="10319" width="0.5703125" style="221" customWidth="1"/>
    <col min="10320" max="10320" width="2.140625" style="221" customWidth="1"/>
    <col min="10321" max="10321" width="0.5703125" style="221" customWidth="1"/>
    <col min="10322" max="10322" width="2.140625" style="221" customWidth="1"/>
    <col min="10323" max="10323" width="0.5703125" style="221" customWidth="1"/>
    <col min="10324" max="10324" width="2.140625" style="221" customWidth="1"/>
    <col min="10325" max="10325" width="0.5703125" style="221" customWidth="1"/>
    <col min="10326" max="10326" width="1.7109375" style="221" customWidth="1"/>
    <col min="10327" max="10327" width="2.42578125" style="221" customWidth="1"/>
    <col min="10328" max="10328" width="1.28515625" style="221" customWidth="1"/>
    <col min="10329"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42578125" style="221" customWidth="1"/>
    <col min="10502" max="10502" width="0.5703125" style="221" customWidth="1"/>
    <col min="10503" max="10522" width="0.7109375" style="221" customWidth="1"/>
    <col min="10523" max="10523" width="0.5703125" style="221" customWidth="1"/>
    <col min="10524" max="10524" width="2.710937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14062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140625" style="221" customWidth="1"/>
    <col min="10559" max="10559" width="0.5703125" style="221" customWidth="1"/>
    <col min="10560" max="10560" width="2.140625" style="221" customWidth="1"/>
    <col min="10561" max="10561" width="0.5703125" style="221" customWidth="1"/>
    <col min="10562" max="10562" width="2.140625" style="221" customWidth="1"/>
    <col min="10563" max="10563" width="0.5703125" style="221" customWidth="1"/>
    <col min="10564" max="10564" width="2.140625" style="221" customWidth="1"/>
    <col min="10565" max="10565" width="0.5703125" style="221" customWidth="1"/>
    <col min="10566" max="10566" width="2.140625" style="221" customWidth="1"/>
    <col min="10567" max="10567" width="0.5703125" style="221" customWidth="1"/>
    <col min="10568" max="10568" width="2.140625" style="221" customWidth="1"/>
    <col min="10569" max="10569" width="0.5703125" style="221" customWidth="1"/>
    <col min="10570" max="10570" width="2.140625" style="221" customWidth="1"/>
    <col min="10571" max="10571" width="0.5703125" style="221" customWidth="1"/>
    <col min="10572" max="10572" width="2.140625" style="221" customWidth="1"/>
    <col min="10573" max="10573" width="0.5703125" style="221" customWidth="1"/>
    <col min="10574" max="10574" width="2.140625" style="221" customWidth="1"/>
    <col min="10575" max="10575" width="0.5703125" style="221" customWidth="1"/>
    <col min="10576" max="10576" width="2.140625" style="221" customWidth="1"/>
    <col min="10577" max="10577" width="0.5703125" style="221" customWidth="1"/>
    <col min="10578" max="10578" width="2.140625" style="221" customWidth="1"/>
    <col min="10579" max="10579" width="0.5703125" style="221" customWidth="1"/>
    <col min="10580" max="10580" width="2.140625" style="221" customWidth="1"/>
    <col min="10581" max="10581" width="0.5703125" style="221" customWidth="1"/>
    <col min="10582" max="10582" width="1.7109375" style="221" customWidth="1"/>
    <col min="10583" max="10583" width="2.42578125" style="221" customWidth="1"/>
    <col min="10584" max="10584" width="1.28515625" style="221" customWidth="1"/>
    <col min="10585"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42578125" style="221" customWidth="1"/>
    <col min="10758" max="10758" width="0.5703125" style="221" customWidth="1"/>
    <col min="10759" max="10778" width="0.7109375" style="221" customWidth="1"/>
    <col min="10779" max="10779" width="0.5703125" style="221" customWidth="1"/>
    <col min="10780" max="10780" width="2.710937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14062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140625" style="221" customWidth="1"/>
    <col min="10815" max="10815" width="0.5703125" style="221" customWidth="1"/>
    <col min="10816" max="10816" width="2.140625" style="221" customWidth="1"/>
    <col min="10817" max="10817" width="0.5703125" style="221" customWidth="1"/>
    <col min="10818" max="10818" width="2.140625" style="221" customWidth="1"/>
    <col min="10819" max="10819" width="0.5703125" style="221" customWidth="1"/>
    <col min="10820" max="10820" width="2.140625" style="221" customWidth="1"/>
    <col min="10821" max="10821" width="0.5703125" style="221" customWidth="1"/>
    <col min="10822" max="10822" width="2.140625" style="221" customWidth="1"/>
    <col min="10823" max="10823" width="0.5703125" style="221" customWidth="1"/>
    <col min="10824" max="10824" width="2.140625" style="221" customWidth="1"/>
    <col min="10825" max="10825" width="0.5703125" style="221" customWidth="1"/>
    <col min="10826" max="10826" width="2.140625" style="221" customWidth="1"/>
    <col min="10827" max="10827" width="0.5703125" style="221" customWidth="1"/>
    <col min="10828" max="10828" width="2.140625" style="221" customWidth="1"/>
    <col min="10829" max="10829" width="0.5703125" style="221" customWidth="1"/>
    <col min="10830" max="10830" width="2.140625" style="221" customWidth="1"/>
    <col min="10831" max="10831" width="0.5703125" style="221" customWidth="1"/>
    <col min="10832" max="10832" width="2.140625" style="221" customWidth="1"/>
    <col min="10833" max="10833" width="0.5703125" style="221" customWidth="1"/>
    <col min="10834" max="10834" width="2.140625" style="221" customWidth="1"/>
    <col min="10835" max="10835" width="0.5703125" style="221" customWidth="1"/>
    <col min="10836" max="10836" width="2.140625" style="221" customWidth="1"/>
    <col min="10837" max="10837" width="0.5703125" style="221" customWidth="1"/>
    <col min="10838" max="10838" width="1.7109375" style="221" customWidth="1"/>
    <col min="10839" max="10839" width="2.42578125" style="221" customWidth="1"/>
    <col min="10840" max="10840" width="1.28515625" style="221" customWidth="1"/>
    <col min="10841"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42578125" style="221" customWidth="1"/>
    <col min="11014" max="11014" width="0.5703125" style="221" customWidth="1"/>
    <col min="11015" max="11034" width="0.7109375" style="221" customWidth="1"/>
    <col min="11035" max="11035" width="0.5703125" style="221" customWidth="1"/>
    <col min="11036" max="11036" width="2.710937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14062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140625" style="221" customWidth="1"/>
    <col min="11071" max="11071" width="0.5703125" style="221" customWidth="1"/>
    <col min="11072" max="11072" width="2.140625" style="221" customWidth="1"/>
    <col min="11073" max="11073" width="0.5703125" style="221" customWidth="1"/>
    <col min="11074" max="11074" width="2.140625" style="221" customWidth="1"/>
    <col min="11075" max="11075" width="0.5703125" style="221" customWidth="1"/>
    <col min="11076" max="11076" width="2.140625" style="221" customWidth="1"/>
    <col min="11077" max="11077" width="0.5703125" style="221" customWidth="1"/>
    <col min="11078" max="11078" width="2.140625" style="221" customWidth="1"/>
    <col min="11079" max="11079" width="0.5703125" style="221" customWidth="1"/>
    <col min="11080" max="11080" width="2.140625" style="221" customWidth="1"/>
    <col min="11081" max="11081" width="0.5703125" style="221" customWidth="1"/>
    <col min="11082" max="11082" width="2.140625" style="221" customWidth="1"/>
    <col min="11083" max="11083" width="0.5703125" style="221" customWidth="1"/>
    <col min="11084" max="11084" width="2.140625" style="221" customWidth="1"/>
    <col min="11085" max="11085" width="0.5703125" style="221" customWidth="1"/>
    <col min="11086" max="11086" width="2.140625" style="221" customWidth="1"/>
    <col min="11087" max="11087" width="0.5703125" style="221" customWidth="1"/>
    <col min="11088" max="11088" width="2.140625" style="221" customWidth="1"/>
    <col min="11089" max="11089" width="0.5703125" style="221" customWidth="1"/>
    <col min="11090" max="11090" width="2.140625" style="221" customWidth="1"/>
    <col min="11091" max="11091" width="0.5703125" style="221" customWidth="1"/>
    <col min="11092" max="11092" width="2.140625" style="221" customWidth="1"/>
    <col min="11093" max="11093" width="0.5703125" style="221" customWidth="1"/>
    <col min="11094" max="11094" width="1.7109375" style="221" customWidth="1"/>
    <col min="11095" max="11095" width="2.42578125" style="221" customWidth="1"/>
    <col min="11096" max="11096" width="1.28515625" style="221" customWidth="1"/>
    <col min="11097"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42578125" style="221" customWidth="1"/>
    <col min="11270" max="11270" width="0.5703125" style="221" customWidth="1"/>
    <col min="11271" max="11290" width="0.7109375" style="221" customWidth="1"/>
    <col min="11291" max="11291" width="0.5703125" style="221" customWidth="1"/>
    <col min="11292" max="11292" width="2.710937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14062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140625" style="221" customWidth="1"/>
    <col min="11327" max="11327" width="0.5703125" style="221" customWidth="1"/>
    <col min="11328" max="11328" width="2.140625" style="221" customWidth="1"/>
    <col min="11329" max="11329" width="0.5703125" style="221" customWidth="1"/>
    <col min="11330" max="11330" width="2.140625" style="221" customWidth="1"/>
    <col min="11331" max="11331" width="0.5703125" style="221" customWidth="1"/>
    <col min="11332" max="11332" width="2.140625" style="221" customWidth="1"/>
    <col min="11333" max="11333" width="0.5703125" style="221" customWidth="1"/>
    <col min="11334" max="11334" width="2.140625" style="221" customWidth="1"/>
    <col min="11335" max="11335" width="0.5703125" style="221" customWidth="1"/>
    <col min="11336" max="11336" width="2.140625" style="221" customWidth="1"/>
    <col min="11337" max="11337" width="0.5703125" style="221" customWidth="1"/>
    <col min="11338" max="11338" width="2.140625" style="221" customWidth="1"/>
    <col min="11339" max="11339" width="0.5703125" style="221" customWidth="1"/>
    <col min="11340" max="11340" width="2.140625" style="221" customWidth="1"/>
    <col min="11341" max="11341" width="0.5703125" style="221" customWidth="1"/>
    <col min="11342" max="11342" width="2.140625" style="221" customWidth="1"/>
    <col min="11343" max="11343" width="0.5703125" style="221" customWidth="1"/>
    <col min="11344" max="11344" width="2.140625" style="221" customWidth="1"/>
    <col min="11345" max="11345" width="0.5703125" style="221" customWidth="1"/>
    <col min="11346" max="11346" width="2.140625" style="221" customWidth="1"/>
    <col min="11347" max="11347" width="0.5703125" style="221" customWidth="1"/>
    <col min="11348" max="11348" width="2.140625" style="221" customWidth="1"/>
    <col min="11349" max="11349" width="0.5703125" style="221" customWidth="1"/>
    <col min="11350" max="11350" width="1.7109375" style="221" customWidth="1"/>
    <col min="11351" max="11351" width="2.42578125" style="221" customWidth="1"/>
    <col min="11352" max="11352" width="1.28515625" style="221" customWidth="1"/>
    <col min="11353"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42578125" style="221" customWidth="1"/>
    <col min="11526" max="11526" width="0.5703125" style="221" customWidth="1"/>
    <col min="11527" max="11546" width="0.7109375" style="221" customWidth="1"/>
    <col min="11547" max="11547" width="0.5703125" style="221" customWidth="1"/>
    <col min="11548" max="11548" width="2.710937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14062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140625" style="221" customWidth="1"/>
    <col min="11583" max="11583" width="0.5703125" style="221" customWidth="1"/>
    <col min="11584" max="11584" width="2.140625" style="221" customWidth="1"/>
    <col min="11585" max="11585" width="0.5703125" style="221" customWidth="1"/>
    <col min="11586" max="11586" width="2.140625" style="221" customWidth="1"/>
    <col min="11587" max="11587" width="0.5703125" style="221" customWidth="1"/>
    <col min="11588" max="11588" width="2.140625" style="221" customWidth="1"/>
    <col min="11589" max="11589" width="0.5703125" style="221" customWidth="1"/>
    <col min="11590" max="11590" width="2.140625" style="221" customWidth="1"/>
    <col min="11591" max="11591" width="0.5703125" style="221" customWidth="1"/>
    <col min="11592" max="11592" width="2.140625" style="221" customWidth="1"/>
    <col min="11593" max="11593" width="0.5703125" style="221" customWidth="1"/>
    <col min="11594" max="11594" width="2.140625" style="221" customWidth="1"/>
    <col min="11595" max="11595" width="0.5703125" style="221" customWidth="1"/>
    <col min="11596" max="11596" width="2.140625" style="221" customWidth="1"/>
    <col min="11597" max="11597" width="0.5703125" style="221" customWidth="1"/>
    <col min="11598" max="11598" width="2.140625" style="221" customWidth="1"/>
    <col min="11599" max="11599" width="0.5703125" style="221" customWidth="1"/>
    <col min="11600" max="11600" width="2.140625" style="221" customWidth="1"/>
    <col min="11601" max="11601" width="0.5703125" style="221" customWidth="1"/>
    <col min="11602" max="11602" width="2.140625" style="221" customWidth="1"/>
    <col min="11603" max="11603" width="0.5703125" style="221" customWidth="1"/>
    <col min="11604" max="11604" width="2.140625" style="221" customWidth="1"/>
    <col min="11605" max="11605" width="0.5703125" style="221" customWidth="1"/>
    <col min="11606" max="11606" width="1.7109375" style="221" customWidth="1"/>
    <col min="11607" max="11607" width="2.42578125" style="221" customWidth="1"/>
    <col min="11608" max="11608" width="1.28515625" style="221" customWidth="1"/>
    <col min="11609"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42578125" style="221" customWidth="1"/>
    <col min="11782" max="11782" width="0.5703125" style="221" customWidth="1"/>
    <col min="11783" max="11802" width="0.7109375" style="221" customWidth="1"/>
    <col min="11803" max="11803" width="0.5703125" style="221" customWidth="1"/>
    <col min="11804" max="11804" width="2.710937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14062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140625" style="221" customWidth="1"/>
    <col min="11839" max="11839" width="0.5703125" style="221" customWidth="1"/>
    <col min="11840" max="11840" width="2.140625" style="221" customWidth="1"/>
    <col min="11841" max="11841" width="0.5703125" style="221" customWidth="1"/>
    <col min="11842" max="11842" width="2.140625" style="221" customWidth="1"/>
    <col min="11843" max="11843" width="0.5703125" style="221" customWidth="1"/>
    <col min="11844" max="11844" width="2.140625" style="221" customWidth="1"/>
    <col min="11845" max="11845" width="0.5703125" style="221" customWidth="1"/>
    <col min="11846" max="11846" width="2.140625" style="221" customWidth="1"/>
    <col min="11847" max="11847" width="0.5703125" style="221" customWidth="1"/>
    <col min="11848" max="11848" width="2.140625" style="221" customWidth="1"/>
    <col min="11849" max="11849" width="0.5703125" style="221" customWidth="1"/>
    <col min="11850" max="11850" width="2.140625" style="221" customWidth="1"/>
    <col min="11851" max="11851" width="0.5703125" style="221" customWidth="1"/>
    <col min="11852" max="11852" width="2.140625" style="221" customWidth="1"/>
    <col min="11853" max="11853" width="0.5703125" style="221" customWidth="1"/>
    <col min="11854" max="11854" width="2.140625" style="221" customWidth="1"/>
    <col min="11855" max="11855" width="0.5703125" style="221" customWidth="1"/>
    <col min="11856" max="11856" width="2.140625" style="221" customWidth="1"/>
    <col min="11857" max="11857" width="0.5703125" style="221" customWidth="1"/>
    <col min="11858" max="11858" width="2.140625" style="221" customWidth="1"/>
    <col min="11859" max="11859" width="0.5703125" style="221" customWidth="1"/>
    <col min="11860" max="11860" width="2.140625" style="221" customWidth="1"/>
    <col min="11861" max="11861" width="0.5703125" style="221" customWidth="1"/>
    <col min="11862" max="11862" width="1.7109375" style="221" customWidth="1"/>
    <col min="11863" max="11863" width="2.42578125" style="221" customWidth="1"/>
    <col min="11864" max="11864" width="1.28515625" style="221" customWidth="1"/>
    <col min="11865"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42578125" style="221" customWidth="1"/>
    <col min="12038" max="12038" width="0.5703125" style="221" customWidth="1"/>
    <col min="12039" max="12058" width="0.7109375" style="221" customWidth="1"/>
    <col min="12059" max="12059" width="0.5703125" style="221" customWidth="1"/>
    <col min="12060" max="12060" width="2.710937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14062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140625" style="221" customWidth="1"/>
    <col min="12095" max="12095" width="0.5703125" style="221" customWidth="1"/>
    <col min="12096" max="12096" width="2.140625" style="221" customWidth="1"/>
    <col min="12097" max="12097" width="0.5703125" style="221" customWidth="1"/>
    <col min="12098" max="12098" width="2.140625" style="221" customWidth="1"/>
    <col min="12099" max="12099" width="0.5703125" style="221" customWidth="1"/>
    <col min="12100" max="12100" width="2.140625" style="221" customWidth="1"/>
    <col min="12101" max="12101" width="0.5703125" style="221" customWidth="1"/>
    <col min="12102" max="12102" width="2.140625" style="221" customWidth="1"/>
    <col min="12103" max="12103" width="0.5703125" style="221" customWidth="1"/>
    <col min="12104" max="12104" width="2.140625" style="221" customWidth="1"/>
    <col min="12105" max="12105" width="0.5703125" style="221" customWidth="1"/>
    <col min="12106" max="12106" width="2.140625" style="221" customWidth="1"/>
    <col min="12107" max="12107" width="0.5703125" style="221" customWidth="1"/>
    <col min="12108" max="12108" width="2.140625" style="221" customWidth="1"/>
    <col min="12109" max="12109" width="0.5703125" style="221" customWidth="1"/>
    <col min="12110" max="12110" width="2.140625" style="221" customWidth="1"/>
    <col min="12111" max="12111" width="0.5703125" style="221" customWidth="1"/>
    <col min="12112" max="12112" width="2.140625" style="221" customWidth="1"/>
    <col min="12113" max="12113" width="0.5703125" style="221" customWidth="1"/>
    <col min="12114" max="12114" width="2.140625" style="221" customWidth="1"/>
    <col min="12115" max="12115" width="0.5703125" style="221" customWidth="1"/>
    <col min="12116" max="12116" width="2.140625" style="221" customWidth="1"/>
    <col min="12117" max="12117" width="0.5703125" style="221" customWidth="1"/>
    <col min="12118" max="12118" width="1.7109375" style="221" customWidth="1"/>
    <col min="12119" max="12119" width="2.42578125" style="221" customWidth="1"/>
    <col min="12120" max="12120" width="1.28515625" style="221" customWidth="1"/>
    <col min="12121"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42578125" style="221" customWidth="1"/>
    <col min="12294" max="12294" width="0.5703125" style="221" customWidth="1"/>
    <col min="12295" max="12314" width="0.7109375" style="221" customWidth="1"/>
    <col min="12315" max="12315" width="0.5703125" style="221" customWidth="1"/>
    <col min="12316" max="12316" width="2.710937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14062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140625" style="221" customWidth="1"/>
    <col min="12351" max="12351" width="0.5703125" style="221" customWidth="1"/>
    <col min="12352" max="12352" width="2.140625" style="221" customWidth="1"/>
    <col min="12353" max="12353" width="0.5703125" style="221" customWidth="1"/>
    <col min="12354" max="12354" width="2.140625" style="221" customWidth="1"/>
    <col min="12355" max="12355" width="0.5703125" style="221" customWidth="1"/>
    <col min="12356" max="12356" width="2.140625" style="221" customWidth="1"/>
    <col min="12357" max="12357" width="0.5703125" style="221" customWidth="1"/>
    <col min="12358" max="12358" width="2.140625" style="221" customWidth="1"/>
    <col min="12359" max="12359" width="0.5703125" style="221" customWidth="1"/>
    <col min="12360" max="12360" width="2.140625" style="221" customWidth="1"/>
    <col min="12361" max="12361" width="0.5703125" style="221" customWidth="1"/>
    <col min="12362" max="12362" width="2.140625" style="221" customWidth="1"/>
    <col min="12363" max="12363" width="0.5703125" style="221" customWidth="1"/>
    <col min="12364" max="12364" width="2.140625" style="221" customWidth="1"/>
    <col min="12365" max="12365" width="0.5703125" style="221" customWidth="1"/>
    <col min="12366" max="12366" width="2.140625" style="221" customWidth="1"/>
    <col min="12367" max="12367" width="0.5703125" style="221" customWidth="1"/>
    <col min="12368" max="12368" width="2.140625" style="221" customWidth="1"/>
    <col min="12369" max="12369" width="0.5703125" style="221" customWidth="1"/>
    <col min="12370" max="12370" width="2.140625" style="221" customWidth="1"/>
    <col min="12371" max="12371" width="0.5703125" style="221" customWidth="1"/>
    <col min="12372" max="12372" width="2.140625" style="221" customWidth="1"/>
    <col min="12373" max="12373" width="0.5703125" style="221" customWidth="1"/>
    <col min="12374" max="12374" width="1.7109375" style="221" customWidth="1"/>
    <col min="12375" max="12375" width="2.42578125" style="221" customWidth="1"/>
    <col min="12376" max="12376" width="1.28515625" style="221" customWidth="1"/>
    <col min="12377"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42578125" style="221" customWidth="1"/>
    <col min="12550" max="12550" width="0.5703125" style="221" customWidth="1"/>
    <col min="12551" max="12570" width="0.7109375" style="221" customWidth="1"/>
    <col min="12571" max="12571" width="0.5703125" style="221" customWidth="1"/>
    <col min="12572" max="12572" width="2.710937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14062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140625" style="221" customWidth="1"/>
    <col min="12607" max="12607" width="0.5703125" style="221" customWidth="1"/>
    <col min="12608" max="12608" width="2.140625" style="221" customWidth="1"/>
    <col min="12609" max="12609" width="0.5703125" style="221" customWidth="1"/>
    <col min="12610" max="12610" width="2.140625" style="221" customWidth="1"/>
    <col min="12611" max="12611" width="0.5703125" style="221" customWidth="1"/>
    <col min="12612" max="12612" width="2.140625" style="221" customWidth="1"/>
    <col min="12613" max="12613" width="0.5703125" style="221" customWidth="1"/>
    <col min="12614" max="12614" width="2.140625" style="221" customWidth="1"/>
    <col min="12615" max="12615" width="0.5703125" style="221" customWidth="1"/>
    <col min="12616" max="12616" width="2.140625" style="221" customWidth="1"/>
    <col min="12617" max="12617" width="0.5703125" style="221" customWidth="1"/>
    <col min="12618" max="12618" width="2.140625" style="221" customWidth="1"/>
    <col min="12619" max="12619" width="0.5703125" style="221" customWidth="1"/>
    <col min="12620" max="12620" width="2.140625" style="221" customWidth="1"/>
    <col min="12621" max="12621" width="0.5703125" style="221" customWidth="1"/>
    <col min="12622" max="12622" width="2.140625" style="221" customWidth="1"/>
    <col min="12623" max="12623" width="0.5703125" style="221" customWidth="1"/>
    <col min="12624" max="12624" width="2.140625" style="221" customWidth="1"/>
    <col min="12625" max="12625" width="0.5703125" style="221" customWidth="1"/>
    <col min="12626" max="12626" width="2.140625" style="221" customWidth="1"/>
    <col min="12627" max="12627" width="0.5703125" style="221" customWidth="1"/>
    <col min="12628" max="12628" width="2.140625" style="221" customWidth="1"/>
    <col min="12629" max="12629" width="0.5703125" style="221" customWidth="1"/>
    <col min="12630" max="12630" width="1.7109375" style="221" customWidth="1"/>
    <col min="12631" max="12631" width="2.42578125" style="221" customWidth="1"/>
    <col min="12632" max="12632" width="1.28515625" style="221" customWidth="1"/>
    <col min="12633"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42578125" style="221" customWidth="1"/>
    <col min="12806" max="12806" width="0.5703125" style="221" customWidth="1"/>
    <col min="12807" max="12826" width="0.7109375" style="221" customWidth="1"/>
    <col min="12827" max="12827" width="0.5703125" style="221" customWidth="1"/>
    <col min="12828" max="12828" width="2.710937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14062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140625" style="221" customWidth="1"/>
    <col min="12863" max="12863" width="0.5703125" style="221" customWidth="1"/>
    <col min="12864" max="12864" width="2.140625" style="221" customWidth="1"/>
    <col min="12865" max="12865" width="0.5703125" style="221" customWidth="1"/>
    <col min="12866" max="12866" width="2.140625" style="221" customWidth="1"/>
    <col min="12867" max="12867" width="0.5703125" style="221" customWidth="1"/>
    <col min="12868" max="12868" width="2.140625" style="221" customWidth="1"/>
    <col min="12869" max="12869" width="0.5703125" style="221" customWidth="1"/>
    <col min="12870" max="12870" width="2.140625" style="221" customWidth="1"/>
    <col min="12871" max="12871" width="0.5703125" style="221" customWidth="1"/>
    <col min="12872" max="12872" width="2.140625" style="221" customWidth="1"/>
    <col min="12873" max="12873" width="0.5703125" style="221" customWidth="1"/>
    <col min="12874" max="12874" width="2.140625" style="221" customWidth="1"/>
    <col min="12875" max="12875" width="0.5703125" style="221" customWidth="1"/>
    <col min="12876" max="12876" width="2.140625" style="221" customWidth="1"/>
    <col min="12877" max="12877" width="0.5703125" style="221" customWidth="1"/>
    <col min="12878" max="12878" width="2.140625" style="221" customWidth="1"/>
    <col min="12879" max="12879" width="0.5703125" style="221" customWidth="1"/>
    <col min="12880" max="12880" width="2.140625" style="221" customWidth="1"/>
    <col min="12881" max="12881" width="0.5703125" style="221" customWidth="1"/>
    <col min="12882" max="12882" width="2.140625" style="221" customWidth="1"/>
    <col min="12883" max="12883" width="0.5703125" style="221" customWidth="1"/>
    <col min="12884" max="12884" width="2.140625" style="221" customWidth="1"/>
    <col min="12885" max="12885" width="0.5703125" style="221" customWidth="1"/>
    <col min="12886" max="12886" width="1.7109375" style="221" customWidth="1"/>
    <col min="12887" max="12887" width="2.42578125" style="221" customWidth="1"/>
    <col min="12888" max="12888" width="1.28515625" style="221" customWidth="1"/>
    <col min="12889"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42578125" style="221" customWidth="1"/>
    <col min="13062" max="13062" width="0.5703125" style="221" customWidth="1"/>
    <col min="13063" max="13082" width="0.7109375" style="221" customWidth="1"/>
    <col min="13083" max="13083" width="0.5703125" style="221" customWidth="1"/>
    <col min="13084" max="13084" width="2.710937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14062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140625" style="221" customWidth="1"/>
    <col min="13119" max="13119" width="0.5703125" style="221" customWidth="1"/>
    <col min="13120" max="13120" width="2.140625" style="221" customWidth="1"/>
    <col min="13121" max="13121" width="0.5703125" style="221" customWidth="1"/>
    <col min="13122" max="13122" width="2.140625" style="221" customWidth="1"/>
    <col min="13123" max="13123" width="0.5703125" style="221" customWidth="1"/>
    <col min="13124" max="13124" width="2.140625" style="221" customWidth="1"/>
    <col min="13125" max="13125" width="0.5703125" style="221" customWidth="1"/>
    <col min="13126" max="13126" width="2.140625" style="221" customWidth="1"/>
    <col min="13127" max="13127" width="0.5703125" style="221" customWidth="1"/>
    <col min="13128" max="13128" width="2.140625" style="221" customWidth="1"/>
    <col min="13129" max="13129" width="0.5703125" style="221" customWidth="1"/>
    <col min="13130" max="13130" width="2.140625" style="221" customWidth="1"/>
    <col min="13131" max="13131" width="0.5703125" style="221" customWidth="1"/>
    <col min="13132" max="13132" width="2.140625" style="221" customWidth="1"/>
    <col min="13133" max="13133" width="0.5703125" style="221" customWidth="1"/>
    <col min="13134" max="13134" width="2.140625" style="221" customWidth="1"/>
    <col min="13135" max="13135" width="0.5703125" style="221" customWidth="1"/>
    <col min="13136" max="13136" width="2.140625" style="221" customWidth="1"/>
    <col min="13137" max="13137" width="0.5703125" style="221" customWidth="1"/>
    <col min="13138" max="13138" width="2.140625" style="221" customWidth="1"/>
    <col min="13139" max="13139" width="0.5703125" style="221" customWidth="1"/>
    <col min="13140" max="13140" width="2.140625" style="221" customWidth="1"/>
    <col min="13141" max="13141" width="0.5703125" style="221" customWidth="1"/>
    <col min="13142" max="13142" width="1.7109375" style="221" customWidth="1"/>
    <col min="13143" max="13143" width="2.42578125" style="221" customWidth="1"/>
    <col min="13144" max="13144" width="1.28515625" style="221" customWidth="1"/>
    <col min="13145"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42578125" style="221" customWidth="1"/>
    <col min="13318" max="13318" width="0.5703125" style="221" customWidth="1"/>
    <col min="13319" max="13338" width="0.7109375" style="221" customWidth="1"/>
    <col min="13339" max="13339" width="0.5703125" style="221" customWidth="1"/>
    <col min="13340" max="13340" width="2.710937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14062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140625" style="221" customWidth="1"/>
    <col min="13375" max="13375" width="0.5703125" style="221" customWidth="1"/>
    <col min="13376" max="13376" width="2.140625" style="221" customWidth="1"/>
    <col min="13377" max="13377" width="0.5703125" style="221" customWidth="1"/>
    <col min="13378" max="13378" width="2.140625" style="221" customWidth="1"/>
    <col min="13379" max="13379" width="0.5703125" style="221" customWidth="1"/>
    <col min="13380" max="13380" width="2.140625" style="221" customWidth="1"/>
    <col min="13381" max="13381" width="0.5703125" style="221" customWidth="1"/>
    <col min="13382" max="13382" width="2.140625" style="221" customWidth="1"/>
    <col min="13383" max="13383" width="0.5703125" style="221" customWidth="1"/>
    <col min="13384" max="13384" width="2.140625" style="221" customWidth="1"/>
    <col min="13385" max="13385" width="0.5703125" style="221" customWidth="1"/>
    <col min="13386" max="13386" width="2.140625" style="221" customWidth="1"/>
    <col min="13387" max="13387" width="0.5703125" style="221" customWidth="1"/>
    <col min="13388" max="13388" width="2.140625" style="221" customWidth="1"/>
    <col min="13389" max="13389" width="0.5703125" style="221" customWidth="1"/>
    <col min="13390" max="13390" width="2.140625" style="221" customWidth="1"/>
    <col min="13391" max="13391" width="0.5703125" style="221" customWidth="1"/>
    <col min="13392" max="13392" width="2.140625" style="221" customWidth="1"/>
    <col min="13393" max="13393" width="0.5703125" style="221" customWidth="1"/>
    <col min="13394" max="13394" width="2.140625" style="221" customWidth="1"/>
    <col min="13395" max="13395" width="0.5703125" style="221" customWidth="1"/>
    <col min="13396" max="13396" width="2.140625" style="221" customWidth="1"/>
    <col min="13397" max="13397" width="0.5703125" style="221" customWidth="1"/>
    <col min="13398" max="13398" width="1.7109375" style="221" customWidth="1"/>
    <col min="13399" max="13399" width="2.42578125" style="221" customWidth="1"/>
    <col min="13400" max="13400" width="1.28515625" style="221" customWidth="1"/>
    <col min="13401"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42578125" style="221" customWidth="1"/>
    <col min="13574" max="13574" width="0.5703125" style="221" customWidth="1"/>
    <col min="13575" max="13594" width="0.7109375" style="221" customWidth="1"/>
    <col min="13595" max="13595" width="0.5703125" style="221" customWidth="1"/>
    <col min="13596" max="13596" width="2.710937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14062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140625" style="221" customWidth="1"/>
    <col min="13631" max="13631" width="0.5703125" style="221" customWidth="1"/>
    <col min="13632" max="13632" width="2.140625" style="221" customWidth="1"/>
    <col min="13633" max="13633" width="0.5703125" style="221" customWidth="1"/>
    <col min="13634" max="13634" width="2.140625" style="221" customWidth="1"/>
    <col min="13635" max="13635" width="0.5703125" style="221" customWidth="1"/>
    <col min="13636" max="13636" width="2.140625" style="221" customWidth="1"/>
    <col min="13637" max="13637" width="0.5703125" style="221" customWidth="1"/>
    <col min="13638" max="13638" width="2.140625" style="221" customWidth="1"/>
    <col min="13639" max="13639" width="0.5703125" style="221" customWidth="1"/>
    <col min="13640" max="13640" width="2.140625" style="221" customWidth="1"/>
    <col min="13641" max="13641" width="0.5703125" style="221" customWidth="1"/>
    <col min="13642" max="13642" width="2.140625" style="221" customWidth="1"/>
    <col min="13643" max="13643" width="0.5703125" style="221" customWidth="1"/>
    <col min="13644" max="13644" width="2.140625" style="221" customWidth="1"/>
    <col min="13645" max="13645" width="0.5703125" style="221" customWidth="1"/>
    <col min="13646" max="13646" width="2.140625" style="221" customWidth="1"/>
    <col min="13647" max="13647" width="0.5703125" style="221" customWidth="1"/>
    <col min="13648" max="13648" width="2.140625" style="221" customWidth="1"/>
    <col min="13649" max="13649" width="0.5703125" style="221" customWidth="1"/>
    <col min="13650" max="13650" width="2.140625" style="221" customWidth="1"/>
    <col min="13651" max="13651" width="0.5703125" style="221" customWidth="1"/>
    <col min="13652" max="13652" width="2.140625" style="221" customWidth="1"/>
    <col min="13653" max="13653" width="0.5703125" style="221" customWidth="1"/>
    <col min="13654" max="13654" width="1.7109375" style="221" customWidth="1"/>
    <col min="13655" max="13655" width="2.42578125" style="221" customWidth="1"/>
    <col min="13656" max="13656" width="1.28515625" style="221" customWidth="1"/>
    <col min="13657"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42578125" style="221" customWidth="1"/>
    <col min="13830" max="13830" width="0.5703125" style="221" customWidth="1"/>
    <col min="13831" max="13850" width="0.7109375" style="221" customWidth="1"/>
    <col min="13851" max="13851" width="0.5703125" style="221" customWidth="1"/>
    <col min="13852" max="13852" width="2.710937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14062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140625" style="221" customWidth="1"/>
    <col min="13887" max="13887" width="0.5703125" style="221" customWidth="1"/>
    <col min="13888" max="13888" width="2.140625" style="221" customWidth="1"/>
    <col min="13889" max="13889" width="0.5703125" style="221" customWidth="1"/>
    <col min="13890" max="13890" width="2.140625" style="221" customWidth="1"/>
    <col min="13891" max="13891" width="0.5703125" style="221" customWidth="1"/>
    <col min="13892" max="13892" width="2.140625" style="221" customWidth="1"/>
    <col min="13893" max="13893" width="0.5703125" style="221" customWidth="1"/>
    <col min="13894" max="13894" width="2.140625" style="221" customWidth="1"/>
    <col min="13895" max="13895" width="0.5703125" style="221" customWidth="1"/>
    <col min="13896" max="13896" width="2.140625" style="221" customWidth="1"/>
    <col min="13897" max="13897" width="0.5703125" style="221" customWidth="1"/>
    <col min="13898" max="13898" width="2.140625" style="221" customWidth="1"/>
    <col min="13899" max="13899" width="0.5703125" style="221" customWidth="1"/>
    <col min="13900" max="13900" width="2.140625" style="221" customWidth="1"/>
    <col min="13901" max="13901" width="0.5703125" style="221" customWidth="1"/>
    <col min="13902" max="13902" width="2.140625" style="221" customWidth="1"/>
    <col min="13903" max="13903" width="0.5703125" style="221" customWidth="1"/>
    <col min="13904" max="13904" width="2.140625" style="221" customWidth="1"/>
    <col min="13905" max="13905" width="0.5703125" style="221" customWidth="1"/>
    <col min="13906" max="13906" width="2.140625" style="221" customWidth="1"/>
    <col min="13907" max="13907" width="0.5703125" style="221" customWidth="1"/>
    <col min="13908" max="13908" width="2.140625" style="221" customWidth="1"/>
    <col min="13909" max="13909" width="0.5703125" style="221" customWidth="1"/>
    <col min="13910" max="13910" width="1.7109375" style="221" customWidth="1"/>
    <col min="13911" max="13911" width="2.42578125" style="221" customWidth="1"/>
    <col min="13912" max="13912" width="1.28515625" style="221" customWidth="1"/>
    <col min="13913"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42578125" style="221" customWidth="1"/>
    <col min="14086" max="14086" width="0.5703125" style="221" customWidth="1"/>
    <col min="14087" max="14106" width="0.7109375" style="221" customWidth="1"/>
    <col min="14107" max="14107" width="0.5703125" style="221" customWidth="1"/>
    <col min="14108" max="14108" width="2.710937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14062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140625" style="221" customWidth="1"/>
    <col min="14143" max="14143" width="0.5703125" style="221" customWidth="1"/>
    <col min="14144" max="14144" width="2.140625" style="221" customWidth="1"/>
    <col min="14145" max="14145" width="0.5703125" style="221" customWidth="1"/>
    <col min="14146" max="14146" width="2.140625" style="221" customWidth="1"/>
    <col min="14147" max="14147" width="0.5703125" style="221" customWidth="1"/>
    <col min="14148" max="14148" width="2.140625" style="221" customWidth="1"/>
    <col min="14149" max="14149" width="0.5703125" style="221" customWidth="1"/>
    <col min="14150" max="14150" width="2.140625" style="221" customWidth="1"/>
    <col min="14151" max="14151" width="0.5703125" style="221" customWidth="1"/>
    <col min="14152" max="14152" width="2.140625" style="221" customWidth="1"/>
    <col min="14153" max="14153" width="0.5703125" style="221" customWidth="1"/>
    <col min="14154" max="14154" width="2.140625" style="221" customWidth="1"/>
    <col min="14155" max="14155" width="0.5703125" style="221" customWidth="1"/>
    <col min="14156" max="14156" width="2.140625" style="221" customWidth="1"/>
    <col min="14157" max="14157" width="0.5703125" style="221" customWidth="1"/>
    <col min="14158" max="14158" width="2.140625" style="221" customWidth="1"/>
    <col min="14159" max="14159" width="0.5703125" style="221" customWidth="1"/>
    <col min="14160" max="14160" width="2.140625" style="221" customWidth="1"/>
    <col min="14161" max="14161" width="0.5703125" style="221" customWidth="1"/>
    <col min="14162" max="14162" width="2.140625" style="221" customWidth="1"/>
    <col min="14163" max="14163" width="0.5703125" style="221" customWidth="1"/>
    <col min="14164" max="14164" width="2.140625" style="221" customWidth="1"/>
    <col min="14165" max="14165" width="0.5703125" style="221" customWidth="1"/>
    <col min="14166" max="14166" width="1.7109375" style="221" customWidth="1"/>
    <col min="14167" max="14167" width="2.42578125" style="221" customWidth="1"/>
    <col min="14168" max="14168" width="1.28515625" style="221" customWidth="1"/>
    <col min="14169"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42578125" style="221" customWidth="1"/>
    <col min="14342" max="14342" width="0.5703125" style="221" customWidth="1"/>
    <col min="14343" max="14362" width="0.7109375" style="221" customWidth="1"/>
    <col min="14363" max="14363" width="0.5703125" style="221" customWidth="1"/>
    <col min="14364" max="14364" width="2.710937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14062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140625" style="221" customWidth="1"/>
    <col min="14399" max="14399" width="0.5703125" style="221" customWidth="1"/>
    <col min="14400" max="14400" width="2.140625" style="221" customWidth="1"/>
    <col min="14401" max="14401" width="0.5703125" style="221" customWidth="1"/>
    <col min="14402" max="14402" width="2.140625" style="221" customWidth="1"/>
    <col min="14403" max="14403" width="0.5703125" style="221" customWidth="1"/>
    <col min="14404" max="14404" width="2.140625" style="221" customWidth="1"/>
    <col min="14405" max="14405" width="0.5703125" style="221" customWidth="1"/>
    <col min="14406" max="14406" width="2.140625" style="221" customWidth="1"/>
    <col min="14407" max="14407" width="0.5703125" style="221" customWidth="1"/>
    <col min="14408" max="14408" width="2.140625" style="221" customWidth="1"/>
    <col min="14409" max="14409" width="0.5703125" style="221" customWidth="1"/>
    <col min="14410" max="14410" width="2.140625" style="221" customWidth="1"/>
    <col min="14411" max="14411" width="0.5703125" style="221" customWidth="1"/>
    <col min="14412" max="14412" width="2.140625" style="221" customWidth="1"/>
    <col min="14413" max="14413" width="0.5703125" style="221" customWidth="1"/>
    <col min="14414" max="14414" width="2.140625" style="221" customWidth="1"/>
    <col min="14415" max="14415" width="0.5703125" style="221" customWidth="1"/>
    <col min="14416" max="14416" width="2.140625" style="221" customWidth="1"/>
    <col min="14417" max="14417" width="0.5703125" style="221" customWidth="1"/>
    <col min="14418" max="14418" width="2.140625" style="221" customWidth="1"/>
    <col min="14419" max="14419" width="0.5703125" style="221" customWidth="1"/>
    <col min="14420" max="14420" width="2.140625" style="221" customWidth="1"/>
    <col min="14421" max="14421" width="0.5703125" style="221" customWidth="1"/>
    <col min="14422" max="14422" width="1.7109375" style="221" customWidth="1"/>
    <col min="14423" max="14423" width="2.42578125" style="221" customWidth="1"/>
    <col min="14424" max="14424" width="1.28515625" style="221" customWidth="1"/>
    <col min="14425"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42578125" style="221" customWidth="1"/>
    <col min="14598" max="14598" width="0.5703125" style="221" customWidth="1"/>
    <col min="14599" max="14618" width="0.7109375" style="221" customWidth="1"/>
    <col min="14619" max="14619" width="0.5703125" style="221" customWidth="1"/>
    <col min="14620" max="14620" width="2.710937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14062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140625" style="221" customWidth="1"/>
    <col min="14655" max="14655" width="0.5703125" style="221" customWidth="1"/>
    <col min="14656" max="14656" width="2.140625" style="221" customWidth="1"/>
    <col min="14657" max="14657" width="0.5703125" style="221" customWidth="1"/>
    <col min="14658" max="14658" width="2.140625" style="221" customWidth="1"/>
    <col min="14659" max="14659" width="0.5703125" style="221" customWidth="1"/>
    <col min="14660" max="14660" width="2.140625" style="221" customWidth="1"/>
    <col min="14661" max="14661" width="0.5703125" style="221" customWidth="1"/>
    <col min="14662" max="14662" width="2.140625" style="221" customWidth="1"/>
    <col min="14663" max="14663" width="0.5703125" style="221" customWidth="1"/>
    <col min="14664" max="14664" width="2.140625" style="221" customWidth="1"/>
    <col min="14665" max="14665" width="0.5703125" style="221" customWidth="1"/>
    <col min="14666" max="14666" width="2.140625" style="221" customWidth="1"/>
    <col min="14667" max="14667" width="0.5703125" style="221" customWidth="1"/>
    <col min="14668" max="14668" width="2.140625" style="221" customWidth="1"/>
    <col min="14669" max="14669" width="0.5703125" style="221" customWidth="1"/>
    <col min="14670" max="14670" width="2.140625" style="221" customWidth="1"/>
    <col min="14671" max="14671" width="0.5703125" style="221" customWidth="1"/>
    <col min="14672" max="14672" width="2.140625" style="221" customWidth="1"/>
    <col min="14673" max="14673" width="0.5703125" style="221" customWidth="1"/>
    <col min="14674" max="14674" width="2.140625" style="221" customWidth="1"/>
    <col min="14675" max="14675" width="0.5703125" style="221" customWidth="1"/>
    <col min="14676" max="14676" width="2.140625" style="221" customWidth="1"/>
    <col min="14677" max="14677" width="0.5703125" style="221" customWidth="1"/>
    <col min="14678" max="14678" width="1.7109375" style="221" customWidth="1"/>
    <col min="14679" max="14679" width="2.42578125" style="221" customWidth="1"/>
    <col min="14680" max="14680" width="1.28515625" style="221" customWidth="1"/>
    <col min="14681"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42578125" style="221" customWidth="1"/>
    <col min="14854" max="14854" width="0.5703125" style="221" customWidth="1"/>
    <col min="14855" max="14874" width="0.7109375" style="221" customWidth="1"/>
    <col min="14875" max="14875" width="0.5703125" style="221" customWidth="1"/>
    <col min="14876" max="14876" width="2.710937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14062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140625" style="221" customWidth="1"/>
    <col min="14911" max="14911" width="0.5703125" style="221" customWidth="1"/>
    <col min="14912" max="14912" width="2.140625" style="221" customWidth="1"/>
    <col min="14913" max="14913" width="0.5703125" style="221" customWidth="1"/>
    <col min="14914" max="14914" width="2.140625" style="221" customWidth="1"/>
    <col min="14915" max="14915" width="0.5703125" style="221" customWidth="1"/>
    <col min="14916" max="14916" width="2.140625" style="221" customWidth="1"/>
    <col min="14917" max="14917" width="0.5703125" style="221" customWidth="1"/>
    <col min="14918" max="14918" width="2.140625" style="221" customWidth="1"/>
    <col min="14919" max="14919" width="0.5703125" style="221" customWidth="1"/>
    <col min="14920" max="14920" width="2.140625" style="221" customWidth="1"/>
    <col min="14921" max="14921" width="0.5703125" style="221" customWidth="1"/>
    <col min="14922" max="14922" width="2.140625" style="221" customWidth="1"/>
    <col min="14923" max="14923" width="0.5703125" style="221" customWidth="1"/>
    <col min="14924" max="14924" width="2.140625" style="221" customWidth="1"/>
    <col min="14925" max="14925" width="0.5703125" style="221" customWidth="1"/>
    <col min="14926" max="14926" width="2.140625" style="221" customWidth="1"/>
    <col min="14927" max="14927" width="0.5703125" style="221" customWidth="1"/>
    <col min="14928" max="14928" width="2.140625" style="221" customWidth="1"/>
    <col min="14929" max="14929" width="0.5703125" style="221" customWidth="1"/>
    <col min="14930" max="14930" width="2.140625" style="221" customWidth="1"/>
    <col min="14931" max="14931" width="0.5703125" style="221" customWidth="1"/>
    <col min="14932" max="14932" width="2.140625" style="221" customWidth="1"/>
    <col min="14933" max="14933" width="0.5703125" style="221" customWidth="1"/>
    <col min="14934" max="14934" width="1.7109375" style="221" customWidth="1"/>
    <col min="14935" max="14935" width="2.42578125" style="221" customWidth="1"/>
    <col min="14936" max="14936" width="1.28515625" style="221" customWidth="1"/>
    <col min="14937"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42578125" style="221" customWidth="1"/>
    <col min="15110" max="15110" width="0.5703125" style="221" customWidth="1"/>
    <col min="15111" max="15130" width="0.7109375" style="221" customWidth="1"/>
    <col min="15131" max="15131" width="0.5703125" style="221" customWidth="1"/>
    <col min="15132" max="15132" width="2.710937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14062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140625" style="221" customWidth="1"/>
    <col min="15167" max="15167" width="0.5703125" style="221" customWidth="1"/>
    <col min="15168" max="15168" width="2.140625" style="221" customWidth="1"/>
    <col min="15169" max="15169" width="0.5703125" style="221" customWidth="1"/>
    <col min="15170" max="15170" width="2.140625" style="221" customWidth="1"/>
    <col min="15171" max="15171" width="0.5703125" style="221" customWidth="1"/>
    <col min="15172" max="15172" width="2.140625" style="221" customWidth="1"/>
    <col min="15173" max="15173" width="0.5703125" style="221" customWidth="1"/>
    <col min="15174" max="15174" width="2.140625" style="221" customWidth="1"/>
    <col min="15175" max="15175" width="0.5703125" style="221" customWidth="1"/>
    <col min="15176" max="15176" width="2.140625" style="221" customWidth="1"/>
    <col min="15177" max="15177" width="0.5703125" style="221" customWidth="1"/>
    <col min="15178" max="15178" width="2.140625" style="221" customWidth="1"/>
    <col min="15179" max="15179" width="0.5703125" style="221" customWidth="1"/>
    <col min="15180" max="15180" width="2.140625" style="221" customWidth="1"/>
    <col min="15181" max="15181" width="0.5703125" style="221" customWidth="1"/>
    <col min="15182" max="15182" width="2.140625" style="221" customWidth="1"/>
    <col min="15183" max="15183" width="0.5703125" style="221" customWidth="1"/>
    <col min="15184" max="15184" width="2.140625" style="221" customWidth="1"/>
    <col min="15185" max="15185" width="0.5703125" style="221" customWidth="1"/>
    <col min="15186" max="15186" width="2.140625" style="221" customWidth="1"/>
    <col min="15187" max="15187" width="0.5703125" style="221" customWidth="1"/>
    <col min="15188" max="15188" width="2.140625" style="221" customWidth="1"/>
    <col min="15189" max="15189" width="0.5703125" style="221" customWidth="1"/>
    <col min="15190" max="15190" width="1.7109375" style="221" customWidth="1"/>
    <col min="15191" max="15191" width="2.42578125" style="221" customWidth="1"/>
    <col min="15192" max="15192" width="1.28515625" style="221" customWidth="1"/>
    <col min="15193"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42578125" style="221" customWidth="1"/>
    <col min="15366" max="15366" width="0.5703125" style="221" customWidth="1"/>
    <col min="15367" max="15386" width="0.7109375" style="221" customWidth="1"/>
    <col min="15387" max="15387" width="0.5703125" style="221" customWidth="1"/>
    <col min="15388" max="15388" width="2.710937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14062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140625" style="221" customWidth="1"/>
    <col min="15423" max="15423" width="0.5703125" style="221" customWidth="1"/>
    <col min="15424" max="15424" width="2.140625" style="221" customWidth="1"/>
    <col min="15425" max="15425" width="0.5703125" style="221" customWidth="1"/>
    <col min="15426" max="15426" width="2.140625" style="221" customWidth="1"/>
    <col min="15427" max="15427" width="0.5703125" style="221" customWidth="1"/>
    <col min="15428" max="15428" width="2.140625" style="221" customWidth="1"/>
    <col min="15429" max="15429" width="0.5703125" style="221" customWidth="1"/>
    <col min="15430" max="15430" width="2.140625" style="221" customWidth="1"/>
    <col min="15431" max="15431" width="0.5703125" style="221" customWidth="1"/>
    <col min="15432" max="15432" width="2.140625" style="221" customWidth="1"/>
    <col min="15433" max="15433" width="0.5703125" style="221" customWidth="1"/>
    <col min="15434" max="15434" width="2.140625" style="221" customWidth="1"/>
    <col min="15435" max="15435" width="0.5703125" style="221" customWidth="1"/>
    <col min="15436" max="15436" width="2.140625" style="221" customWidth="1"/>
    <col min="15437" max="15437" width="0.5703125" style="221" customWidth="1"/>
    <col min="15438" max="15438" width="2.140625" style="221" customWidth="1"/>
    <col min="15439" max="15439" width="0.5703125" style="221" customWidth="1"/>
    <col min="15440" max="15440" width="2.140625" style="221" customWidth="1"/>
    <col min="15441" max="15441" width="0.5703125" style="221" customWidth="1"/>
    <col min="15442" max="15442" width="2.140625" style="221" customWidth="1"/>
    <col min="15443" max="15443" width="0.5703125" style="221" customWidth="1"/>
    <col min="15444" max="15444" width="2.140625" style="221" customWidth="1"/>
    <col min="15445" max="15445" width="0.5703125" style="221" customWidth="1"/>
    <col min="15446" max="15446" width="1.7109375" style="221" customWidth="1"/>
    <col min="15447" max="15447" width="2.42578125" style="221" customWidth="1"/>
    <col min="15448" max="15448" width="1.28515625" style="221" customWidth="1"/>
    <col min="15449"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42578125" style="221" customWidth="1"/>
    <col min="15622" max="15622" width="0.5703125" style="221" customWidth="1"/>
    <col min="15623" max="15642" width="0.7109375" style="221" customWidth="1"/>
    <col min="15643" max="15643" width="0.5703125" style="221" customWidth="1"/>
    <col min="15644" max="15644" width="2.710937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14062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140625" style="221" customWidth="1"/>
    <col min="15679" max="15679" width="0.5703125" style="221" customWidth="1"/>
    <col min="15680" max="15680" width="2.140625" style="221" customWidth="1"/>
    <col min="15681" max="15681" width="0.5703125" style="221" customWidth="1"/>
    <col min="15682" max="15682" width="2.140625" style="221" customWidth="1"/>
    <col min="15683" max="15683" width="0.5703125" style="221" customWidth="1"/>
    <col min="15684" max="15684" width="2.140625" style="221" customWidth="1"/>
    <col min="15685" max="15685" width="0.5703125" style="221" customWidth="1"/>
    <col min="15686" max="15686" width="2.140625" style="221" customWidth="1"/>
    <col min="15687" max="15687" width="0.5703125" style="221" customWidth="1"/>
    <col min="15688" max="15688" width="2.140625" style="221" customWidth="1"/>
    <col min="15689" max="15689" width="0.5703125" style="221" customWidth="1"/>
    <col min="15690" max="15690" width="2.140625" style="221" customWidth="1"/>
    <col min="15691" max="15691" width="0.5703125" style="221" customWidth="1"/>
    <col min="15692" max="15692" width="2.140625" style="221" customWidth="1"/>
    <col min="15693" max="15693" width="0.5703125" style="221" customWidth="1"/>
    <col min="15694" max="15694" width="2.140625" style="221" customWidth="1"/>
    <col min="15695" max="15695" width="0.5703125" style="221" customWidth="1"/>
    <col min="15696" max="15696" width="2.140625" style="221" customWidth="1"/>
    <col min="15697" max="15697" width="0.5703125" style="221" customWidth="1"/>
    <col min="15698" max="15698" width="2.140625" style="221" customWidth="1"/>
    <col min="15699" max="15699" width="0.5703125" style="221" customWidth="1"/>
    <col min="15700" max="15700" width="2.140625" style="221" customWidth="1"/>
    <col min="15701" max="15701" width="0.5703125" style="221" customWidth="1"/>
    <col min="15702" max="15702" width="1.7109375" style="221" customWidth="1"/>
    <col min="15703" max="15703" width="2.42578125" style="221" customWidth="1"/>
    <col min="15704" max="15704" width="1.28515625" style="221" customWidth="1"/>
    <col min="15705"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42578125" style="221" customWidth="1"/>
    <col min="15878" max="15878" width="0.5703125" style="221" customWidth="1"/>
    <col min="15879" max="15898" width="0.7109375" style="221" customWidth="1"/>
    <col min="15899" max="15899" width="0.5703125" style="221" customWidth="1"/>
    <col min="15900" max="15900" width="2.710937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14062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140625" style="221" customWidth="1"/>
    <col min="15935" max="15935" width="0.5703125" style="221" customWidth="1"/>
    <col min="15936" max="15936" width="2.140625" style="221" customWidth="1"/>
    <col min="15937" max="15937" width="0.5703125" style="221" customWidth="1"/>
    <col min="15938" max="15938" width="2.140625" style="221" customWidth="1"/>
    <col min="15939" max="15939" width="0.5703125" style="221" customWidth="1"/>
    <col min="15940" max="15940" width="2.140625" style="221" customWidth="1"/>
    <col min="15941" max="15941" width="0.5703125" style="221" customWidth="1"/>
    <col min="15942" max="15942" width="2.140625" style="221" customWidth="1"/>
    <col min="15943" max="15943" width="0.5703125" style="221" customWidth="1"/>
    <col min="15944" max="15944" width="2.140625" style="221" customWidth="1"/>
    <col min="15945" max="15945" width="0.5703125" style="221" customWidth="1"/>
    <col min="15946" max="15946" width="2.140625" style="221" customWidth="1"/>
    <col min="15947" max="15947" width="0.5703125" style="221" customWidth="1"/>
    <col min="15948" max="15948" width="2.140625" style="221" customWidth="1"/>
    <col min="15949" max="15949" width="0.5703125" style="221" customWidth="1"/>
    <col min="15950" max="15950" width="2.140625" style="221" customWidth="1"/>
    <col min="15951" max="15951" width="0.5703125" style="221" customWidth="1"/>
    <col min="15952" max="15952" width="2.140625" style="221" customWidth="1"/>
    <col min="15953" max="15953" width="0.5703125" style="221" customWidth="1"/>
    <col min="15954" max="15954" width="2.140625" style="221" customWidth="1"/>
    <col min="15955" max="15955" width="0.5703125" style="221" customWidth="1"/>
    <col min="15956" max="15956" width="2.140625" style="221" customWidth="1"/>
    <col min="15957" max="15957" width="0.5703125" style="221" customWidth="1"/>
    <col min="15958" max="15958" width="1.7109375" style="221" customWidth="1"/>
    <col min="15959" max="15959" width="2.42578125" style="221" customWidth="1"/>
    <col min="15960" max="15960" width="1.28515625" style="221" customWidth="1"/>
    <col min="15961"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42578125" style="221" customWidth="1"/>
    <col min="16134" max="16134" width="0.5703125" style="221" customWidth="1"/>
    <col min="16135" max="16154" width="0.7109375" style="221" customWidth="1"/>
    <col min="16155" max="16155" width="0.5703125" style="221" customWidth="1"/>
    <col min="16156" max="16156" width="2.710937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14062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140625" style="221" customWidth="1"/>
    <col min="16191" max="16191" width="0.5703125" style="221" customWidth="1"/>
    <col min="16192" max="16192" width="2.140625" style="221" customWidth="1"/>
    <col min="16193" max="16193" width="0.5703125" style="221" customWidth="1"/>
    <col min="16194" max="16194" width="2.140625" style="221" customWidth="1"/>
    <col min="16195" max="16195" width="0.5703125" style="221" customWidth="1"/>
    <col min="16196" max="16196" width="2.140625" style="221" customWidth="1"/>
    <col min="16197" max="16197" width="0.5703125" style="221" customWidth="1"/>
    <col min="16198" max="16198" width="2.140625" style="221" customWidth="1"/>
    <col min="16199" max="16199" width="0.5703125" style="221" customWidth="1"/>
    <col min="16200" max="16200" width="2.140625" style="221" customWidth="1"/>
    <col min="16201" max="16201" width="0.5703125" style="221" customWidth="1"/>
    <col min="16202" max="16202" width="2.140625" style="221" customWidth="1"/>
    <col min="16203" max="16203" width="0.5703125" style="221" customWidth="1"/>
    <col min="16204" max="16204" width="2.140625" style="221" customWidth="1"/>
    <col min="16205" max="16205" width="0.5703125" style="221" customWidth="1"/>
    <col min="16206" max="16206" width="2.140625" style="221" customWidth="1"/>
    <col min="16207" max="16207" width="0.5703125" style="221" customWidth="1"/>
    <col min="16208" max="16208" width="2.140625" style="221" customWidth="1"/>
    <col min="16209" max="16209" width="0.5703125" style="221" customWidth="1"/>
    <col min="16210" max="16210" width="2.140625" style="221" customWidth="1"/>
    <col min="16211" max="16211" width="0.5703125" style="221" customWidth="1"/>
    <col min="16212" max="16212" width="2.140625" style="221" customWidth="1"/>
    <col min="16213" max="16213" width="0.5703125" style="221" customWidth="1"/>
    <col min="16214" max="16214" width="1.7109375" style="221" customWidth="1"/>
    <col min="16215" max="16215" width="2.42578125" style="221" customWidth="1"/>
    <col min="16216" max="16216" width="1.28515625" style="221" customWidth="1"/>
    <col min="16217" max="16384" width="9.140625" style="221"/>
  </cols>
  <sheetData>
    <row r="1" spans="1:88" s="97" customFormat="1" ht="14.25" customHeight="1" thickBot="1">
      <c r="F1" s="98" t="s">
        <v>1534</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CJ1" s="878"/>
    </row>
    <row r="2" spans="1:88" ht="7.5" customHeight="1" thickTop="1">
      <c r="A2" s="220"/>
      <c r="B2" s="220"/>
      <c r="D2" s="220"/>
      <c r="E2" s="222"/>
      <c r="F2" s="220"/>
      <c r="G2" s="223"/>
      <c r="H2" s="912" t="str">
        <f>Index!C409</f>
        <v>Súvaha Úč POD 1 - 01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7"/>
      <c r="BT2" s="928"/>
      <c r="BU2" s="928"/>
      <c r="BV2" s="928"/>
      <c r="BW2" s="928"/>
      <c r="BX2" s="928"/>
      <c r="BY2" s="928"/>
      <c r="BZ2" s="928"/>
      <c r="CA2" s="928"/>
      <c r="CB2" s="928"/>
      <c r="CC2" s="928"/>
      <c r="CD2" s="928"/>
      <c r="CE2" s="220"/>
      <c r="CF2" s="220"/>
      <c r="CG2" s="220"/>
      <c r="CH2" s="220"/>
      <c r="CI2" s="220"/>
      <c r="CJ2" s="878"/>
    </row>
    <row r="3" spans="1:88" ht="3.75" customHeight="1" thickBot="1">
      <c r="A3" s="220"/>
      <c r="B3" s="220"/>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227"/>
      <c r="BT3" s="928"/>
      <c r="BU3" s="928"/>
      <c r="BV3" s="928"/>
      <c r="BW3" s="928"/>
      <c r="BX3" s="928"/>
      <c r="BY3" s="928"/>
      <c r="BZ3" s="928"/>
      <c r="CA3" s="928"/>
      <c r="CB3" s="928"/>
      <c r="CC3" s="928"/>
      <c r="CD3" s="928"/>
      <c r="CE3" s="220"/>
      <c r="CF3" s="220"/>
      <c r="CG3" s="220"/>
      <c r="CH3" s="220"/>
      <c r="CI3" s="220"/>
      <c r="CJ3" s="878"/>
    </row>
    <row r="4" spans="1:88" ht="16.5" customHeight="1" thickTop="1">
      <c r="A4" s="220"/>
      <c r="B4" s="220"/>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139" t="str">
        <f>'Závierka titulka'!$K$27</f>
        <v>2</v>
      </c>
      <c r="BM4" s="231"/>
      <c r="BN4" s="139" t="str">
        <f>'Závierka titulka'!$M$27</f>
        <v>9</v>
      </c>
      <c r="BO4" s="136"/>
      <c r="BP4" s="139" t="str">
        <f>'Závierka titulka'!$O$27</f>
        <v>9</v>
      </c>
      <c r="BQ4" s="136"/>
      <c r="BR4" s="139" t="str">
        <f>'Závierka titulka'!$Q$27</f>
        <v>1</v>
      </c>
      <c r="BS4" s="230"/>
      <c r="BT4" s="928"/>
      <c r="BU4" s="928"/>
      <c r="BV4" s="928"/>
      <c r="BW4" s="928"/>
      <c r="BX4" s="928"/>
      <c r="BY4" s="928"/>
      <c r="BZ4" s="928"/>
      <c r="CA4" s="928"/>
      <c r="CB4" s="928"/>
      <c r="CC4" s="928"/>
      <c r="CD4" s="928"/>
      <c r="CE4" s="220"/>
      <c r="CF4" s="232"/>
      <c r="CG4" s="233"/>
      <c r="CH4" s="220"/>
      <c r="CI4" s="220"/>
      <c r="CJ4" s="878"/>
    </row>
    <row r="5" spans="1:88" ht="3" customHeight="1">
      <c r="A5" s="220"/>
      <c r="B5" s="220"/>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4"/>
      <c r="BM5" s="237"/>
      <c r="BN5" s="234"/>
      <c r="BO5" s="234"/>
      <c r="BP5" s="234"/>
      <c r="BQ5" s="234"/>
      <c r="BR5" s="234"/>
      <c r="BS5" s="235"/>
      <c r="BT5" s="928"/>
      <c r="BU5" s="928"/>
      <c r="BV5" s="928"/>
      <c r="BW5" s="928"/>
      <c r="BX5" s="928"/>
      <c r="BY5" s="928"/>
      <c r="BZ5" s="928"/>
      <c r="CA5" s="928"/>
      <c r="CB5" s="928"/>
      <c r="CC5" s="928"/>
      <c r="CD5" s="928"/>
      <c r="CE5" s="220"/>
      <c r="CF5" s="220"/>
      <c r="CG5" s="238"/>
      <c r="CH5" s="220"/>
      <c r="CI5" s="220"/>
      <c r="CJ5" s="878"/>
    </row>
    <row r="6" spans="1:88" ht="4.5" customHeight="1" thickBot="1">
      <c r="A6" s="220"/>
      <c r="B6" s="220"/>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2"/>
      <c r="BX6" s="242"/>
      <c r="BY6" s="242"/>
      <c r="BZ6" s="242"/>
      <c r="CA6" s="242"/>
      <c r="CB6" s="242"/>
      <c r="CC6" s="242"/>
      <c r="CD6" s="242"/>
      <c r="CE6" s="242"/>
      <c r="CF6" s="242"/>
      <c r="CG6" s="242"/>
      <c r="CH6" s="220"/>
      <c r="CI6" s="220"/>
      <c r="CJ6" s="878"/>
    </row>
    <row r="7" spans="1:88" ht="12.75" customHeight="1" thickBot="1">
      <c r="A7" s="220"/>
      <c r="B7" s="220"/>
      <c r="C7" s="224"/>
      <c r="D7" s="224"/>
      <c r="E7" s="882" t="str">
        <f>Index!C410</f>
        <v>Ozna-čenie</v>
      </c>
      <c r="F7" s="883"/>
      <c r="G7" s="243"/>
      <c r="H7" s="244"/>
      <c r="I7" s="244"/>
      <c r="J7" s="244"/>
      <c r="K7" s="244"/>
      <c r="L7" s="244"/>
      <c r="M7" s="244"/>
      <c r="N7" s="244"/>
      <c r="O7" s="244"/>
      <c r="P7" s="244"/>
      <c r="Q7" s="244"/>
      <c r="R7" s="244"/>
      <c r="S7" s="244"/>
      <c r="T7" s="244"/>
      <c r="U7" s="244"/>
      <c r="V7" s="244"/>
      <c r="W7" s="245"/>
      <c r="X7" s="245"/>
      <c r="Y7" s="245"/>
      <c r="Z7" s="246"/>
      <c r="AA7" s="245"/>
      <c r="AB7" s="245"/>
      <c r="AC7" s="245"/>
      <c r="AD7" s="886" t="str">
        <f>Index!C414</f>
        <v>Bežné účtovné obdobie</v>
      </c>
      <c r="AE7" s="887"/>
      <c r="AF7" s="887"/>
      <c r="AG7" s="887"/>
      <c r="AH7" s="887"/>
      <c r="AI7" s="887"/>
      <c r="AJ7" s="887"/>
      <c r="AK7" s="887"/>
      <c r="AL7" s="887"/>
      <c r="AM7" s="887"/>
      <c r="AN7" s="887"/>
      <c r="AO7" s="887"/>
      <c r="AP7" s="887"/>
      <c r="AQ7" s="887"/>
      <c r="AR7" s="887"/>
      <c r="AS7" s="887"/>
      <c r="AT7" s="887"/>
      <c r="AU7" s="887"/>
      <c r="AV7" s="887"/>
      <c r="AW7" s="887"/>
      <c r="AX7" s="887"/>
      <c r="AY7" s="887"/>
      <c r="AZ7" s="887"/>
      <c r="BA7" s="887"/>
      <c r="BB7" s="887"/>
      <c r="BC7" s="887"/>
      <c r="BD7" s="887"/>
      <c r="BE7" s="887"/>
      <c r="BF7" s="887"/>
      <c r="BG7" s="887"/>
      <c r="BH7" s="887"/>
      <c r="BI7" s="887"/>
      <c r="BJ7" s="887"/>
      <c r="BK7" s="887"/>
      <c r="BL7" s="887"/>
      <c r="BM7" s="887"/>
      <c r="BN7" s="887"/>
      <c r="BO7" s="887"/>
      <c r="BP7" s="887"/>
      <c r="BQ7" s="888"/>
      <c r="BR7" s="892" t="str">
        <f>Index!C415</f>
        <v>Bezprostredne predchádzajúce účtovné obdobie</v>
      </c>
      <c r="BS7" s="893"/>
      <c r="BT7" s="893"/>
      <c r="BU7" s="893"/>
      <c r="BV7" s="893"/>
      <c r="BW7" s="893"/>
      <c r="BX7" s="893"/>
      <c r="BY7" s="893"/>
      <c r="BZ7" s="893"/>
      <c r="CA7" s="893"/>
      <c r="CB7" s="893"/>
      <c r="CC7" s="893"/>
      <c r="CD7" s="893"/>
      <c r="CE7" s="893"/>
      <c r="CF7" s="893"/>
      <c r="CG7" s="894"/>
      <c r="CH7" s="220"/>
      <c r="CI7" s="220"/>
      <c r="CJ7" s="878"/>
    </row>
    <row r="8" spans="1:88" ht="5.0999999999999996" customHeight="1" thickBot="1">
      <c r="A8" s="220"/>
      <c r="B8" s="878"/>
      <c r="C8" s="878"/>
      <c r="D8" s="878"/>
      <c r="E8" s="884"/>
      <c r="F8" s="885"/>
      <c r="G8" s="898" t="str">
        <f>Index!C411</f>
        <v>STRANA AKTÍV</v>
      </c>
      <c r="H8" s="898"/>
      <c r="I8" s="898"/>
      <c r="J8" s="898"/>
      <c r="K8" s="898"/>
      <c r="L8" s="898"/>
      <c r="M8" s="898"/>
      <c r="N8" s="898"/>
      <c r="O8" s="898"/>
      <c r="P8" s="898"/>
      <c r="Q8" s="898"/>
      <c r="R8" s="898"/>
      <c r="S8" s="898"/>
      <c r="T8" s="898"/>
      <c r="U8" s="898"/>
      <c r="V8" s="898"/>
      <c r="W8" s="898"/>
      <c r="X8" s="898"/>
      <c r="Y8" s="898"/>
      <c r="Z8" s="898"/>
      <c r="AA8" s="354"/>
      <c r="AB8" s="354"/>
      <c r="AC8" s="354"/>
      <c r="AD8" s="889"/>
      <c r="AE8" s="890"/>
      <c r="AF8" s="890"/>
      <c r="AG8" s="890"/>
      <c r="AH8" s="890"/>
      <c r="AI8" s="890"/>
      <c r="AJ8" s="890"/>
      <c r="AK8" s="890"/>
      <c r="AL8" s="890"/>
      <c r="AM8" s="890"/>
      <c r="AN8" s="890"/>
      <c r="AO8" s="890"/>
      <c r="AP8" s="890"/>
      <c r="AQ8" s="890"/>
      <c r="AR8" s="890"/>
      <c r="AS8" s="890"/>
      <c r="AT8" s="890"/>
      <c r="AU8" s="890"/>
      <c r="AV8" s="890"/>
      <c r="AW8" s="890"/>
      <c r="AX8" s="890"/>
      <c r="AY8" s="890"/>
      <c r="AZ8" s="890"/>
      <c r="BA8" s="890"/>
      <c r="BB8" s="890"/>
      <c r="BC8" s="890"/>
      <c r="BD8" s="890"/>
      <c r="BE8" s="890"/>
      <c r="BF8" s="890"/>
      <c r="BG8" s="890"/>
      <c r="BH8" s="890"/>
      <c r="BI8" s="890"/>
      <c r="BJ8" s="890"/>
      <c r="BK8" s="890"/>
      <c r="BL8" s="890"/>
      <c r="BM8" s="890"/>
      <c r="BN8" s="890"/>
      <c r="BO8" s="890"/>
      <c r="BP8" s="890"/>
      <c r="BQ8" s="891"/>
      <c r="BR8" s="895"/>
      <c r="BS8" s="896"/>
      <c r="BT8" s="896"/>
      <c r="BU8" s="896"/>
      <c r="BV8" s="896"/>
      <c r="BW8" s="896"/>
      <c r="BX8" s="896"/>
      <c r="BY8" s="896"/>
      <c r="BZ8" s="896"/>
      <c r="CA8" s="896"/>
      <c r="CB8" s="896"/>
      <c r="CC8" s="896"/>
      <c r="CD8" s="896"/>
      <c r="CE8" s="896"/>
      <c r="CF8" s="896"/>
      <c r="CG8" s="897"/>
      <c r="CH8" s="878"/>
      <c r="CI8" s="878"/>
      <c r="CJ8" s="878"/>
    </row>
    <row r="9" spans="1:88" ht="6.95" customHeight="1" thickBot="1">
      <c r="A9" s="220"/>
      <c r="B9" s="900"/>
      <c r="C9" s="900"/>
      <c r="D9" s="878"/>
      <c r="E9" s="884"/>
      <c r="F9" s="885"/>
      <c r="G9" s="898"/>
      <c r="H9" s="898"/>
      <c r="I9" s="898"/>
      <c r="J9" s="898"/>
      <c r="K9" s="898"/>
      <c r="L9" s="898"/>
      <c r="M9" s="898"/>
      <c r="N9" s="898"/>
      <c r="O9" s="898"/>
      <c r="P9" s="898"/>
      <c r="Q9" s="898"/>
      <c r="R9" s="898"/>
      <c r="S9" s="898"/>
      <c r="T9" s="898"/>
      <c r="U9" s="898"/>
      <c r="V9" s="898"/>
      <c r="W9" s="898"/>
      <c r="X9" s="898"/>
      <c r="Y9" s="898"/>
      <c r="Z9" s="898"/>
      <c r="AA9" s="901" t="str">
        <f>Index!C412</f>
        <v>Číslo</v>
      </c>
      <c r="AB9" s="901"/>
      <c r="AC9" s="901"/>
      <c r="AD9" s="902" t="s">
        <v>1536</v>
      </c>
      <c r="AE9" s="902"/>
      <c r="AF9" s="902"/>
      <c r="AG9" s="904" t="str">
        <f>Index!C416</f>
        <v>Brutto - časť 1</v>
      </c>
      <c r="AH9" s="904"/>
      <c r="AI9" s="904"/>
      <c r="AJ9" s="904"/>
      <c r="AK9" s="904"/>
      <c r="AL9" s="904"/>
      <c r="AM9" s="904"/>
      <c r="AN9" s="904"/>
      <c r="AO9" s="904"/>
      <c r="AP9" s="904"/>
      <c r="AQ9" s="904"/>
      <c r="AR9" s="904"/>
      <c r="AS9" s="904"/>
      <c r="AT9" s="904"/>
      <c r="AU9" s="904"/>
      <c r="AV9" s="904"/>
      <c r="AW9" s="904"/>
      <c r="AX9" s="904"/>
      <c r="AY9" s="904"/>
      <c r="AZ9" s="904"/>
      <c r="BA9" s="904" t="str">
        <f>Index!C417</f>
        <v>Netto 2</v>
      </c>
      <c r="BB9" s="904"/>
      <c r="BC9" s="904"/>
      <c r="BD9" s="904"/>
      <c r="BE9" s="904"/>
      <c r="BF9" s="904"/>
      <c r="BG9" s="904"/>
      <c r="BH9" s="904"/>
      <c r="BI9" s="904"/>
      <c r="BJ9" s="904"/>
      <c r="BK9" s="904"/>
      <c r="BL9" s="904"/>
      <c r="BM9" s="904"/>
      <c r="BN9" s="904"/>
      <c r="BO9" s="904"/>
      <c r="BP9" s="904"/>
      <c r="BQ9" s="904"/>
      <c r="BR9" s="896"/>
      <c r="BS9" s="896"/>
      <c r="BT9" s="896"/>
      <c r="BU9" s="896"/>
      <c r="BV9" s="896"/>
      <c r="BW9" s="896"/>
      <c r="BX9" s="896"/>
      <c r="BY9" s="896"/>
      <c r="BZ9" s="896"/>
      <c r="CA9" s="896"/>
      <c r="CB9" s="896"/>
      <c r="CC9" s="896"/>
      <c r="CD9" s="896"/>
      <c r="CE9" s="896"/>
      <c r="CF9" s="896"/>
      <c r="CG9" s="897"/>
      <c r="CH9" s="878"/>
      <c r="CI9" s="247"/>
      <c r="CJ9" s="878"/>
    </row>
    <row r="10" spans="1:88" ht="6.95" customHeight="1">
      <c r="A10" s="220"/>
      <c r="B10" s="900"/>
      <c r="C10" s="900"/>
      <c r="D10" s="878"/>
      <c r="E10" s="884"/>
      <c r="F10" s="885"/>
      <c r="G10" s="248"/>
      <c r="H10" s="229"/>
      <c r="I10" s="229"/>
      <c r="J10" s="229"/>
      <c r="K10" s="229"/>
      <c r="L10" s="229"/>
      <c r="M10" s="229"/>
      <c r="N10" s="229"/>
      <c r="O10" s="229"/>
      <c r="P10" s="229"/>
      <c r="Q10" s="229"/>
      <c r="R10" s="229"/>
      <c r="S10" s="229"/>
      <c r="T10" s="229"/>
      <c r="U10" s="229"/>
      <c r="V10" s="229"/>
      <c r="W10" s="229"/>
      <c r="X10" s="229"/>
      <c r="Y10" s="229"/>
      <c r="Z10" s="249"/>
      <c r="AA10" s="906" t="str">
        <f>Index!C413</f>
        <v xml:space="preserve"> riadku</v>
      </c>
      <c r="AB10" s="906"/>
      <c r="AC10" s="906"/>
      <c r="AD10" s="903"/>
      <c r="AE10" s="903"/>
      <c r="AF10" s="903"/>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896"/>
      <c r="BS10" s="896"/>
      <c r="BT10" s="896"/>
      <c r="BU10" s="896"/>
      <c r="BV10" s="896"/>
      <c r="BW10" s="896"/>
      <c r="BX10" s="896"/>
      <c r="BY10" s="896"/>
      <c r="BZ10" s="896"/>
      <c r="CA10" s="896"/>
      <c r="CB10" s="896"/>
      <c r="CC10" s="896"/>
      <c r="CD10" s="896"/>
      <c r="CE10" s="896"/>
      <c r="CF10" s="896"/>
      <c r="CG10" s="897"/>
      <c r="CH10" s="878"/>
      <c r="CI10" s="247"/>
      <c r="CJ10" s="878"/>
    </row>
    <row r="11" spans="1:88" s="250" customFormat="1" ht="15" customHeight="1">
      <c r="A11" s="220"/>
      <c r="B11" s="900"/>
      <c r="C11" s="900"/>
      <c r="D11" s="878"/>
      <c r="E11" s="907" t="s">
        <v>491</v>
      </c>
      <c r="F11" s="908"/>
      <c r="G11" s="909" t="s">
        <v>492</v>
      </c>
      <c r="H11" s="909"/>
      <c r="I11" s="909"/>
      <c r="J11" s="909"/>
      <c r="K11" s="909"/>
      <c r="L11" s="909"/>
      <c r="M11" s="909"/>
      <c r="N11" s="909"/>
      <c r="O11" s="909"/>
      <c r="P11" s="909"/>
      <c r="Q11" s="909"/>
      <c r="R11" s="909"/>
      <c r="S11" s="909"/>
      <c r="T11" s="909"/>
      <c r="U11" s="909"/>
      <c r="V11" s="909"/>
      <c r="W11" s="909"/>
      <c r="X11" s="909"/>
      <c r="Y11" s="909"/>
      <c r="Z11" s="909"/>
      <c r="AA11" s="845" t="s">
        <v>493</v>
      </c>
      <c r="AB11" s="845"/>
      <c r="AC11" s="845"/>
      <c r="AD11" s="903"/>
      <c r="AE11" s="903"/>
      <c r="AF11" s="903"/>
      <c r="AG11" s="905" t="str">
        <f>Index!C418</f>
        <v>Korekcia - časť 2</v>
      </c>
      <c r="AH11" s="905"/>
      <c r="AI11" s="905"/>
      <c r="AJ11" s="905"/>
      <c r="AK11" s="905"/>
      <c r="AL11" s="905"/>
      <c r="AM11" s="905"/>
      <c r="AN11" s="905"/>
      <c r="AO11" s="905"/>
      <c r="AP11" s="905"/>
      <c r="AQ11" s="905"/>
      <c r="AR11" s="905"/>
      <c r="AS11" s="905"/>
      <c r="AT11" s="905"/>
      <c r="AU11" s="905"/>
      <c r="AV11" s="905"/>
      <c r="AW11" s="905"/>
      <c r="AX11" s="905"/>
      <c r="AY11" s="905"/>
      <c r="AZ11" s="905"/>
      <c r="BA11" s="902"/>
      <c r="BB11" s="902"/>
      <c r="BC11" s="902"/>
      <c r="BD11" s="902"/>
      <c r="BE11" s="902"/>
      <c r="BF11" s="902"/>
      <c r="BG11" s="902"/>
      <c r="BH11" s="902"/>
      <c r="BI11" s="902"/>
      <c r="BJ11" s="902"/>
      <c r="BK11" s="902"/>
      <c r="BL11" s="902"/>
      <c r="BM11" s="902"/>
      <c r="BN11" s="902"/>
      <c r="BO11" s="902"/>
      <c r="BP11" s="902"/>
      <c r="BQ11" s="902"/>
      <c r="BR11" s="910" t="str">
        <f>Index!C419</f>
        <v>Netto   3</v>
      </c>
      <c r="BS11" s="910"/>
      <c r="BT11" s="910"/>
      <c r="BU11" s="910"/>
      <c r="BV11" s="910"/>
      <c r="BW11" s="910"/>
      <c r="BX11" s="910"/>
      <c r="BY11" s="910"/>
      <c r="BZ11" s="910"/>
      <c r="CA11" s="910"/>
      <c r="CB11" s="910"/>
      <c r="CC11" s="910"/>
      <c r="CD11" s="910"/>
      <c r="CE11" s="910"/>
      <c r="CF11" s="910"/>
      <c r="CG11" s="911"/>
      <c r="CH11" s="878"/>
      <c r="CI11" s="247"/>
      <c r="CJ11" s="878"/>
    </row>
    <row r="12" spans="1:88" s="250" customFormat="1" ht="3" customHeight="1">
      <c r="A12" s="220"/>
      <c r="B12" s="900"/>
      <c r="C12" s="900"/>
      <c r="D12" s="878"/>
      <c r="E12" s="858"/>
      <c r="F12" s="859"/>
      <c r="G12" s="862"/>
      <c r="H12" s="874" t="str">
        <f>Index!C52</f>
        <v>Spolu majetok (r. 02 + r. 33 + r. 74)</v>
      </c>
      <c r="I12" s="874"/>
      <c r="J12" s="874"/>
      <c r="K12" s="874"/>
      <c r="L12" s="874"/>
      <c r="M12" s="874"/>
      <c r="N12" s="874"/>
      <c r="O12" s="874"/>
      <c r="P12" s="874"/>
      <c r="Q12" s="874"/>
      <c r="R12" s="874"/>
      <c r="S12" s="874"/>
      <c r="T12" s="874"/>
      <c r="U12" s="874"/>
      <c r="V12" s="874"/>
      <c r="W12" s="874"/>
      <c r="X12" s="874"/>
      <c r="Y12" s="874"/>
      <c r="Z12" s="874"/>
      <c r="AA12" s="875" t="s">
        <v>651</v>
      </c>
      <c r="AB12" s="875"/>
      <c r="AC12" s="875"/>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4"/>
      <c r="BB12" s="844"/>
      <c r="BC12" s="844"/>
      <c r="BD12" s="844"/>
      <c r="BE12" s="844"/>
      <c r="BF12" s="844"/>
      <c r="BG12" s="844"/>
      <c r="BH12" s="844"/>
      <c r="BI12" s="844"/>
      <c r="BJ12" s="844"/>
      <c r="BK12" s="844"/>
      <c r="BL12" s="844"/>
      <c r="BM12" s="844"/>
      <c r="BN12" s="844"/>
      <c r="BO12" s="844"/>
      <c r="BP12" s="844"/>
      <c r="BQ12" s="844"/>
      <c r="BR12" s="251"/>
      <c r="BS12" s="251"/>
      <c r="BT12" s="251"/>
      <c r="BU12" s="251"/>
      <c r="BV12" s="251"/>
      <c r="BW12" s="252"/>
      <c r="BX12" s="251"/>
      <c r="BY12" s="251"/>
      <c r="BZ12" s="251"/>
      <c r="CA12" s="251"/>
      <c r="CB12" s="251"/>
      <c r="CC12" s="251"/>
      <c r="CD12" s="251"/>
      <c r="CE12" s="251"/>
      <c r="CF12" s="251"/>
      <c r="CG12" s="253"/>
      <c r="CH12" s="878"/>
      <c r="CI12" s="247"/>
      <c r="CJ12" s="878"/>
    </row>
    <row r="13" spans="1:88" s="250" customFormat="1" ht="3" customHeight="1">
      <c r="A13" s="220"/>
      <c r="B13" s="900"/>
      <c r="C13" s="900"/>
      <c r="D13" s="878"/>
      <c r="E13" s="858"/>
      <c r="F13" s="859"/>
      <c r="G13" s="862"/>
      <c r="H13" s="874"/>
      <c r="I13" s="874"/>
      <c r="J13" s="874"/>
      <c r="K13" s="874"/>
      <c r="L13" s="874"/>
      <c r="M13" s="874"/>
      <c r="N13" s="874"/>
      <c r="O13" s="874"/>
      <c r="P13" s="874"/>
      <c r="Q13" s="874"/>
      <c r="R13" s="874"/>
      <c r="S13" s="874"/>
      <c r="T13" s="874"/>
      <c r="U13" s="874"/>
      <c r="V13" s="874"/>
      <c r="W13" s="874"/>
      <c r="X13" s="874"/>
      <c r="Y13" s="874"/>
      <c r="Z13" s="874"/>
      <c r="AA13" s="875"/>
      <c r="AB13" s="875"/>
      <c r="AC13" s="875"/>
      <c r="AD13" s="826"/>
      <c r="AE13" s="820"/>
      <c r="AF13" s="820"/>
      <c r="AG13" s="820"/>
      <c r="AH13" s="435"/>
      <c r="AI13" s="821"/>
      <c r="AJ13" s="821"/>
      <c r="AK13" s="821"/>
      <c r="AL13" s="821"/>
      <c r="AM13" s="821"/>
      <c r="AN13" s="818"/>
      <c r="AO13" s="822"/>
      <c r="AP13" s="822"/>
      <c r="AQ13" s="822"/>
      <c r="AR13" s="822"/>
      <c r="AS13" s="822"/>
      <c r="AT13" s="818"/>
      <c r="AU13" s="822"/>
      <c r="AV13" s="822"/>
      <c r="AW13" s="822"/>
      <c r="AX13" s="822"/>
      <c r="AY13" s="822"/>
      <c r="AZ13" s="827"/>
      <c r="BA13" s="826"/>
      <c r="BB13" s="820"/>
      <c r="BC13" s="820"/>
      <c r="BD13" s="820"/>
      <c r="BE13" s="435"/>
      <c r="BF13" s="821"/>
      <c r="BG13" s="821"/>
      <c r="BH13" s="821"/>
      <c r="BI13" s="821"/>
      <c r="BJ13" s="821"/>
      <c r="BK13" s="818"/>
      <c r="BL13" s="822"/>
      <c r="BM13" s="822"/>
      <c r="BN13" s="822"/>
      <c r="BO13" s="822"/>
      <c r="BP13" s="822"/>
      <c r="BQ13" s="819"/>
      <c r="BR13" s="822"/>
      <c r="BS13" s="822"/>
      <c r="BT13" s="822"/>
      <c r="BU13" s="822"/>
      <c r="BV13" s="822"/>
      <c r="BW13" s="441"/>
      <c r="BX13" s="442"/>
      <c r="BY13" s="442"/>
      <c r="BZ13" s="442"/>
      <c r="CA13" s="442"/>
      <c r="CB13" s="442"/>
      <c r="CC13" s="442"/>
      <c r="CD13" s="442"/>
      <c r="CE13" s="442"/>
      <c r="CF13" s="442"/>
      <c r="CG13" s="254"/>
      <c r="CH13" s="878"/>
      <c r="CI13" s="247"/>
      <c r="CJ13" s="878"/>
    </row>
    <row r="14" spans="1:88" ht="15" customHeight="1">
      <c r="A14" s="220"/>
      <c r="B14" s="900"/>
      <c r="C14" s="900"/>
      <c r="D14" s="878"/>
      <c r="E14" s="858"/>
      <c r="F14" s="859"/>
      <c r="G14" s="862"/>
      <c r="H14" s="874"/>
      <c r="I14" s="874"/>
      <c r="J14" s="874"/>
      <c r="K14" s="874"/>
      <c r="L14" s="874"/>
      <c r="M14" s="874"/>
      <c r="N14" s="874"/>
      <c r="O14" s="874"/>
      <c r="P14" s="874"/>
      <c r="Q14" s="874"/>
      <c r="R14" s="874"/>
      <c r="S14" s="874"/>
      <c r="T14" s="874"/>
      <c r="U14" s="874"/>
      <c r="V14" s="874"/>
      <c r="W14" s="874"/>
      <c r="X14" s="874"/>
      <c r="Y14" s="874"/>
      <c r="Z14" s="874"/>
      <c r="AA14" s="875"/>
      <c r="AB14" s="875"/>
      <c r="AC14" s="875"/>
      <c r="AD14" s="826"/>
      <c r="AE14" s="432" t="str">
        <f>IF(LEN(VLOOKUP(AA12,suvaha!$D$8:$H$27,2,FALSE))&lt;11,"",LEFT(RIGHT(VLOOKUP(AA12,suvaha!$D$8:$H$27,2,FALSE),11),1))</f>
        <v>6</v>
      </c>
      <c r="AF14" s="255"/>
      <c r="AG14" s="432" t="str">
        <f>IF(LEN(VLOOKUP(AA12,suvaha!$D$8:$H$27,2,FALSE))&lt;10,"",LEFT(RIGHT(VLOOKUP(AA12,suvaha!$D$8:$H$27,2,FALSE),10),1))</f>
        <v>6</v>
      </c>
      <c r="AH14" s="434"/>
      <c r="AI14" s="432" t="str">
        <f>IF(LEN(VLOOKUP(AA12,suvaha!$D$8:$H$27,2,FALSE))&lt;9,"",LEFT(RIGHT(VLOOKUP(AA12,suvaha!$D$8:$H$27,2,FALSE),9),1))</f>
        <v>1</v>
      </c>
      <c r="AJ14" s="255"/>
      <c r="AK14" s="432" t="str">
        <f>IF(LEN(VLOOKUP(AA12,suvaha!$D$8:$H$27,2,FALSE))&lt;8,"",LEFT(RIGHT(VLOOKUP(AA12,suvaha!$D$8:$H$27,2,FALSE),8),1))</f>
        <v>8</v>
      </c>
      <c r="AL14" s="434"/>
      <c r="AM14" s="432" t="str">
        <f>IF(LEN(VLOOKUP(AA12,suvaha!$D$8:$H$27,2,FALSE))&lt;7,"",LEFT(RIGHT(VLOOKUP(AA12,suvaha!$D$8:$H$27,2,FALSE),7),1))</f>
        <v>6</v>
      </c>
      <c r="AN14" s="818"/>
      <c r="AO14" s="432" t="str">
        <f>IF(LEN(VLOOKUP(AA12,suvaha!$D$8:$H$27,2,FALSE))&lt;6,"",LEFT(RIGHT(VLOOKUP(AA12,suvaha!$D$8:$H$27,2,FALSE),6),1))</f>
        <v>9</v>
      </c>
      <c r="AP14" s="434"/>
      <c r="AQ14" s="432" t="str">
        <f>IF(LEN(VLOOKUP(AA12,suvaha!$D$8:$H$27,2,FALSE))&lt;5,"",LEFT(RIGHT(VLOOKUP(AA12,suvaha!$D$8:$H$27,2,FALSE),5),1))</f>
        <v>4</v>
      </c>
      <c r="AR14" s="434"/>
      <c r="AS14" s="432" t="str">
        <f>IF(LEN(VLOOKUP(AA12,suvaha!$D$8:$H$27,2,FALSE))&lt;4,"",LEFT(RIGHT(VLOOKUP(AA12,suvaha!$D$8:$H$27,2,FALSE),4),1))</f>
        <v>7</v>
      </c>
      <c r="AT14" s="818"/>
      <c r="AU14" s="432" t="str">
        <f>IF(LEN(VLOOKUP(AA12,suvaha!$D$8:$H$27,2,FALSE))&lt;3,"",LEFT(RIGHT(VLOOKUP(AA12,suvaha!$D$8:$H$27,2,FALSE),3),1))</f>
        <v>,</v>
      </c>
      <c r="AV14" s="434"/>
      <c r="AW14" s="432" t="str">
        <f>IF(LEN(VLOOKUP(AA12,suvaha!$D$8:$H$27,2,FALSE))&lt;2,"",LEFT(RIGHT(VLOOKUP(AA12,suvaha!$D$8:$H$27,2,FALSE),2),1))</f>
        <v>5</v>
      </c>
      <c r="AX14" s="434"/>
      <c r="AY14" s="432" t="str">
        <f>IF(VLOOKUP(AA12,suvaha!$D$8:$H$27,2,FALSE)=0,"",IF(LEN(VLOOKUP(AA12,suvaha!$D$8:$H$27,2,FALSE))&lt;1,"",LEFT(RIGHT(VLOOKUP(AA12,suvaha!$D$8:$H$27,2,FALSE),1),1)))</f>
        <v>3</v>
      </c>
      <c r="AZ14" s="827"/>
      <c r="BA14" s="826"/>
      <c r="BB14" s="432" t="str">
        <f>IF(LEN(VLOOKUP(AA12,suvaha!$D$8:$H$27,4,FALSE))&lt;11,"",LEFT(RIGHT(VLOOKUP(AA12,suvaha!$D$8:$H$27,4,FALSE),11),1))</f>
        <v>6</v>
      </c>
      <c r="BC14" s="255"/>
      <c r="BD14" s="432" t="str">
        <f>IF(LEN(VLOOKUP(AA12,suvaha!$D$8:$H$27,4,FALSE))&lt;10,"",LEFT(RIGHT(VLOOKUP(AA12,suvaha!$D$8:$H$27,4,FALSE),10),1))</f>
        <v>4</v>
      </c>
      <c r="BE14" s="434"/>
      <c r="BF14" s="432" t="str">
        <f>IF(LEN(VLOOKUP(AA12,suvaha!$D$8:$H$27,4,FALSE))&lt;9,"",LEFT(RIGHT(VLOOKUP(AA12,suvaha!$D$8:$H$27,4,FALSE),9),1))</f>
        <v>2</v>
      </c>
      <c r="BG14" s="255"/>
      <c r="BH14" s="432" t="str">
        <f>IF(LEN(VLOOKUP(AA12,suvaha!$D$8:$H$27,4,FALSE))&lt;8,"",LEFT(RIGHT(VLOOKUP(AA12,suvaha!$D$8:$H$27,4,FALSE),8),1))</f>
        <v>0</v>
      </c>
      <c r="BI14" s="434"/>
      <c r="BJ14" s="432" t="str">
        <f>IF(LEN(VLOOKUP(AA12,suvaha!$D$8:$H$27,4,FALSE))&lt;7,"",LEFT(RIGHT(VLOOKUP(AA12,suvaha!$D$8:$H$27,4,FALSE),7),1))</f>
        <v>4</v>
      </c>
      <c r="BK14" s="818"/>
      <c r="BL14" s="432" t="str">
        <f>IF(LEN(VLOOKUP(AA12,suvaha!$D$8:$H$27,4,FALSE))&lt;6,"",LEFT(RIGHT(VLOOKUP(AA12,suvaha!$D$8:$H$27,4,FALSE),6),1))</f>
        <v>5</v>
      </c>
      <c r="BM14" s="434"/>
      <c r="BN14" s="432" t="str">
        <f>IF(LEN(VLOOKUP(AA12,suvaha!$D$8:$H$27,4,FALSE))&lt;5,"",LEFT(RIGHT(VLOOKUP(AA12,suvaha!$D$8:$H$27,4,FALSE),5),1))</f>
        <v>0</v>
      </c>
      <c r="BO14" s="434"/>
      <c r="BP14" s="432" t="str">
        <f>IF(LEN(VLOOKUP(AA12,suvaha!$D$8:$H$27,4,FALSE))&lt;4,"",LEFT(RIGHT(VLOOKUP(AA12,suvaha!$D$8:$H$27,4,FALSE),4),1))</f>
        <v>8</v>
      </c>
      <c r="BQ14" s="819"/>
      <c r="BR14" s="432" t="str">
        <f>IF(LEN(VLOOKUP(AA12,suvaha!$D$8:$H$27,4,FALSE))&lt;3,"",LEFT(RIGHT(VLOOKUP(AA12,suvaha!$D$8:$H$27,4,FALSE),3),1))</f>
        <v>,</v>
      </c>
      <c r="BS14" s="434"/>
      <c r="BT14" s="432" t="str">
        <f>IF(LEN(VLOOKUP(AA12,suvaha!$D$8:$H$27,4,FALSE))&lt;2,"",LEFT(RIGHT(VLOOKUP(AA12,suvaha!$D$8:$H$27,4,FALSE),2),1))</f>
        <v>5</v>
      </c>
      <c r="BU14" s="434"/>
      <c r="BV14" s="432" t="str">
        <f>IF(VLOOKUP(AA12,suvaha!$D$8:$H$27,4,FALSE)=0,"",IF(LEN(VLOOKUP(AA12,suvaha!$D$8:$H$27,4,FALSE))&lt;1,"",LEFT(RIGHT(VLOOKUP(AA12,suvaha!$D$8:$H$27,4,FALSE),1),1)))</f>
        <v>3</v>
      </c>
      <c r="BW14" s="441"/>
      <c r="BX14" s="442"/>
      <c r="BY14" s="442"/>
      <c r="BZ14" s="442"/>
      <c r="CA14" s="442"/>
      <c r="CB14" s="442"/>
      <c r="CC14" s="442"/>
      <c r="CD14" s="442"/>
      <c r="CE14" s="442"/>
      <c r="CF14" s="442"/>
      <c r="CG14" s="254"/>
      <c r="CH14" s="878"/>
      <c r="CI14" s="247"/>
      <c r="CJ14" s="878"/>
    </row>
    <row r="15" spans="1:88" ht="3" customHeight="1">
      <c r="A15" s="220"/>
      <c r="B15" s="900"/>
      <c r="C15" s="900"/>
      <c r="D15" s="878"/>
      <c r="E15" s="858"/>
      <c r="F15" s="859"/>
      <c r="G15" s="862"/>
      <c r="H15" s="874"/>
      <c r="I15" s="874"/>
      <c r="J15" s="874"/>
      <c r="K15" s="874"/>
      <c r="L15" s="874"/>
      <c r="M15" s="874"/>
      <c r="N15" s="874"/>
      <c r="O15" s="874"/>
      <c r="P15" s="874"/>
      <c r="Q15" s="874"/>
      <c r="R15" s="874"/>
      <c r="S15" s="874"/>
      <c r="T15" s="874"/>
      <c r="U15" s="874"/>
      <c r="V15" s="874"/>
      <c r="W15" s="874"/>
      <c r="X15" s="874"/>
      <c r="Y15" s="874"/>
      <c r="Z15" s="874"/>
      <c r="AA15" s="875"/>
      <c r="AB15" s="875"/>
      <c r="AC15" s="875"/>
      <c r="AD15" s="845"/>
      <c r="AE15" s="845"/>
      <c r="AF15" s="845"/>
      <c r="AG15" s="845"/>
      <c r="AH15" s="845"/>
      <c r="AI15" s="845"/>
      <c r="AJ15" s="845"/>
      <c r="AK15" s="845"/>
      <c r="AL15" s="845"/>
      <c r="AM15" s="845"/>
      <c r="AN15" s="845"/>
      <c r="AO15" s="845"/>
      <c r="AP15" s="845"/>
      <c r="AQ15" s="845"/>
      <c r="AR15" s="845"/>
      <c r="AS15" s="845"/>
      <c r="AT15" s="845"/>
      <c r="AU15" s="845"/>
      <c r="AV15" s="845"/>
      <c r="AW15" s="845"/>
      <c r="AX15" s="845"/>
      <c r="AY15" s="845"/>
      <c r="AZ15" s="845"/>
      <c r="BA15" s="846"/>
      <c r="BB15" s="846"/>
      <c r="BC15" s="846"/>
      <c r="BD15" s="846"/>
      <c r="BE15" s="846"/>
      <c r="BF15" s="846"/>
      <c r="BG15" s="846"/>
      <c r="BH15" s="846"/>
      <c r="BI15" s="846"/>
      <c r="BJ15" s="846"/>
      <c r="BK15" s="846"/>
      <c r="BL15" s="846"/>
      <c r="BM15" s="846"/>
      <c r="BN15" s="846"/>
      <c r="BO15" s="846"/>
      <c r="BP15" s="846"/>
      <c r="BQ15" s="846"/>
      <c r="BR15" s="310"/>
      <c r="BS15" s="310"/>
      <c r="BT15" s="310"/>
      <c r="BU15" s="310"/>
      <c r="BV15" s="310"/>
      <c r="BW15" s="443"/>
      <c r="BX15" s="310"/>
      <c r="BY15" s="310"/>
      <c r="BZ15" s="310"/>
      <c r="CA15" s="310"/>
      <c r="CB15" s="310"/>
      <c r="CC15" s="310"/>
      <c r="CD15" s="310"/>
      <c r="CE15" s="310"/>
      <c r="CF15" s="310"/>
      <c r="CG15" s="258"/>
      <c r="CH15" s="878"/>
      <c r="CI15" s="247"/>
      <c r="CJ15" s="878"/>
    </row>
    <row r="16" spans="1:88" ht="3" customHeight="1">
      <c r="A16" s="220"/>
      <c r="B16" s="900"/>
      <c r="C16" s="900"/>
      <c r="D16" s="878"/>
      <c r="E16" s="858"/>
      <c r="F16" s="859"/>
      <c r="G16" s="862"/>
      <c r="H16" s="874"/>
      <c r="I16" s="874"/>
      <c r="J16" s="874"/>
      <c r="K16" s="874"/>
      <c r="L16" s="874"/>
      <c r="M16" s="874"/>
      <c r="N16" s="874"/>
      <c r="O16" s="874"/>
      <c r="P16" s="874"/>
      <c r="Q16" s="874"/>
      <c r="R16" s="874"/>
      <c r="S16" s="874"/>
      <c r="T16" s="874"/>
      <c r="U16" s="874"/>
      <c r="V16" s="874"/>
      <c r="W16" s="874"/>
      <c r="X16" s="874"/>
      <c r="Y16" s="874"/>
      <c r="Z16" s="874"/>
      <c r="AA16" s="875"/>
      <c r="AB16" s="875"/>
      <c r="AC16" s="875"/>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447"/>
      <c r="BB16" s="304"/>
      <c r="BC16" s="304"/>
      <c r="BD16" s="304"/>
      <c r="BE16" s="304"/>
      <c r="BF16" s="304"/>
      <c r="BG16" s="304"/>
      <c r="BH16" s="304"/>
      <c r="BI16" s="304"/>
      <c r="BJ16" s="446"/>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253"/>
      <c r="CH16" s="878"/>
      <c r="CI16" s="247"/>
      <c r="CJ16" s="878"/>
    </row>
    <row r="17" spans="1:88" ht="3" customHeight="1">
      <c r="A17" s="220"/>
      <c r="B17" s="900"/>
      <c r="C17" s="900"/>
      <c r="D17" s="878"/>
      <c r="E17" s="858"/>
      <c r="F17" s="859"/>
      <c r="G17" s="862"/>
      <c r="H17" s="874"/>
      <c r="I17" s="874"/>
      <c r="J17" s="874"/>
      <c r="K17" s="874"/>
      <c r="L17" s="874"/>
      <c r="M17" s="874"/>
      <c r="N17" s="874"/>
      <c r="O17" s="874"/>
      <c r="P17" s="874"/>
      <c r="Q17" s="874"/>
      <c r="R17" s="874"/>
      <c r="S17" s="874"/>
      <c r="T17" s="874"/>
      <c r="U17" s="874"/>
      <c r="V17" s="874"/>
      <c r="W17" s="874"/>
      <c r="X17" s="874"/>
      <c r="Y17" s="874"/>
      <c r="Z17" s="874"/>
      <c r="AA17" s="875"/>
      <c r="AB17" s="875"/>
      <c r="AC17" s="875"/>
      <c r="AD17" s="826"/>
      <c r="AE17" s="820"/>
      <c r="AF17" s="820"/>
      <c r="AG17" s="820"/>
      <c r="AH17" s="435"/>
      <c r="AI17" s="821"/>
      <c r="AJ17" s="821"/>
      <c r="AK17" s="821"/>
      <c r="AL17" s="821"/>
      <c r="AM17" s="821"/>
      <c r="AN17" s="818" t="s">
        <v>965</v>
      </c>
      <c r="AO17" s="822"/>
      <c r="AP17" s="822"/>
      <c r="AQ17" s="822"/>
      <c r="AR17" s="822"/>
      <c r="AS17" s="822"/>
      <c r="AT17" s="818" t="s">
        <v>965</v>
      </c>
      <c r="AU17" s="822"/>
      <c r="AV17" s="822"/>
      <c r="AW17" s="822"/>
      <c r="AX17" s="822"/>
      <c r="AY17" s="822"/>
      <c r="AZ17" s="827"/>
      <c r="BA17" s="448"/>
      <c r="BB17" s="442"/>
      <c r="BC17" s="442"/>
      <c r="BD17" s="442"/>
      <c r="BE17" s="442"/>
      <c r="BF17" s="442"/>
      <c r="BG17" s="442"/>
      <c r="BH17" s="442"/>
      <c r="BI17" s="442"/>
      <c r="BJ17" s="441"/>
      <c r="BK17" s="442"/>
      <c r="BL17" s="820"/>
      <c r="BM17" s="820"/>
      <c r="BN17" s="820"/>
      <c r="BO17" s="442"/>
      <c r="BP17" s="822"/>
      <c r="BQ17" s="822"/>
      <c r="BR17" s="822"/>
      <c r="BS17" s="822"/>
      <c r="BT17" s="822"/>
      <c r="BU17" s="442"/>
      <c r="BV17" s="822"/>
      <c r="BW17" s="822"/>
      <c r="BX17" s="822"/>
      <c r="BY17" s="822"/>
      <c r="BZ17" s="822"/>
      <c r="CA17" s="442"/>
      <c r="CB17" s="822"/>
      <c r="CC17" s="822"/>
      <c r="CD17" s="822"/>
      <c r="CE17" s="822"/>
      <c r="CF17" s="822"/>
      <c r="CG17" s="259"/>
      <c r="CH17" s="878"/>
      <c r="CI17" s="247"/>
      <c r="CJ17" s="878"/>
    </row>
    <row r="18" spans="1:88" ht="15" customHeight="1">
      <c r="A18" s="220"/>
      <c r="B18" s="900"/>
      <c r="C18" s="900"/>
      <c r="D18" s="878"/>
      <c r="E18" s="858"/>
      <c r="F18" s="859"/>
      <c r="G18" s="862"/>
      <c r="H18" s="874"/>
      <c r="I18" s="874"/>
      <c r="J18" s="874"/>
      <c r="K18" s="874"/>
      <c r="L18" s="874"/>
      <c r="M18" s="874"/>
      <c r="N18" s="874"/>
      <c r="O18" s="874"/>
      <c r="P18" s="874"/>
      <c r="Q18" s="874"/>
      <c r="R18" s="874"/>
      <c r="S18" s="874"/>
      <c r="T18" s="874"/>
      <c r="U18" s="874"/>
      <c r="V18" s="874"/>
      <c r="W18" s="874"/>
      <c r="X18" s="874"/>
      <c r="Y18" s="874"/>
      <c r="Z18" s="874"/>
      <c r="AA18" s="875"/>
      <c r="AB18" s="875"/>
      <c r="AC18" s="875"/>
      <c r="AD18" s="826"/>
      <c r="AE18" s="432" t="str">
        <f>IF(LEN(VLOOKUP(AA12,suvaha!$D$8:$H$27,3,FALSE))&lt;11,"",LEFT(RIGHT(VLOOKUP(AA12,suvaha!$D$8:$H$27,3,FALSE),11),1))</f>
        <v/>
      </c>
      <c r="AF18" s="255" t="s">
        <v>965</v>
      </c>
      <c r="AG18" s="432" t="str">
        <f>IF(LEN(VLOOKUP(AA12,suvaha!$D$8:$H$27,3,FALSE))&lt;10,"",LEFT(RIGHT(VLOOKUP(AA12,suvaha!$D$8:$H$27,3,FALSE),10),1))</f>
        <v/>
      </c>
      <c r="AH18" s="434" t="s">
        <v>965</v>
      </c>
      <c r="AI18" s="432" t="str">
        <f>IF(LEN(VLOOKUP(AA12,suvaha!$D$8:$H$27,3,FALSE))&lt;9,"",LEFT(RIGHT(VLOOKUP(AA12,suvaha!$D$8:$H$27,3,FALSE),9),1))</f>
        <v/>
      </c>
      <c r="AJ18" s="255" t="s">
        <v>965</v>
      </c>
      <c r="AK18" s="432" t="str">
        <f>IF(LEN(VLOOKUP(AA12,suvaha!$D$8:$F$27,3,FALSE))&lt;8,"",LEFT(RIGHT(VLOOKUP(AA12,suvaha!$D$8:$F$27,3,FALSE),8),1))</f>
        <v/>
      </c>
      <c r="AL18" s="434" t="s">
        <v>965</v>
      </c>
      <c r="AM18" s="432" t="str">
        <f>IF(LEN(VLOOKUP(AA12,suvaha!$D$8:$H$27,3,FALSE))&lt;7,"",LEFT(RIGHT(VLOOKUP(AA12,suvaha!$D$8:$H$27,3,FALSE),7),1))</f>
        <v>1</v>
      </c>
      <c r="AN18" s="818"/>
      <c r="AO18" s="432" t="str">
        <f>IF(LEN(VLOOKUP(AA12,suvaha!$D$8:$H$27,3,FALSE))&lt;6,"",LEFT(RIGHT(VLOOKUP(AA12,suvaha!$D$8:$H$27,3,FALSE),6),1))</f>
        <v>9</v>
      </c>
      <c r="AP18" s="434" t="s">
        <v>965</v>
      </c>
      <c r="AQ18" s="432" t="str">
        <f>IF(LEN(VLOOKUP(AA12,suvaha!$D$8:$H$27,3,FALSE))&lt;5,"",LEFT(RIGHT(VLOOKUP(AA12,suvaha!$D$8:$H$27,3,FALSE),5),1))</f>
        <v>8</v>
      </c>
      <c r="AR18" s="434" t="s">
        <v>965</v>
      </c>
      <c r="AS18" s="432" t="str">
        <f>IF(LEN(VLOOKUP(AA12,suvaha!$D$8:$H$27,3,FALSE))&lt;4,"",LEFT(RIGHT(VLOOKUP(AA12,suvaha!$D$8:$H$27,3,FALSE),4),1))</f>
        <v>2</v>
      </c>
      <c r="AT18" s="818"/>
      <c r="AU18" s="432" t="str">
        <f>IF(LEN(VLOOKUP(AA12,suvaha!$D$8:$H$27,3,FALSE))&lt;3,"",LEFT(RIGHT(VLOOKUP(AA12,suvaha!$D$8:$H$27,3,FALSE),3),1))</f>
        <v>4</v>
      </c>
      <c r="AV18" s="434" t="s">
        <v>965</v>
      </c>
      <c r="AW18" s="432" t="str">
        <f>IF(LEN(VLOOKUP(AA12,suvaha!$D$8:$H$27,3,FALSE))&lt;2,"",LEFT(RIGHT(VLOOKUP(AA12,suvaha!$D$8:$H$27,3,FALSE),2),1))</f>
        <v>3</v>
      </c>
      <c r="AX18" s="434" t="s">
        <v>965</v>
      </c>
      <c r="AY18" s="432" t="str">
        <f>IF(VLOOKUP(AA12,suvaha!$D$8:$H$27,3,FALSE)=0,"",IF(LEN(VLOOKUP(AA12,suvaha!$D$8:$H$27,3,FALSE))&lt;1,"",LEFT(RIGHT(VLOOKUP(AA12,suvaha!$D$8:$H$27,3,FALSE),1),1)))</f>
        <v>9</v>
      </c>
      <c r="AZ18" s="827"/>
      <c r="BA18" s="448"/>
      <c r="BB18" s="442"/>
      <c r="BC18" s="442"/>
      <c r="BD18" s="442"/>
      <c r="BE18" s="442"/>
      <c r="BF18" s="442"/>
      <c r="BG18" s="442"/>
      <c r="BH18" s="442"/>
      <c r="BI18" s="442"/>
      <c r="BJ18" s="441"/>
      <c r="BK18" s="442"/>
      <c r="BL18" s="260" t="str">
        <f>IF(LEN(VLOOKUP(AA12,suvaha!$D$8:$H$27,5,FALSE))&lt;11,"",LEFT(RIGHT(VLOOKUP(AA12,suvaha!$D$8:$H$27,5,FALSE),11),1))</f>
        <v/>
      </c>
      <c r="BM18" s="255" t="s">
        <v>965</v>
      </c>
      <c r="BN18" s="260" t="str">
        <f>IF(LEN(VLOOKUP(AA12,suvaha!$D$8:$H$27,5,FALSE))&lt;10,"",LEFT(RIGHT(VLOOKUP(AA12,suvaha!$D$8:$H$27,5,FALSE),10),1))</f>
        <v/>
      </c>
      <c r="BO18" s="442" t="s">
        <v>965</v>
      </c>
      <c r="BP18" s="260" t="str">
        <f>IF(LEN(VLOOKUP(AA12,suvaha!$D$8:$H$27,5,FALSE))&lt;9,"",LEFT(RIGHT(VLOOKUP(AA12,suvaha!$D$8:$H$27,5,FALSE),9),1))</f>
        <v/>
      </c>
      <c r="BQ18" s="442" t="s">
        <v>965</v>
      </c>
      <c r="BR18" s="260" t="str">
        <f>IF(LEN(VLOOKUP(AA12,suvaha!$D$8:$H$27,5,FALSE))&lt;8,"",LEFT(RIGHT(VLOOKUP(AA12,suvaha!$D$8:$H$27,5,FALSE),8),1))</f>
        <v>4</v>
      </c>
      <c r="BS18" s="442" t="s">
        <v>965</v>
      </c>
      <c r="BT18" s="260" t="str">
        <f>IF(LEN(VLOOKUP(AA12,suvaha!$D$8:$H$27,5,FALSE))&lt;7,"",LEFT(RIGHT(VLOOKUP(AA12,suvaha!$D$8:$H$27,5,FALSE),7),1))</f>
        <v>7</v>
      </c>
      <c r="BU18" s="442" t="s">
        <v>965</v>
      </c>
      <c r="BV18" s="260" t="str">
        <f>IF(LEN(VLOOKUP(AA12,suvaha!$D$8:$H$27,5,FALSE))&lt;6,"",LEFT(RIGHT(VLOOKUP(AA12,suvaha!$D$8:$H$27,5,FALSE),6),1))</f>
        <v>2</v>
      </c>
      <c r="BW18" s="434" t="s">
        <v>965</v>
      </c>
      <c r="BX18" s="260" t="str">
        <f>IF(LEN(VLOOKUP(AA12,suvaha!$D$8:$H$27,5,FALSE))&lt;5,"",LEFT(RIGHT(VLOOKUP(AA12,suvaha!$D$8:$H$27,5,FALSE),5),1))</f>
        <v>5</v>
      </c>
      <c r="BY18" s="434" t="s">
        <v>965</v>
      </c>
      <c r="BZ18" s="260" t="str">
        <f>IF(LEN(VLOOKUP(AA12,suvaha!$D$8:$H$27,5,FALSE))&lt;4,"",LEFT(RIGHT(VLOOKUP(AA12,suvaha!$D$8:$H$27,5,FALSE),4),1))</f>
        <v>7</v>
      </c>
      <c r="CA18" s="442" t="s">
        <v>965</v>
      </c>
      <c r="CB18" s="260" t="str">
        <f>IF(LEN(VLOOKUP(AA12,suvaha!$D$8:$H$27,5,FALSE))&lt;3,"",LEFT(RIGHT(VLOOKUP(AA12,suvaha!$D$8:$H$27,5,FALSE),3),1))</f>
        <v>7</v>
      </c>
      <c r="CC18" s="434" t="s">
        <v>965</v>
      </c>
      <c r="CD18" s="260" t="str">
        <f>IF(LEN(VLOOKUP(AA12,suvaha!$D$8:$H$27,5,FALSE))&lt;2,"",LEFT(RIGHT(VLOOKUP(AA12,suvaha!$D$8:$H$27,5,FALSE),2),1))</f>
        <v>3</v>
      </c>
      <c r="CE18" s="434" t="s">
        <v>1540</v>
      </c>
      <c r="CF18" s="260" t="str">
        <f>IF(VLOOKUP(AA12,suvaha!$D$8:$H$27,5,FALSE)=0,"",IF(LEN(VLOOKUP(AA12,suvaha!$D$8:$H$27,5,FALSE))&lt;1,"",LEFT(RIGHT(VLOOKUP(AA12,suvaha!$D$8:$H$27,5,FALSE),1),1)))</f>
        <v>7</v>
      </c>
      <c r="CG18" s="259"/>
      <c r="CH18" s="878"/>
      <c r="CI18" s="247"/>
      <c r="CJ18" s="878"/>
    </row>
    <row r="19" spans="1:88" ht="3" customHeight="1">
      <c r="A19" s="220"/>
      <c r="B19" s="900"/>
      <c r="C19" s="900"/>
      <c r="D19" s="878"/>
      <c r="E19" s="858"/>
      <c r="F19" s="859"/>
      <c r="G19" s="862"/>
      <c r="H19" s="874"/>
      <c r="I19" s="874"/>
      <c r="J19" s="874"/>
      <c r="K19" s="874"/>
      <c r="L19" s="874"/>
      <c r="M19" s="874"/>
      <c r="N19" s="874"/>
      <c r="O19" s="874"/>
      <c r="P19" s="874"/>
      <c r="Q19" s="874"/>
      <c r="R19" s="874"/>
      <c r="S19" s="874"/>
      <c r="T19" s="874"/>
      <c r="U19" s="874"/>
      <c r="V19" s="874"/>
      <c r="W19" s="874"/>
      <c r="X19" s="874"/>
      <c r="Y19" s="874"/>
      <c r="Z19" s="874"/>
      <c r="AA19" s="875"/>
      <c r="AB19" s="875"/>
      <c r="AC19" s="875"/>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449"/>
      <c r="BB19" s="310"/>
      <c r="BC19" s="310"/>
      <c r="BD19" s="310"/>
      <c r="BE19" s="310"/>
      <c r="BF19" s="310"/>
      <c r="BG19" s="310"/>
      <c r="BH19" s="310"/>
      <c r="BI19" s="310"/>
      <c r="BJ19" s="443"/>
      <c r="BK19" s="310"/>
      <c r="BL19" s="310"/>
      <c r="BM19" s="310"/>
      <c r="BN19" s="310"/>
      <c r="BO19" s="442"/>
      <c r="BP19" s="310"/>
      <c r="BQ19" s="442"/>
      <c r="BR19" s="310"/>
      <c r="BS19" s="310"/>
      <c r="BT19" s="310"/>
      <c r="BU19" s="310"/>
      <c r="BV19" s="310"/>
      <c r="BW19" s="310"/>
      <c r="BX19" s="310"/>
      <c r="BY19" s="310"/>
      <c r="BZ19" s="310"/>
      <c r="CA19" s="310"/>
      <c r="CB19" s="310"/>
      <c r="CC19" s="310"/>
      <c r="CD19" s="310"/>
      <c r="CE19" s="310"/>
      <c r="CF19" s="310"/>
      <c r="CG19" s="258"/>
      <c r="CH19" s="878"/>
      <c r="CI19" s="247"/>
      <c r="CJ19" s="878"/>
    </row>
    <row r="20" spans="1:88" s="250" customFormat="1" ht="3" customHeight="1">
      <c r="A20" s="220"/>
      <c r="B20" s="900"/>
      <c r="C20" s="900"/>
      <c r="D20" s="878"/>
      <c r="E20" s="880" t="s">
        <v>495</v>
      </c>
      <c r="F20" s="881"/>
      <c r="G20" s="862"/>
      <c r="H20" s="874" t="str">
        <f>Index!C53</f>
        <v>Neobežný majetok (r. 03 + r. 11 + r. 21)</v>
      </c>
      <c r="I20" s="874"/>
      <c r="J20" s="874"/>
      <c r="K20" s="874"/>
      <c r="L20" s="874"/>
      <c r="M20" s="874"/>
      <c r="N20" s="874"/>
      <c r="O20" s="874"/>
      <c r="P20" s="874"/>
      <c r="Q20" s="874"/>
      <c r="R20" s="874"/>
      <c r="S20" s="874"/>
      <c r="T20" s="874"/>
      <c r="U20" s="874"/>
      <c r="V20" s="874"/>
      <c r="W20" s="874"/>
      <c r="X20" s="874"/>
      <c r="Y20" s="874"/>
      <c r="Z20" s="874"/>
      <c r="AA20" s="875" t="s">
        <v>652</v>
      </c>
      <c r="AB20" s="875"/>
      <c r="AC20" s="875"/>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67"/>
      <c r="BB20" s="867"/>
      <c r="BC20" s="867"/>
      <c r="BD20" s="867"/>
      <c r="BE20" s="867"/>
      <c r="BF20" s="867"/>
      <c r="BG20" s="867"/>
      <c r="BH20" s="867"/>
      <c r="BI20" s="867"/>
      <c r="BJ20" s="867"/>
      <c r="BK20" s="867"/>
      <c r="BL20" s="867"/>
      <c r="BM20" s="867"/>
      <c r="BN20" s="867"/>
      <c r="BO20" s="867"/>
      <c r="BP20" s="867"/>
      <c r="BQ20" s="867"/>
      <c r="BR20" s="304"/>
      <c r="BS20" s="304"/>
      <c r="BT20" s="304"/>
      <c r="BU20" s="304"/>
      <c r="BV20" s="304"/>
      <c r="BW20" s="446"/>
      <c r="BX20" s="304"/>
      <c r="BY20" s="304"/>
      <c r="BZ20" s="304"/>
      <c r="CA20" s="304"/>
      <c r="CB20" s="304"/>
      <c r="CC20" s="304"/>
      <c r="CD20" s="304"/>
      <c r="CE20" s="304"/>
      <c r="CF20" s="304"/>
      <c r="CG20" s="253"/>
      <c r="CH20" s="878"/>
      <c r="CI20" s="247"/>
      <c r="CJ20" s="878"/>
    </row>
    <row r="21" spans="1:88" s="250" customFormat="1" ht="3" customHeight="1">
      <c r="A21" s="220"/>
      <c r="B21" s="900"/>
      <c r="C21" s="900"/>
      <c r="D21" s="878"/>
      <c r="E21" s="880"/>
      <c r="F21" s="881"/>
      <c r="G21" s="862"/>
      <c r="H21" s="874"/>
      <c r="I21" s="874"/>
      <c r="J21" s="874"/>
      <c r="K21" s="874"/>
      <c r="L21" s="874"/>
      <c r="M21" s="874"/>
      <c r="N21" s="874"/>
      <c r="O21" s="874"/>
      <c r="P21" s="874"/>
      <c r="Q21" s="874"/>
      <c r="R21" s="874"/>
      <c r="S21" s="874"/>
      <c r="T21" s="874"/>
      <c r="U21" s="874"/>
      <c r="V21" s="874"/>
      <c r="W21" s="874"/>
      <c r="X21" s="874"/>
      <c r="Y21" s="874"/>
      <c r="Z21" s="874"/>
      <c r="AA21" s="875"/>
      <c r="AB21" s="875"/>
      <c r="AC21" s="875"/>
      <c r="AD21" s="826"/>
      <c r="AE21" s="820"/>
      <c r="AF21" s="820"/>
      <c r="AG21" s="820"/>
      <c r="AH21" s="435"/>
      <c r="AI21" s="821"/>
      <c r="AJ21" s="821"/>
      <c r="AK21" s="821"/>
      <c r="AL21" s="821"/>
      <c r="AM21" s="821"/>
      <c r="AN21" s="818"/>
      <c r="AO21" s="822"/>
      <c r="AP21" s="822"/>
      <c r="AQ21" s="822"/>
      <c r="AR21" s="822"/>
      <c r="AS21" s="822"/>
      <c r="AT21" s="818"/>
      <c r="AU21" s="822"/>
      <c r="AV21" s="822"/>
      <c r="AW21" s="822"/>
      <c r="AX21" s="822"/>
      <c r="AY21" s="822"/>
      <c r="AZ21" s="827"/>
      <c r="BA21" s="826"/>
      <c r="BB21" s="820"/>
      <c r="BC21" s="820"/>
      <c r="BD21" s="820"/>
      <c r="BE21" s="435"/>
      <c r="BF21" s="821"/>
      <c r="BG21" s="821"/>
      <c r="BH21" s="821"/>
      <c r="BI21" s="821"/>
      <c r="BJ21" s="821"/>
      <c r="BK21" s="818"/>
      <c r="BL21" s="822"/>
      <c r="BM21" s="822"/>
      <c r="BN21" s="822"/>
      <c r="BO21" s="822"/>
      <c r="BP21" s="822"/>
      <c r="BQ21" s="819"/>
      <c r="BR21" s="822"/>
      <c r="BS21" s="822"/>
      <c r="BT21" s="822"/>
      <c r="BU21" s="822"/>
      <c r="BV21" s="822"/>
      <c r="BW21" s="441"/>
      <c r="BX21" s="442"/>
      <c r="BY21" s="442"/>
      <c r="BZ21" s="442"/>
      <c r="CA21" s="442"/>
      <c r="CB21" s="442"/>
      <c r="CC21" s="442"/>
      <c r="CD21" s="442"/>
      <c r="CE21" s="442"/>
      <c r="CF21" s="442"/>
      <c r="CG21" s="254"/>
      <c r="CH21" s="878"/>
      <c r="CI21" s="247"/>
      <c r="CJ21" s="878"/>
    </row>
    <row r="22" spans="1:88" ht="15" customHeight="1">
      <c r="A22" s="220"/>
      <c r="B22" s="900"/>
      <c r="C22" s="900"/>
      <c r="D22" s="878"/>
      <c r="E22" s="880"/>
      <c r="F22" s="881"/>
      <c r="G22" s="862"/>
      <c r="H22" s="874"/>
      <c r="I22" s="874"/>
      <c r="J22" s="874"/>
      <c r="K22" s="874"/>
      <c r="L22" s="874"/>
      <c r="M22" s="874"/>
      <c r="N22" s="874"/>
      <c r="O22" s="874"/>
      <c r="P22" s="874"/>
      <c r="Q22" s="874"/>
      <c r="R22" s="874"/>
      <c r="S22" s="874"/>
      <c r="T22" s="874"/>
      <c r="U22" s="874"/>
      <c r="V22" s="874"/>
      <c r="W22" s="874"/>
      <c r="X22" s="874"/>
      <c r="Y22" s="874"/>
      <c r="Z22" s="874"/>
      <c r="AA22" s="875"/>
      <c r="AB22" s="875"/>
      <c r="AC22" s="875"/>
      <c r="AD22" s="826"/>
      <c r="AE22" s="432" t="str">
        <f>IF(LEN(VLOOKUP(AA20,suvaha!$D$8:$H$27,2,FALSE))&lt;11,"",LEFT(RIGHT(VLOOKUP(AA20,suvaha!$D$8:$H$27,2,FALSE),11),1))</f>
        <v>4</v>
      </c>
      <c r="AF22" s="255"/>
      <c r="AG22" s="432" t="str">
        <f>IF(LEN(VLOOKUP(AA20,suvaha!$D$8:$H$27,2,FALSE))&lt;10,"",LEFT(RIGHT(VLOOKUP(AA20,suvaha!$D$8:$H$27,2,FALSE),10),1))</f>
        <v>1</v>
      </c>
      <c r="AH22" s="434"/>
      <c r="AI22" s="432" t="str">
        <f>IF(LEN(VLOOKUP(AA20,suvaha!$D$8:$H$27,2,FALSE))&lt;9,"",LEFT(RIGHT(VLOOKUP(AA20,suvaha!$D$8:$H$27,2,FALSE),9),1))</f>
        <v>7</v>
      </c>
      <c r="AJ22" s="255"/>
      <c r="AK22" s="432" t="str">
        <f>IF(LEN(VLOOKUP(AA20,suvaha!$D$8:$H$27,2,FALSE))&lt;8,"",LEFT(RIGHT(VLOOKUP(AA20,suvaha!$D$8:$H$27,2,FALSE),8),1))</f>
        <v>4</v>
      </c>
      <c r="AL22" s="434"/>
      <c r="AM22" s="432" t="str">
        <f>IF(LEN(VLOOKUP(AA20,suvaha!$D$8:$H$27,2,FALSE))&lt;7,"",LEFT(RIGHT(VLOOKUP(AA20,suvaha!$D$8:$H$27,2,FALSE),7),1))</f>
        <v>8</v>
      </c>
      <c r="AN22" s="818"/>
      <c r="AO22" s="432" t="str">
        <f>IF(LEN(VLOOKUP(AA20,suvaha!$D$8:$H$27,2,FALSE))&lt;6,"",LEFT(RIGHT(VLOOKUP(AA20,suvaha!$D$8:$H$27,2,FALSE),6),1))</f>
        <v>2</v>
      </c>
      <c r="AP22" s="434"/>
      <c r="AQ22" s="432" t="str">
        <f>IF(LEN(VLOOKUP(AA20,suvaha!$D$8:$H$27,2,FALSE))&lt;5,"",LEFT(RIGHT(VLOOKUP(AA20,suvaha!$D$8:$H$27,2,FALSE),5),1))</f>
        <v>3</v>
      </c>
      <c r="AR22" s="434"/>
      <c r="AS22" s="432" t="str">
        <f>IF(LEN(VLOOKUP(AA20,suvaha!$D$8:$H$27,2,FALSE))&lt;4,"",LEFT(RIGHT(VLOOKUP(AA20,suvaha!$D$8:$H$27,2,FALSE),4),1))</f>
        <v>6</v>
      </c>
      <c r="AT22" s="818"/>
      <c r="AU22" s="432" t="str">
        <f>IF(LEN(VLOOKUP(AA20,suvaha!$D$8:$H$27,2,FALSE))&lt;3,"",LEFT(RIGHT(VLOOKUP(AA20,suvaha!$D$8:$H$27,2,FALSE),3),1))</f>
        <v>,</v>
      </c>
      <c r="AV22" s="434"/>
      <c r="AW22" s="432" t="str">
        <f>IF(LEN(VLOOKUP(AA20,suvaha!$D$8:$H$27,2,FALSE))&lt;2,"",LEFT(RIGHT(VLOOKUP(AA20,suvaha!$D$8:$H$27,2,FALSE),2),1))</f>
        <v>5</v>
      </c>
      <c r="AX22" s="434"/>
      <c r="AY22" s="432" t="str">
        <f>IF(VLOOKUP(AA20,suvaha!$D$8:$H$27,2,FALSE)=0,"",IF(LEN(VLOOKUP(AA20,suvaha!$D$8:$H$27,2,FALSE))&lt;1,"",LEFT(RIGHT(VLOOKUP(AA20,suvaha!$D$8:$H$27,2,FALSE),1),1)))</f>
        <v>3</v>
      </c>
      <c r="AZ22" s="827"/>
      <c r="BA22" s="826"/>
      <c r="BB22" s="432" t="str">
        <f>IF(LEN(VLOOKUP(AA20,suvaha!$D$8:$H$27,4,FALSE))&lt;11,"",LEFT(RIGHT(VLOOKUP(AA20,suvaha!$D$8:$H$27,4,FALSE),11),1))</f>
        <v>4</v>
      </c>
      <c r="BC22" s="255"/>
      <c r="BD22" s="432" t="str">
        <f>IF(LEN(VLOOKUP(AA20,suvaha!$D$8:$H$27,4,FALSE))&lt;10,"",LEFT(RIGHT(VLOOKUP(AA20,suvaha!$D$8:$H$27,4,FALSE),10),1))</f>
        <v>1</v>
      </c>
      <c r="BE22" s="434"/>
      <c r="BF22" s="432" t="str">
        <f>IF(LEN(VLOOKUP(AA20,suvaha!$D$8:$H$27,4,FALSE))&lt;9,"",LEFT(RIGHT(VLOOKUP(AA20,suvaha!$D$8:$H$27,4,FALSE),9),1))</f>
        <v>7</v>
      </c>
      <c r="BG22" s="255"/>
      <c r="BH22" s="432" t="str">
        <f>IF(LEN(VLOOKUP(AA20,suvaha!$D$8:$H$27,4,FALSE))&lt;8,"",LEFT(RIGHT(VLOOKUP(AA20,suvaha!$D$8:$H$27,4,FALSE),8),1))</f>
        <v>3</v>
      </c>
      <c r="BI22" s="434"/>
      <c r="BJ22" s="432" t="str">
        <f>IF(LEN(VLOOKUP(AA20,suvaha!$D$8:$H$27,4,FALSE))&lt;7,"",LEFT(RIGHT(VLOOKUP(AA20,suvaha!$D$8:$H$27,4,FALSE),7),1))</f>
        <v>3</v>
      </c>
      <c r="BK22" s="818"/>
      <c r="BL22" s="432" t="str">
        <f>IF(LEN(VLOOKUP(AA20,suvaha!$D$8:$H$27,4,FALSE))&lt;6,"",LEFT(RIGHT(VLOOKUP(AA20,suvaha!$D$8:$H$27,4,FALSE),6),1))</f>
        <v>8</v>
      </c>
      <c r="BM22" s="434"/>
      <c r="BN22" s="432" t="str">
        <f>IF(LEN(VLOOKUP(AA20,suvaha!$D$8:$H$27,4,FALSE))&lt;5,"",LEFT(RIGHT(VLOOKUP(AA20,suvaha!$D$8:$H$27,4,FALSE),5),1))</f>
        <v>3</v>
      </c>
      <c r="BO22" s="434"/>
      <c r="BP22" s="432" t="str">
        <f>IF(LEN(VLOOKUP(AA20,suvaha!$D$8:$H$27,4,FALSE))&lt;4,"",LEFT(RIGHT(VLOOKUP(AA20,suvaha!$D$8:$H$27,4,FALSE),4),1))</f>
        <v>5</v>
      </c>
      <c r="BQ22" s="819"/>
      <c r="BR22" s="432" t="str">
        <f>IF(LEN(VLOOKUP(AA20,suvaha!$D$8:$H$27,4,FALSE))&lt;3,"",LEFT(RIGHT(VLOOKUP(AA20,suvaha!$D$8:$H$27,4,FALSE),3),1))</f>
        <v>,</v>
      </c>
      <c r="BS22" s="434"/>
      <c r="BT22" s="432" t="str">
        <f>IF(LEN(VLOOKUP(AA20,suvaha!$D$8:$H$27,4,FALSE))&lt;2,"",LEFT(RIGHT(VLOOKUP(AA20,suvaha!$D$8:$H$27,4,FALSE),2),1))</f>
        <v>5</v>
      </c>
      <c r="BU22" s="434"/>
      <c r="BV22" s="432" t="str">
        <f>IF(VLOOKUP(AA20,suvaha!$D$8:$H$27,4,FALSE)=0,"",IF(LEN(VLOOKUP(AA20,suvaha!$D$8:$H$27,4,FALSE))&lt;1,"",LEFT(RIGHT(VLOOKUP(AA20,suvaha!$D$8:$H$27,4,FALSE),1),1)))</f>
        <v>3</v>
      </c>
      <c r="BW22" s="441"/>
      <c r="BX22" s="442"/>
      <c r="BY22" s="442"/>
      <c r="BZ22" s="442"/>
      <c r="CA22" s="442"/>
      <c r="CB22" s="442"/>
      <c r="CC22" s="442"/>
      <c r="CD22" s="442"/>
      <c r="CE22" s="442"/>
      <c r="CF22" s="442"/>
      <c r="CG22" s="254"/>
      <c r="CH22" s="878"/>
      <c r="CI22" s="247"/>
      <c r="CJ22" s="878"/>
    </row>
    <row r="23" spans="1:88" ht="3" customHeight="1">
      <c r="A23" s="220"/>
      <c r="B23" s="900"/>
      <c r="C23" s="900"/>
      <c r="D23" s="878"/>
      <c r="E23" s="880"/>
      <c r="F23" s="881"/>
      <c r="G23" s="862"/>
      <c r="H23" s="874"/>
      <c r="I23" s="874"/>
      <c r="J23" s="874"/>
      <c r="K23" s="874"/>
      <c r="L23" s="874"/>
      <c r="M23" s="874"/>
      <c r="N23" s="874"/>
      <c r="O23" s="874"/>
      <c r="P23" s="874"/>
      <c r="Q23" s="874"/>
      <c r="R23" s="874"/>
      <c r="S23" s="874"/>
      <c r="T23" s="874"/>
      <c r="U23" s="874"/>
      <c r="V23" s="874"/>
      <c r="W23" s="874"/>
      <c r="X23" s="874"/>
      <c r="Y23" s="874"/>
      <c r="Z23" s="874"/>
      <c r="AA23" s="875"/>
      <c r="AB23" s="875"/>
      <c r="AC23" s="875"/>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6"/>
      <c r="BB23" s="846"/>
      <c r="BC23" s="846"/>
      <c r="BD23" s="846"/>
      <c r="BE23" s="846"/>
      <c r="BF23" s="846"/>
      <c r="BG23" s="846"/>
      <c r="BH23" s="846"/>
      <c r="BI23" s="846"/>
      <c r="BJ23" s="846"/>
      <c r="BK23" s="846"/>
      <c r="BL23" s="846"/>
      <c r="BM23" s="846"/>
      <c r="BN23" s="846"/>
      <c r="BO23" s="846"/>
      <c r="BP23" s="846"/>
      <c r="BQ23" s="846"/>
      <c r="BR23" s="310"/>
      <c r="BS23" s="310"/>
      <c r="BT23" s="310"/>
      <c r="BU23" s="310"/>
      <c r="BV23" s="310"/>
      <c r="BW23" s="443"/>
      <c r="BX23" s="310"/>
      <c r="BY23" s="310"/>
      <c r="BZ23" s="310"/>
      <c r="CA23" s="310"/>
      <c r="CB23" s="310"/>
      <c r="CC23" s="310"/>
      <c r="CD23" s="310"/>
      <c r="CE23" s="310"/>
      <c r="CF23" s="310"/>
      <c r="CG23" s="258"/>
      <c r="CH23" s="878"/>
      <c r="CI23" s="247"/>
      <c r="CJ23" s="878"/>
    </row>
    <row r="24" spans="1:88" ht="3" customHeight="1">
      <c r="A24" s="220"/>
      <c r="B24" s="900"/>
      <c r="C24" s="900"/>
      <c r="D24" s="878"/>
      <c r="E24" s="880"/>
      <c r="F24" s="881"/>
      <c r="G24" s="862"/>
      <c r="H24" s="874"/>
      <c r="I24" s="874"/>
      <c r="J24" s="874"/>
      <c r="K24" s="874"/>
      <c r="L24" s="874"/>
      <c r="M24" s="874"/>
      <c r="N24" s="874"/>
      <c r="O24" s="874"/>
      <c r="P24" s="874"/>
      <c r="Q24" s="874"/>
      <c r="R24" s="874"/>
      <c r="S24" s="874"/>
      <c r="T24" s="874"/>
      <c r="U24" s="874"/>
      <c r="V24" s="874"/>
      <c r="W24" s="874"/>
      <c r="X24" s="874"/>
      <c r="Y24" s="874"/>
      <c r="Z24" s="874"/>
      <c r="AA24" s="875"/>
      <c r="AB24" s="875"/>
      <c r="AC24" s="875"/>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447"/>
      <c r="BB24" s="304"/>
      <c r="BC24" s="304"/>
      <c r="BD24" s="304"/>
      <c r="BE24" s="304"/>
      <c r="BF24" s="304"/>
      <c r="BG24" s="304"/>
      <c r="BH24" s="304"/>
      <c r="BI24" s="304"/>
      <c r="BJ24" s="446"/>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253"/>
      <c r="CH24" s="878"/>
      <c r="CI24" s="247"/>
      <c r="CJ24" s="878"/>
    </row>
    <row r="25" spans="1:88" ht="3" customHeight="1">
      <c r="A25" s="220"/>
      <c r="B25" s="900"/>
      <c r="C25" s="900"/>
      <c r="D25" s="878"/>
      <c r="E25" s="880"/>
      <c r="F25" s="881"/>
      <c r="G25" s="862"/>
      <c r="H25" s="874"/>
      <c r="I25" s="874"/>
      <c r="J25" s="874"/>
      <c r="K25" s="874"/>
      <c r="L25" s="874"/>
      <c r="M25" s="874"/>
      <c r="N25" s="874"/>
      <c r="O25" s="874"/>
      <c r="P25" s="874"/>
      <c r="Q25" s="874"/>
      <c r="R25" s="874"/>
      <c r="S25" s="874"/>
      <c r="T25" s="874"/>
      <c r="U25" s="874"/>
      <c r="V25" s="874"/>
      <c r="W25" s="874"/>
      <c r="X25" s="874"/>
      <c r="Y25" s="874"/>
      <c r="Z25" s="874"/>
      <c r="AA25" s="875"/>
      <c r="AB25" s="875"/>
      <c r="AC25" s="875"/>
      <c r="AD25" s="826"/>
      <c r="AE25" s="820"/>
      <c r="AF25" s="820"/>
      <c r="AG25" s="820"/>
      <c r="AH25" s="435"/>
      <c r="AI25" s="821"/>
      <c r="AJ25" s="821"/>
      <c r="AK25" s="821"/>
      <c r="AL25" s="821"/>
      <c r="AM25" s="821"/>
      <c r="AN25" s="818" t="s">
        <v>965</v>
      </c>
      <c r="AO25" s="822"/>
      <c r="AP25" s="822"/>
      <c r="AQ25" s="822"/>
      <c r="AR25" s="822"/>
      <c r="AS25" s="822"/>
      <c r="AT25" s="818" t="s">
        <v>965</v>
      </c>
      <c r="AU25" s="822"/>
      <c r="AV25" s="822"/>
      <c r="AW25" s="822"/>
      <c r="AX25" s="822"/>
      <c r="AY25" s="822"/>
      <c r="AZ25" s="827"/>
      <c r="BA25" s="448"/>
      <c r="BB25" s="442"/>
      <c r="BC25" s="442"/>
      <c r="BD25" s="442"/>
      <c r="BE25" s="442"/>
      <c r="BF25" s="442"/>
      <c r="BG25" s="442"/>
      <c r="BH25" s="442"/>
      <c r="BI25" s="442"/>
      <c r="BJ25" s="441"/>
      <c r="BK25" s="442"/>
      <c r="BL25" s="820"/>
      <c r="BM25" s="820"/>
      <c r="BN25" s="820"/>
      <c r="BO25" s="442"/>
      <c r="BP25" s="444"/>
      <c r="BQ25" s="444"/>
      <c r="BR25" s="444"/>
      <c r="BS25" s="444"/>
      <c r="BT25" s="444"/>
      <c r="BU25" s="442"/>
      <c r="BV25" s="444"/>
      <c r="BW25" s="444"/>
      <c r="BX25" s="444"/>
      <c r="BY25" s="444"/>
      <c r="BZ25" s="444"/>
      <c r="CA25" s="445"/>
      <c r="CB25" s="444"/>
      <c r="CC25" s="444"/>
      <c r="CD25" s="444"/>
      <c r="CE25" s="444"/>
      <c r="CF25" s="444"/>
      <c r="CG25" s="259"/>
      <c r="CH25" s="878"/>
      <c r="CI25" s="247"/>
      <c r="CJ25" s="878"/>
    </row>
    <row r="26" spans="1:88" ht="15" customHeight="1">
      <c r="A26" s="220"/>
      <c r="B26" s="900"/>
      <c r="C26" s="900"/>
      <c r="D26" s="878"/>
      <c r="E26" s="880"/>
      <c r="F26" s="881"/>
      <c r="G26" s="862"/>
      <c r="H26" s="874"/>
      <c r="I26" s="874"/>
      <c r="J26" s="874"/>
      <c r="K26" s="874"/>
      <c r="L26" s="874"/>
      <c r="M26" s="874"/>
      <c r="N26" s="874"/>
      <c r="O26" s="874"/>
      <c r="P26" s="874"/>
      <c r="Q26" s="874"/>
      <c r="R26" s="874"/>
      <c r="S26" s="874"/>
      <c r="T26" s="874"/>
      <c r="U26" s="874"/>
      <c r="V26" s="874"/>
      <c r="W26" s="874"/>
      <c r="X26" s="874"/>
      <c r="Y26" s="874"/>
      <c r="Z26" s="874"/>
      <c r="AA26" s="875"/>
      <c r="AB26" s="875"/>
      <c r="AC26" s="875"/>
      <c r="AD26" s="826"/>
      <c r="AE26" s="432" t="str">
        <f>IF(LEN(VLOOKUP(AA20,suvaha!$D$8:$H$27,3,FALSE))&lt;11,"",LEFT(RIGHT(VLOOKUP(AA20,suvaha!$D$8:$H$27,3,FALSE),11),1))</f>
        <v/>
      </c>
      <c r="AF26" s="255" t="s">
        <v>965</v>
      </c>
      <c r="AG26" s="432" t="str">
        <f>IF(LEN(VLOOKUP(AA20,suvaha!$D$8:$H$27,3,FALSE))&lt;10,"",LEFT(RIGHT(VLOOKUP(AA20,suvaha!$D$8:$H$27,3,FALSE),10),1))</f>
        <v/>
      </c>
      <c r="AH26" s="434" t="s">
        <v>965</v>
      </c>
      <c r="AI26" s="432" t="str">
        <f>IF(LEN(VLOOKUP(AA20,suvaha!$D$8:$H$27,3,FALSE))&lt;9,"",LEFT(RIGHT(VLOOKUP(AA20,suvaha!$D$8:$H$27,3,FALSE),9),1))</f>
        <v/>
      </c>
      <c r="AJ26" s="255" t="s">
        <v>965</v>
      </c>
      <c r="AK26" s="432" t="str">
        <f>IF(LEN(VLOOKUP(AA20,suvaha!$D$8:$F$27,3,FALSE))&lt;8,"",LEFT(RIGHT(VLOOKUP(AA20,suvaha!$D$8:$F$27,3,FALSE),8),1))</f>
        <v/>
      </c>
      <c r="AL26" s="434" t="s">
        <v>965</v>
      </c>
      <c r="AM26" s="432" t="str">
        <f>IF(LEN(VLOOKUP(AA20,suvaha!$D$8:$H$27,3,FALSE))&lt;7,"",LEFT(RIGHT(VLOOKUP(AA20,suvaha!$D$8:$H$27,3,FALSE),7),1))</f>
        <v/>
      </c>
      <c r="AN26" s="818"/>
      <c r="AO26" s="432" t="str">
        <f>IF(LEN(VLOOKUP(AA20,suvaha!$D$8:$H$27,3,FALSE))&lt;6,"",LEFT(RIGHT(VLOOKUP(AA20,suvaha!$D$8:$H$27,3,FALSE),6),1))</f>
        <v/>
      </c>
      <c r="AP26" s="434" t="s">
        <v>965</v>
      </c>
      <c r="AQ26" s="432" t="str">
        <f>IF(LEN(VLOOKUP(AA20,suvaha!$D$8:$H$27,3,FALSE))&lt;5,"",LEFT(RIGHT(VLOOKUP(AA20,suvaha!$D$8:$H$27,3,FALSE),5),1))</f>
        <v>1</v>
      </c>
      <c r="AR26" s="434" t="s">
        <v>965</v>
      </c>
      <c r="AS26" s="432" t="str">
        <f>IF(LEN(VLOOKUP(AA20,suvaha!$D$8:$H$27,3,FALSE))&lt;4,"",LEFT(RIGHT(VLOOKUP(AA20,suvaha!$D$8:$H$27,3,FALSE),4),1))</f>
        <v>4</v>
      </c>
      <c r="AT26" s="818"/>
      <c r="AU26" s="432" t="str">
        <f>IF(LEN(VLOOKUP(AA20,suvaha!$D$8:$H$27,3,FALSE))&lt;3,"",LEFT(RIGHT(VLOOKUP(AA20,suvaha!$D$8:$H$27,3,FALSE),3),1))</f>
        <v>4</v>
      </c>
      <c r="AV26" s="434" t="s">
        <v>965</v>
      </c>
      <c r="AW26" s="432" t="str">
        <f>IF(LEN(VLOOKUP(AA20,suvaha!$D$8:$H$27,3,FALSE))&lt;2,"",LEFT(RIGHT(VLOOKUP(AA20,suvaha!$D$8:$H$27,3,FALSE),2),1))</f>
        <v>0</v>
      </c>
      <c r="AX26" s="434" t="s">
        <v>965</v>
      </c>
      <c r="AY26" s="432" t="str">
        <f>IF(VLOOKUP(AA20,suvaha!$D$8:$H$27,3,FALSE)=0,"",IF(LEN(VLOOKUP(AA20,suvaha!$D$8:$H$27,3,FALSE))&lt;1,"",LEFT(RIGHT(VLOOKUP(AA20,suvaha!$D$8:$H$27,3,FALSE),1),1)))</f>
        <v>1</v>
      </c>
      <c r="AZ26" s="827"/>
      <c r="BA26" s="448"/>
      <c r="BB26" s="442"/>
      <c r="BC26" s="442"/>
      <c r="BD26" s="442"/>
      <c r="BE26" s="442"/>
      <c r="BF26" s="442"/>
      <c r="BG26" s="442"/>
      <c r="BH26" s="442"/>
      <c r="BI26" s="442"/>
      <c r="BJ26" s="441"/>
      <c r="BK26" s="442"/>
      <c r="BL26" s="432" t="str">
        <f>IF(LEN(VLOOKUP(AA20,suvaha!$D$8:$H$27,5,FALSE))&lt;11,"",LEFT(RIGHT(VLOOKUP(AA20,suvaha!$D$8:$H$27,5,FALSE),11),1))</f>
        <v/>
      </c>
      <c r="BM26" s="255" t="s">
        <v>965</v>
      </c>
      <c r="BN26" s="432" t="str">
        <f>IF(LEN(VLOOKUP(AA20,suvaha!$D$8:$H$27,5,FALSE))&lt;10,"",LEFT(RIGHT(VLOOKUP(AA20,suvaha!$D$8:$H$27,5,FALSE),10),1))</f>
        <v/>
      </c>
      <c r="BO26" s="442" t="s">
        <v>965</v>
      </c>
      <c r="BP26" s="432" t="str">
        <f>IF(LEN(VLOOKUP(AA20,suvaha!$D$8:$H$27,5,FALSE))&lt;9,"",LEFT(RIGHT(VLOOKUP(AA20,suvaha!$D$8:$H$27,5,FALSE),9),1))</f>
        <v/>
      </c>
      <c r="BQ26" s="434" t="s">
        <v>965</v>
      </c>
      <c r="BR26" s="432" t="str">
        <f>IF(LEN(VLOOKUP(AA20,suvaha!$D$8:$H$27,5,FALSE))&lt;8,"",LEFT(RIGHT(VLOOKUP(AA20,suvaha!$D$8:$H$27,5,FALSE),8),1))</f>
        <v>1</v>
      </c>
      <c r="BS26" s="434" t="s">
        <v>965</v>
      </c>
      <c r="BT26" s="432" t="str">
        <f>IF(LEN(VLOOKUP(AA20,suvaha!$D$8:$H$27,5,FALSE))&lt;7,"",LEFT(RIGHT(VLOOKUP(AA20,suvaha!$D$8:$H$27,5,FALSE),7),1))</f>
        <v>9</v>
      </c>
      <c r="BU26" s="442" t="s">
        <v>965</v>
      </c>
      <c r="BV26" s="432" t="str">
        <f>IF(LEN(VLOOKUP(AA20,suvaha!$D$8:$H$27,5,FALSE))&lt;6,"",LEFT(RIGHT(VLOOKUP(AA20,suvaha!$D$8:$H$27,5,FALSE),6),1))</f>
        <v>0</v>
      </c>
      <c r="BW26" s="434" t="s">
        <v>965</v>
      </c>
      <c r="BX26" s="432" t="str">
        <f>IF(LEN(VLOOKUP(AA20,suvaha!$D$8:$H$27,5,FALSE))&lt;5,"",LEFT(RIGHT(VLOOKUP(AA20,suvaha!$D$8:$H$27,5,FALSE),5),1))</f>
        <v>3</v>
      </c>
      <c r="BY26" s="434" t="s">
        <v>965</v>
      </c>
      <c r="BZ26" s="432" t="str">
        <f>IF(LEN(VLOOKUP(AA20,suvaha!$D$8:$H$27,5,FALSE))&lt;4,"",LEFT(RIGHT(VLOOKUP(AA20,suvaha!$D$8:$H$27,5,FALSE),4),1))</f>
        <v>4</v>
      </c>
      <c r="CA26" s="445" t="s">
        <v>965</v>
      </c>
      <c r="CB26" s="432" t="str">
        <f>IF(LEN(VLOOKUP(AA20,suvaha!$D$8:$H$27,5,FALSE))&lt;3,"",LEFT(RIGHT(VLOOKUP(AA20,suvaha!$D$8:$H$27,5,FALSE),3),1))</f>
        <v>5</v>
      </c>
      <c r="CC26" s="434" t="s">
        <v>965</v>
      </c>
      <c r="CD26" s="432" t="str">
        <f>IF(LEN(VLOOKUP(AA20,suvaha!$D$8:$H$27,5,FALSE))&lt;2,"",LEFT(RIGHT(VLOOKUP(AA20,suvaha!$D$8:$H$27,5,FALSE),2),1))</f>
        <v>0</v>
      </c>
      <c r="CE26" s="434" t="s">
        <v>1540</v>
      </c>
      <c r="CF26" s="432" t="str">
        <f>IF(VLOOKUP(AA20,suvaha!$D$8:$H$27,5,FALSE)=0,"",IF(LEN(VLOOKUP(AA20,suvaha!$D$8:$H$27,5,FALSE))&lt;1,"",LEFT(RIGHT(VLOOKUP(AA20,suvaha!$D$8:$H$27,5,FALSE),1),1)))</f>
        <v>1</v>
      </c>
      <c r="CG26" s="259"/>
      <c r="CH26" s="878"/>
      <c r="CI26" s="247"/>
      <c r="CJ26" s="878"/>
    </row>
    <row r="27" spans="1:88" ht="3" customHeight="1">
      <c r="A27" s="220"/>
      <c r="B27" s="900"/>
      <c r="C27" s="900"/>
      <c r="D27" s="878"/>
      <c r="E27" s="880"/>
      <c r="F27" s="881"/>
      <c r="G27" s="862"/>
      <c r="H27" s="874"/>
      <c r="I27" s="874"/>
      <c r="J27" s="874"/>
      <c r="K27" s="874"/>
      <c r="L27" s="874"/>
      <c r="M27" s="874"/>
      <c r="N27" s="874"/>
      <c r="O27" s="874"/>
      <c r="P27" s="874"/>
      <c r="Q27" s="874"/>
      <c r="R27" s="874"/>
      <c r="S27" s="874"/>
      <c r="T27" s="874"/>
      <c r="U27" s="874"/>
      <c r="V27" s="874"/>
      <c r="W27" s="874"/>
      <c r="X27" s="874"/>
      <c r="Y27" s="874"/>
      <c r="Z27" s="874"/>
      <c r="AA27" s="875"/>
      <c r="AB27" s="875"/>
      <c r="AC27" s="875"/>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449"/>
      <c r="BB27" s="310"/>
      <c r="BC27" s="310"/>
      <c r="BD27" s="310"/>
      <c r="BE27" s="310"/>
      <c r="BF27" s="310"/>
      <c r="BG27" s="310"/>
      <c r="BH27" s="310"/>
      <c r="BI27" s="310"/>
      <c r="BJ27" s="443"/>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258"/>
      <c r="CH27" s="878"/>
      <c r="CI27" s="247"/>
      <c r="CJ27" s="878"/>
    </row>
    <row r="28" spans="1:88" s="250" customFormat="1" ht="3" customHeight="1">
      <c r="A28" s="220"/>
      <c r="B28" s="900"/>
      <c r="C28" s="900"/>
      <c r="D28" s="878"/>
      <c r="E28" s="880" t="s">
        <v>496</v>
      </c>
      <c r="F28" s="881"/>
      <c r="G28" s="862"/>
      <c r="H28" s="874" t="str">
        <f>Index!C54</f>
        <v>Dlhodobý nehmotný majetok súčet (r. 04 až r. 10)</v>
      </c>
      <c r="I28" s="874"/>
      <c r="J28" s="874"/>
      <c r="K28" s="874"/>
      <c r="L28" s="874"/>
      <c r="M28" s="874"/>
      <c r="N28" s="874"/>
      <c r="O28" s="874"/>
      <c r="P28" s="874"/>
      <c r="Q28" s="874"/>
      <c r="R28" s="874"/>
      <c r="S28" s="874"/>
      <c r="T28" s="874"/>
      <c r="U28" s="874"/>
      <c r="V28" s="874"/>
      <c r="W28" s="874"/>
      <c r="X28" s="874"/>
      <c r="Y28" s="874"/>
      <c r="Z28" s="874"/>
      <c r="AA28" s="875" t="s">
        <v>653</v>
      </c>
      <c r="AB28" s="875"/>
      <c r="AC28" s="875"/>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67"/>
      <c r="BB28" s="867"/>
      <c r="BC28" s="867"/>
      <c r="BD28" s="867"/>
      <c r="BE28" s="867"/>
      <c r="BF28" s="867"/>
      <c r="BG28" s="867"/>
      <c r="BH28" s="867"/>
      <c r="BI28" s="867"/>
      <c r="BJ28" s="867"/>
      <c r="BK28" s="867"/>
      <c r="BL28" s="867"/>
      <c r="BM28" s="867"/>
      <c r="BN28" s="867"/>
      <c r="BO28" s="867"/>
      <c r="BP28" s="867"/>
      <c r="BQ28" s="867"/>
      <c r="BR28" s="304"/>
      <c r="BS28" s="304"/>
      <c r="BT28" s="304"/>
      <c r="BU28" s="304"/>
      <c r="BV28" s="304"/>
      <c r="BW28" s="446"/>
      <c r="BX28" s="304"/>
      <c r="BY28" s="304"/>
      <c r="BZ28" s="304"/>
      <c r="CA28" s="304"/>
      <c r="CB28" s="304"/>
      <c r="CC28" s="304"/>
      <c r="CD28" s="304"/>
      <c r="CE28" s="304"/>
      <c r="CF28" s="304"/>
      <c r="CG28" s="253"/>
      <c r="CH28" s="878"/>
      <c r="CI28" s="247"/>
      <c r="CJ28" s="878"/>
    </row>
    <row r="29" spans="1:88" s="250" customFormat="1" ht="3" customHeight="1">
      <c r="A29" s="220"/>
      <c r="B29" s="900"/>
      <c r="C29" s="900"/>
      <c r="D29" s="878"/>
      <c r="E29" s="880"/>
      <c r="F29" s="881"/>
      <c r="G29" s="862"/>
      <c r="H29" s="874"/>
      <c r="I29" s="874"/>
      <c r="J29" s="874"/>
      <c r="K29" s="874"/>
      <c r="L29" s="874"/>
      <c r="M29" s="874"/>
      <c r="N29" s="874"/>
      <c r="O29" s="874"/>
      <c r="P29" s="874"/>
      <c r="Q29" s="874"/>
      <c r="R29" s="874"/>
      <c r="S29" s="874"/>
      <c r="T29" s="874"/>
      <c r="U29" s="874"/>
      <c r="V29" s="874"/>
      <c r="W29" s="874"/>
      <c r="X29" s="874"/>
      <c r="Y29" s="874"/>
      <c r="Z29" s="874"/>
      <c r="AA29" s="875"/>
      <c r="AB29" s="875"/>
      <c r="AC29" s="875"/>
      <c r="AD29" s="826"/>
      <c r="AE29" s="820"/>
      <c r="AF29" s="820"/>
      <c r="AG29" s="820"/>
      <c r="AH29" s="435"/>
      <c r="AI29" s="821"/>
      <c r="AJ29" s="821"/>
      <c r="AK29" s="821"/>
      <c r="AL29" s="821"/>
      <c r="AM29" s="821"/>
      <c r="AN29" s="818"/>
      <c r="AO29" s="822"/>
      <c r="AP29" s="822"/>
      <c r="AQ29" s="822"/>
      <c r="AR29" s="822"/>
      <c r="AS29" s="822"/>
      <c r="AT29" s="818"/>
      <c r="AU29" s="822"/>
      <c r="AV29" s="822"/>
      <c r="AW29" s="822"/>
      <c r="AX29" s="822"/>
      <c r="AY29" s="822"/>
      <c r="AZ29" s="827"/>
      <c r="BA29" s="826"/>
      <c r="BB29" s="820"/>
      <c r="BC29" s="820"/>
      <c r="BD29" s="820"/>
      <c r="BE29" s="435"/>
      <c r="BF29" s="821"/>
      <c r="BG29" s="821"/>
      <c r="BH29" s="821"/>
      <c r="BI29" s="821"/>
      <c r="BJ29" s="821"/>
      <c r="BK29" s="818"/>
      <c r="BL29" s="822"/>
      <c r="BM29" s="822"/>
      <c r="BN29" s="822"/>
      <c r="BO29" s="822"/>
      <c r="BP29" s="822"/>
      <c r="BQ29" s="819"/>
      <c r="BR29" s="822"/>
      <c r="BS29" s="822"/>
      <c r="BT29" s="822"/>
      <c r="BU29" s="822"/>
      <c r="BV29" s="822"/>
      <c r="BW29" s="441"/>
      <c r="BX29" s="442"/>
      <c r="BY29" s="442"/>
      <c r="BZ29" s="442"/>
      <c r="CA29" s="442"/>
      <c r="CB29" s="442"/>
      <c r="CC29" s="442"/>
      <c r="CD29" s="442"/>
      <c r="CE29" s="442"/>
      <c r="CF29" s="442"/>
      <c r="CG29" s="254"/>
      <c r="CH29" s="878"/>
      <c r="CI29" s="247"/>
      <c r="CJ29" s="878"/>
    </row>
    <row r="30" spans="1:88" ht="15" customHeight="1">
      <c r="A30" s="220"/>
      <c r="B30" s="879"/>
      <c r="C30" s="879"/>
      <c r="D30" s="879"/>
      <c r="E30" s="880"/>
      <c r="F30" s="881"/>
      <c r="G30" s="862"/>
      <c r="H30" s="874"/>
      <c r="I30" s="874"/>
      <c r="J30" s="874"/>
      <c r="K30" s="874"/>
      <c r="L30" s="874"/>
      <c r="M30" s="874"/>
      <c r="N30" s="874"/>
      <c r="O30" s="874"/>
      <c r="P30" s="874"/>
      <c r="Q30" s="874"/>
      <c r="R30" s="874"/>
      <c r="S30" s="874"/>
      <c r="T30" s="874"/>
      <c r="U30" s="874"/>
      <c r="V30" s="874"/>
      <c r="W30" s="874"/>
      <c r="X30" s="874"/>
      <c r="Y30" s="874"/>
      <c r="Z30" s="874"/>
      <c r="AA30" s="875"/>
      <c r="AB30" s="875"/>
      <c r="AC30" s="875"/>
      <c r="AD30" s="826"/>
      <c r="AE30" s="432" t="str">
        <f>IF(LEN(VLOOKUP(AA28,suvaha!$D$8:$H$27,2,FALSE))&lt;11,"",LEFT(RIGHT(VLOOKUP(AA28,suvaha!$D$8:$H$27,2,FALSE),11),1))</f>
        <v/>
      </c>
      <c r="AF30" s="255"/>
      <c r="AG30" s="432" t="str">
        <f>IF(LEN(VLOOKUP(AA28,suvaha!$D$8:$H$27,2,FALSE))&lt;10,"",LEFT(RIGHT(VLOOKUP(AA28,suvaha!$D$8:$H$27,2,FALSE),10),1))</f>
        <v/>
      </c>
      <c r="AH30" s="434"/>
      <c r="AI30" s="432" t="str">
        <f>IF(LEN(VLOOKUP(AA28,suvaha!$D$8:$H$27,2,FALSE))&lt;9,"",LEFT(RIGHT(VLOOKUP(AA28,suvaha!$D$8:$H$27,2,FALSE),9),1))</f>
        <v/>
      </c>
      <c r="AJ30" s="255"/>
      <c r="AK30" s="432" t="str">
        <f>IF(LEN(VLOOKUP(AA28,suvaha!$D$8:$H$27,2,FALSE))&lt;8,"",LEFT(RIGHT(VLOOKUP(AA28,suvaha!$D$8:$H$27,2,FALSE),8),1))</f>
        <v/>
      </c>
      <c r="AL30" s="434"/>
      <c r="AM30" s="432" t="str">
        <f>IF(LEN(VLOOKUP(AA28,suvaha!$D$8:$H$27,2,FALSE))&lt;7,"",LEFT(RIGHT(VLOOKUP(AA28,suvaha!$D$8:$H$27,2,FALSE),7),1))</f>
        <v/>
      </c>
      <c r="AN30" s="818"/>
      <c r="AO30" s="432" t="str">
        <f>IF(LEN(VLOOKUP(AA28,suvaha!$D$8:$H$27,2,FALSE))&lt;6,"",LEFT(RIGHT(VLOOKUP(AA28,suvaha!$D$8:$H$27,2,FALSE),6),1))</f>
        <v>9</v>
      </c>
      <c r="AP30" s="434"/>
      <c r="AQ30" s="432" t="str">
        <f>IF(LEN(VLOOKUP(AA28,suvaha!$D$8:$H$27,2,FALSE))&lt;5,"",LEFT(RIGHT(VLOOKUP(AA28,suvaha!$D$8:$H$27,2,FALSE),5),1))</f>
        <v>6</v>
      </c>
      <c r="AR30" s="434"/>
      <c r="AS30" s="432" t="str">
        <f>IF(LEN(VLOOKUP(AA28,suvaha!$D$8:$H$27,2,FALSE))&lt;4,"",LEFT(RIGHT(VLOOKUP(AA28,suvaha!$D$8:$H$27,2,FALSE),4),1))</f>
        <v>5</v>
      </c>
      <c r="AT30" s="818"/>
      <c r="AU30" s="432" t="str">
        <f>IF(LEN(VLOOKUP(AA28,suvaha!$D$8:$H$27,2,FALSE))&lt;3,"",LEFT(RIGHT(VLOOKUP(AA28,suvaha!$D$8:$H$27,2,FALSE),3),1))</f>
        <v>2</v>
      </c>
      <c r="AV30" s="434"/>
      <c r="AW30" s="432" t="str">
        <f>IF(LEN(VLOOKUP(AA28,suvaha!$D$8:$H$27,2,FALSE))&lt;2,"",LEFT(RIGHT(VLOOKUP(AA28,suvaha!$D$8:$H$27,2,FALSE),2),1))</f>
        <v>3</v>
      </c>
      <c r="AX30" s="434"/>
      <c r="AY30" s="432" t="str">
        <f>IF(VLOOKUP(AA28,suvaha!$D$8:$H$27,2,FALSE)=0,"",IF(LEN(VLOOKUP(AA28,suvaha!$D$8:$H$27,2,FALSE))&lt;1,"",LEFT(RIGHT(VLOOKUP(AA28,suvaha!$D$8:$H$27,2,FALSE),1),1)))</f>
        <v>8</v>
      </c>
      <c r="AZ30" s="827"/>
      <c r="BA30" s="826"/>
      <c r="BB30" s="432" t="str">
        <f>IF(LEN(VLOOKUP(AA28,suvaha!$D$8:$H$27,4,FALSE))&lt;11,"",LEFT(RIGHT(VLOOKUP(AA28,suvaha!$D$8:$H$27,4,FALSE),11),1))</f>
        <v/>
      </c>
      <c r="BC30" s="255"/>
      <c r="BD30" s="432" t="str">
        <f>IF(LEN(VLOOKUP(AA28,suvaha!$D$8:$H$27,4,FALSE))&lt;10,"",LEFT(RIGHT(VLOOKUP(AA28,suvaha!$D$8:$H$27,4,FALSE),10),1))</f>
        <v/>
      </c>
      <c r="BE30" s="434"/>
      <c r="BF30" s="432" t="str">
        <f>IF(LEN(VLOOKUP(AA28,suvaha!$D$8:$H$27,4,FALSE))&lt;9,"",LEFT(RIGHT(VLOOKUP(AA28,suvaha!$D$8:$H$27,4,FALSE),9),1))</f>
        <v/>
      </c>
      <c r="BG30" s="255"/>
      <c r="BH30" s="432" t="str">
        <f>IF(LEN(VLOOKUP(AA28,suvaha!$D$8:$H$27,4,FALSE))&lt;8,"",LEFT(RIGHT(VLOOKUP(AA28,suvaha!$D$8:$H$27,4,FALSE),8),1))</f>
        <v/>
      </c>
      <c r="BI30" s="434"/>
      <c r="BJ30" s="432" t="str">
        <f>IF(LEN(VLOOKUP(AA28,suvaha!$D$8:$H$27,4,FALSE))&lt;7,"",LEFT(RIGHT(VLOOKUP(AA28,suvaha!$D$8:$H$27,4,FALSE),7),1))</f>
        <v/>
      </c>
      <c r="BK30" s="818"/>
      <c r="BL30" s="432" t="str">
        <f>IF(LEN(VLOOKUP(AA28,suvaha!$D$8:$H$27,4,FALSE))&lt;6,"",LEFT(RIGHT(VLOOKUP(AA28,suvaha!$D$8:$H$27,4,FALSE),6),1))</f>
        <v>9</v>
      </c>
      <c r="BM30" s="434"/>
      <c r="BN30" s="432" t="str">
        <f>IF(LEN(VLOOKUP(AA28,suvaha!$D$8:$H$27,4,FALSE))&lt;5,"",LEFT(RIGHT(VLOOKUP(AA28,suvaha!$D$8:$H$27,4,FALSE),5),1))</f>
        <v>5</v>
      </c>
      <c r="BO30" s="434"/>
      <c r="BP30" s="432" t="str">
        <f>IF(LEN(VLOOKUP(AA28,suvaha!$D$8:$H$27,4,FALSE))&lt;4,"",LEFT(RIGHT(VLOOKUP(AA28,suvaha!$D$8:$H$27,4,FALSE),4),1))</f>
        <v>4</v>
      </c>
      <c r="BQ30" s="819"/>
      <c r="BR30" s="432" t="str">
        <f>IF(LEN(VLOOKUP(AA28,suvaha!$D$8:$H$27,4,FALSE))&lt;3,"",LEFT(RIGHT(VLOOKUP(AA28,suvaha!$D$8:$H$27,4,FALSE),3),1))</f>
        <v>9</v>
      </c>
      <c r="BS30" s="434"/>
      <c r="BT30" s="432" t="str">
        <f>IF(LEN(VLOOKUP(AA28,suvaha!$D$8:$H$27,4,FALSE))&lt;2,"",LEFT(RIGHT(VLOOKUP(AA28,suvaha!$D$8:$H$27,4,FALSE),2),1))</f>
        <v>4</v>
      </c>
      <c r="BU30" s="434"/>
      <c r="BV30" s="432" t="str">
        <f>IF(VLOOKUP(AA28,suvaha!$D$8:$H$27,4,FALSE)=0,"",IF(LEN(VLOOKUP(AA28,suvaha!$D$8:$H$27,4,FALSE))&lt;1,"",LEFT(RIGHT(VLOOKUP(AA28,suvaha!$D$8:$H$27,4,FALSE),1),1)))</f>
        <v>1</v>
      </c>
      <c r="BW30" s="441"/>
      <c r="BX30" s="442"/>
      <c r="BY30" s="442"/>
      <c r="BZ30" s="442"/>
      <c r="CA30" s="442"/>
      <c r="CB30" s="442"/>
      <c r="CC30" s="442"/>
      <c r="CD30" s="442"/>
      <c r="CE30" s="442"/>
      <c r="CF30" s="442"/>
      <c r="CG30" s="254"/>
      <c r="CH30" s="878"/>
      <c r="CI30" s="247"/>
      <c r="CJ30" s="878"/>
    </row>
    <row r="31" spans="1:88" ht="3" customHeight="1">
      <c r="A31" s="220"/>
      <c r="B31" s="879"/>
      <c r="C31" s="879"/>
      <c r="D31" s="879"/>
      <c r="E31" s="880"/>
      <c r="F31" s="881"/>
      <c r="G31" s="862"/>
      <c r="H31" s="874"/>
      <c r="I31" s="874"/>
      <c r="J31" s="874"/>
      <c r="K31" s="874"/>
      <c r="L31" s="874"/>
      <c r="M31" s="874"/>
      <c r="N31" s="874"/>
      <c r="O31" s="874"/>
      <c r="P31" s="874"/>
      <c r="Q31" s="874"/>
      <c r="R31" s="874"/>
      <c r="S31" s="874"/>
      <c r="T31" s="874"/>
      <c r="U31" s="874"/>
      <c r="V31" s="874"/>
      <c r="W31" s="874"/>
      <c r="X31" s="874"/>
      <c r="Y31" s="874"/>
      <c r="Z31" s="874"/>
      <c r="AA31" s="875"/>
      <c r="AB31" s="875"/>
      <c r="AC31" s="87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6"/>
      <c r="BB31" s="846"/>
      <c r="BC31" s="846"/>
      <c r="BD31" s="846"/>
      <c r="BE31" s="846"/>
      <c r="BF31" s="846"/>
      <c r="BG31" s="846"/>
      <c r="BH31" s="846"/>
      <c r="BI31" s="846"/>
      <c r="BJ31" s="846"/>
      <c r="BK31" s="846"/>
      <c r="BL31" s="846"/>
      <c r="BM31" s="846"/>
      <c r="BN31" s="846"/>
      <c r="BO31" s="846"/>
      <c r="BP31" s="846"/>
      <c r="BQ31" s="846"/>
      <c r="BR31" s="310"/>
      <c r="BS31" s="310"/>
      <c r="BT31" s="310"/>
      <c r="BU31" s="310"/>
      <c r="BV31" s="310"/>
      <c r="BW31" s="443"/>
      <c r="BX31" s="310"/>
      <c r="BY31" s="310"/>
      <c r="BZ31" s="310"/>
      <c r="CA31" s="310"/>
      <c r="CB31" s="310"/>
      <c r="CC31" s="310"/>
      <c r="CD31" s="310"/>
      <c r="CE31" s="310"/>
      <c r="CF31" s="310"/>
      <c r="CG31" s="258"/>
      <c r="CH31" s="878"/>
      <c r="CI31" s="247"/>
      <c r="CJ31" s="878"/>
    </row>
    <row r="32" spans="1:88" ht="3" customHeight="1">
      <c r="A32" s="220"/>
      <c r="B32" s="879"/>
      <c r="C32" s="879"/>
      <c r="D32" s="879"/>
      <c r="E32" s="880"/>
      <c r="F32" s="881"/>
      <c r="G32" s="862"/>
      <c r="H32" s="874"/>
      <c r="I32" s="874"/>
      <c r="J32" s="874"/>
      <c r="K32" s="874"/>
      <c r="L32" s="874"/>
      <c r="M32" s="874"/>
      <c r="N32" s="874"/>
      <c r="O32" s="874"/>
      <c r="P32" s="874"/>
      <c r="Q32" s="874"/>
      <c r="R32" s="874"/>
      <c r="S32" s="874"/>
      <c r="T32" s="874"/>
      <c r="U32" s="874"/>
      <c r="V32" s="874"/>
      <c r="W32" s="874"/>
      <c r="X32" s="874"/>
      <c r="Y32" s="874"/>
      <c r="Z32" s="874"/>
      <c r="AA32" s="875"/>
      <c r="AB32" s="875"/>
      <c r="AC32" s="875"/>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447"/>
      <c r="BB32" s="304"/>
      <c r="BC32" s="304"/>
      <c r="BD32" s="304"/>
      <c r="BE32" s="304"/>
      <c r="BF32" s="304"/>
      <c r="BG32" s="304"/>
      <c r="BH32" s="304"/>
      <c r="BI32" s="304"/>
      <c r="BJ32" s="446"/>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253"/>
      <c r="CH32" s="878"/>
      <c r="CI32" s="247"/>
      <c r="CJ32" s="878"/>
    </row>
    <row r="33" spans="1:88" ht="3" customHeight="1">
      <c r="A33" s="220"/>
      <c r="B33" s="879"/>
      <c r="C33" s="879"/>
      <c r="D33" s="879"/>
      <c r="E33" s="880"/>
      <c r="F33" s="881"/>
      <c r="G33" s="862"/>
      <c r="H33" s="874"/>
      <c r="I33" s="874"/>
      <c r="J33" s="874"/>
      <c r="K33" s="874"/>
      <c r="L33" s="874"/>
      <c r="M33" s="874"/>
      <c r="N33" s="874"/>
      <c r="O33" s="874"/>
      <c r="P33" s="874"/>
      <c r="Q33" s="874"/>
      <c r="R33" s="874"/>
      <c r="S33" s="874"/>
      <c r="T33" s="874"/>
      <c r="U33" s="874"/>
      <c r="V33" s="874"/>
      <c r="W33" s="874"/>
      <c r="X33" s="874"/>
      <c r="Y33" s="874"/>
      <c r="Z33" s="874"/>
      <c r="AA33" s="875"/>
      <c r="AB33" s="875"/>
      <c r="AC33" s="875"/>
      <c r="AD33" s="826"/>
      <c r="AE33" s="820"/>
      <c r="AF33" s="820"/>
      <c r="AG33" s="820"/>
      <c r="AH33" s="435"/>
      <c r="AI33" s="821"/>
      <c r="AJ33" s="821"/>
      <c r="AK33" s="821"/>
      <c r="AL33" s="821"/>
      <c r="AM33" s="821"/>
      <c r="AN33" s="818" t="s">
        <v>965</v>
      </c>
      <c r="AO33" s="822"/>
      <c r="AP33" s="822"/>
      <c r="AQ33" s="822"/>
      <c r="AR33" s="822"/>
      <c r="AS33" s="822"/>
      <c r="AT33" s="818" t="s">
        <v>965</v>
      </c>
      <c r="AU33" s="822"/>
      <c r="AV33" s="822"/>
      <c r="AW33" s="822"/>
      <c r="AX33" s="822"/>
      <c r="AY33" s="822"/>
      <c r="AZ33" s="827"/>
      <c r="BA33" s="448"/>
      <c r="BB33" s="442"/>
      <c r="BC33" s="442"/>
      <c r="BD33" s="442"/>
      <c r="BE33" s="442"/>
      <c r="BF33" s="442"/>
      <c r="BG33" s="442"/>
      <c r="BH33" s="442"/>
      <c r="BI33" s="442"/>
      <c r="BJ33" s="441"/>
      <c r="BK33" s="442"/>
      <c r="BL33" s="820"/>
      <c r="BM33" s="820"/>
      <c r="BN33" s="820"/>
      <c r="BO33" s="442"/>
      <c r="BP33" s="444"/>
      <c r="BQ33" s="444"/>
      <c r="BR33" s="444"/>
      <c r="BS33" s="444"/>
      <c r="BT33" s="444"/>
      <c r="BU33" s="442"/>
      <c r="BV33" s="444"/>
      <c r="BW33" s="444"/>
      <c r="BX33" s="444"/>
      <c r="BY33" s="444"/>
      <c r="BZ33" s="444"/>
      <c r="CA33" s="445"/>
      <c r="CB33" s="444"/>
      <c r="CC33" s="444"/>
      <c r="CD33" s="444"/>
      <c r="CE33" s="444"/>
      <c r="CF33" s="444"/>
      <c r="CG33" s="259"/>
      <c r="CH33" s="878"/>
      <c r="CI33" s="247"/>
      <c r="CJ33" s="878"/>
    </row>
    <row r="34" spans="1:88" ht="15" customHeight="1">
      <c r="A34" s="220"/>
      <c r="B34" s="879"/>
      <c r="C34" s="879"/>
      <c r="D34" s="879"/>
      <c r="E34" s="880"/>
      <c r="F34" s="881"/>
      <c r="G34" s="862"/>
      <c r="H34" s="874"/>
      <c r="I34" s="874"/>
      <c r="J34" s="874"/>
      <c r="K34" s="874"/>
      <c r="L34" s="874"/>
      <c r="M34" s="874"/>
      <c r="N34" s="874"/>
      <c r="O34" s="874"/>
      <c r="P34" s="874"/>
      <c r="Q34" s="874"/>
      <c r="R34" s="874"/>
      <c r="S34" s="874"/>
      <c r="T34" s="874"/>
      <c r="U34" s="874"/>
      <c r="V34" s="874"/>
      <c r="W34" s="874"/>
      <c r="X34" s="874"/>
      <c r="Y34" s="874"/>
      <c r="Z34" s="874"/>
      <c r="AA34" s="875"/>
      <c r="AB34" s="875"/>
      <c r="AC34" s="875"/>
      <c r="AD34" s="826"/>
      <c r="AE34" s="432" t="str">
        <f>IF(LEN(VLOOKUP(AA28,suvaha!$D$8:$H$27,3,FALSE))&lt;11,"",LEFT(RIGHT(VLOOKUP(AA28,suvaha!$D$8:$H$27,3,FALSE),11),1))</f>
        <v/>
      </c>
      <c r="AF34" s="255" t="s">
        <v>965</v>
      </c>
      <c r="AG34" s="432" t="str">
        <f>IF(LEN(VLOOKUP(AA28,suvaha!$D$8:$H$27,3,FALSE))&lt;10,"",LEFT(RIGHT(VLOOKUP(AA28,suvaha!$D$8:$H$27,3,FALSE),10),1))</f>
        <v/>
      </c>
      <c r="AH34" s="434" t="s">
        <v>965</v>
      </c>
      <c r="AI34" s="432" t="str">
        <f>IF(LEN(VLOOKUP(AA28,suvaha!$D$8:$H$27,3,FALSE))&lt;9,"",LEFT(RIGHT(VLOOKUP(AA28,suvaha!$D$8:$H$27,3,FALSE),9),1))</f>
        <v/>
      </c>
      <c r="AJ34" s="255" t="s">
        <v>965</v>
      </c>
      <c r="AK34" s="432" t="str">
        <f>IF(LEN(VLOOKUP(AA28,suvaha!$D$8:$F$27,3,FALSE))&lt;8,"",LEFT(RIGHT(VLOOKUP(AA28,suvaha!$D$8:$F$27,3,FALSE),8),1))</f>
        <v/>
      </c>
      <c r="AL34" s="434" t="s">
        <v>965</v>
      </c>
      <c r="AM34" s="432" t="str">
        <f>IF(LEN(VLOOKUP(AA28,suvaha!$D$8:$H$27,3,FALSE))&lt;7,"",LEFT(RIGHT(VLOOKUP(AA28,suvaha!$D$8:$H$27,3,FALSE),7),1))</f>
        <v/>
      </c>
      <c r="AN34" s="818"/>
      <c r="AO34" s="432" t="str">
        <f>IF(LEN(VLOOKUP(AA28,suvaha!$D$8:$H$27,3,FALSE))&lt;6,"",LEFT(RIGHT(VLOOKUP(AA28,suvaha!$D$8:$H$27,3,FALSE),6),1))</f>
        <v/>
      </c>
      <c r="AP34" s="434" t="s">
        <v>965</v>
      </c>
      <c r="AQ34" s="432" t="str">
        <f>IF(LEN(VLOOKUP(AA28,suvaha!$D$8:$H$27,3,FALSE))&lt;5,"",LEFT(RIGHT(VLOOKUP(AA28,suvaha!$D$8:$H$27,3,FALSE),5),1))</f>
        <v>1</v>
      </c>
      <c r="AR34" s="434" t="s">
        <v>965</v>
      </c>
      <c r="AS34" s="432" t="str">
        <f>IF(LEN(VLOOKUP(AA28,suvaha!$D$8:$H$27,3,FALSE))&lt;4,"",LEFT(RIGHT(VLOOKUP(AA28,suvaha!$D$8:$H$27,3,FALSE),4),1))</f>
        <v>0</v>
      </c>
      <c r="AT34" s="818"/>
      <c r="AU34" s="432" t="str">
        <f>IF(LEN(VLOOKUP(AA28,suvaha!$D$8:$H$27,3,FALSE))&lt;3,"",LEFT(RIGHT(VLOOKUP(AA28,suvaha!$D$8:$H$27,3,FALSE),3),1))</f>
        <v>2</v>
      </c>
      <c r="AV34" s="434" t="s">
        <v>965</v>
      </c>
      <c r="AW34" s="432" t="str">
        <f>IF(LEN(VLOOKUP(AA28,suvaha!$D$8:$H$27,3,FALSE))&lt;2,"",LEFT(RIGHT(VLOOKUP(AA28,suvaha!$D$8:$H$27,3,FALSE),2),1))</f>
        <v>9</v>
      </c>
      <c r="AX34" s="434" t="s">
        <v>965</v>
      </c>
      <c r="AY34" s="432" t="str">
        <f>IF(VLOOKUP(AA28,suvaha!$D$8:$H$27,3,FALSE)=0,"",IF(LEN(VLOOKUP(AA28,suvaha!$D$8:$H$27,3,FALSE))&lt;1,"",LEFT(RIGHT(VLOOKUP(AA28,suvaha!$D$8:$H$27,3,FALSE),1),1)))</f>
        <v>7</v>
      </c>
      <c r="AZ34" s="827"/>
      <c r="BA34" s="448"/>
      <c r="BB34" s="442"/>
      <c r="BC34" s="442"/>
      <c r="BD34" s="442"/>
      <c r="BE34" s="442"/>
      <c r="BF34" s="442"/>
      <c r="BG34" s="442"/>
      <c r="BH34" s="442"/>
      <c r="BI34" s="442"/>
      <c r="BJ34" s="441"/>
      <c r="BK34" s="442"/>
      <c r="BL34" s="432" t="str">
        <f>IF(LEN(VLOOKUP(AA28,suvaha!$D$8:$H$27,5,FALSE))&lt;11,"",LEFT(RIGHT(VLOOKUP(AA28,suvaha!$D$8:$H$27,5,FALSE),11),1))</f>
        <v/>
      </c>
      <c r="BM34" s="255" t="s">
        <v>965</v>
      </c>
      <c r="BN34" s="432" t="str">
        <f>IF(LEN(VLOOKUP(AA28,suvaha!$D$8:$H$27,5,FALSE))&lt;10,"",LEFT(RIGHT(VLOOKUP(AA28,suvaha!$D$8:$H$27,5,FALSE),10),1))</f>
        <v/>
      </c>
      <c r="BO34" s="442" t="s">
        <v>965</v>
      </c>
      <c r="BP34" s="432" t="str">
        <f>IF(LEN(VLOOKUP(AA28,suvaha!$D$8:$H$27,5,FALSE))&lt;9,"",LEFT(RIGHT(VLOOKUP(AA28,suvaha!$D$8:$H$27,5,FALSE),9),1))</f>
        <v/>
      </c>
      <c r="BQ34" s="434" t="s">
        <v>965</v>
      </c>
      <c r="BR34" s="432" t="str">
        <f>IF(LEN(VLOOKUP(AA28,suvaha!$D$8:$H$27,5,FALSE))&lt;8,"",LEFT(RIGHT(VLOOKUP(AA28,suvaha!$D$8:$H$27,5,FALSE),8),1))</f>
        <v/>
      </c>
      <c r="BS34" s="434" t="s">
        <v>965</v>
      </c>
      <c r="BT34" s="432" t="str">
        <f>IF(LEN(VLOOKUP(AA28,suvaha!$D$8:$H$27,5,FALSE))&lt;7,"",LEFT(RIGHT(VLOOKUP(AA28,suvaha!$D$8:$H$27,5,FALSE),7),1))</f>
        <v/>
      </c>
      <c r="BU34" s="442" t="s">
        <v>965</v>
      </c>
      <c r="BV34" s="432" t="str">
        <f>IF(LEN(VLOOKUP(AA28,suvaha!$D$8:$H$27,5,FALSE))&lt;6,"",LEFT(RIGHT(VLOOKUP(AA28,suvaha!$D$8:$H$27,5,FALSE),6),1))</f>
        <v>2</v>
      </c>
      <c r="BW34" s="434" t="s">
        <v>965</v>
      </c>
      <c r="BX34" s="432" t="str">
        <f>IF(LEN(VLOOKUP(AA28,suvaha!$D$8:$H$27,5,FALSE))&lt;5,"",LEFT(RIGHT(VLOOKUP(AA28,suvaha!$D$8:$H$27,5,FALSE),5),1))</f>
        <v>7</v>
      </c>
      <c r="BY34" s="434" t="s">
        <v>965</v>
      </c>
      <c r="BZ34" s="432" t="str">
        <f>IF(LEN(VLOOKUP(AA28,suvaha!$D$8:$H$27,5,FALSE))&lt;4,"",LEFT(RIGHT(VLOOKUP(AA28,suvaha!$D$8:$H$27,5,FALSE),4),1))</f>
        <v>5</v>
      </c>
      <c r="CA34" s="445" t="s">
        <v>965</v>
      </c>
      <c r="CB34" s="432" t="str">
        <f>IF(LEN(VLOOKUP(AA28,suvaha!$D$8:$H$27,5,FALSE))&lt;3,"",LEFT(RIGHT(VLOOKUP(AA28,suvaha!$D$8:$H$27,5,FALSE),3),1))</f>
        <v>5</v>
      </c>
      <c r="CC34" s="434" t="s">
        <v>965</v>
      </c>
      <c r="CD34" s="432" t="str">
        <f>IF(LEN(VLOOKUP(AA28,suvaha!$D$8:$H$27,5,FALSE))&lt;2,"",LEFT(RIGHT(VLOOKUP(AA28,suvaha!$D$8:$H$27,5,FALSE),2),1))</f>
        <v>8</v>
      </c>
      <c r="CE34" s="434" t="s">
        <v>1540</v>
      </c>
      <c r="CF34" s="432" t="str">
        <f>IF(VLOOKUP(AA28,suvaha!$D$8:$H$27,5,FALSE)=0,"",IF(LEN(VLOOKUP(AA28,suvaha!$D$8:$H$27,5,FALSE))&lt;1,"",LEFT(RIGHT(VLOOKUP(AA28,suvaha!$D$8:$H$27,5,FALSE),1),1)))</f>
        <v>8</v>
      </c>
      <c r="CG34" s="259"/>
      <c r="CH34" s="878"/>
      <c r="CI34" s="247"/>
      <c r="CJ34" s="878"/>
    </row>
    <row r="35" spans="1:88" ht="3" customHeight="1">
      <c r="A35" s="220"/>
      <c r="B35" s="879"/>
      <c r="C35" s="879"/>
      <c r="D35" s="879"/>
      <c r="E35" s="880"/>
      <c r="F35" s="881"/>
      <c r="G35" s="862"/>
      <c r="H35" s="874"/>
      <c r="I35" s="874"/>
      <c r="J35" s="874"/>
      <c r="K35" s="874"/>
      <c r="L35" s="874"/>
      <c r="M35" s="874"/>
      <c r="N35" s="874"/>
      <c r="O35" s="874"/>
      <c r="P35" s="874"/>
      <c r="Q35" s="874"/>
      <c r="R35" s="874"/>
      <c r="S35" s="874"/>
      <c r="T35" s="874"/>
      <c r="U35" s="874"/>
      <c r="V35" s="874"/>
      <c r="W35" s="874"/>
      <c r="X35" s="874"/>
      <c r="Y35" s="874"/>
      <c r="Z35" s="874"/>
      <c r="AA35" s="875"/>
      <c r="AB35" s="875"/>
      <c r="AC35" s="875"/>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449"/>
      <c r="BB35" s="310"/>
      <c r="BC35" s="310"/>
      <c r="BD35" s="310"/>
      <c r="BE35" s="310"/>
      <c r="BF35" s="310"/>
      <c r="BG35" s="310"/>
      <c r="BH35" s="310"/>
      <c r="BI35" s="310"/>
      <c r="BJ35" s="443"/>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258"/>
      <c r="CH35" s="878"/>
      <c r="CI35" s="247"/>
      <c r="CJ35" s="878"/>
    </row>
    <row r="36" spans="1:88" s="250" customFormat="1" ht="3" customHeight="1">
      <c r="A36" s="220"/>
      <c r="B36" s="879"/>
      <c r="C36" s="879"/>
      <c r="D36" s="879"/>
      <c r="E36" s="858" t="s">
        <v>1541</v>
      </c>
      <c r="F36" s="859"/>
      <c r="G36" s="862"/>
      <c r="H36" s="864" t="str">
        <f>Index!C55</f>
        <v>Aktivované náklady na vývoj (012) - /072, 091A/</v>
      </c>
      <c r="I36" s="864"/>
      <c r="J36" s="864"/>
      <c r="K36" s="864"/>
      <c r="L36" s="864"/>
      <c r="M36" s="864"/>
      <c r="N36" s="864"/>
      <c r="O36" s="864"/>
      <c r="P36" s="864"/>
      <c r="Q36" s="864"/>
      <c r="R36" s="864"/>
      <c r="S36" s="864"/>
      <c r="T36" s="864"/>
      <c r="U36" s="864"/>
      <c r="V36" s="864"/>
      <c r="W36" s="864"/>
      <c r="X36" s="864"/>
      <c r="Y36" s="864"/>
      <c r="Z36" s="864"/>
      <c r="AA36" s="866" t="s">
        <v>655</v>
      </c>
      <c r="AB36" s="866"/>
      <c r="AC36" s="866"/>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67"/>
      <c r="BB36" s="867"/>
      <c r="BC36" s="867"/>
      <c r="BD36" s="867"/>
      <c r="BE36" s="867"/>
      <c r="BF36" s="867"/>
      <c r="BG36" s="867"/>
      <c r="BH36" s="867"/>
      <c r="BI36" s="867"/>
      <c r="BJ36" s="867"/>
      <c r="BK36" s="867"/>
      <c r="BL36" s="867"/>
      <c r="BM36" s="867"/>
      <c r="BN36" s="867"/>
      <c r="BO36" s="867"/>
      <c r="BP36" s="867"/>
      <c r="BQ36" s="867"/>
      <c r="BR36" s="304"/>
      <c r="BS36" s="304"/>
      <c r="BT36" s="304"/>
      <c r="BU36" s="304"/>
      <c r="BV36" s="304"/>
      <c r="BW36" s="446"/>
      <c r="BX36" s="304"/>
      <c r="BY36" s="304"/>
      <c r="BZ36" s="304"/>
      <c r="CA36" s="304"/>
      <c r="CB36" s="304"/>
      <c r="CC36" s="304"/>
      <c r="CD36" s="304"/>
      <c r="CE36" s="304"/>
      <c r="CF36" s="304"/>
      <c r="CG36" s="253"/>
      <c r="CH36" s="878"/>
      <c r="CI36" s="247"/>
      <c r="CJ36" s="878"/>
    </row>
    <row r="37" spans="1:88" s="250" customFormat="1" ht="3" customHeight="1">
      <c r="A37" s="220"/>
      <c r="B37" s="879"/>
      <c r="C37" s="879"/>
      <c r="D37" s="879"/>
      <c r="E37" s="858"/>
      <c r="F37" s="859"/>
      <c r="G37" s="862"/>
      <c r="H37" s="864"/>
      <c r="I37" s="864"/>
      <c r="J37" s="864"/>
      <c r="K37" s="864"/>
      <c r="L37" s="864"/>
      <c r="M37" s="864"/>
      <c r="N37" s="864"/>
      <c r="O37" s="864"/>
      <c r="P37" s="864"/>
      <c r="Q37" s="864"/>
      <c r="R37" s="864"/>
      <c r="S37" s="864"/>
      <c r="T37" s="864"/>
      <c r="U37" s="864"/>
      <c r="V37" s="864"/>
      <c r="W37" s="864"/>
      <c r="X37" s="864"/>
      <c r="Y37" s="864"/>
      <c r="Z37" s="864"/>
      <c r="AA37" s="866"/>
      <c r="AB37" s="866"/>
      <c r="AC37" s="866"/>
      <c r="AD37" s="826"/>
      <c r="AE37" s="820"/>
      <c r="AF37" s="820"/>
      <c r="AG37" s="820"/>
      <c r="AH37" s="435"/>
      <c r="AI37" s="821"/>
      <c r="AJ37" s="821"/>
      <c r="AK37" s="821"/>
      <c r="AL37" s="821"/>
      <c r="AM37" s="821"/>
      <c r="AN37" s="818"/>
      <c r="AO37" s="822"/>
      <c r="AP37" s="822"/>
      <c r="AQ37" s="822"/>
      <c r="AR37" s="822"/>
      <c r="AS37" s="822"/>
      <c r="AT37" s="818"/>
      <c r="AU37" s="822"/>
      <c r="AV37" s="822"/>
      <c r="AW37" s="822"/>
      <c r="AX37" s="822"/>
      <c r="AY37" s="822"/>
      <c r="AZ37" s="827"/>
      <c r="BA37" s="826"/>
      <c r="BB37" s="820"/>
      <c r="BC37" s="820"/>
      <c r="BD37" s="820"/>
      <c r="BE37" s="435"/>
      <c r="BF37" s="821"/>
      <c r="BG37" s="821"/>
      <c r="BH37" s="821"/>
      <c r="BI37" s="821"/>
      <c r="BJ37" s="821"/>
      <c r="BK37" s="818"/>
      <c r="BL37" s="822"/>
      <c r="BM37" s="822"/>
      <c r="BN37" s="822"/>
      <c r="BO37" s="822"/>
      <c r="BP37" s="822"/>
      <c r="BQ37" s="819"/>
      <c r="BR37" s="822"/>
      <c r="BS37" s="822"/>
      <c r="BT37" s="822"/>
      <c r="BU37" s="822"/>
      <c r="BV37" s="822"/>
      <c r="BW37" s="441"/>
      <c r="BX37" s="442"/>
      <c r="BY37" s="442"/>
      <c r="BZ37" s="442"/>
      <c r="CA37" s="442"/>
      <c r="CB37" s="442"/>
      <c r="CC37" s="442"/>
      <c r="CD37" s="442"/>
      <c r="CE37" s="442"/>
      <c r="CF37" s="442"/>
      <c r="CG37" s="254"/>
      <c r="CH37" s="878"/>
      <c r="CI37" s="247"/>
      <c r="CJ37" s="878"/>
    </row>
    <row r="38" spans="1:88" ht="15" customHeight="1">
      <c r="A38" s="220"/>
      <c r="B38" s="879"/>
      <c r="C38" s="879"/>
      <c r="D38" s="879"/>
      <c r="E38" s="858"/>
      <c r="F38" s="859"/>
      <c r="G38" s="862"/>
      <c r="H38" s="864"/>
      <c r="I38" s="864"/>
      <c r="J38" s="864"/>
      <c r="K38" s="864"/>
      <c r="L38" s="864"/>
      <c r="M38" s="864"/>
      <c r="N38" s="864"/>
      <c r="O38" s="864"/>
      <c r="P38" s="864"/>
      <c r="Q38" s="864"/>
      <c r="R38" s="864"/>
      <c r="S38" s="864"/>
      <c r="T38" s="864"/>
      <c r="U38" s="864"/>
      <c r="V38" s="864"/>
      <c r="W38" s="864"/>
      <c r="X38" s="864"/>
      <c r="Y38" s="864"/>
      <c r="Z38" s="864"/>
      <c r="AA38" s="866"/>
      <c r="AB38" s="866"/>
      <c r="AC38" s="866"/>
      <c r="AD38" s="826"/>
      <c r="AE38" s="432" t="str">
        <f>IF(LEN(VLOOKUP(AA36,suvaha!$D$8:$H$27,2,FALSE))&lt;11,"",LEFT(RIGHT(VLOOKUP(AA36,suvaha!$D$8:$H$27,2,FALSE),11),1))</f>
        <v/>
      </c>
      <c r="AF38" s="255"/>
      <c r="AG38" s="432" t="str">
        <f>IF(LEN(VLOOKUP(AA36,suvaha!$D$8:$H$27,2,FALSE))&lt;10,"",LEFT(RIGHT(VLOOKUP(AA36,suvaha!$D$8:$H$27,2,FALSE),10),1))</f>
        <v/>
      </c>
      <c r="AH38" s="434"/>
      <c r="AI38" s="432" t="str">
        <f>IF(LEN(VLOOKUP(AA36,suvaha!$D$8:$H$27,2,FALSE))&lt;9,"",LEFT(RIGHT(VLOOKUP(AA36,suvaha!$D$8:$H$27,2,FALSE),9),1))</f>
        <v/>
      </c>
      <c r="AJ38" s="255"/>
      <c r="AK38" s="432" t="str">
        <f>IF(LEN(VLOOKUP(AA36,suvaha!$D$8:$H$27,2,FALSE))&lt;8,"",LEFT(RIGHT(VLOOKUP(AA36,suvaha!$D$8:$H$27,2,FALSE),8),1))</f>
        <v/>
      </c>
      <c r="AL38" s="434"/>
      <c r="AM38" s="432" t="str">
        <f>IF(LEN(VLOOKUP(AA36,suvaha!$D$8:$H$27,2,FALSE))&lt;7,"",LEFT(RIGHT(VLOOKUP(AA36,suvaha!$D$8:$H$27,2,FALSE),7),1))</f>
        <v/>
      </c>
      <c r="AN38" s="818"/>
      <c r="AO38" s="432" t="str">
        <f>IF(LEN(VLOOKUP(AA36,suvaha!$D$8:$H$27,2,FALSE))&lt;6,"",LEFT(RIGHT(VLOOKUP(AA36,suvaha!$D$8:$H$27,2,FALSE),6),1))</f>
        <v/>
      </c>
      <c r="AP38" s="434"/>
      <c r="AQ38" s="432" t="str">
        <f>IF(LEN(VLOOKUP(AA36,suvaha!$D$8:$H$27,2,FALSE))&lt;5,"",LEFT(RIGHT(VLOOKUP(AA36,suvaha!$D$8:$H$27,2,FALSE),5),1))</f>
        <v/>
      </c>
      <c r="AR38" s="434"/>
      <c r="AS38" s="432" t="str">
        <f>IF(LEN(VLOOKUP(AA36,suvaha!$D$8:$H$27,2,FALSE))&lt;4,"",LEFT(RIGHT(VLOOKUP(AA36,suvaha!$D$8:$H$27,2,FALSE),4),1))</f>
        <v/>
      </c>
      <c r="AT38" s="818"/>
      <c r="AU38" s="432" t="str">
        <f>IF(LEN(VLOOKUP(AA36,suvaha!$D$8:$H$27,2,FALSE))&lt;3,"",LEFT(RIGHT(VLOOKUP(AA36,suvaha!$D$8:$H$27,2,FALSE),3),1))</f>
        <v/>
      </c>
      <c r="AV38" s="434"/>
      <c r="AW38" s="432" t="str">
        <f>IF(LEN(VLOOKUP(AA36,suvaha!$D$8:$H$27,2,FALSE))&lt;2,"",LEFT(RIGHT(VLOOKUP(AA36,suvaha!$D$8:$H$27,2,FALSE),2),1))</f>
        <v/>
      </c>
      <c r="AX38" s="434"/>
      <c r="AY38" s="432" t="str">
        <f>IF(VLOOKUP(AA36,suvaha!$D$8:$H$27,2,FALSE)=0,"",IF(LEN(VLOOKUP(AA36,suvaha!$D$8:$H$27,2,FALSE))&lt;1,"",LEFT(RIGHT(VLOOKUP(AA36,suvaha!$D$8:$H$27,2,FALSE),1),1)))</f>
        <v/>
      </c>
      <c r="AZ38" s="827"/>
      <c r="BA38" s="826"/>
      <c r="BB38" s="432" t="str">
        <f>IF(LEN(VLOOKUP(AA36,suvaha!$D$8:$H$27,4,FALSE))&lt;11,"",LEFT(RIGHT(VLOOKUP(AA36,suvaha!$D$8:$H$27,4,FALSE),11),1))</f>
        <v/>
      </c>
      <c r="BC38" s="255"/>
      <c r="BD38" s="432" t="str">
        <f>IF(LEN(VLOOKUP(AA36,suvaha!$D$8:$H$27,4,FALSE))&lt;10,"",LEFT(RIGHT(VLOOKUP(AA36,suvaha!$D$8:$H$27,4,FALSE),10),1))</f>
        <v/>
      </c>
      <c r="BE38" s="434"/>
      <c r="BF38" s="432" t="str">
        <f>IF(LEN(VLOOKUP(AA36,suvaha!$D$8:$H$27,4,FALSE))&lt;9,"",LEFT(RIGHT(VLOOKUP(AA36,suvaha!$D$8:$H$27,4,FALSE),9),1))</f>
        <v/>
      </c>
      <c r="BG38" s="255"/>
      <c r="BH38" s="432" t="str">
        <f>IF(LEN(VLOOKUP(AA36,suvaha!$D$8:$H$27,4,FALSE))&lt;8,"",LEFT(RIGHT(VLOOKUP(AA36,suvaha!$D$8:$H$27,4,FALSE),8),1))</f>
        <v/>
      </c>
      <c r="BI38" s="434"/>
      <c r="BJ38" s="432" t="str">
        <f>IF(LEN(VLOOKUP(AA36,suvaha!$D$8:$H$27,4,FALSE))&lt;7,"",LEFT(RIGHT(VLOOKUP(AA36,suvaha!$D$8:$H$27,4,FALSE),7),1))</f>
        <v/>
      </c>
      <c r="BK38" s="818"/>
      <c r="BL38" s="432" t="str">
        <f>IF(LEN(VLOOKUP(AA36,suvaha!$D$8:$H$27,4,FALSE))&lt;6,"",LEFT(RIGHT(VLOOKUP(AA36,suvaha!$D$8:$H$27,4,FALSE),6),1))</f>
        <v/>
      </c>
      <c r="BM38" s="434"/>
      <c r="BN38" s="432" t="str">
        <f>IF(LEN(VLOOKUP(AA36,suvaha!$D$8:$H$27,4,FALSE))&lt;5,"",LEFT(RIGHT(VLOOKUP(AA36,suvaha!$D$8:$H$27,4,FALSE),5),1))</f>
        <v/>
      </c>
      <c r="BO38" s="434"/>
      <c r="BP38" s="432" t="str">
        <f>IF(LEN(VLOOKUP(AA36,suvaha!$D$8:$H$27,4,FALSE))&lt;4,"",LEFT(RIGHT(VLOOKUP(AA36,suvaha!$D$8:$H$27,4,FALSE),4),1))</f>
        <v/>
      </c>
      <c r="BQ38" s="819"/>
      <c r="BR38" s="432" t="str">
        <f>IF(LEN(VLOOKUP(AA36,suvaha!$D$8:$H$27,4,FALSE))&lt;3,"",LEFT(RIGHT(VLOOKUP(AA36,suvaha!$D$8:$H$27,4,FALSE),3),1))</f>
        <v/>
      </c>
      <c r="BS38" s="434"/>
      <c r="BT38" s="432" t="str">
        <f>IF(LEN(VLOOKUP(AA36,suvaha!$D$8:$H$27,4,FALSE))&lt;2,"",LEFT(RIGHT(VLOOKUP(AA36,suvaha!$D$8:$H$27,4,FALSE),2),1))</f>
        <v/>
      </c>
      <c r="BU38" s="434"/>
      <c r="BV38" s="432" t="str">
        <f>IF(VLOOKUP(AA36,suvaha!$D$8:$H$27,4,FALSE)=0,"",IF(LEN(VLOOKUP(AA36,suvaha!$D$8:$H$27,4,FALSE))&lt;1,"",LEFT(RIGHT(VLOOKUP(AA36,suvaha!$D$8:$H$27,4,FALSE),1),1)))</f>
        <v/>
      </c>
      <c r="BW38" s="441"/>
      <c r="BX38" s="442"/>
      <c r="BY38" s="442"/>
      <c r="BZ38" s="442"/>
      <c r="CA38" s="442"/>
      <c r="CB38" s="442"/>
      <c r="CC38" s="442"/>
      <c r="CD38" s="442"/>
      <c r="CE38" s="442"/>
      <c r="CF38" s="442"/>
      <c r="CG38" s="254"/>
      <c r="CH38" s="878"/>
      <c r="CI38" s="247"/>
      <c r="CJ38" s="878"/>
    </row>
    <row r="39" spans="1:88" ht="3" customHeight="1">
      <c r="A39" s="220"/>
      <c r="B39" s="879"/>
      <c r="C39" s="879"/>
      <c r="D39" s="879"/>
      <c r="E39" s="858"/>
      <c r="F39" s="859"/>
      <c r="G39" s="862"/>
      <c r="H39" s="864"/>
      <c r="I39" s="864"/>
      <c r="J39" s="864"/>
      <c r="K39" s="864"/>
      <c r="L39" s="864"/>
      <c r="M39" s="864"/>
      <c r="N39" s="864"/>
      <c r="O39" s="864"/>
      <c r="P39" s="864"/>
      <c r="Q39" s="864"/>
      <c r="R39" s="864"/>
      <c r="S39" s="864"/>
      <c r="T39" s="864"/>
      <c r="U39" s="864"/>
      <c r="V39" s="864"/>
      <c r="W39" s="864"/>
      <c r="X39" s="864"/>
      <c r="Y39" s="864"/>
      <c r="Z39" s="864"/>
      <c r="AA39" s="866"/>
      <c r="AB39" s="866"/>
      <c r="AC39" s="866"/>
      <c r="AD39" s="845"/>
      <c r="AE39" s="845"/>
      <c r="AF39" s="845"/>
      <c r="AG39" s="845"/>
      <c r="AH39" s="845"/>
      <c r="AI39" s="845"/>
      <c r="AJ39" s="845"/>
      <c r="AK39" s="845"/>
      <c r="AL39" s="845"/>
      <c r="AM39" s="845"/>
      <c r="AN39" s="845"/>
      <c r="AO39" s="845"/>
      <c r="AP39" s="845"/>
      <c r="AQ39" s="845"/>
      <c r="AR39" s="845"/>
      <c r="AS39" s="845"/>
      <c r="AT39" s="845"/>
      <c r="AU39" s="845"/>
      <c r="AV39" s="845"/>
      <c r="AW39" s="845"/>
      <c r="AX39" s="845"/>
      <c r="AY39" s="845"/>
      <c r="AZ39" s="845"/>
      <c r="BA39" s="846"/>
      <c r="BB39" s="846"/>
      <c r="BC39" s="846"/>
      <c r="BD39" s="846"/>
      <c r="BE39" s="846"/>
      <c r="BF39" s="846"/>
      <c r="BG39" s="846"/>
      <c r="BH39" s="846"/>
      <c r="BI39" s="846"/>
      <c r="BJ39" s="846"/>
      <c r="BK39" s="846"/>
      <c r="BL39" s="846"/>
      <c r="BM39" s="846"/>
      <c r="BN39" s="846"/>
      <c r="BO39" s="846"/>
      <c r="BP39" s="846"/>
      <c r="BQ39" s="846"/>
      <c r="BR39" s="310"/>
      <c r="BS39" s="310"/>
      <c r="BT39" s="310"/>
      <c r="BU39" s="310"/>
      <c r="BV39" s="310"/>
      <c r="BW39" s="443"/>
      <c r="BX39" s="310"/>
      <c r="BY39" s="310"/>
      <c r="BZ39" s="310"/>
      <c r="CA39" s="310"/>
      <c r="CB39" s="310"/>
      <c r="CC39" s="310"/>
      <c r="CD39" s="310"/>
      <c r="CE39" s="310"/>
      <c r="CF39" s="310"/>
      <c r="CG39" s="258"/>
      <c r="CH39" s="220"/>
      <c r="CI39" s="262"/>
      <c r="CJ39" s="878"/>
    </row>
    <row r="40" spans="1:88" ht="3" customHeight="1">
      <c r="A40" s="220"/>
      <c r="B40" s="879"/>
      <c r="C40" s="879"/>
      <c r="D40" s="879"/>
      <c r="E40" s="858"/>
      <c r="F40" s="859"/>
      <c r="G40" s="862"/>
      <c r="H40" s="864"/>
      <c r="I40" s="864"/>
      <c r="J40" s="864"/>
      <c r="K40" s="864"/>
      <c r="L40" s="864"/>
      <c r="M40" s="864"/>
      <c r="N40" s="864"/>
      <c r="O40" s="864"/>
      <c r="P40" s="864"/>
      <c r="Q40" s="864"/>
      <c r="R40" s="864"/>
      <c r="S40" s="864"/>
      <c r="T40" s="864"/>
      <c r="U40" s="864"/>
      <c r="V40" s="864"/>
      <c r="W40" s="864"/>
      <c r="X40" s="864"/>
      <c r="Y40" s="864"/>
      <c r="Z40" s="864"/>
      <c r="AA40" s="866"/>
      <c r="AB40" s="866"/>
      <c r="AC40" s="866"/>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447"/>
      <c r="BB40" s="304"/>
      <c r="BC40" s="304"/>
      <c r="BD40" s="304"/>
      <c r="BE40" s="304"/>
      <c r="BF40" s="304"/>
      <c r="BG40" s="304"/>
      <c r="BH40" s="304"/>
      <c r="BI40" s="304"/>
      <c r="BJ40" s="446"/>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253"/>
      <c r="CH40" s="220"/>
      <c r="CI40" s="262"/>
      <c r="CJ40" s="878"/>
    </row>
    <row r="41" spans="1:88" ht="3" customHeight="1">
      <c r="A41" s="220"/>
      <c r="B41" s="879"/>
      <c r="C41" s="879"/>
      <c r="D41" s="879"/>
      <c r="E41" s="858"/>
      <c r="F41" s="859"/>
      <c r="G41" s="862"/>
      <c r="H41" s="864"/>
      <c r="I41" s="864"/>
      <c r="J41" s="864"/>
      <c r="K41" s="864"/>
      <c r="L41" s="864"/>
      <c r="M41" s="864"/>
      <c r="N41" s="864"/>
      <c r="O41" s="864"/>
      <c r="P41" s="864"/>
      <c r="Q41" s="864"/>
      <c r="R41" s="864"/>
      <c r="S41" s="864"/>
      <c r="T41" s="864"/>
      <c r="U41" s="864"/>
      <c r="V41" s="864"/>
      <c r="W41" s="864"/>
      <c r="X41" s="864"/>
      <c r="Y41" s="864"/>
      <c r="Z41" s="864"/>
      <c r="AA41" s="866"/>
      <c r="AB41" s="866"/>
      <c r="AC41" s="866"/>
      <c r="AD41" s="826"/>
      <c r="AE41" s="820"/>
      <c r="AF41" s="820"/>
      <c r="AG41" s="820"/>
      <c r="AH41" s="435"/>
      <c r="AI41" s="821"/>
      <c r="AJ41" s="821"/>
      <c r="AK41" s="821"/>
      <c r="AL41" s="821"/>
      <c r="AM41" s="821"/>
      <c r="AN41" s="818" t="s">
        <v>965</v>
      </c>
      <c r="AO41" s="822"/>
      <c r="AP41" s="822"/>
      <c r="AQ41" s="822"/>
      <c r="AR41" s="822"/>
      <c r="AS41" s="822"/>
      <c r="AT41" s="818" t="s">
        <v>965</v>
      </c>
      <c r="AU41" s="822"/>
      <c r="AV41" s="822"/>
      <c r="AW41" s="822"/>
      <c r="AX41" s="822"/>
      <c r="AY41" s="822"/>
      <c r="AZ41" s="827"/>
      <c r="BA41" s="448"/>
      <c r="BB41" s="442"/>
      <c r="BC41" s="442"/>
      <c r="BD41" s="442"/>
      <c r="BE41" s="442"/>
      <c r="BF41" s="442"/>
      <c r="BG41" s="442"/>
      <c r="BH41" s="442"/>
      <c r="BI41" s="442"/>
      <c r="BJ41" s="441"/>
      <c r="BK41" s="442"/>
      <c r="BL41" s="820"/>
      <c r="BM41" s="820"/>
      <c r="BN41" s="820"/>
      <c r="BO41" s="442"/>
      <c r="BP41" s="444"/>
      <c r="BQ41" s="444"/>
      <c r="BR41" s="444"/>
      <c r="BS41" s="444"/>
      <c r="BT41" s="444"/>
      <c r="BU41" s="442"/>
      <c r="BV41" s="444"/>
      <c r="BW41" s="444"/>
      <c r="BX41" s="444"/>
      <c r="BY41" s="444"/>
      <c r="BZ41" s="444"/>
      <c r="CA41" s="445"/>
      <c r="CB41" s="444"/>
      <c r="CC41" s="444"/>
      <c r="CD41" s="444"/>
      <c r="CE41" s="444"/>
      <c r="CF41" s="444"/>
      <c r="CG41" s="259"/>
      <c r="CH41" s="220"/>
      <c r="CI41" s="262"/>
      <c r="CJ41" s="878"/>
    </row>
    <row r="42" spans="1:88" ht="15" customHeight="1">
      <c r="A42" s="220"/>
      <c r="B42" s="879"/>
      <c r="C42" s="879"/>
      <c r="D42" s="879"/>
      <c r="E42" s="858"/>
      <c r="F42" s="859"/>
      <c r="G42" s="862"/>
      <c r="H42" s="864"/>
      <c r="I42" s="864"/>
      <c r="J42" s="864"/>
      <c r="K42" s="864"/>
      <c r="L42" s="864"/>
      <c r="M42" s="864"/>
      <c r="N42" s="864"/>
      <c r="O42" s="864"/>
      <c r="P42" s="864"/>
      <c r="Q42" s="864"/>
      <c r="R42" s="864"/>
      <c r="S42" s="864"/>
      <c r="T42" s="864"/>
      <c r="U42" s="864"/>
      <c r="V42" s="864"/>
      <c r="W42" s="864"/>
      <c r="X42" s="864"/>
      <c r="Y42" s="864"/>
      <c r="Z42" s="864"/>
      <c r="AA42" s="866"/>
      <c r="AB42" s="866"/>
      <c r="AC42" s="866"/>
      <c r="AD42" s="826"/>
      <c r="AE42" s="432" t="str">
        <f>IF(LEN(VLOOKUP(AA36,suvaha!$D$8:$H$27,3,FALSE))&lt;11,"",LEFT(RIGHT(VLOOKUP(AA36,suvaha!$D$8:$H$27,3,FALSE),11),1))</f>
        <v/>
      </c>
      <c r="AF42" s="255" t="s">
        <v>965</v>
      </c>
      <c r="AG42" s="432" t="str">
        <f>IF(LEN(VLOOKUP(AA36,suvaha!$D$8:$H$27,3,FALSE))&lt;10,"",LEFT(RIGHT(VLOOKUP(AA36,suvaha!$D$8:$H$27,3,FALSE),10),1))</f>
        <v/>
      </c>
      <c r="AH42" s="434" t="s">
        <v>965</v>
      </c>
      <c r="AI42" s="432" t="str">
        <f>IF(LEN(VLOOKUP(AA36,suvaha!$D$8:$H$27,3,FALSE))&lt;9,"",LEFT(RIGHT(VLOOKUP(AA36,suvaha!$D$8:$H$27,3,FALSE),9),1))</f>
        <v/>
      </c>
      <c r="AJ42" s="255" t="s">
        <v>965</v>
      </c>
      <c r="AK42" s="432" t="str">
        <f>IF(LEN(VLOOKUP(AA36,suvaha!$D$8:$F$27,3,FALSE))&lt;8,"",LEFT(RIGHT(VLOOKUP(AA36,suvaha!$D$8:$F$27,3,FALSE),8),1))</f>
        <v/>
      </c>
      <c r="AL42" s="434" t="s">
        <v>965</v>
      </c>
      <c r="AM42" s="432" t="str">
        <f>IF(LEN(VLOOKUP(AA36,suvaha!$D$8:$H$27,3,FALSE))&lt;7,"",LEFT(RIGHT(VLOOKUP(AA36,suvaha!$D$8:$H$27,3,FALSE),7),1))</f>
        <v/>
      </c>
      <c r="AN42" s="818"/>
      <c r="AO42" s="432" t="str">
        <f>IF(LEN(VLOOKUP(AA36,suvaha!$D$8:$H$27,3,FALSE))&lt;6,"",LEFT(RIGHT(VLOOKUP(AA36,suvaha!$D$8:$H$27,3,FALSE),6),1))</f>
        <v/>
      </c>
      <c r="AP42" s="434" t="s">
        <v>965</v>
      </c>
      <c r="AQ42" s="432" t="str">
        <f>IF(LEN(VLOOKUP(AA36,suvaha!$D$8:$H$27,3,FALSE))&lt;5,"",LEFT(RIGHT(VLOOKUP(AA36,suvaha!$D$8:$H$27,3,FALSE),5),1))</f>
        <v/>
      </c>
      <c r="AR42" s="434" t="s">
        <v>965</v>
      </c>
      <c r="AS42" s="432" t="str">
        <f>IF(LEN(VLOOKUP(AA36,suvaha!$D$8:$H$27,3,FALSE))&lt;4,"",LEFT(RIGHT(VLOOKUP(AA36,suvaha!$D$8:$H$27,3,FALSE),4),1))</f>
        <v/>
      </c>
      <c r="AT42" s="818"/>
      <c r="AU42" s="432" t="str">
        <f>IF(LEN(VLOOKUP(AA36,suvaha!$D$8:$H$27,3,FALSE))&lt;3,"",LEFT(RIGHT(VLOOKUP(AA36,suvaha!$D$8:$H$27,3,FALSE),3),1))</f>
        <v/>
      </c>
      <c r="AV42" s="434" t="s">
        <v>965</v>
      </c>
      <c r="AW42" s="432" t="str">
        <f>IF(LEN(VLOOKUP(AA36,suvaha!$D$8:$H$27,3,FALSE))&lt;2,"",LEFT(RIGHT(VLOOKUP(AA36,suvaha!$D$8:$H$27,3,FALSE),2),1))</f>
        <v/>
      </c>
      <c r="AX42" s="434" t="s">
        <v>965</v>
      </c>
      <c r="AY42" s="432" t="str">
        <f>IF(VLOOKUP(AA36,suvaha!$D$8:$H$27,3,FALSE)=0,"",IF(LEN(VLOOKUP(AA36,suvaha!$D$8:$H$27,3,FALSE))&lt;1,"",LEFT(RIGHT(VLOOKUP(AA36,suvaha!$D$8:$H$27,3,FALSE),1),1)))</f>
        <v/>
      </c>
      <c r="AZ42" s="827"/>
      <c r="BA42" s="448"/>
      <c r="BB42" s="442"/>
      <c r="BC42" s="442"/>
      <c r="BD42" s="442"/>
      <c r="BE42" s="442"/>
      <c r="BF42" s="442"/>
      <c r="BG42" s="442"/>
      <c r="BH42" s="442"/>
      <c r="BI42" s="442"/>
      <c r="BJ42" s="441"/>
      <c r="BK42" s="442"/>
      <c r="BL42" s="432" t="str">
        <f>IF(LEN(VLOOKUP(AA36,suvaha!$D$8:$H$27,5,FALSE))&lt;11,"",LEFT(RIGHT(VLOOKUP(AA36,suvaha!$D$8:$H$27,5,FALSE),11),1))</f>
        <v/>
      </c>
      <c r="BM42" s="255" t="s">
        <v>965</v>
      </c>
      <c r="BN42" s="432" t="str">
        <f>IF(LEN(VLOOKUP(AA36,suvaha!$D$8:$H$27,5,FALSE))&lt;10,"",LEFT(RIGHT(VLOOKUP(AA36,suvaha!$D$8:$H$27,5,FALSE),10),1))</f>
        <v/>
      </c>
      <c r="BO42" s="442" t="s">
        <v>965</v>
      </c>
      <c r="BP42" s="432" t="str">
        <f>IF(LEN(VLOOKUP(AA36,suvaha!$D$8:$H$27,5,FALSE))&lt;9,"",LEFT(RIGHT(VLOOKUP(AA36,suvaha!$D$8:$H$27,5,FALSE),9),1))</f>
        <v/>
      </c>
      <c r="BQ42" s="434" t="s">
        <v>965</v>
      </c>
      <c r="BR42" s="432" t="str">
        <f>IF(LEN(VLOOKUP(AA36,suvaha!$D$8:$H$27,5,FALSE))&lt;8,"",LEFT(RIGHT(VLOOKUP(AA36,suvaha!$D$8:$H$27,5,FALSE),8),1))</f>
        <v/>
      </c>
      <c r="BS42" s="434" t="s">
        <v>965</v>
      </c>
      <c r="BT42" s="432" t="str">
        <f>IF(LEN(VLOOKUP(AA36,suvaha!$D$8:$H$27,5,FALSE))&lt;7,"",LEFT(RIGHT(VLOOKUP(AA36,suvaha!$D$8:$H$27,5,FALSE),7),1))</f>
        <v/>
      </c>
      <c r="BU42" s="442" t="s">
        <v>965</v>
      </c>
      <c r="BV42" s="432" t="str">
        <f>IF(LEN(VLOOKUP(AA36,suvaha!$D$8:$H$27,5,FALSE))&lt;6,"",LEFT(RIGHT(VLOOKUP(AA36,suvaha!$D$8:$H$27,5,FALSE),6),1))</f>
        <v/>
      </c>
      <c r="BW42" s="434" t="s">
        <v>965</v>
      </c>
      <c r="BX42" s="432" t="str">
        <f>IF(LEN(VLOOKUP(AA36,suvaha!$D$8:$H$27,5,FALSE))&lt;5,"",LEFT(RIGHT(VLOOKUP(AA36,suvaha!$D$8:$H$27,5,FALSE),5),1))</f>
        <v/>
      </c>
      <c r="BY42" s="434" t="s">
        <v>965</v>
      </c>
      <c r="BZ42" s="432" t="str">
        <f>IF(LEN(VLOOKUP(AA36,suvaha!$D$8:$H$27,5,FALSE))&lt;4,"",LEFT(RIGHT(VLOOKUP(AA36,suvaha!$D$8:$H$27,5,FALSE),4),1))</f>
        <v/>
      </c>
      <c r="CA42" s="445" t="s">
        <v>965</v>
      </c>
      <c r="CB42" s="432" t="str">
        <f>IF(LEN(VLOOKUP(AA36,suvaha!$D$8:$H$27,5,FALSE))&lt;3,"",LEFT(RIGHT(VLOOKUP(AA36,suvaha!$D$8:$H$27,5,FALSE),3),1))</f>
        <v/>
      </c>
      <c r="CC42" s="434" t="s">
        <v>965</v>
      </c>
      <c r="CD42" s="432" t="str">
        <f>IF(LEN(VLOOKUP(AA36,suvaha!$D$8:$H$27,5,FALSE))&lt;2,"",LEFT(RIGHT(VLOOKUP(AA36,suvaha!$D$8:$H$27,5,FALSE),2),1))</f>
        <v/>
      </c>
      <c r="CE42" s="434" t="s">
        <v>1540</v>
      </c>
      <c r="CF42" s="432" t="str">
        <f>IF(VLOOKUP(AA36,suvaha!$D$8:$H$27,5,FALSE)=0,"",IF(LEN(VLOOKUP(AA36,suvaha!$D$8:$H$27,5,FALSE))&lt;1,"",LEFT(RIGHT(VLOOKUP(AA36,suvaha!$D$8:$H$27,5,FALSE),1),1)))</f>
        <v/>
      </c>
      <c r="CG42" s="259"/>
      <c r="CH42" s="220"/>
      <c r="CI42" s="262"/>
      <c r="CJ42" s="878"/>
    </row>
    <row r="43" spans="1:88" ht="3" customHeight="1">
      <c r="A43" s="220"/>
      <c r="B43" s="879"/>
      <c r="C43" s="879"/>
      <c r="D43" s="879"/>
      <c r="E43" s="858"/>
      <c r="F43" s="859"/>
      <c r="G43" s="862"/>
      <c r="H43" s="864"/>
      <c r="I43" s="864"/>
      <c r="J43" s="864"/>
      <c r="K43" s="864"/>
      <c r="L43" s="864"/>
      <c r="M43" s="864"/>
      <c r="N43" s="864"/>
      <c r="O43" s="864"/>
      <c r="P43" s="864"/>
      <c r="Q43" s="864"/>
      <c r="R43" s="864"/>
      <c r="S43" s="864"/>
      <c r="T43" s="864"/>
      <c r="U43" s="864"/>
      <c r="V43" s="864"/>
      <c r="W43" s="864"/>
      <c r="X43" s="864"/>
      <c r="Y43" s="864"/>
      <c r="Z43" s="864"/>
      <c r="AA43" s="866"/>
      <c r="AB43" s="866"/>
      <c r="AC43" s="866"/>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449"/>
      <c r="BB43" s="310"/>
      <c r="BC43" s="310"/>
      <c r="BD43" s="310"/>
      <c r="BE43" s="310"/>
      <c r="BF43" s="310"/>
      <c r="BG43" s="310"/>
      <c r="BH43" s="310"/>
      <c r="BI43" s="310"/>
      <c r="BJ43" s="443"/>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258"/>
      <c r="CH43" s="878"/>
      <c r="CI43" s="878"/>
      <c r="CJ43" s="878"/>
    </row>
    <row r="44" spans="1:88" s="250" customFormat="1" ht="3" customHeight="1">
      <c r="A44" s="220"/>
      <c r="B44" s="879"/>
      <c r="C44" s="879"/>
      <c r="D44" s="879"/>
      <c r="E44" s="876" t="s">
        <v>1542</v>
      </c>
      <c r="F44" s="877"/>
      <c r="G44" s="862"/>
      <c r="H44" s="864" t="str">
        <f>Index!C56</f>
        <v>Softvér (013) - /073, 091A/</v>
      </c>
      <c r="I44" s="864"/>
      <c r="J44" s="864"/>
      <c r="K44" s="864"/>
      <c r="L44" s="864"/>
      <c r="M44" s="864"/>
      <c r="N44" s="864"/>
      <c r="O44" s="864"/>
      <c r="P44" s="864"/>
      <c r="Q44" s="864"/>
      <c r="R44" s="864"/>
      <c r="S44" s="864"/>
      <c r="T44" s="864"/>
      <c r="U44" s="864"/>
      <c r="V44" s="864"/>
      <c r="W44" s="864"/>
      <c r="X44" s="864"/>
      <c r="Y44" s="864"/>
      <c r="Z44" s="864"/>
      <c r="AA44" s="866" t="s">
        <v>656</v>
      </c>
      <c r="AB44" s="866"/>
      <c r="AC44" s="866"/>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67"/>
      <c r="BB44" s="867"/>
      <c r="BC44" s="867"/>
      <c r="BD44" s="867"/>
      <c r="BE44" s="867"/>
      <c r="BF44" s="867"/>
      <c r="BG44" s="867"/>
      <c r="BH44" s="867"/>
      <c r="BI44" s="867"/>
      <c r="BJ44" s="867"/>
      <c r="BK44" s="867"/>
      <c r="BL44" s="867"/>
      <c r="BM44" s="867"/>
      <c r="BN44" s="867"/>
      <c r="BO44" s="867"/>
      <c r="BP44" s="867"/>
      <c r="BQ44" s="867"/>
      <c r="BR44" s="304"/>
      <c r="BS44" s="304"/>
      <c r="BT44" s="304"/>
      <c r="BU44" s="304"/>
      <c r="BV44" s="304"/>
      <c r="BW44" s="446"/>
      <c r="BX44" s="304"/>
      <c r="BY44" s="304"/>
      <c r="BZ44" s="304"/>
      <c r="CA44" s="304"/>
      <c r="CB44" s="304"/>
      <c r="CC44" s="304"/>
      <c r="CD44" s="304"/>
      <c r="CE44" s="304"/>
      <c r="CF44" s="304"/>
      <c r="CG44" s="253"/>
      <c r="CH44" s="878"/>
      <c r="CI44" s="878"/>
      <c r="CJ44" s="878"/>
    </row>
    <row r="45" spans="1:88" s="250" customFormat="1" ht="3" customHeight="1">
      <c r="A45" s="220"/>
      <c r="B45" s="879"/>
      <c r="C45" s="879"/>
      <c r="D45" s="879"/>
      <c r="E45" s="876"/>
      <c r="F45" s="877"/>
      <c r="G45" s="862"/>
      <c r="H45" s="864"/>
      <c r="I45" s="864"/>
      <c r="J45" s="864"/>
      <c r="K45" s="864"/>
      <c r="L45" s="864"/>
      <c r="M45" s="864"/>
      <c r="N45" s="864"/>
      <c r="O45" s="864"/>
      <c r="P45" s="864"/>
      <c r="Q45" s="864"/>
      <c r="R45" s="864"/>
      <c r="S45" s="864"/>
      <c r="T45" s="864"/>
      <c r="U45" s="864"/>
      <c r="V45" s="864"/>
      <c r="W45" s="864"/>
      <c r="X45" s="864"/>
      <c r="Y45" s="864"/>
      <c r="Z45" s="864"/>
      <c r="AA45" s="866"/>
      <c r="AB45" s="866"/>
      <c r="AC45" s="866"/>
      <c r="AD45" s="826"/>
      <c r="AE45" s="820"/>
      <c r="AF45" s="820"/>
      <c r="AG45" s="820"/>
      <c r="AH45" s="435"/>
      <c r="AI45" s="821"/>
      <c r="AJ45" s="821"/>
      <c r="AK45" s="821"/>
      <c r="AL45" s="821"/>
      <c r="AM45" s="821"/>
      <c r="AN45" s="818"/>
      <c r="AO45" s="822"/>
      <c r="AP45" s="822"/>
      <c r="AQ45" s="822"/>
      <c r="AR45" s="822"/>
      <c r="AS45" s="822"/>
      <c r="AT45" s="818"/>
      <c r="AU45" s="822"/>
      <c r="AV45" s="822"/>
      <c r="AW45" s="822"/>
      <c r="AX45" s="822"/>
      <c r="AY45" s="822"/>
      <c r="AZ45" s="827"/>
      <c r="BA45" s="826"/>
      <c r="BB45" s="820"/>
      <c r="BC45" s="820"/>
      <c r="BD45" s="820"/>
      <c r="BE45" s="435"/>
      <c r="BF45" s="821"/>
      <c r="BG45" s="821"/>
      <c r="BH45" s="821"/>
      <c r="BI45" s="821"/>
      <c r="BJ45" s="821"/>
      <c r="BK45" s="818"/>
      <c r="BL45" s="822"/>
      <c r="BM45" s="822"/>
      <c r="BN45" s="822"/>
      <c r="BO45" s="822"/>
      <c r="BP45" s="822"/>
      <c r="BQ45" s="819"/>
      <c r="BR45" s="822"/>
      <c r="BS45" s="822"/>
      <c r="BT45" s="822"/>
      <c r="BU45" s="822"/>
      <c r="BV45" s="822"/>
      <c r="BW45" s="441"/>
      <c r="BX45" s="442"/>
      <c r="BY45" s="442"/>
      <c r="BZ45" s="442"/>
      <c r="CA45" s="442"/>
      <c r="CB45" s="442"/>
      <c r="CC45" s="442"/>
      <c r="CD45" s="442"/>
      <c r="CE45" s="442"/>
      <c r="CF45" s="442"/>
      <c r="CG45" s="254"/>
      <c r="CH45" s="878"/>
      <c r="CI45" s="878"/>
      <c r="CJ45" s="878"/>
    </row>
    <row r="46" spans="1:88" ht="15" customHeight="1">
      <c r="A46" s="220"/>
      <c r="B46" s="879"/>
      <c r="C46" s="879"/>
      <c r="D46" s="879"/>
      <c r="E46" s="876"/>
      <c r="F46" s="877"/>
      <c r="G46" s="862"/>
      <c r="H46" s="864"/>
      <c r="I46" s="864"/>
      <c r="J46" s="864"/>
      <c r="K46" s="864"/>
      <c r="L46" s="864"/>
      <c r="M46" s="864"/>
      <c r="N46" s="864"/>
      <c r="O46" s="864"/>
      <c r="P46" s="864"/>
      <c r="Q46" s="864"/>
      <c r="R46" s="864"/>
      <c r="S46" s="864"/>
      <c r="T46" s="864"/>
      <c r="U46" s="864"/>
      <c r="V46" s="864"/>
      <c r="W46" s="864"/>
      <c r="X46" s="864"/>
      <c r="Y46" s="864"/>
      <c r="Z46" s="864"/>
      <c r="AA46" s="866"/>
      <c r="AB46" s="866"/>
      <c r="AC46" s="866"/>
      <c r="AD46" s="826"/>
      <c r="AE46" s="432" t="str">
        <f>IF(LEN(VLOOKUP(AA44,suvaha!$D$8:$H$27,2,FALSE))&lt;11,"",LEFT(RIGHT(VLOOKUP(AA44,suvaha!$D$8:$H$27,2,FALSE),11),1))</f>
        <v/>
      </c>
      <c r="AF46" s="255"/>
      <c r="AG46" s="432" t="str">
        <f>IF(LEN(VLOOKUP(AA44,suvaha!$D$8:$H$27,2,FALSE))&lt;10,"",LEFT(RIGHT(VLOOKUP(AA44,suvaha!$D$8:$H$27,2,FALSE),10),1))</f>
        <v/>
      </c>
      <c r="AH46" s="434"/>
      <c r="AI46" s="432" t="str">
        <f>IF(LEN(VLOOKUP(AA44,suvaha!$D$8:$H$27,2,FALSE))&lt;9,"",LEFT(RIGHT(VLOOKUP(AA44,suvaha!$D$8:$H$27,2,FALSE),9),1))</f>
        <v/>
      </c>
      <c r="AJ46" s="255"/>
      <c r="AK46" s="432" t="str">
        <f>IF(LEN(VLOOKUP(AA44,suvaha!$D$8:$H$27,2,FALSE))&lt;8,"",LEFT(RIGHT(VLOOKUP(AA44,suvaha!$D$8:$H$27,2,FALSE),8),1))</f>
        <v/>
      </c>
      <c r="AL46" s="434"/>
      <c r="AM46" s="432" t="str">
        <f>IF(LEN(VLOOKUP(AA44,suvaha!$D$8:$H$27,2,FALSE))&lt;7,"",LEFT(RIGHT(VLOOKUP(AA44,suvaha!$D$8:$H$27,2,FALSE),7),1))</f>
        <v/>
      </c>
      <c r="AN46" s="818"/>
      <c r="AO46" s="432" t="str">
        <f>IF(LEN(VLOOKUP(AA44,suvaha!$D$8:$H$27,2,FALSE))&lt;6,"",LEFT(RIGHT(VLOOKUP(AA44,suvaha!$D$8:$H$27,2,FALSE),6),1))</f>
        <v/>
      </c>
      <c r="AP46" s="434"/>
      <c r="AQ46" s="432" t="str">
        <f>IF(LEN(VLOOKUP(AA44,suvaha!$D$8:$H$27,2,FALSE))&lt;5,"",LEFT(RIGHT(VLOOKUP(AA44,suvaha!$D$8:$H$27,2,FALSE),5),1))</f>
        <v>2</v>
      </c>
      <c r="AR46" s="434"/>
      <c r="AS46" s="432" t="str">
        <f>IF(LEN(VLOOKUP(AA44,suvaha!$D$8:$H$27,2,FALSE))&lt;4,"",LEFT(RIGHT(VLOOKUP(AA44,suvaha!$D$8:$H$27,2,FALSE),4),1))</f>
        <v>4</v>
      </c>
      <c r="AT46" s="818"/>
      <c r="AU46" s="432" t="str">
        <f>IF(LEN(VLOOKUP(AA44,suvaha!$D$8:$H$27,2,FALSE))&lt;3,"",LEFT(RIGHT(VLOOKUP(AA44,suvaha!$D$8:$H$27,2,FALSE),3),1))</f>
        <v>9</v>
      </c>
      <c r="AV46" s="434"/>
      <c r="AW46" s="432" t="str">
        <f>IF(LEN(VLOOKUP(AA44,suvaha!$D$8:$H$27,2,FALSE))&lt;2,"",LEFT(RIGHT(VLOOKUP(AA44,suvaha!$D$8:$H$27,2,FALSE),2),1))</f>
        <v>4</v>
      </c>
      <c r="AX46" s="434"/>
      <c r="AY46" s="432" t="str">
        <f>IF(VLOOKUP(AA44,suvaha!$D$8:$H$27,2,FALSE)=0,"",IF(LEN(VLOOKUP(AA44,suvaha!$D$8:$H$27,2,FALSE))&lt;1,"",LEFT(RIGHT(VLOOKUP(AA44,suvaha!$D$8:$H$27,2,FALSE),1),1)))</f>
        <v>6</v>
      </c>
      <c r="AZ46" s="827"/>
      <c r="BA46" s="826"/>
      <c r="BB46" s="432" t="str">
        <f>IF(LEN(VLOOKUP(AA44,suvaha!$D$8:$H$27,4,FALSE))&lt;11,"",LEFT(RIGHT(VLOOKUP(AA44,suvaha!$D$8:$H$27,4,FALSE),11),1))</f>
        <v/>
      </c>
      <c r="BC46" s="255"/>
      <c r="BD46" s="432" t="str">
        <f>IF(LEN(VLOOKUP(AA44,suvaha!$D$8:$H$27,4,FALSE))&lt;10,"",LEFT(RIGHT(VLOOKUP(AA44,suvaha!$D$8:$H$27,4,FALSE),10),1))</f>
        <v/>
      </c>
      <c r="BE46" s="434"/>
      <c r="BF46" s="432" t="str">
        <f>IF(LEN(VLOOKUP(AA44,suvaha!$D$8:$H$27,4,FALSE))&lt;9,"",LEFT(RIGHT(VLOOKUP(AA44,suvaha!$D$8:$H$27,4,FALSE),9),1))</f>
        <v/>
      </c>
      <c r="BG46" s="255"/>
      <c r="BH46" s="432" t="str">
        <f>IF(LEN(VLOOKUP(AA44,suvaha!$D$8:$H$27,4,FALSE))&lt;8,"",LEFT(RIGHT(VLOOKUP(AA44,suvaha!$D$8:$H$27,4,FALSE),8),1))</f>
        <v/>
      </c>
      <c r="BI46" s="434"/>
      <c r="BJ46" s="432" t="str">
        <f>IF(LEN(VLOOKUP(AA44,suvaha!$D$8:$H$27,4,FALSE))&lt;7,"",LEFT(RIGHT(VLOOKUP(AA44,suvaha!$D$8:$H$27,4,FALSE),7),1))</f>
        <v/>
      </c>
      <c r="BK46" s="818"/>
      <c r="BL46" s="432" t="str">
        <f>IF(LEN(VLOOKUP(AA44,suvaha!$D$8:$H$27,4,FALSE))&lt;6,"",LEFT(RIGHT(VLOOKUP(AA44,suvaha!$D$8:$H$27,4,FALSE),6),1))</f>
        <v/>
      </c>
      <c r="BM46" s="434"/>
      <c r="BN46" s="432" t="str">
        <f>IF(LEN(VLOOKUP(AA44,suvaha!$D$8:$H$27,4,FALSE))&lt;5,"",LEFT(RIGHT(VLOOKUP(AA44,suvaha!$D$8:$H$27,4,FALSE),5),1))</f>
        <v>1</v>
      </c>
      <c r="BO46" s="434"/>
      <c r="BP46" s="432" t="str">
        <f>IF(LEN(VLOOKUP(AA44,suvaha!$D$8:$H$27,4,FALSE))&lt;4,"",LEFT(RIGHT(VLOOKUP(AA44,suvaha!$D$8:$H$27,4,FALSE),4),1))</f>
        <v>5</v>
      </c>
      <c r="BQ46" s="819"/>
      <c r="BR46" s="432" t="str">
        <f>IF(LEN(VLOOKUP(AA44,suvaha!$D$8:$H$27,4,FALSE))&lt;3,"",LEFT(RIGHT(VLOOKUP(AA44,suvaha!$D$8:$H$27,4,FALSE),3),1))</f>
        <v>4</v>
      </c>
      <c r="BS46" s="434"/>
      <c r="BT46" s="432" t="str">
        <f>IF(LEN(VLOOKUP(AA44,suvaha!$D$8:$H$27,4,FALSE))&lt;2,"",LEFT(RIGHT(VLOOKUP(AA44,suvaha!$D$8:$H$27,4,FALSE),2),1))</f>
        <v>1</v>
      </c>
      <c r="BU46" s="434"/>
      <c r="BV46" s="432" t="str">
        <f>IF(VLOOKUP(AA44,suvaha!$D$8:$H$27,4,FALSE)=0,"",IF(LEN(VLOOKUP(AA44,suvaha!$D$8:$H$27,4,FALSE))&lt;1,"",LEFT(RIGHT(VLOOKUP(AA44,suvaha!$D$8:$H$27,4,FALSE),1),1)))</f>
        <v>3</v>
      </c>
      <c r="BW46" s="441"/>
      <c r="BX46" s="442"/>
      <c r="BY46" s="442"/>
      <c r="BZ46" s="442"/>
      <c r="CA46" s="442"/>
      <c r="CB46" s="442"/>
      <c r="CC46" s="442"/>
      <c r="CD46" s="442"/>
      <c r="CE46" s="442"/>
      <c r="CF46" s="442"/>
      <c r="CG46" s="254"/>
      <c r="CH46" s="878"/>
      <c r="CI46" s="878"/>
      <c r="CJ46" s="878"/>
    </row>
    <row r="47" spans="1:88" ht="3" customHeight="1">
      <c r="A47" s="220"/>
      <c r="B47" s="879"/>
      <c r="C47" s="879"/>
      <c r="D47" s="879"/>
      <c r="E47" s="876"/>
      <c r="F47" s="877"/>
      <c r="G47" s="862"/>
      <c r="H47" s="864"/>
      <c r="I47" s="864"/>
      <c r="J47" s="864"/>
      <c r="K47" s="864"/>
      <c r="L47" s="864"/>
      <c r="M47" s="864"/>
      <c r="N47" s="864"/>
      <c r="O47" s="864"/>
      <c r="P47" s="864"/>
      <c r="Q47" s="864"/>
      <c r="R47" s="864"/>
      <c r="S47" s="864"/>
      <c r="T47" s="864"/>
      <c r="U47" s="864"/>
      <c r="V47" s="864"/>
      <c r="W47" s="864"/>
      <c r="X47" s="864"/>
      <c r="Y47" s="864"/>
      <c r="Z47" s="864"/>
      <c r="AA47" s="866"/>
      <c r="AB47" s="866"/>
      <c r="AC47" s="866"/>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6"/>
      <c r="BB47" s="846"/>
      <c r="BC47" s="846"/>
      <c r="BD47" s="846"/>
      <c r="BE47" s="846"/>
      <c r="BF47" s="846"/>
      <c r="BG47" s="846"/>
      <c r="BH47" s="846"/>
      <c r="BI47" s="846"/>
      <c r="BJ47" s="846"/>
      <c r="BK47" s="846"/>
      <c r="BL47" s="846"/>
      <c r="BM47" s="846"/>
      <c r="BN47" s="846"/>
      <c r="BO47" s="846"/>
      <c r="BP47" s="846"/>
      <c r="BQ47" s="846"/>
      <c r="BR47" s="310"/>
      <c r="BS47" s="310"/>
      <c r="BT47" s="310"/>
      <c r="BU47" s="310"/>
      <c r="BV47" s="310"/>
      <c r="BW47" s="443"/>
      <c r="BX47" s="310"/>
      <c r="BY47" s="310"/>
      <c r="BZ47" s="310"/>
      <c r="CA47" s="310"/>
      <c r="CB47" s="310"/>
      <c r="CC47" s="310"/>
      <c r="CD47" s="310"/>
      <c r="CE47" s="310"/>
      <c r="CF47" s="310"/>
      <c r="CG47" s="258"/>
      <c r="CH47" s="878"/>
      <c r="CI47" s="878"/>
      <c r="CJ47" s="878"/>
    </row>
    <row r="48" spans="1:88" ht="3" customHeight="1">
      <c r="A48" s="220"/>
      <c r="B48" s="879"/>
      <c r="C48" s="879"/>
      <c r="D48" s="879"/>
      <c r="E48" s="876"/>
      <c r="F48" s="877"/>
      <c r="G48" s="862"/>
      <c r="H48" s="864"/>
      <c r="I48" s="864"/>
      <c r="J48" s="864"/>
      <c r="K48" s="864"/>
      <c r="L48" s="864"/>
      <c r="M48" s="864"/>
      <c r="N48" s="864"/>
      <c r="O48" s="864"/>
      <c r="P48" s="864"/>
      <c r="Q48" s="864"/>
      <c r="R48" s="864"/>
      <c r="S48" s="864"/>
      <c r="T48" s="864"/>
      <c r="U48" s="864"/>
      <c r="V48" s="864"/>
      <c r="W48" s="864"/>
      <c r="X48" s="864"/>
      <c r="Y48" s="864"/>
      <c r="Z48" s="864"/>
      <c r="AA48" s="866"/>
      <c r="AB48" s="866"/>
      <c r="AC48" s="866"/>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447"/>
      <c r="BB48" s="304"/>
      <c r="BC48" s="304"/>
      <c r="BD48" s="304"/>
      <c r="BE48" s="304"/>
      <c r="BF48" s="304"/>
      <c r="BG48" s="304"/>
      <c r="BH48" s="304"/>
      <c r="BI48" s="304"/>
      <c r="BJ48" s="446"/>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253"/>
      <c r="CH48" s="878"/>
      <c r="CI48" s="878"/>
      <c r="CJ48" s="878"/>
    </row>
    <row r="49" spans="1:88" ht="3" customHeight="1">
      <c r="A49" s="220"/>
      <c r="B49" s="879"/>
      <c r="C49" s="879"/>
      <c r="D49" s="879"/>
      <c r="E49" s="876"/>
      <c r="F49" s="877"/>
      <c r="G49" s="862"/>
      <c r="H49" s="864"/>
      <c r="I49" s="864"/>
      <c r="J49" s="864"/>
      <c r="K49" s="864"/>
      <c r="L49" s="864"/>
      <c r="M49" s="864"/>
      <c r="N49" s="864"/>
      <c r="O49" s="864"/>
      <c r="P49" s="864"/>
      <c r="Q49" s="864"/>
      <c r="R49" s="864"/>
      <c r="S49" s="864"/>
      <c r="T49" s="864"/>
      <c r="U49" s="864"/>
      <c r="V49" s="864"/>
      <c r="W49" s="864"/>
      <c r="X49" s="864"/>
      <c r="Y49" s="864"/>
      <c r="Z49" s="864"/>
      <c r="AA49" s="866"/>
      <c r="AB49" s="866"/>
      <c r="AC49" s="866"/>
      <c r="AD49" s="826"/>
      <c r="AE49" s="820"/>
      <c r="AF49" s="820"/>
      <c r="AG49" s="820"/>
      <c r="AH49" s="435"/>
      <c r="AI49" s="821"/>
      <c r="AJ49" s="821"/>
      <c r="AK49" s="821"/>
      <c r="AL49" s="821"/>
      <c r="AM49" s="821"/>
      <c r="AN49" s="818" t="s">
        <v>965</v>
      </c>
      <c r="AO49" s="822"/>
      <c r="AP49" s="822"/>
      <c r="AQ49" s="822"/>
      <c r="AR49" s="822"/>
      <c r="AS49" s="822"/>
      <c r="AT49" s="818" t="s">
        <v>965</v>
      </c>
      <c r="AU49" s="822"/>
      <c r="AV49" s="822"/>
      <c r="AW49" s="822"/>
      <c r="AX49" s="822"/>
      <c r="AY49" s="822"/>
      <c r="AZ49" s="827"/>
      <c r="BA49" s="448"/>
      <c r="BB49" s="442"/>
      <c r="BC49" s="442"/>
      <c r="BD49" s="442"/>
      <c r="BE49" s="442"/>
      <c r="BF49" s="442"/>
      <c r="BG49" s="442"/>
      <c r="BH49" s="442"/>
      <c r="BI49" s="442"/>
      <c r="BJ49" s="441"/>
      <c r="BK49" s="442"/>
      <c r="BL49" s="820"/>
      <c r="BM49" s="820"/>
      <c r="BN49" s="820"/>
      <c r="BO49" s="442"/>
      <c r="BP49" s="444"/>
      <c r="BQ49" s="444"/>
      <c r="BR49" s="444"/>
      <c r="BS49" s="444"/>
      <c r="BT49" s="444"/>
      <c r="BU49" s="442"/>
      <c r="BV49" s="444"/>
      <c r="BW49" s="444"/>
      <c r="BX49" s="444"/>
      <c r="BY49" s="444"/>
      <c r="BZ49" s="444"/>
      <c r="CA49" s="445"/>
      <c r="CB49" s="444"/>
      <c r="CC49" s="444"/>
      <c r="CD49" s="444"/>
      <c r="CE49" s="444"/>
      <c r="CF49" s="444"/>
      <c r="CG49" s="259"/>
      <c r="CH49" s="878"/>
      <c r="CI49" s="878"/>
      <c r="CJ49" s="878"/>
    </row>
    <row r="50" spans="1:88" ht="15" customHeight="1">
      <c r="A50" s="220"/>
      <c r="B50" s="879"/>
      <c r="C50" s="879"/>
      <c r="D50" s="879"/>
      <c r="E50" s="876"/>
      <c r="F50" s="877"/>
      <c r="G50" s="862"/>
      <c r="H50" s="864"/>
      <c r="I50" s="864"/>
      <c r="J50" s="864"/>
      <c r="K50" s="864"/>
      <c r="L50" s="864"/>
      <c r="M50" s="864"/>
      <c r="N50" s="864"/>
      <c r="O50" s="864"/>
      <c r="P50" s="864"/>
      <c r="Q50" s="864"/>
      <c r="R50" s="864"/>
      <c r="S50" s="864"/>
      <c r="T50" s="864"/>
      <c r="U50" s="864"/>
      <c r="V50" s="864"/>
      <c r="W50" s="864"/>
      <c r="X50" s="864"/>
      <c r="Y50" s="864"/>
      <c r="Z50" s="864"/>
      <c r="AA50" s="866"/>
      <c r="AB50" s="866"/>
      <c r="AC50" s="866"/>
      <c r="AD50" s="826"/>
      <c r="AE50" s="432" t="str">
        <f>IF(LEN(VLOOKUP(AA44,suvaha!$D$8:$H$27,3,FALSE))&lt;11,"",LEFT(RIGHT(VLOOKUP(AA44,suvaha!$D$8:$H$27,3,FALSE),11),1))</f>
        <v/>
      </c>
      <c r="AF50" s="255" t="s">
        <v>965</v>
      </c>
      <c r="AG50" s="432" t="str">
        <f>IF(LEN(VLOOKUP(AA44,suvaha!$D$8:$H$27,3,FALSE))&lt;10,"",LEFT(RIGHT(VLOOKUP(AA44,suvaha!$D$8:$H$27,3,FALSE),10),1))</f>
        <v/>
      </c>
      <c r="AH50" s="434" t="s">
        <v>965</v>
      </c>
      <c r="AI50" s="432" t="str">
        <f>IF(LEN(VLOOKUP(AA44,suvaha!$D$8:$H$27,3,FALSE))&lt;9,"",LEFT(RIGHT(VLOOKUP(AA44,suvaha!$D$8:$H$27,3,FALSE),9),1))</f>
        <v/>
      </c>
      <c r="AJ50" s="255" t="s">
        <v>965</v>
      </c>
      <c r="AK50" s="432" t="str">
        <f>IF(LEN(VLOOKUP(AA44,suvaha!$D$8:$F$27,3,FALSE))&lt;8,"",LEFT(RIGHT(VLOOKUP(AA44,suvaha!$D$8:$F$27,3,FALSE),8),1))</f>
        <v/>
      </c>
      <c r="AL50" s="434" t="s">
        <v>965</v>
      </c>
      <c r="AM50" s="432" t="str">
        <f>IF(LEN(VLOOKUP(AA44,suvaha!$D$8:$H$27,3,FALSE))&lt;7,"",LEFT(RIGHT(VLOOKUP(AA44,suvaha!$D$8:$H$27,3,FALSE),7),1))</f>
        <v/>
      </c>
      <c r="AN50" s="818"/>
      <c r="AO50" s="432" t="str">
        <f>IF(LEN(VLOOKUP(AA44,suvaha!$D$8:$H$27,3,FALSE))&lt;6,"",LEFT(RIGHT(VLOOKUP(AA44,suvaha!$D$8:$H$27,3,FALSE),6),1))</f>
        <v/>
      </c>
      <c r="AP50" s="434" t="s">
        <v>965</v>
      </c>
      <c r="AQ50" s="432" t="str">
        <f>IF(LEN(VLOOKUP(AA44,suvaha!$D$8:$H$27,3,FALSE))&lt;5,"",LEFT(RIGHT(VLOOKUP(AA44,suvaha!$D$8:$H$27,3,FALSE),5),1))</f>
        <v/>
      </c>
      <c r="AR50" s="434" t="s">
        <v>965</v>
      </c>
      <c r="AS50" s="432" t="str">
        <f>IF(LEN(VLOOKUP(AA44,suvaha!$D$8:$H$27,3,FALSE))&lt;4,"",LEFT(RIGHT(VLOOKUP(AA44,suvaha!$D$8:$H$27,3,FALSE),4),1))</f>
        <v>9</v>
      </c>
      <c r="AT50" s="818"/>
      <c r="AU50" s="432" t="str">
        <f>IF(LEN(VLOOKUP(AA44,suvaha!$D$8:$H$27,3,FALSE))&lt;3,"",LEFT(RIGHT(VLOOKUP(AA44,suvaha!$D$8:$H$27,3,FALSE),3),1))</f>
        <v>5</v>
      </c>
      <c r="AV50" s="434" t="s">
        <v>965</v>
      </c>
      <c r="AW50" s="432" t="str">
        <f>IF(LEN(VLOOKUP(AA44,suvaha!$D$8:$H$27,3,FALSE))&lt;2,"",LEFT(RIGHT(VLOOKUP(AA44,suvaha!$D$8:$H$27,3,FALSE),2),1))</f>
        <v>3</v>
      </c>
      <c r="AX50" s="434" t="s">
        <v>965</v>
      </c>
      <c r="AY50" s="432" t="str">
        <f>IF(VLOOKUP(AA44,suvaha!$D$8:$H$27,3,FALSE)=0,"",IF(LEN(VLOOKUP(AA44,suvaha!$D$8:$H$27,3,FALSE))&lt;1,"",LEFT(RIGHT(VLOOKUP(AA44,suvaha!$D$8:$H$27,3,FALSE),1),1)))</f>
        <v>3</v>
      </c>
      <c r="AZ50" s="827"/>
      <c r="BA50" s="448"/>
      <c r="BB50" s="442"/>
      <c r="BC50" s="442"/>
      <c r="BD50" s="442"/>
      <c r="BE50" s="442"/>
      <c r="BF50" s="442"/>
      <c r="BG50" s="442"/>
      <c r="BH50" s="442"/>
      <c r="BI50" s="442"/>
      <c r="BJ50" s="441"/>
      <c r="BK50" s="442"/>
      <c r="BL50" s="432" t="str">
        <f>IF(LEN(VLOOKUP(AA44,suvaha!$D$8:$H$27,5,FALSE))&lt;11,"",LEFT(RIGHT(VLOOKUP(AA44,suvaha!$D$8:$H$27,5,FALSE),11),1))</f>
        <v/>
      </c>
      <c r="BM50" s="255" t="s">
        <v>965</v>
      </c>
      <c r="BN50" s="432" t="str">
        <f>IF(LEN(VLOOKUP(AA44,suvaha!$D$8:$H$27,5,FALSE))&lt;10,"",LEFT(RIGHT(VLOOKUP(AA44,suvaha!$D$8:$H$27,5,FALSE),10),1))</f>
        <v/>
      </c>
      <c r="BO50" s="442" t="s">
        <v>965</v>
      </c>
      <c r="BP50" s="432" t="str">
        <f>IF(LEN(VLOOKUP(AA44,suvaha!$D$8:$H$27,5,FALSE))&lt;9,"",LEFT(RIGHT(VLOOKUP(AA44,suvaha!$D$8:$H$27,5,FALSE),9),1))</f>
        <v/>
      </c>
      <c r="BQ50" s="434" t="s">
        <v>965</v>
      </c>
      <c r="BR50" s="432" t="str">
        <f>IF(LEN(VLOOKUP(AA44,suvaha!$D$8:$H$27,5,FALSE))&lt;8,"",LEFT(RIGHT(VLOOKUP(AA44,suvaha!$D$8:$H$27,5,FALSE),8),1))</f>
        <v/>
      </c>
      <c r="BS50" s="434" t="s">
        <v>965</v>
      </c>
      <c r="BT50" s="432" t="str">
        <f>IF(LEN(VLOOKUP(AA44,suvaha!$D$8:$H$27,5,FALSE))&lt;7,"",LEFT(RIGHT(VLOOKUP(AA44,suvaha!$D$8:$H$27,5,FALSE),7),1))</f>
        <v/>
      </c>
      <c r="BU50" s="442" t="s">
        <v>965</v>
      </c>
      <c r="BV50" s="432" t="str">
        <f>IF(LEN(VLOOKUP(AA44,suvaha!$D$8:$H$27,5,FALSE))&lt;6,"",LEFT(RIGHT(VLOOKUP(AA44,suvaha!$D$8:$H$27,5,FALSE),6),1))</f>
        <v/>
      </c>
      <c r="BW50" s="434" t="s">
        <v>965</v>
      </c>
      <c r="BX50" s="432" t="str">
        <f>IF(LEN(VLOOKUP(AA44,suvaha!$D$8:$H$27,5,FALSE))&lt;5,"",LEFT(RIGHT(VLOOKUP(AA44,suvaha!$D$8:$H$27,5,FALSE),5),1))</f>
        <v>1</v>
      </c>
      <c r="BY50" s="434" t="s">
        <v>965</v>
      </c>
      <c r="BZ50" s="432" t="str">
        <f>IF(LEN(VLOOKUP(AA44,suvaha!$D$8:$H$27,5,FALSE))&lt;4,"",LEFT(RIGHT(VLOOKUP(AA44,suvaha!$D$8:$H$27,5,FALSE),4),1))</f>
        <v>8</v>
      </c>
      <c r="CA50" s="445" t="s">
        <v>965</v>
      </c>
      <c r="CB50" s="432" t="str">
        <f>IF(LEN(VLOOKUP(AA44,suvaha!$D$8:$H$27,5,FALSE))&lt;3,"",LEFT(RIGHT(VLOOKUP(AA44,suvaha!$D$8:$H$27,5,FALSE),3),1))</f>
        <v>7</v>
      </c>
      <c r="CC50" s="434" t="s">
        <v>965</v>
      </c>
      <c r="CD50" s="432" t="str">
        <f>IF(LEN(VLOOKUP(AA44,suvaha!$D$8:$H$27,5,FALSE))&lt;2,"",LEFT(RIGHT(VLOOKUP(AA44,suvaha!$D$8:$H$27,5,FALSE),2),1))</f>
        <v>9</v>
      </c>
      <c r="CE50" s="434" t="s">
        <v>1540</v>
      </c>
      <c r="CF50" s="432" t="str">
        <f>IF(VLOOKUP(AA44,suvaha!$D$8:$H$27,5,FALSE)=0,"",IF(LEN(VLOOKUP(AA44,suvaha!$D$8:$H$27,5,FALSE))&lt;1,"",LEFT(RIGHT(VLOOKUP(AA44,suvaha!$D$8:$H$27,5,FALSE),1),1)))</f>
        <v>9</v>
      </c>
      <c r="CG50" s="259"/>
      <c r="CH50" s="878"/>
      <c r="CI50" s="878"/>
      <c r="CJ50" s="878"/>
    </row>
    <row r="51" spans="1:88" ht="3" customHeight="1">
      <c r="A51" s="220"/>
      <c r="B51" s="879"/>
      <c r="C51" s="879"/>
      <c r="D51" s="879"/>
      <c r="E51" s="876"/>
      <c r="F51" s="877"/>
      <c r="G51" s="862"/>
      <c r="H51" s="864"/>
      <c r="I51" s="864"/>
      <c r="J51" s="864"/>
      <c r="K51" s="864"/>
      <c r="L51" s="864"/>
      <c r="M51" s="864"/>
      <c r="N51" s="864"/>
      <c r="O51" s="864"/>
      <c r="P51" s="864"/>
      <c r="Q51" s="864"/>
      <c r="R51" s="864"/>
      <c r="S51" s="864"/>
      <c r="T51" s="864"/>
      <c r="U51" s="864"/>
      <c r="V51" s="864"/>
      <c r="W51" s="864"/>
      <c r="X51" s="864"/>
      <c r="Y51" s="864"/>
      <c r="Z51" s="864"/>
      <c r="AA51" s="866"/>
      <c r="AB51" s="866"/>
      <c r="AC51" s="866"/>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449"/>
      <c r="BB51" s="310"/>
      <c r="BC51" s="310"/>
      <c r="BD51" s="310"/>
      <c r="BE51" s="310"/>
      <c r="BF51" s="310"/>
      <c r="BG51" s="310"/>
      <c r="BH51" s="310"/>
      <c r="BI51" s="310"/>
      <c r="BJ51" s="443"/>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258"/>
      <c r="CH51" s="878"/>
      <c r="CI51" s="878"/>
      <c r="CJ51" s="878"/>
    </row>
    <row r="52" spans="1:88" s="250" customFormat="1" ht="3" customHeight="1">
      <c r="A52" s="220"/>
      <c r="B52" s="879"/>
      <c r="C52" s="879"/>
      <c r="D52" s="879"/>
      <c r="E52" s="876" t="s">
        <v>1543</v>
      </c>
      <c r="F52" s="877"/>
      <c r="G52" s="862"/>
      <c r="H52" s="864" t="str">
        <f>Index!C57</f>
        <v>Oceniteľné práva (014) - /074, 091A/</v>
      </c>
      <c r="I52" s="864"/>
      <c r="J52" s="864"/>
      <c r="K52" s="864"/>
      <c r="L52" s="864"/>
      <c r="M52" s="864"/>
      <c r="N52" s="864"/>
      <c r="O52" s="864"/>
      <c r="P52" s="864"/>
      <c r="Q52" s="864"/>
      <c r="R52" s="864"/>
      <c r="S52" s="864"/>
      <c r="T52" s="864"/>
      <c r="U52" s="864"/>
      <c r="V52" s="864"/>
      <c r="W52" s="864"/>
      <c r="X52" s="864"/>
      <c r="Y52" s="864"/>
      <c r="Z52" s="864"/>
      <c r="AA52" s="866" t="s">
        <v>658</v>
      </c>
      <c r="AB52" s="866"/>
      <c r="AC52" s="866"/>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67"/>
      <c r="BB52" s="867"/>
      <c r="BC52" s="867"/>
      <c r="BD52" s="867"/>
      <c r="BE52" s="867"/>
      <c r="BF52" s="867"/>
      <c r="BG52" s="867"/>
      <c r="BH52" s="867"/>
      <c r="BI52" s="867"/>
      <c r="BJ52" s="867"/>
      <c r="BK52" s="867"/>
      <c r="BL52" s="867"/>
      <c r="BM52" s="867"/>
      <c r="BN52" s="867"/>
      <c r="BO52" s="867"/>
      <c r="BP52" s="867"/>
      <c r="BQ52" s="867"/>
      <c r="BR52" s="304"/>
      <c r="BS52" s="304"/>
      <c r="BT52" s="304"/>
      <c r="BU52" s="304"/>
      <c r="BV52" s="304"/>
      <c r="BW52" s="446"/>
      <c r="BX52" s="304"/>
      <c r="BY52" s="304"/>
      <c r="BZ52" s="304"/>
      <c r="CA52" s="304"/>
      <c r="CB52" s="304"/>
      <c r="CC52" s="304"/>
      <c r="CD52" s="304"/>
      <c r="CE52" s="304"/>
      <c r="CF52" s="304"/>
      <c r="CG52" s="253"/>
      <c r="CH52" s="878"/>
      <c r="CI52" s="878"/>
      <c r="CJ52" s="878"/>
    </row>
    <row r="53" spans="1:88" s="250" customFormat="1" ht="3" customHeight="1">
      <c r="A53" s="220"/>
      <c r="B53" s="879"/>
      <c r="C53" s="879"/>
      <c r="D53" s="879"/>
      <c r="E53" s="876"/>
      <c r="F53" s="877"/>
      <c r="G53" s="862"/>
      <c r="H53" s="864"/>
      <c r="I53" s="864"/>
      <c r="J53" s="864"/>
      <c r="K53" s="864"/>
      <c r="L53" s="864"/>
      <c r="M53" s="864"/>
      <c r="N53" s="864"/>
      <c r="O53" s="864"/>
      <c r="P53" s="864"/>
      <c r="Q53" s="864"/>
      <c r="R53" s="864"/>
      <c r="S53" s="864"/>
      <c r="T53" s="864"/>
      <c r="U53" s="864"/>
      <c r="V53" s="864"/>
      <c r="W53" s="864"/>
      <c r="X53" s="864"/>
      <c r="Y53" s="864"/>
      <c r="Z53" s="864"/>
      <c r="AA53" s="866"/>
      <c r="AB53" s="866"/>
      <c r="AC53" s="866"/>
      <c r="AD53" s="826"/>
      <c r="AE53" s="820"/>
      <c r="AF53" s="820"/>
      <c r="AG53" s="820"/>
      <c r="AH53" s="435"/>
      <c r="AI53" s="821"/>
      <c r="AJ53" s="821"/>
      <c r="AK53" s="821"/>
      <c r="AL53" s="821"/>
      <c r="AM53" s="821"/>
      <c r="AN53" s="818"/>
      <c r="AO53" s="822"/>
      <c r="AP53" s="822"/>
      <c r="AQ53" s="822"/>
      <c r="AR53" s="822"/>
      <c r="AS53" s="822"/>
      <c r="AT53" s="818"/>
      <c r="AU53" s="822"/>
      <c r="AV53" s="822"/>
      <c r="AW53" s="822"/>
      <c r="AX53" s="822"/>
      <c r="AY53" s="822"/>
      <c r="AZ53" s="827"/>
      <c r="BA53" s="826"/>
      <c r="BB53" s="820"/>
      <c r="BC53" s="820"/>
      <c r="BD53" s="820"/>
      <c r="BE53" s="435"/>
      <c r="BF53" s="821"/>
      <c r="BG53" s="821"/>
      <c r="BH53" s="821"/>
      <c r="BI53" s="821"/>
      <c r="BJ53" s="821"/>
      <c r="BK53" s="818"/>
      <c r="BL53" s="822"/>
      <c r="BM53" s="822"/>
      <c r="BN53" s="822"/>
      <c r="BO53" s="822"/>
      <c r="BP53" s="822"/>
      <c r="BQ53" s="819"/>
      <c r="BR53" s="822"/>
      <c r="BS53" s="822"/>
      <c r="BT53" s="822"/>
      <c r="BU53" s="822"/>
      <c r="BV53" s="822"/>
      <c r="BW53" s="441"/>
      <c r="BX53" s="442"/>
      <c r="BY53" s="442"/>
      <c r="BZ53" s="442"/>
      <c r="CA53" s="442"/>
      <c r="CB53" s="442"/>
      <c r="CC53" s="442"/>
      <c r="CD53" s="442"/>
      <c r="CE53" s="442"/>
      <c r="CF53" s="442"/>
      <c r="CG53" s="254"/>
      <c r="CH53" s="878"/>
      <c r="CI53" s="878"/>
      <c r="CJ53" s="878"/>
    </row>
    <row r="54" spans="1:88" ht="15" customHeight="1">
      <c r="A54" s="220"/>
      <c r="B54" s="879"/>
      <c r="C54" s="879"/>
      <c r="D54" s="879"/>
      <c r="E54" s="876"/>
      <c r="F54" s="877"/>
      <c r="G54" s="862"/>
      <c r="H54" s="864"/>
      <c r="I54" s="864"/>
      <c r="J54" s="864"/>
      <c r="K54" s="864"/>
      <c r="L54" s="864"/>
      <c r="M54" s="864"/>
      <c r="N54" s="864"/>
      <c r="O54" s="864"/>
      <c r="P54" s="864"/>
      <c r="Q54" s="864"/>
      <c r="R54" s="864"/>
      <c r="S54" s="864"/>
      <c r="T54" s="864"/>
      <c r="U54" s="864"/>
      <c r="V54" s="864"/>
      <c r="W54" s="864"/>
      <c r="X54" s="864"/>
      <c r="Y54" s="864"/>
      <c r="Z54" s="864"/>
      <c r="AA54" s="866"/>
      <c r="AB54" s="866"/>
      <c r="AC54" s="866"/>
      <c r="AD54" s="826"/>
      <c r="AE54" s="432" t="str">
        <f>IF(LEN(VLOOKUP(AA52,suvaha!$D$8:$H$27,2,FALSE))&lt;11,"",LEFT(RIGHT(VLOOKUP(AA52,suvaha!$D$8:$H$27,2,FALSE),11),1))</f>
        <v/>
      </c>
      <c r="AF54" s="255"/>
      <c r="AG54" s="432" t="str">
        <f>IF(LEN(VLOOKUP(AA52,suvaha!$D$8:$H$27,2,FALSE))&lt;10,"",LEFT(RIGHT(VLOOKUP(AA52,suvaha!$D$8:$H$27,2,FALSE),10),1))</f>
        <v/>
      </c>
      <c r="AH54" s="434"/>
      <c r="AI54" s="432" t="str">
        <f>IF(LEN(VLOOKUP(AA52,suvaha!$D$8:$H$27,2,FALSE))&lt;9,"",LEFT(RIGHT(VLOOKUP(AA52,suvaha!$D$8:$H$27,2,FALSE),9),1))</f>
        <v/>
      </c>
      <c r="AJ54" s="255"/>
      <c r="AK54" s="432" t="str">
        <f>IF(LEN(VLOOKUP(AA52,suvaha!$D$8:$H$27,2,FALSE))&lt;8,"",LEFT(RIGHT(VLOOKUP(AA52,suvaha!$D$8:$H$27,2,FALSE),8),1))</f>
        <v/>
      </c>
      <c r="AL54" s="434"/>
      <c r="AM54" s="432" t="str">
        <f>IF(LEN(VLOOKUP(AA52,suvaha!$D$8:$H$27,2,FALSE))&lt;7,"",LEFT(RIGHT(VLOOKUP(AA52,suvaha!$D$8:$H$27,2,FALSE),7),1))</f>
        <v/>
      </c>
      <c r="AN54" s="818"/>
      <c r="AO54" s="432" t="str">
        <f>IF(LEN(VLOOKUP(AA52,suvaha!$D$8:$H$27,2,FALSE))&lt;6,"",LEFT(RIGHT(VLOOKUP(AA52,suvaha!$D$8:$H$27,2,FALSE),6),1))</f>
        <v/>
      </c>
      <c r="AP54" s="434"/>
      <c r="AQ54" s="432" t="str">
        <f>IF(LEN(VLOOKUP(AA52,suvaha!$D$8:$H$27,2,FALSE))&lt;5,"",LEFT(RIGHT(VLOOKUP(AA52,suvaha!$D$8:$H$27,2,FALSE),5),1))</f>
        <v/>
      </c>
      <c r="AR54" s="434"/>
      <c r="AS54" s="432" t="str">
        <f>IF(LEN(VLOOKUP(AA52,suvaha!$D$8:$H$27,2,FALSE))&lt;4,"",LEFT(RIGHT(VLOOKUP(AA52,suvaha!$D$8:$H$27,2,FALSE),4),1))</f>
        <v>2</v>
      </c>
      <c r="AT54" s="818"/>
      <c r="AU54" s="432" t="str">
        <f>IF(LEN(VLOOKUP(AA52,suvaha!$D$8:$H$27,2,FALSE))&lt;3,"",LEFT(RIGHT(VLOOKUP(AA52,suvaha!$D$8:$H$27,2,FALSE),3),1))</f>
        <v>5</v>
      </c>
      <c r="AV54" s="434"/>
      <c r="AW54" s="432" t="str">
        <f>IF(LEN(VLOOKUP(AA52,suvaha!$D$8:$H$27,2,FALSE))&lt;2,"",LEFT(RIGHT(VLOOKUP(AA52,suvaha!$D$8:$H$27,2,FALSE),2),1))</f>
        <v>0</v>
      </c>
      <c r="AX54" s="434"/>
      <c r="AY54" s="432" t="str">
        <f>IF(VLOOKUP(AA52,suvaha!$D$8:$H$27,2,FALSE)=0,"",IF(LEN(VLOOKUP(AA52,suvaha!$D$8:$H$27,2,FALSE))&lt;1,"",LEFT(RIGHT(VLOOKUP(AA52,suvaha!$D$8:$H$27,2,FALSE),1),1)))</f>
        <v>0</v>
      </c>
      <c r="AZ54" s="827"/>
      <c r="BA54" s="826"/>
      <c r="BB54" s="432" t="str">
        <f>IF(LEN(VLOOKUP(AA52,suvaha!$D$8:$H$27,4,FALSE))&lt;11,"",LEFT(RIGHT(VLOOKUP(AA52,suvaha!$D$8:$H$27,4,FALSE),11),1))</f>
        <v/>
      </c>
      <c r="BC54" s="255"/>
      <c r="BD54" s="432" t="str">
        <f>IF(LEN(VLOOKUP(AA52,suvaha!$D$8:$H$27,4,FALSE))&lt;10,"",LEFT(RIGHT(VLOOKUP(AA52,suvaha!$D$8:$H$27,4,FALSE),10),1))</f>
        <v/>
      </c>
      <c r="BE54" s="434"/>
      <c r="BF54" s="432" t="str">
        <f>IF(LEN(VLOOKUP(AA52,suvaha!$D$8:$H$27,4,FALSE))&lt;9,"",LEFT(RIGHT(VLOOKUP(AA52,suvaha!$D$8:$H$27,4,FALSE),9),1))</f>
        <v/>
      </c>
      <c r="BG54" s="255"/>
      <c r="BH54" s="432" t="str">
        <f>IF(LEN(VLOOKUP(AA52,suvaha!$D$8:$H$27,4,FALSE))&lt;8,"",LEFT(RIGHT(VLOOKUP(AA52,suvaha!$D$8:$H$27,4,FALSE),8),1))</f>
        <v/>
      </c>
      <c r="BI54" s="434"/>
      <c r="BJ54" s="432" t="str">
        <f>IF(LEN(VLOOKUP(AA52,suvaha!$D$8:$H$27,4,FALSE))&lt;7,"",LEFT(RIGHT(VLOOKUP(AA52,suvaha!$D$8:$H$27,4,FALSE),7),1))</f>
        <v/>
      </c>
      <c r="BK54" s="818"/>
      <c r="BL54" s="432" t="str">
        <f>IF(LEN(VLOOKUP(AA52,suvaha!$D$8:$H$27,4,FALSE))&lt;6,"",LEFT(RIGHT(VLOOKUP(AA52,suvaha!$D$8:$H$27,4,FALSE),6),1))</f>
        <v/>
      </c>
      <c r="BM54" s="434"/>
      <c r="BN54" s="432" t="str">
        <f>IF(LEN(VLOOKUP(AA52,suvaha!$D$8:$H$27,4,FALSE))&lt;5,"",LEFT(RIGHT(VLOOKUP(AA52,suvaha!$D$8:$H$27,4,FALSE),5),1))</f>
        <v/>
      </c>
      <c r="BO54" s="434"/>
      <c r="BP54" s="432" t="str">
        <f>IF(LEN(VLOOKUP(AA52,suvaha!$D$8:$H$27,4,FALSE))&lt;4,"",LEFT(RIGHT(VLOOKUP(AA52,suvaha!$D$8:$H$27,4,FALSE),4),1))</f>
        <v>1</v>
      </c>
      <c r="BQ54" s="819"/>
      <c r="BR54" s="432" t="str">
        <f>IF(LEN(VLOOKUP(AA52,suvaha!$D$8:$H$27,4,FALSE))&lt;3,"",LEFT(RIGHT(VLOOKUP(AA52,suvaha!$D$8:$H$27,4,FALSE),3),1))</f>
        <v>7</v>
      </c>
      <c r="BS54" s="434"/>
      <c r="BT54" s="432" t="str">
        <f>IF(LEN(VLOOKUP(AA52,suvaha!$D$8:$H$27,4,FALSE))&lt;2,"",LEFT(RIGHT(VLOOKUP(AA52,suvaha!$D$8:$H$27,4,FALSE),2),1))</f>
        <v>3</v>
      </c>
      <c r="BU54" s="434"/>
      <c r="BV54" s="432" t="str">
        <f>IF(VLOOKUP(AA52,suvaha!$D$8:$H$27,4,FALSE)=0,"",IF(LEN(VLOOKUP(AA52,suvaha!$D$8:$H$27,4,FALSE))&lt;1,"",LEFT(RIGHT(VLOOKUP(AA52,suvaha!$D$8:$H$27,4,FALSE),1),1)))</f>
        <v>6</v>
      </c>
      <c r="BW54" s="441"/>
      <c r="BX54" s="442"/>
      <c r="BY54" s="442"/>
      <c r="BZ54" s="442"/>
      <c r="CA54" s="442"/>
      <c r="CB54" s="442"/>
      <c r="CC54" s="442"/>
      <c r="CD54" s="442"/>
      <c r="CE54" s="442"/>
      <c r="CF54" s="442"/>
      <c r="CG54" s="254"/>
      <c r="CH54" s="878"/>
      <c r="CI54" s="878"/>
      <c r="CJ54" s="878"/>
    </row>
    <row r="55" spans="1:88" ht="3" customHeight="1">
      <c r="A55" s="220"/>
      <c r="B55" s="879"/>
      <c r="C55" s="879"/>
      <c r="D55" s="879"/>
      <c r="E55" s="876"/>
      <c r="F55" s="877"/>
      <c r="G55" s="862"/>
      <c r="H55" s="864"/>
      <c r="I55" s="864"/>
      <c r="J55" s="864"/>
      <c r="K55" s="864"/>
      <c r="L55" s="864"/>
      <c r="M55" s="864"/>
      <c r="N55" s="864"/>
      <c r="O55" s="864"/>
      <c r="P55" s="864"/>
      <c r="Q55" s="864"/>
      <c r="R55" s="864"/>
      <c r="S55" s="864"/>
      <c r="T55" s="864"/>
      <c r="U55" s="864"/>
      <c r="V55" s="864"/>
      <c r="W55" s="864"/>
      <c r="X55" s="864"/>
      <c r="Y55" s="864"/>
      <c r="Z55" s="864"/>
      <c r="AA55" s="866"/>
      <c r="AB55" s="866"/>
      <c r="AC55" s="866"/>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6"/>
      <c r="BB55" s="846"/>
      <c r="BC55" s="846"/>
      <c r="BD55" s="846"/>
      <c r="BE55" s="846"/>
      <c r="BF55" s="846"/>
      <c r="BG55" s="846"/>
      <c r="BH55" s="846"/>
      <c r="BI55" s="846"/>
      <c r="BJ55" s="846"/>
      <c r="BK55" s="846"/>
      <c r="BL55" s="846"/>
      <c r="BM55" s="846"/>
      <c r="BN55" s="846"/>
      <c r="BO55" s="846"/>
      <c r="BP55" s="846"/>
      <c r="BQ55" s="846"/>
      <c r="BR55" s="310"/>
      <c r="BS55" s="310"/>
      <c r="BT55" s="310"/>
      <c r="BU55" s="310"/>
      <c r="BV55" s="310"/>
      <c r="BW55" s="443"/>
      <c r="BX55" s="310"/>
      <c r="BY55" s="310"/>
      <c r="BZ55" s="310"/>
      <c r="CA55" s="310"/>
      <c r="CB55" s="310"/>
      <c r="CC55" s="310"/>
      <c r="CD55" s="310"/>
      <c r="CE55" s="310"/>
      <c r="CF55" s="310"/>
      <c r="CG55" s="258"/>
      <c r="CH55" s="878"/>
      <c r="CI55" s="878"/>
      <c r="CJ55" s="878"/>
    </row>
    <row r="56" spans="1:88" ht="3" customHeight="1">
      <c r="A56" s="220"/>
      <c r="B56" s="879"/>
      <c r="C56" s="879"/>
      <c r="D56" s="879"/>
      <c r="E56" s="876"/>
      <c r="F56" s="877"/>
      <c r="G56" s="862"/>
      <c r="H56" s="864"/>
      <c r="I56" s="864"/>
      <c r="J56" s="864"/>
      <c r="K56" s="864"/>
      <c r="L56" s="864"/>
      <c r="M56" s="864"/>
      <c r="N56" s="864"/>
      <c r="O56" s="864"/>
      <c r="P56" s="864"/>
      <c r="Q56" s="864"/>
      <c r="R56" s="864"/>
      <c r="S56" s="864"/>
      <c r="T56" s="864"/>
      <c r="U56" s="864"/>
      <c r="V56" s="864"/>
      <c r="W56" s="864"/>
      <c r="X56" s="864"/>
      <c r="Y56" s="864"/>
      <c r="Z56" s="864"/>
      <c r="AA56" s="866"/>
      <c r="AB56" s="866"/>
      <c r="AC56" s="866"/>
      <c r="AD56" s="825"/>
      <c r="AE56" s="825"/>
      <c r="AF56" s="825"/>
      <c r="AG56" s="825"/>
      <c r="AH56" s="825"/>
      <c r="AI56" s="825"/>
      <c r="AJ56" s="825"/>
      <c r="AK56" s="825"/>
      <c r="AL56" s="825"/>
      <c r="AM56" s="825"/>
      <c r="AN56" s="825"/>
      <c r="AO56" s="825"/>
      <c r="AP56" s="825"/>
      <c r="AQ56" s="825"/>
      <c r="AR56" s="825"/>
      <c r="AS56" s="825"/>
      <c r="AT56" s="825"/>
      <c r="AU56" s="825"/>
      <c r="AV56" s="825"/>
      <c r="AW56" s="825"/>
      <c r="AX56" s="825"/>
      <c r="AY56" s="825"/>
      <c r="AZ56" s="825"/>
      <c r="BA56" s="447"/>
      <c r="BB56" s="304"/>
      <c r="BC56" s="304"/>
      <c r="BD56" s="304"/>
      <c r="BE56" s="304"/>
      <c r="BF56" s="304"/>
      <c r="BG56" s="304"/>
      <c r="BH56" s="304"/>
      <c r="BI56" s="304"/>
      <c r="BJ56" s="446"/>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253"/>
      <c r="CH56" s="878"/>
      <c r="CI56" s="878"/>
      <c r="CJ56" s="878"/>
    </row>
    <row r="57" spans="1:88" ht="3" customHeight="1">
      <c r="A57" s="220"/>
      <c r="B57" s="879"/>
      <c r="C57" s="879"/>
      <c r="D57" s="879"/>
      <c r="E57" s="876"/>
      <c r="F57" s="877"/>
      <c r="G57" s="862"/>
      <c r="H57" s="864"/>
      <c r="I57" s="864"/>
      <c r="J57" s="864"/>
      <c r="K57" s="864"/>
      <c r="L57" s="864"/>
      <c r="M57" s="864"/>
      <c r="N57" s="864"/>
      <c r="O57" s="864"/>
      <c r="P57" s="864"/>
      <c r="Q57" s="864"/>
      <c r="R57" s="864"/>
      <c r="S57" s="864"/>
      <c r="T57" s="864"/>
      <c r="U57" s="864"/>
      <c r="V57" s="864"/>
      <c r="W57" s="864"/>
      <c r="X57" s="864"/>
      <c r="Y57" s="864"/>
      <c r="Z57" s="864"/>
      <c r="AA57" s="866"/>
      <c r="AB57" s="866"/>
      <c r="AC57" s="866"/>
      <c r="AD57" s="826"/>
      <c r="AE57" s="820"/>
      <c r="AF57" s="820"/>
      <c r="AG57" s="820"/>
      <c r="AH57" s="435"/>
      <c r="AI57" s="821"/>
      <c r="AJ57" s="821"/>
      <c r="AK57" s="821"/>
      <c r="AL57" s="821"/>
      <c r="AM57" s="821"/>
      <c r="AN57" s="818" t="s">
        <v>965</v>
      </c>
      <c r="AO57" s="822"/>
      <c r="AP57" s="822"/>
      <c r="AQ57" s="822"/>
      <c r="AR57" s="822"/>
      <c r="AS57" s="822"/>
      <c r="AT57" s="818" t="s">
        <v>965</v>
      </c>
      <c r="AU57" s="822"/>
      <c r="AV57" s="822"/>
      <c r="AW57" s="822"/>
      <c r="AX57" s="822"/>
      <c r="AY57" s="822"/>
      <c r="AZ57" s="827"/>
      <c r="BA57" s="448"/>
      <c r="BB57" s="442"/>
      <c r="BC57" s="442"/>
      <c r="BD57" s="442"/>
      <c r="BE57" s="442"/>
      <c r="BF57" s="442"/>
      <c r="BG57" s="442"/>
      <c r="BH57" s="442"/>
      <c r="BI57" s="442"/>
      <c r="BJ57" s="441"/>
      <c r="BK57" s="442"/>
      <c r="BL57" s="820"/>
      <c r="BM57" s="820"/>
      <c r="BN57" s="820"/>
      <c r="BO57" s="442"/>
      <c r="BP57" s="444"/>
      <c r="BQ57" s="444"/>
      <c r="BR57" s="444"/>
      <c r="BS57" s="444"/>
      <c r="BT57" s="444"/>
      <c r="BU57" s="442"/>
      <c r="BV57" s="444"/>
      <c r="BW57" s="444"/>
      <c r="BX57" s="444"/>
      <c r="BY57" s="444"/>
      <c r="BZ57" s="444"/>
      <c r="CA57" s="445"/>
      <c r="CB57" s="444"/>
      <c r="CC57" s="444"/>
      <c r="CD57" s="444"/>
      <c r="CE57" s="444"/>
      <c r="CF57" s="444"/>
      <c r="CG57" s="259"/>
      <c r="CH57" s="878"/>
      <c r="CI57" s="878"/>
      <c r="CJ57" s="878"/>
    </row>
    <row r="58" spans="1:88" ht="15" customHeight="1">
      <c r="A58" s="220"/>
      <c r="B58" s="879"/>
      <c r="C58" s="879"/>
      <c r="D58" s="879"/>
      <c r="E58" s="876"/>
      <c r="F58" s="877"/>
      <c r="G58" s="862"/>
      <c r="H58" s="864"/>
      <c r="I58" s="864"/>
      <c r="J58" s="864"/>
      <c r="K58" s="864"/>
      <c r="L58" s="864"/>
      <c r="M58" s="864"/>
      <c r="N58" s="864"/>
      <c r="O58" s="864"/>
      <c r="P58" s="864"/>
      <c r="Q58" s="864"/>
      <c r="R58" s="864"/>
      <c r="S58" s="864"/>
      <c r="T58" s="864"/>
      <c r="U58" s="864"/>
      <c r="V58" s="864"/>
      <c r="W58" s="864"/>
      <c r="X58" s="864"/>
      <c r="Y58" s="864"/>
      <c r="Z58" s="864"/>
      <c r="AA58" s="866"/>
      <c r="AB58" s="866"/>
      <c r="AC58" s="866"/>
      <c r="AD58" s="826"/>
      <c r="AE58" s="432" t="str">
        <f>IF(LEN(VLOOKUP(AA52,suvaha!$D$8:$H$27,3,FALSE))&lt;11,"",LEFT(RIGHT(VLOOKUP(AA52,suvaha!$D$8:$H$27,3,FALSE),11),1))</f>
        <v/>
      </c>
      <c r="AF58" s="255" t="s">
        <v>965</v>
      </c>
      <c r="AG58" s="432" t="str">
        <f>IF(LEN(VLOOKUP(AA52,suvaha!$D$8:$H$27,3,FALSE))&lt;10,"",LEFT(RIGHT(VLOOKUP(AA52,suvaha!$D$8:$H$27,3,FALSE),10),1))</f>
        <v/>
      </c>
      <c r="AH58" s="434" t="s">
        <v>965</v>
      </c>
      <c r="AI58" s="432" t="str">
        <f>IF(LEN(VLOOKUP(AA52,suvaha!$D$8:$H$27,3,FALSE))&lt;9,"",LEFT(RIGHT(VLOOKUP(AA52,suvaha!$D$8:$H$27,3,FALSE),9),1))</f>
        <v/>
      </c>
      <c r="AJ58" s="255" t="s">
        <v>965</v>
      </c>
      <c r="AK58" s="432" t="str">
        <f>IF(LEN(VLOOKUP(AA52,suvaha!$D$8:$F$27,3,FALSE))&lt;8,"",LEFT(RIGHT(VLOOKUP(AA52,suvaha!$D$8:$F$27,3,FALSE),8),1))</f>
        <v/>
      </c>
      <c r="AL58" s="434" t="s">
        <v>965</v>
      </c>
      <c r="AM58" s="432" t="str">
        <f>IF(LEN(VLOOKUP(AA52,suvaha!$D$8:$H$27,3,FALSE))&lt;7,"",LEFT(RIGHT(VLOOKUP(AA52,suvaha!$D$8:$H$27,3,FALSE),7),1))</f>
        <v/>
      </c>
      <c r="AN58" s="818"/>
      <c r="AO58" s="432" t="str">
        <f>IF(LEN(VLOOKUP(AA52,suvaha!$D$8:$H$27,3,FALSE))&lt;6,"",LEFT(RIGHT(VLOOKUP(AA52,suvaha!$D$8:$H$27,3,FALSE),6),1))</f>
        <v/>
      </c>
      <c r="AP58" s="434" t="s">
        <v>965</v>
      </c>
      <c r="AQ58" s="432" t="str">
        <f>IF(LEN(VLOOKUP(AA52,suvaha!$D$8:$H$27,3,FALSE))&lt;5,"",LEFT(RIGHT(VLOOKUP(AA52,suvaha!$D$8:$H$27,3,FALSE),5),1))</f>
        <v/>
      </c>
      <c r="AR58" s="434" t="s">
        <v>965</v>
      </c>
      <c r="AS58" s="432" t="str">
        <f>IF(LEN(VLOOKUP(AA52,suvaha!$D$8:$H$27,3,FALSE))&lt;4,"",LEFT(RIGHT(VLOOKUP(AA52,suvaha!$D$8:$H$27,3,FALSE),4),1))</f>
        <v/>
      </c>
      <c r="AT58" s="818"/>
      <c r="AU58" s="432" t="str">
        <f>IF(LEN(VLOOKUP(AA52,suvaha!$D$8:$H$27,3,FALSE))&lt;3,"",LEFT(RIGHT(VLOOKUP(AA52,suvaha!$D$8:$H$27,3,FALSE),3),1))</f>
        <v>7</v>
      </c>
      <c r="AV58" s="434" t="s">
        <v>965</v>
      </c>
      <c r="AW58" s="432" t="str">
        <f>IF(LEN(VLOOKUP(AA52,suvaha!$D$8:$H$27,3,FALSE))&lt;2,"",LEFT(RIGHT(VLOOKUP(AA52,suvaha!$D$8:$H$27,3,FALSE),2),1))</f>
        <v>6</v>
      </c>
      <c r="AX58" s="434" t="s">
        <v>965</v>
      </c>
      <c r="AY58" s="432" t="str">
        <f>IF(VLOOKUP(AA52,suvaha!$D$8:$H$27,3,FALSE)=0,"",IF(LEN(VLOOKUP(AA52,suvaha!$D$8:$H$27,3,FALSE))&lt;1,"",LEFT(RIGHT(VLOOKUP(AA52,suvaha!$D$8:$H$27,3,FALSE),1),1)))</f>
        <v>4</v>
      </c>
      <c r="AZ58" s="827"/>
      <c r="BA58" s="448"/>
      <c r="BB58" s="442"/>
      <c r="BC58" s="442"/>
      <c r="BD58" s="442"/>
      <c r="BE58" s="442"/>
      <c r="BF58" s="442"/>
      <c r="BG58" s="442"/>
      <c r="BH58" s="442"/>
      <c r="BI58" s="442"/>
      <c r="BJ58" s="441"/>
      <c r="BK58" s="442"/>
      <c r="BL58" s="432" t="str">
        <f>IF(LEN(VLOOKUP(AA52,suvaha!$D$8:$H$27,5,FALSE))&lt;11,"",LEFT(RIGHT(VLOOKUP(AA52,suvaha!$D$8:$H$27,5,FALSE),11),1))</f>
        <v/>
      </c>
      <c r="BM58" s="255" t="s">
        <v>965</v>
      </c>
      <c r="BN58" s="432" t="str">
        <f>IF(LEN(VLOOKUP(AA52,suvaha!$D$8:$H$27,5,FALSE))&lt;10,"",LEFT(RIGHT(VLOOKUP(AA52,suvaha!$D$8:$H$27,5,FALSE),10),1))</f>
        <v/>
      </c>
      <c r="BO58" s="442" t="s">
        <v>965</v>
      </c>
      <c r="BP58" s="432" t="str">
        <f>IF(LEN(VLOOKUP(AA52,suvaha!$D$8:$H$27,5,FALSE))&lt;9,"",LEFT(RIGHT(VLOOKUP(AA52,suvaha!$D$8:$H$27,5,FALSE),9),1))</f>
        <v/>
      </c>
      <c r="BQ58" s="434" t="s">
        <v>965</v>
      </c>
      <c r="BR58" s="432" t="str">
        <f>IF(LEN(VLOOKUP(AA52,suvaha!$D$8:$H$27,5,FALSE))&lt;8,"",LEFT(RIGHT(VLOOKUP(AA52,suvaha!$D$8:$H$27,5,FALSE),8),1))</f>
        <v/>
      </c>
      <c r="BS58" s="434" t="s">
        <v>965</v>
      </c>
      <c r="BT58" s="432" t="str">
        <f>IF(LEN(VLOOKUP(AA52,suvaha!$D$8:$H$27,5,FALSE))&lt;7,"",LEFT(RIGHT(VLOOKUP(AA52,suvaha!$D$8:$H$27,5,FALSE),7),1))</f>
        <v/>
      </c>
      <c r="BU58" s="442" t="s">
        <v>965</v>
      </c>
      <c r="BV58" s="432" t="str">
        <f>IF(LEN(VLOOKUP(AA52,suvaha!$D$8:$H$27,5,FALSE))&lt;6,"",LEFT(RIGHT(VLOOKUP(AA52,suvaha!$D$8:$H$27,5,FALSE),6),1))</f>
        <v/>
      </c>
      <c r="BW58" s="434" t="s">
        <v>965</v>
      </c>
      <c r="BX58" s="432" t="str">
        <f>IF(LEN(VLOOKUP(AA52,suvaha!$D$8:$H$27,5,FALSE))&lt;5,"",LEFT(RIGHT(VLOOKUP(AA52,suvaha!$D$8:$H$27,5,FALSE),5),1))</f>
        <v/>
      </c>
      <c r="BY58" s="434" t="s">
        <v>965</v>
      </c>
      <c r="BZ58" s="432" t="str">
        <f>IF(LEN(VLOOKUP(AA52,suvaha!$D$8:$H$27,5,FALSE))&lt;4,"",LEFT(RIGHT(VLOOKUP(AA52,suvaha!$D$8:$H$27,5,FALSE),4),1))</f>
        <v/>
      </c>
      <c r="CA58" s="445" t="s">
        <v>965</v>
      </c>
      <c r="CB58" s="432" t="str">
        <f>IF(LEN(VLOOKUP(AA52,suvaha!$D$8:$H$27,5,FALSE))&lt;3,"",LEFT(RIGHT(VLOOKUP(AA52,suvaha!$D$8:$H$27,5,FALSE),3),1))</f>
        <v/>
      </c>
      <c r="CC58" s="434" t="s">
        <v>965</v>
      </c>
      <c r="CD58" s="432" t="str">
        <f>IF(LEN(VLOOKUP(AA52,suvaha!$D$8:$H$27,5,FALSE))&lt;2,"",LEFT(RIGHT(VLOOKUP(AA52,suvaha!$D$8:$H$27,5,FALSE),2),1))</f>
        <v/>
      </c>
      <c r="CE58" s="434" t="s">
        <v>1540</v>
      </c>
      <c r="CF58" s="432" t="str">
        <f>IF(VLOOKUP(AA52,suvaha!$D$8:$H$27,5,FALSE)=0,"",IF(LEN(VLOOKUP(AA52,suvaha!$D$8:$H$27,5,FALSE))&lt;1,"",LEFT(RIGHT(VLOOKUP(AA52,suvaha!$D$8:$H$27,5,FALSE),1),1)))</f>
        <v/>
      </c>
      <c r="CG58" s="259"/>
      <c r="CH58" s="878"/>
      <c r="CI58" s="878"/>
      <c r="CJ58" s="878"/>
    </row>
    <row r="59" spans="1:88" ht="3" customHeight="1">
      <c r="A59" s="220"/>
      <c r="B59" s="879"/>
      <c r="C59" s="879"/>
      <c r="D59" s="879"/>
      <c r="E59" s="876"/>
      <c r="F59" s="877"/>
      <c r="G59" s="862"/>
      <c r="H59" s="864"/>
      <c r="I59" s="864"/>
      <c r="J59" s="864"/>
      <c r="K59" s="864"/>
      <c r="L59" s="864"/>
      <c r="M59" s="864"/>
      <c r="N59" s="864"/>
      <c r="O59" s="864"/>
      <c r="P59" s="864"/>
      <c r="Q59" s="864"/>
      <c r="R59" s="864"/>
      <c r="S59" s="864"/>
      <c r="T59" s="864"/>
      <c r="U59" s="864"/>
      <c r="V59" s="864"/>
      <c r="W59" s="864"/>
      <c r="X59" s="864"/>
      <c r="Y59" s="864"/>
      <c r="Z59" s="864"/>
      <c r="AA59" s="866"/>
      <c r="AB59" s="866"/>
      <c r="AC59" s="866"/>
      <c r="AD59" s="848"/>
      <c r="AE59" s="848"/>
      <c r="AF59" s="848"/>
      <c r="AG59" s="848"/>
      <c r="AH59" s="848"/>
      <c r="AI59" s="848"/>
      <c r="AJ59" s="848"/>
      <c r="AK59" s="848"/>
      <c r="AL59" s="848"/>
      <c r="AM59" s="848"/>
      <c r="AN59" s="848"/>
      <c r="AO59" s="848"/>
      <c r="AP59" s="848"/>
      <c r="AQ59" s="848"/>
      <c r="AR59" s="848"/>
      <c r="AS59" s="848"/>
      <c r="AT59" s="848"/>
      <c r="AU59" s="848"/>
      <c r="AV59" s="848"/>
      <c r="AW59" s="848"/>
      <c r="AX59" s="848"/>
      <c r="AY59" s="848"/>
      <c r="AZ59" s="848"/>
      <c r="BA59" s="261"/>
      <c r="BB59" s="256"/>
      <c r="BC59" s="256"/>
      <c r="BD59" s="256"/>
      <c r="BE59" s="256"/>
      <c r="BF59" s="256"/>
      <c r="BG59" s="256"/>
      <c r="BH59" s="256"/>
      <c r="BI59" s="256"/>
      <c r="BJ59" s="257"/>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58"/>
      <c r="CH59" s="878"/>
      <c r="CI59" s="878"/>
      <c r="CJ59" s="878"/>
    </row>
    <row r="60" spans="1:88" s="250" customFormat="1" ht="3" customHeight="1">
      <c r="A60" s="220"/>
      <c r="B60" s="879"/>
      <c r="C60" s="879"/>
      <c r="D60" s="879"/>
      <c r="E60" s="876" t="s">
        <v>1544</v>
      </c>
      <c r="F60" s="877"/>
      <c r="G60" s="862"/>
      <c r="H60" s="864" t="str">
        <f>Index!C58</f>
        <v>Goodwill (015) - /075, 091A/</v>
      </c>
      <c r="I60" s="864"/>
      <c r="J60" s="864"/>
      <c r="K60" s="864"/>
      <c r="L60" s="864"/>
      <c r="M60" s="864"/>
      <c r="N60" s="864"/>
      <c r="O60" s="864"/>
      <c r="P60" s="864"/>
      <c r="Q60" s="864"/>
      <c r="R60" s="864"/>
      <c r="S60" s="864"/>
      <c r="T60" s="864"/>
      <c r="U60" s="864"/>
      <c r="V60" s="864"/>
      <c r="W60" s="864"/>
      <c r="X60" s="864"/>
      <c r="Y60" s="864"/>
      <c r="Z60" s="864"/>
      <c r="AA60" s="866" t="s">
        <v>660</v>
      </c>
      <c r="AB60" s="866"/>
      <c r="AC60" s="866"/>
      <c r="AD60" s="843"/>
      <c r="AE60" s="843"/>
      <c r="AF60" s="843"/>
      <c r="AG60" s="843"/>
      <c r="AH60" s="843"/>
      <c r="AI60" s="843"/>
      <c r="AJ60" s="843"/>
      <c r="AK60" s="843"/>
      <c r="AL60" s="843"/>
      <c r="AM60" s="843"/>
      <c r="AN60" s="843"/>
      <c r="AO60" s="843"/>
      <c r="AP60" s="843"/>
      <c r="AQ60" s="843"/>
      <c r="AR60" s="843"/>
      <c r="AS60" s="843"/>
      <c r="AT60" s="843"/>
      <c r="AU60" s="843"/>
      <c r="AV60" s="843"/>
      <c r="AW60" s="843"/>
      <c r="AX60" s="843"/>
      <c r="AY60" s="843"/>
      <c r="AZ60" s="843"/>
      <c r="BA60" s="844"/>
      <c r="BB60" s="844"/>
      <c r="BC60" s="844"/>
      <c r="BD60" s="844"/>
      <c r="BE60" s="844"/>
      <c r="BF60" s="844"/>
      <c r="BG60" s="844"/>
      <c r="BH60" s="844"/>
      <c r="BI60" s="844"/>
      <c r="BJ60" s="844"/>
      <c r="BK60" s="844"/>
      <c r="BL60" s="844"/>
      <c r="BM60" s="844"/>
      <c r="BN60" s="844"/>
      <c r="BO60" s="844"/>
      <c r="BP60" s="844"/>
      <c r="BQ60" s="844"/>
      <c r="BR60" s="251"/>
      <c r="BS60" s="251"/>
      <c r="BT60" s="251"/>
      <c r="BU60" s="251"/>
      <c r="BV60" s="251"/>
      <c r="BW60" s="252"/>
      <c r="BX60" s="251"/>
      <c r="BY60" s="251"/>
      <c r="BZ60" s="251"/>
      <c r="CA60" s="251"/>
      <c r="CB60" s="251"/>
      <c r="CC60" s="251"/>
      <c r="CD60" s="251"/>
      <c r="CE60" s="251"/>
      <c r="CF60" s="251"/>
      <c r="CG60" s="253"/>
      <c r="CH60" s="878"/>
      <c r="CI60" s="878"/>
      <c r="CJ60" s="878"/>
    </row>
    <row r="61" spans="1:88" s="250" customFormat="1" ht="3" customHeight="1">
      <c r="A61" s="220"/>
      <c r="B61" s="879"/>
      <c r="C61" s="879"/>
      <c r="D61" s="879"/>
      <c r="E61" s="876"/>
      <c r="F61" s="877"/>
      <c r="G61" s="862"/>
      <c r="H61" s="864"/>
      <c r="I61" s="864"/>
      <c r="J61" s="864"/>
      <c r="K61" s="864"/>
      <c r="L61" s="864"/>
      <c r="M61" s="864"/>
      <c r="N61" s="864"/>
      <c r="O61" s="864"/>
      <c r="P61" s="864"/>
      <c r="Q61" s="864"/>
      <c r="R61" s="864"/>
      <c r="S61" s="864"/>
      <c r="T61" s="864"/>
      <c r="U61" s="864"/>
      <c r="V61" s="864"/>
      <c r="W61" s="864"/>
      <c r="X61" s="864"/>
      <c r="Y61" s="864"/>
      <c r="Z61" s="864"/>
      <c r="AA61" s="866"/>
      <c r="AB61" s="866"/>
      <c r="AC61" s="866"/>
      <c r="AD61" s="826"/>
      <c r="AE61" s="820"/>
      <c r="AF61" s="820"/>
      <c r="AG61" s="820"/>
      <c r="AH61" s="435"/>
      <c r="AI61" s="821"/>
      <c r="AJ61" s="821"/>
      <c r="AK61" s="821"/>
      <c r="AL61" s="821"/>
      <c r="AM61" s="821"/>
      <c r="AN61" s="818"/>
      <c r="AO61" s="822"/>
      <c r="AP61" s="822"/>
      <c r="AQ61" s="822"/>
      <c r="AR61" s="822"/>
      <c r="AS61" s="822"/>
      <c r="AT61" s="818"/>
      <c r="AU61" s="822"/>
      <c r="AV61" s="822"/>
      <c r="AW61" s="822"/>
      <c r="AX61" s="822"/>
      <c r="AY61" s="822"/>
      <c r="AZ61" s="827"/>
      <c r="BA61" s="826"/>
      <c r="BB61" s="820"/>
      <c r="BC61" s="820"/>
      <c r="BD61" s="820"/>
      <c r="BE61" s="435"/>
      <c r="BF61" s="821"/>
      <c r="BG61" s="821"/>
      <c r="BH61" s="821"/>
      <c r="BI61" s="821"/>
      <c r="BJ61" s="821"/>
      <c r="BK61" s="818"/>
      <c r="BL61" s="822"/>
      <c r="BM61" s="822"/>
      <c r="BN61" s="822"/>
      <c r="BO61" s="822"/>
      <c r="BP61" s="822"/>
      <c r="BQ61" s="819"/>
      <c r="BR61" s="822"/>
      <c r="BS61" s="822"/>
      <c r="BT61" s="822"/>
      <c r="BU61" s="822"/>
      <c r="BV61" s="822"/>
      <c r="BW61" s="441"/>
      <c r="BX61" s="442"/>
      <c r="BY61" s="442"/>
      <c r="BZ61" s="442"/>
      <c r="CA61" s="442"/>
      <c r="CB61" s="442"/>
      <c r="CC61" s="442"/>
      <c r="CD61" s="442"/>
      <c r="CE61" s="442"/>
      <c r="CF61" s="442"/>
      <c r="CG61" s="254"/>
      <c r="CH61" s="878"/>
      <c r="CI61" s="878"/>
      <c r="CJ61" s="878"/>
    </row>
    <row r="62" spans="1:88" ht="15" customHeight="1">
      <c r="A62" s="220"/>
      <c r="B62" s="879"/>
      <c r="C62" s="879"/>
      <c r="D62" s="879"/>
      <c r="E62" s="876"/>
      <c r="F62" s="877"/>
      <c r="G62" s="862"/>
      <c r="H62" s="864"/>
      <c r="I62" s="864"/>
      <c r="J62" s="864"/>
      <c r="K62" s="864"/>
      <c r="L62" s="864"/>
      <c r="M62" s="864"/>
      <c r="N62" s="864"/>
      <c r="O62" s="864"/>
      <c r="P62" s="864"/>
      <c r="Q62" s="864"/>
      <c r="R62" s="864"/>
      <c r="S62" s="864"/>
      <c r="T62" s="864"/>
      <c r="U62" s="864"/>
      <c r="V62" s="864"/>
      <c r="W62" s="864"/>
      <c r="X62" s="864"/>
      <c r="Y62" s="864"/>
      <c r="Z62" s="864"/>
      <c r="AA62" s="866"/>
      <c r="AB62" s="866"/>
      <c r="AC62" s="866"/>
      <c r="AD62" s="826"/>
      <c r="AE62" s="432" t="str">
        <f>IF(LEN(VLOOKUP(AA60,suvaha!$D$8:$H$27,2,FALSE))&lt;11,"",LEFT(RIGHT(VLOOKUP(AA60,suvaha!$D$8:$H$27,2,FALSE),11),1))</f>
        <v/>
      </c>
      <c r="AF62" s="255"/>
      <c r="AG62" s="432" t="str">
        <f>IF(LEN(VLOOKUP(AA60,suvaha!$D$8:$H$27,2,FALSE))&lt;10,"",LEFT(RIGHT(VLOOKUP(AA60,suvaha!$D$8:$H$27,2,FALSE),10),1))</f>
        <v/>
      </c>
      <c r="AH62" s="434"/>
      <c r="AI62" s="432" t="str">
        <f>IF(LEN(VLOOKUP(AA60,suvaha!$D$8:$H$27,2,FALSE))&lt;9,"",LEFT(RIGHT(VLOOKUP(AA60,suvaha!$D$8:$H$27,2,FALSE),9),1))</f>
        <v/>
      </c>
      <c r="AJ62" s="255"/>
      <c r="AK62" s="432" t="str">
        <f>IF(LEN(VLOOKUP(AA60,suvaha!$D$8:$H$27,2,FALSE))&lt;8,"",LEFT(RIGHT(VLOOKUP(AA60,suvaha!$D$8:$H$27,2,FALSE),8),1))</f>
        <v/>
      </c>
      <c r="AL62" s="434"/>
      <c r="AM62" s="432" t="str">
        <f>IF(LEN(VLOOKUP(AA60,suvaha!$D$8:$H$27,2,FALSE))&lt;7,"",LEFT(RIGHT(VLOOKUP(AA60,suvaha!$D$8:$H$27,2,FALSE),7),1))</f>
        <v/>
      </c>
      <c r="AN62" s="818"/>
      <c r="AO62" s="432" t="str">
        <f>IF(LEN(VLOOKUP(AA60,suvaha!$D$8:$H$27,2,FALSE))&lt;6,"",LEFT(RIGHT(VLOOKUP(AA60,suvaha!$D$8:$H$27,2,FALSE),6),1))</f>
        <v/>
      </c>
      <c r="AP62" s="434"/>
      <c r="AQ62" s="432" t="str">
        <f>IF(LEN(VLOOKUP(AA60,suvaha!$D$8:$H$27,2,FALSE))&lt;5,"",LEFT(RIGHT(VLOOKUP(AA60,suvaha!$D$8:$H$27,2,FALSE),5),1))</f>
        <v/>
      </c>
      <c r="AR62" s="434"/>
      <c r="AS62" s="432" t="str">
        <f>IF(LEN(VLOOKUP(AA60,suvaha!$D$8:$H$27,2,FALSE))&lt;4,"",LEFT(RIGHT(VLOOKUP(AA60,suvaha!$D$8:$H$27,2,FALSE),4),1))</f>
        <v/>
      </c>
      <c r="AT62" s="818"/>
      <c r="AU62" s="432" t="str">
        <f>IF(LEN(VLOOKUP(AA60,suvaha!$D$8:$H$27,2,FALSE))&lt;3,"",LEFT(RIGHT(VLOOKUP(AA60,suvaha!$D$8:$H$27,2,FALSE),3),1))</f>
        <v/>
      </c>
      <c r="AV62" s="434"/>
      <c r="AW62" s="432" t="str">
        <f>IF(LEN(VLOOKUP(AA60,suvaha!$D$8:$H$27,2,FALSE))&lt;2,"",LEFT(RIGHT(VLOOKUP(AA60,suvaha!$D$8:$H$27,2,FALSE),2),1))</f>
        <v/>
      </c>
      <c r="AX62" s="434"/>
      <c r="AY62" s="432" t="str">
        <f>IF(VLOOKUP(AA60,suvaha!$D$8:$H$27,2,FALSE)=0,"",IF(LEN(VLOOKUP(AA60,suvaha!$D$8:$H$27,2,FALSE))&lt;1,"",LEFT(RIGHT(VLOOKUP(AA60,suvaha!$D$8:$H$27,2,FALSE),1),1)))</f>
        <v/>
      </c>
      <c r="AZ62" s="827"/>
      <c r="BA62" s="826"/>
      <c r="BB62" s="432" t="str">
        <f>IF(LEN(VLOOKUP(AA60,suvaha!$D$8:$H$27,4,FALSE))&lt;11,"",LEFT(RIGHT(VLOOKUP(AA60,suvaha!$D$8:$H$27,4,FALSE),11),1))</f>
        <v/>
      </c>
      <c r="BC62" s="255"/>
      <c r="BD62" s="432" t="str">
        <f>IF(LEN(VLOOKUP(AA60,suvaha!$D$8:$H$27,4,FALSE))&lt;10,"",LEFT(RIGHT(VLOOKUP(AA60,suvaha!$D$8:$H$27,4,FALSE),10),1))</f>
        <v/>
      </c>
      <c r="BE62" s="434"/>
      <c r="BF62" s="432" t="str">
        <f>IF(LEN(VLOOKUP(AA60,suvaha!$D$8:$H$27,4,FALSE))&lt;9,"",LEFT(RIGHT(VLOOKUP(AA60,suvaha!$D$8:$H$27,4,FALSE),9),1))</f>
        <v/>
      </c>
      <c r="BG62" s="255"/>
      <c r="BH62" s="432" t="str">
        <f>IF(LEN(VLOOKUP(AA60,suvaha!$D$8:$H$27,4,FALSE))&lt;8,"",LEFT(RIGHT(VLOOKUP(AA60,suvaha!$D$8:$H$27,4,FALSE),8),1))</f>
        <v/>
      </c>
      <c r="BI62" s="434"/>
      <c r="BJ62" s="432" t="str">
        <f>IF(LEN(VLOOKUP(AA60,suvaha!$D$8:$H$27,4,FALSE))&lt;7,"",LEFT(RIGHT(VLOOKUP(AA60,suvaha!$D$8:$H$27,4,FALSE),7),1))</f>
        <v/>
      </c>
      <c r="BK62" s="818"/>
      <c r="BL62" s="432" t="str">
        <f>IF(LEN(VLOOKUP(AA60,suvaha!$D$8:$H$27,4,FALSE))&lt;6,"",LEFT(RIGHT(VLOOKUP(AA60,suvaha!$D$8:$H$27,4,FALSE),6),1))</f>
        <v/>
      </c>
      <c r="BM62" s="434"/>
      <c r="BN62" s="432" t="str">
        <f>IF(LEN(VLOOKUP(AA60,suvaha!$D$8:$H$27,4,FALSE))&lt;5,"",LEFT(RIGHT(VLOOKUP(AA60,suvaha!$D$8:$H$27,4,FALSE),5),1))</f>
        <v/>
      </c>
      <c r="BO62" s="434"/>
      <c r="BP62" s="432" t="str">
        <f>IF(LEN(VLOOKUP(AA60,suvaha!$D$8:$H$27,4,FALSE))&lt;4,"",LEFT(RIGHT(VLOOKUP(AA60,suvaha!$D$8:$H$27,4,FALSE),4),1))</f>
        <v/>
      </c>
      <c r="BQ62" s="819"/>
      <c r="BR62" s="432" t="str">
        <f>IF(LEN(VLOOKUP(AA60,suvaha!$D$8:$H$27,4,FALSE))&lt;3,"",LEFT(RIGHT(VLOOKUP(AA60,suvaha!$D$8:$H$27,4,FALSE),3),1))</f>
        <v/>
      </c>
      <c r="BS62" s="434"/>
      <c r="BT62" s="432" t="str">
        <f>IF(LEN(VLOOKUP(AA60,suvaha!$D$8:$H$27,4,FALSE))&lt;2,"",LEFT(RIGHT(VLOOKUP(AA60,suvaha!$D$8:$H$27,4,FALSE),2),1))</f>
        <v/>
      </c>
      <c r="BU62" s="434"/>
      <c r="BV62" s="432" t="str">
        <f>IF(VLOOKUP(AA60,suvaha!$D$8:$H$27,4,FALSE)=0,"",IF(LEN(VLOOKUP(AA60,suvaha!$D$8:$H$27,4,FALSE))&lt;1,"",LEFT(RIGHT(VLOOKUP(AA60,suvaha!$D$8:$H$27,4,FALSE),1),1)))</f>
        <v/>
      </c>
      <c r="BW62" s="441"/>
      <c r="BX62" s="442"/>
      <c r="BY62" s="442"/>
      <c r="BZ62" s="442"/>
      <c r="CA62" s="442"/>
      <c r="CB62" s="442"/>
      <c r="CC62" s="442"/>
      <c r="CD62" s="442"/>
      <c r="CE62" s="442"/>
      <c r="CF62" s="442"/>
      <c r="CG62" s="254"/>
      <c r="CH62" s="878"/>
      <c r="CI62" s="878"/>
      <c r="CJ62" s="878"/>
    </row>
    <row r="63" spans="1:88" ht="3" customHeight="1">
      <c r="A63" s="220"/>
      <c r="B63" s="879"/>
      <c r="C63" s="879"/>
      <c r="D63" s="879"/>
      <c r="E63" s="876"/>
      <c r="F63" s="877"/>
      <c r="G63" s="862"/>
      <c r="H63" s="864"/>
      <c r="I63" s="864"/>
      <c r="J63" s="864"/>
      <c r="K63" s="864"/>
      <c r="L63" s="864"/>
      <c r="M63" s="864"/>
      <c r="N63" s="864"/>
      <c r="O63" s="864"/>
      <c r="P63" s="864"/>
      <c r="Q63" s="864"/>
      <c r="R63" s="864"/>
      <c r="S63" s="864"/>
      <c r="T63" s="864"/>
      <c r="U63" s="864"/>
      <c r="V63" s="864"/>
      <c r="W63" s="864"/>
      <c r="X63" s="864"/>
      <c r="Y63" s="864"/>
      <c r="Z63" s="864"/>
      <c r="AA63" s="866"/>
      <c r="AB63" s="866"/>
      <c r="AC63" s="866"/>
      <c r="AD63" s="845"/>
      <c r="AE63" s="845"/>
      <c r="AF63" s="845"/>
      <c r="AG63" s="845"/>
      <c r="AH63" s="845"/>
      <c r="AI63" s="845"/>
      <c r="AJ63" s="845"/>
      <c r="AK63" s="845"/>
      <c r="AL63" s="845"/>
      <c r="AM63" s="845"/>
      <c r="AN63" s="845"/>
      <c r="AO63" s="845"/>
      <c r="AP63" s="845"/>
      <c r="AQ63" s="845"/>
      <c r="AR63" s="845"/>
      <c r="AS63" s="845"/>
      <c r="AT63" s="845"/>
      <c r="AU63" s="845"/>
      <c r="AV63" s="845"/>
      <c r="AW63" s="845"/>
      <c r="AX63" s="845"/>
      <c r="AY63" s="845"/>
      <c r="AZ63" s="845"/>
      <c r="BA63" s="846"/>
      <c r="BB63" s="846"/>
      <c r="BC63" s="846"/>
      <c r="BD63" s="846"/>
      <c r="BE63" s="846"/>
      <c r="BF63" s="846"/>
      <c r="BG63" s="846"/>
      <c r="BH63" s="846"/>
      <c r="BI63" s="846"/>
      <c r="BJ63" s="846"/>
      <c r="BK63" s="846"/>
      <c r="BL63" s="846"/>
      <c r="BM63" s="846"/>
      <c r="BN63" s="846"/>
      <c r="BO63" s="846"/>
      <c r="BP63" s="846"/>
      <c r="BQ63" s="846"/>
      <c r="BR63" s="310"/>
      <c r="BS63" s="310"/>
      <c r="BT63" s="310"/>
      <c r="BU63" s="310"/>
      <c r="BV63" s="310"/>
      <c r="BW63" s="443"/>
      <c r="BX63" s="310"/>
      <c r="BY63" s="310"/>
      <c r="BZ63" s="310"/>
      <c r="CA63" s="310"/>
      <c r="CB63" s="310"/>
      <c r="CC63" s="310"/>
      <c r="CD63" s="310"/>
      <c r="CE63" s="310"/>
      <c r="CF63" s="310"/>
      <c r="CG63" s="258"/>
      <c r="CH63" s="878"/>
      <c r="CI63" s="878"/>
      <c r="CJ63" s="878"/>
    </row>
    <row r="64" spans="1:88" ht="3" customHeight="1">
      <c r="A64" s="220"/>
      <c r="B64" s="879"/>
      <c r="C64" s="879"/>
      <c r="D64" s="879"/>
      <c r="E64" s="876"/>
      <c r="F64" s="877"/>
      <c r="G64" s="862"/>
      <c r="H64" s="864"/>
      <c r="I64" s="864"/>
      <c r="J64" s="864"/>
      <c r="K64" s="864"/>
      <c r="L64" s="864"/>
      <c r="M64" s="864"/>
      <c r="N64" s="864"/>
      <c r="O64" s="864"/>
      <c r="P64" s="864"/>
      <c r="Q64" s="864"/>
      <c r="R64" s="864"/>
      <c r="S64" s="864"/>
      <c r="T64" s="864"/>
      <c r="U64" s="864"/>
      <c r="V64" s="864"/>
      <c r="W64" s="864"/>
      <c r="X64" s="864"/>
      <c r="Y64" s="864"/>
      <c r="Z64" s="864"/>
      <c r="AA64" s="866"/>
      <c r="AB64" s="866"/>
      <c r="AC64" s="866"/>
      <c r="AD64" s="825"/>
      <c r="AE64" s="825"/>
      <c r="AF64" s="825"/>
      <c r="AG64" s="825"/>
      <c r="AH64" s="825"/>
      <c r="AI64" s="825"/>
      <c r="AJ64" s="825"/>
      <c r="AK64" s="825"/>
      <c r="AL64" s="825"/>
      <c r="AM64" s="825"/>
      <c r="AN64" s="825"/>
      <c r="AO64" s="825"/>
      <c r="AP64" s="825"/>
      <c r="AQ64" s="825"/>
      <c r="AR64" s="825"/>
      <c r="AS64" s="825"/>
      <c r="AT64" s="825"/>
      <c r="AU64" s="825"/>
      <c r="AV64" s="825"/>
      <c r="AW64" s="825"/>
      <c r="AX64" s="825"/>
      <c r="AY64" s="825"/>
      <c r="AZ64" s="825"/>
      <c r="BA64" s="447"/>
      <c r="BB64" s="304"/>
      <c r="BC64" s="304"/>
      <c r="BD64" s="304"/>
      <c r="BE64" s="304"/>
      <c r="BF64" s="304"/>
      <c r="BG64" s="304"/>
      <c r="BH64" s="304"/>
      <c r="BI64" s="304"/>
      <c r="BJ64" s="446"/>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253"/>
      <c r="CH64" s="878"/>
      <c r="CI64" s="878"/>
      <c r="CJ64" s="878"/>
    </row>
    <row r="65" spans="1:88" ht="3" customHeight="1">
      <c r="A65" s="220"/>
      <c r="B65" s="879"/>
      <c r="C65" s="879"/>
      <c r="D65" s="879"/>
      <c r="E65" s="876"/>
      <c r="F65" s="877"/>
      <c r="G65" s="862"/>
      <c r="H65" s="864"/>
      <c r="I65" s="864"/>
      <c r="J65" s="864"/>
      <c r="K65" s="864"/>
      <c r="L65" s="864"/>
      <c r="M65" s="864"/>
      <c r="N65" s="864"/>
      <c r="O65" s="864"/>
      <c r="P65" s="864"/>
      <c r="Q65" s="864"/>
      <c r="R65" s="864"/>
      <c r="S65" s="864"/>
      <c r="T65" s="864"/>
      <c r="U65" s="864"/>
      <c r="V65" s="864"/>
      <c r="W65" s="864"/>
      <c r="X65" s="864"/>
      <c r="Y65" s="864"/>
      <c r="Z65" s="864"/>
      <c r="AA65" s="866"/>
      <c r="AB65" s="866"/>
      <c r="AC65" s="866"/>
      <c r="AD65" s="826"/>
      <c r="AE65" s="820"/>
      <c r="AF65" s="820"/>
      <c r="AG65" s="820"/>
      <c r="AH65" s="435"/>
      <c r="AI65" s="821"/>
      <c r="AJ65" s="821"/>
      <c r="AK65" s="821"/>
      <c r="AL65" s="821"/>
      <c r="AM65" s="821"/>
      <c r="AN65" s="818" t="s">
        <v>965</v>
      </c>
      <c r="AO65" s="822"/>
      <c r="AP65" s="822"/>
      <c r="AQ65" s="822"/>
      <c r="AR65" s="822"/>
      <c r="AS65" s="822"/>
      <c r="AT65" s="818" t="s">
        <v>965</v>
      </c>
      <c r="AU65" s="822"/>
      <c r="AV65" s="822"/>
      <c r="AW65" s="822"/>
      <c r="AX65" s="822"/>
      <c r="AY65" s="822"/>
      <c r="AZ65" s="827"/>
      <c r="BA65" s="448"/>
      <c r="BB65" s="442"/>
      <c r="BC65" s="442"/>
      <c r="BD65" s="442"/>
      <c r="BE65" s="442"/>
      <c r="BF65" s="442"/>
      <c r="BG65" s="442"/>
      <c r="BH65" s="442"/>
      <c r="BI65" s="442"/>
      <c r="BJ65" s="441"/>
      <c r="BK65" s="442"/>
      <c r="BL65" s="820"/>
      <c r="BM65" s="820"/>
      <c r="BN65" s="820"/>
      <c r="BO65" s="442"/>
      <c r="BP65" s="444"/>
      <c r="BQ65" s="444"/>
      <c r="BR65" s="444"/>
      <c r="BS65" s="444"/>
      <c r="BT65" s="444"/>
      <c r="BU65" s="442"/>
      <c r="BV65" s="444"/>
      <c r="BW65" s="444"/>
      <c r="BX65" s="444"/>
      <c r="BY65" s="444"/>
      <c r="BZ65" s="444"/>
      <c r="CA65" s="445"/>
      <c r="CB65" s="444"/>
      <c r="CC65" s="444"/>
      <c r="CD65" s="444"/>
      <c r="CE65" s="444"/>
      <c r="CF65" s="444"/>
      <c r="CG65" s="259"/>
      <c r="CH65" s="878"/>
      <c r="CI65" s="878"/>
      <c r="CJ65" s="878"/>
    </row>
    <row r="66" spans="1:88" ht="15" customHeight="1">
      <c r="A66" s="220"/>
      <c r="B66" s="879"/>
      <c r="C66" s="879"/>
      <c r="D66" s="879"/>
      <c r="E66" s="876"/>
      <c r="F66" s="877"/>
      <c r="G66" s="862"/>
      <c r="H66" s="864"/>
      <c r="I66" s="864"/>
      <c r="J66" s="864"/>
      <c r="K66" s="864"/>
      <c r="L66" s="864"/>
      <c r="M66" s="864"/>
      <c r="N66" s="864"/>
      <c r="O66" s="864"/>
      <c r="P66" s="864"/>
      <c r="Q66" s="864"/>
      <c r="R66" s="864"/>
      <c r="S66" s="864"/>
      <c r="T66" s="864"/>
      <c r="U66" s="864"/>
      <c r="V66" s="864"/>
      <c r="W66" s="864"/>
      <c r="X66" s="864"/>
      <c r="Y66" s="864"/>
      <c r="Z66" s="864"/>
      <c r="AA66" s="866"/>
      <c r="AB66" s="866"/>
      <c r="AC66" s="866"/>
      <c r="AD66" s="826"/>
      <c r="AE66" s="432" t="str">
        <f>IF(LEN(VLOOKUP(AA60,suvaha!$D$8:$H$27,3,FALSE))&lt;11,"",LEFT(RIGHT(VLOOKUP(AA60,suvaha!$D$8:$H$27,3,FALSE),11),1))</f>
        <v/>
      </c>
      <c r="AF66" s="255" t="s">
        <v>965</v>
      </c>
      <c r="AG66" s="432" t="str">
        <f>IF(LEN(VLOOKUP(AA60,suvaha!$D$8:$H$27,3,FALSE))&lt;10,"",LEFT(RIGHT(VLOOKUP(AA60,suvaha!$D$8:$H$27,3,FALSE),10),1))</f>
        <v/>
      </c>
      <c r="AH66" s="434" t="s">
        <v>965</v>
      </c>
      <c r="AI66" s="432" t="str">
        <f>IF(LEN(VLOOKUP(AA60,suvaha!$D$8:$H$27,3,FALSE))&lt;9,"",LEFT(RIGHT(VLOOKUP(AA60,suvaha!$D$8:$H$27,3,FALSE),9),1))</f>
        <v/>
      </c>
      <c r="AJ66" s="255" t="s">
        <v>965</v>
      </c>
      <c r="AK66" s="432" t="str">
        <f>IF(LEN(VLOOKUP(AA60,suvaha!$D$8:$F$27,3,FALSE))&lt;8,"",LEFT(RIGHT(VLOOKUP(AA60,suvaha!$D$8:$F$27,3,FALSE),8),1))</f>
        <v/>
      </c>
      <c r="AL66" s="434" t="s">
        <v>965</v>
      </c>
      <c r="AM66" s="432" t="str">
        <f>IF(LEN(VLOOKUP(AA60,suvaha!$D$8:$H$27,3,FALSE))&lt;7,"",LEFT(RIGHT(VLOOKUP(AA60,suvaha!$D$8:$H$27,3,FALSE),7),1))</f>
        <v/>
      </c>
      <c r="AN66" s="818"/>
      <c r="AO66" s="432" t="str">
        <f>IF(LEN(VLOOKUP(AA60,suvaha!$D$8:$H$27,3,FALSE))&lt;6,"",LEFT(RIGHT(VLOOKUP(AA60,suvaha!$D$8:$H$27,3,FALSE),6),1))</f>
        <v/>
      </c>
      <c r="AP66" s="434" t="s">
        <v>965</v>
      </c>
      <c r="AQ66" s="432" t="str">
        <f>IF(LEN(VLOOKUP(AA60,suvaha!$D$8:$H$27,3,FALSE))&lt;5,"",LEFT(RIGHT(VLOOKUP(AA60,suvaha!$D$8:$H$27,3,FALSE),5),1))</f>
        <v/>
      </c>
      <c r="AR66" s="434" t="s">
        <v>965</v>
      </c>
      <c r="AS66" s="432" t="str">
        <f>IF(LEN(VLOOKUP(AA60,suvaha!$D$8:$H$27,3,FALSE))&lt;4,"",LEFT(RIGHT(VLOOKUP(AA60,suvaha!$D$8:$H$27,3,FALSE),4),1))</f>
        <v/>
      </c>
      <c r="AT66" s="818"/>
      <c r="AU66" s="432" t="str">
        <f>IF(LEN(VLOOKUP(AA60,suvaha!$D$8:$H$27,3,FALSE))&lt;3,"",LEFT(RIGHT(VLOOKUP(AA60,suvaha!$D$8:$H$27,3,FALSE),3),1))</f>
        <v/>
      </c>
      <c r="AV66" s="434" t="s">
        <v>965</v>
      </c>
      <c r="AW66" s="432" t="str">
        <f>IF(LEN(VLOOKUP(AA60,suvaha!$D$8:$H$27,3,FALSE))&lt;2,"",LEFT(RIGHT(VLOOKUP(AA60,suvaha!$D$8:$H$27,3,FALSE),2),1))</f>
        <v/>
      </c>
      <c r="AX66" s="434" t="s">
        <v>965</v>
      </c>
      <c r="AY66" s="432" t="str">
        <f>IF(VLOOKUP(AA60,suvaha!$D$8:$H$27,3,FALSE)=0,"",IF(LEN(VLOOKUP(AA60,suvaha!$D$8:$H$27,3,FALSE))&lt;1,"",LEFT(RIGHT(VLOOKUP(AA60,suvaha!$D$8:$H$27,3,FALSE),1),1)))</f>
        <v/>
      </c>
      <c r="AZ66" s="827"/>
      <c r="BA66" s="448"/>
      <c r="BB66" s="442"/>
      <c r="BC66" s="442"/>
      <c r="BD66" s="442"/>
      <c r="BE66" s="442"/>
      <c r="BF66" s="442"/>
      <c r="BG66" s="442"/>
      <c r="BH66" s="442"/>
      <c r="BI66" s="442"/>
      <c r="BJ66" s="441"/>
      <c r="BK66" s="442"/>
      <c r="BL66" s="432" t="str">
        <f>IF(LEN(VLOOKUP(AA60,suvaha!$D$8:$H$27,5,FALSE))&lt;11,"",LEFT(RIGHT(VLOOKUP(AA60,suvaha!$D$8:$H$27,5,FALSE),11),1))</f>
        <v/>
      </c>
      <c r="BM66" s="255" t="s">
        <v>965</v>
      </c>
      <c r="BN66" s="432" t="str">
        <f>IF(LEN(VLOOKUP(AA60,suvaha!$D$8:$H$27,5,FALSE))&lt;10,"",LEFT(RIGHT(VLOOKUP(AA60,suvaha!$D$8:$H$27,5,FALSE),10),1))</f>
        <v/>
      </c>
      <c r="BO66" s="442" t="s">
        <v>965</v>
      </c>
      <c r="BP66" s="432" t="str">
        <f>IF(LEN(VLOOKUP(AA60,suvaha!$D$8:$H$27,5,FALSE))&lt;9,"",LEFT(RIGHT(VLOOKUP(AA60,suvaha!$D$8:$H$27,5,FALSE),9),1))</f>
        <v/>
      </c>
      <c r="BQ66" s="434" t="s">
        <v>965</v>
      </c>
      <c r="BR66" s="432" t="str">
        <f>IF(LEN(VLOOKUP(AA60,suvaha!$D$8:$H$27,5,FALSE))&lt;8,"",LEFT(RIGHT(VLOOKUP(AA60,suvaha!$D$8:$H$27,5,FALSE),8),1))</f>
        <v/>
      </c>
      <c r="BS66" s="434" t="s">
        <v>965</v>
      </c>
      <c r="BT66" s="432" t="str">
        <f>IF(LEN(VLOOKUP(AA60,suvaha!$D$8:$H$27,5,FALSE))&lt;7,"",LEFT(RIGHT(VLOOKUP(AA60,suvaha!$D$8:$H$27,5,FALSE),7),1))</f>
        <v/>
      </c>
      <c r="BU66" s="442" t="s">
        <v>965</v>
      </c>
      <c r="BV66" s="432" t="str">
        <f>IF(LEN(VLOOKUP(AA60,suvaha!$D$8:$H$27,5,FALSE))&lt;6,"",LEFT(RIGHT(VLOOKUP(AA60,suvaha!$D$8:$H$27,5,FALSE),6),1))</f>
        <v/>
      </c>
      <c r="BW66" s="434" t="s">
        <v>965</v>
      </c>
      <c r="BX66" s="432" t="str">
        <f>IF(LEN(VLOOKUP(AA60,suvaha!$D$8:$H$27,5,FALSE))&lt;5,"",LEFT(RIGHT(VLOOKUP(AA60,suvaha!$D$8:$H$27,5,FALSE),5),1))</f>
        <v/>
      </c>
      <c r="BY66" s="434" t="s">
        <v>965</v>
      </c>
      <c r="BZ66" s="432" t="str">
        <f>IF(LEN(VLOOKUP(AA60,suvaha!$D$8:$H$27,5,FALSE))&lt;4,"",LEFT(RIGHT(VLOOKUP(AA60,suvaha!$D$8:$H$27,5,FALSE),4),1))</f>
        <v/>
      </c>
      <c r="CA66" s="445" t="s">
        <v>965</v>
      </c>
      <c r="CB66" s="432" t="str">
        <f>IF(LEN(VLOOKUP(AA60,suvaha!$D$8:$H$27,5,FALSE))&lt;3,"",LEFT(RIGHT(VLOOKUP(AA60,suvaha!$D$8:$H$27,5,FALSE),3),1))</f>
        <v/>
      </c>
      <c r="CC66" s="434" t="s">
        <v>965</v>
      </c>
      <c r="CD66" s="432" t="str">
        <f>IF(LEN(VLOOKUP(AA60,suvaha!$D$8:$H$27,5,FALSE))&lt;2,"",LEFT(RIGHT(VLOOKUP(AA60,suvaha!$D$8:$H$27,5,FALSE),2),1))</f>
        <v/>
      </c>
      <c r="CE66" s="434" t="s">
        <v>1540</v>
      </c>
      <c r="CF66" s="432" t="str">
        <f>IF(VLOOKUP(AA60,suvaha!$D$8:$H$27,5,FALSE)=0,"",IF(LEN(VLOOKUP(AA60,suvaha!$D$8:$H$27,5,FALSE))&lt;1,"",LEFT(RIGHT(VLOOKUP(AA60,suvaha!$D$8:$H$27,5,FALSE),1),1)))</f>
        <v/>
      </c>
      <c r="CG66" s="259"/>
      <c r="CH66" s="878"/>
      <c r="CI66" s="878"/>
      <c r="CJ66" s="878"/>
    </row>
    <row r="67" spans="1:88" ht="3" customHeight="1">
      <c r="A67" s="220"/>
      <c r="B67" s="879"/>
      <c r="C67" s="879"/>
      <c r="D67" s="879"/>
      <c r="E67" s="876"/>
      <c r="F67" s="877"/>
      <c r="G67" s="862"/>
      <c r="H67" s="864"/>
      <c r="I67" s="864"/>
      <c r="J67" s="864"/>
      <c r="K67" s="864"/>
      <c r="L67" s="864"/>
      <c r="M67" s="864"/>
      <c r="N67" s="864"/>
      <c r="O67" s="864"/>
      <c r="P67" s="864"/>
      <c r="Q67" s="864"/>
      <c r="R67" s="864"/>
      <c r="S67" s="864"/>
      <c r="T67" s="864"/>
      <c r="U67" s="864"/>
      <c r="V67" s="864"/>
      <c r="W67" s="864"/>
      <c r="X67" s="864"/>
      <c r="Y67" s="864"/>
      <c r="Z67" s="864"/>
      <c r="AA67" s="866"/>
      <c r="AB67" s="866"/>
      <c r="AC67" s="866"/>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449"/>
      <c r="BB67" s="310"/>
      <c r="BC67" s="310"/>
      <c r="BD67" s="310"/>
      <c r="BE67" s="310"/>
      <c r="BF67" s="310"/>
      <c r="BG67" s="310"/>
      <c r="BH67" s="310"/>
      <c r="BI67" s="310"/>
      <c r="BJ67" s="443"/>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258"/>
      <c r="CH67" s="878"/>
      <c r="CI67" s="878"/>
      <c r="CJ67" s="878"/>
    </row>
    <row r="68" spans="1:88" s="250" customFormat="1" ht="3" customHeight="1">
      <c r="A68" s="220"/>
      <c r="B68" s="879"/>
      <c r="C68" s="879"/>
      <c r="D68" s="879"/>
      <c r="E68" s="876" t="s">
        <v>1545</v>
      </c>
      <c r="F68" s="877"/>
      <c r="G68" s="862"/>
      <c r="H68" s="864" t="str">
        <f>Index!C59</f>
        <v>Ostatný dlhodobý nehmotný majetok (019, 01X) - /079, 07X, 091A/</v>
      </c>
      <c r="I68" s="864"/>
      <c r="J68" s="864"/>
      <c r="K68" s="864"/>
      <c r="L68" s="864"/>
      <c r="M68" s="864"/>
      <c r="N68" s="864"/>
      <c r="O68" s="864"/>
      <c r="P68" s="864"/>
      <c r="Q68" s="864"/>
      <c r="R68" s="864"/>
      <c r="S68" s="864"/>
      <c r="T68" s="864"/>
      <c r="U68" s="864"/>
      <c r="V68" s="864"/>
      <c r="W68" s="864"/>
      <c r="X68" s="864"/>
      <c r="Y68" s="864"/>
      <c r="Z68" s="864"/>
      <c r="AA68" s="866" t="s">
        <v>661</v>
      </c>
      <c r="AB68" s="866"/>
      <c r="AC68" s="866"/>
      <c r="AD68" s="825"/>
      <c r="AE68" s="825"/>
      <c r="AF68" s="825"/>
      <c r="AG68" s="825"/>
      <c r="AH68" s="825"/>
      <c r="AI68" s="825"/>
      <c r="AJ68" s="825"/>
      <c r="AK68" s="825"/>
      <c r="AL68" s="825"/>
      <c r="AM68" s="825"/>
      <c r="AN68" s="825"/>
      <c r="AO68" s="825"/>
      <c r="AP68" s="825"/>
      <c r="AQ68" s="825"/>
      <c r="AR68" s="825"/>
      <c r="AS68" s="825"/>
      <c r="AT68" s="825"/>
      <c r="AU68" s="825"/>
      <c r="AV68" s="825"/>
      <c r="AW68" s="825"/>
      <c r="AX68" s="825"/>
      <c r="AY68" s="825"/>
      <c r="AZ68" s="825"/>
      <c r="BA68" s="867"/>
      <c r="BB68" s="867"/>
      <c r="BC68" s="867"/>
      <c r="BD68" s="867"/>
      <c r="BE68" s="867"/>
      <c r="BF68" s="867"/>
      <c r="BG68" s="867"/>
      <c r="BH68" s="867"/>
      <c r="BI68" s="867"/>
      <c r="BJ68" s="867"/>
      <c r="BK68" s="867"/>
      <c r="BL68" s="867"/>
      <c r="BM68" s="867"/>
      <c r="BN68" s="867"/>
      <c r="BO68" s="867"/>
      <c r="BP68" s="867"/>
      <c r="BQ68" s="867"/>
      <c r="BR68" s="304"/>
      <c r="BS68" s="304"/>
      <c r="BT68" s="304"/>
      <c r="BU68" s="304"/>
      <c r="BV68" s="304"/>
      <c r="BW68" s="446"/>
      <c r="BX68" s="304"/>
      <c r="BY68" s="304"/>
      <c r="BZ68" s="304"/>
      <c r="CA68" s="304"/>
      <c r="CB68" s="304"/>
      <c r="CC68" s="304"/>
      <c r="CD68" s="304"/>
      <c r="CE68" s="304"/>
      <c r="CF68" s="304"/>
      <c r="CG68" s="253"/>
      <c r="CH68" s="878"/>
      <c r="CI68" s="878"/>
      <c r="CJ68" s="878"/>
    </row>
    <row r="69" spans="1:88" s="250" customFormat="1" ht="3" customHeight="1">
      <c r="A69" s="220"/>
      <c r="B69" s="879"/>
      <c r="C69" s="879"/>
      <c r="D69" s="879"/>
      <c r="E69" s="876"/>
      <c r="F69" s="877"/>
      <c r="G69" s="862"/>
      <c r="H69" s="864"/>
      <c r="I69" s="864"/>
      <c r="J69" s="864"/>
      <c r="K69" s="864"/>
      <c r="L69" s="864"/>
      <c r="M69" s="864"/>
      <c r="N69" s="864"/>
      <c r="O69" s="864"/>
      <c r="P69" s="864"/>
      <c r="Q69" s="864"/>
      <c r="R69" s="864"/>
      <c r="S69" s="864"/>
      <c r="T69" s="864"/>
      <c r="U69" s="864"/>
      <c r="V69" s="864"/>
      <c r="W69" s="864"/>
      <c r="X69" s="864"/>
      <c r="Y69" s="864"/>
      <c r="Z69" s="864"/>
      <c r="AA69" s="866"/>
      <c r="AB69" s="866"/>
      <c r="AC69" s="866"/>
      <c r="AD69" s="826"/>
      <c r="AE69" s="820"/>
      <c r="AF69" s="820"/>
      <c r="AG69" s="820"/>
      <c r="AH69" s="435"/>
      <c r="AI69" s="821"/>
      <c r="AJ69" s="821"/>
      <c r="AK69" s="821"/>
      <c r="AL69" s="821"/>
      <c r="AM69" s="821"/>
      <c r="AN69" s="818"/>
      <c r="AO69" s="822"/>
      <c r="AP69" s="822"/>
      <c r="AQ69" s="822"/>
      <c r="AR69" s="822"/>
      <c r="AS69" s="822"/>
      <c r="AT69" s="818"/>
      <c r="AU69" s="822"/>
      <c r="AV69" s="822"/>
      <c r="AW69" s="822"/>
      <c r="AX69" s="822"/>
      <c r="AY69" s="822"/>
      <c r="AZ69" s="827"/>
      <c r="BA69" s="826"/>
      <c r="BB69" s="820"/>
      <c r="BC69" s="820"/>
      <c r="BD69" s="820"/>
      <c r="BE69" s="435"/>
      <c r="BF69" s="821"/>
      <c r="BG69" s="821"/>
      <c r="BH69" s="821"/>
      <c r="BI69" s="821"/>
      <c r="BJ69" s="821"/>
      <c r="BK69" s="818"/>
      <c r="BL69" s="822"/>
      <c r="BM69" s="822"/>
      <c r="BN69" s="822"/>
      <c r="BO69" s="822"/>
      <c r="BP69" s="822"/>
      <c r="BQ69" s="819"/>
      <c r="BR69" s="822"/>
      <c r="BS69" s="822"/>
      <c r="BT69" s="822"/>
      <c r="BU69" s="822"/>
      <c r="BV69" s="822"/>
      <c r="BW69" s="441"/>
      <c r="BX69" s="442"/>
      <c r="BY69" s="442"/>
      <c r="BZ69" s="442"/>
      <c r="CA69" s="442"/>
      <c r="CB69" s="442"/>
      <c r="CC69" s="442"/>
      <c r="CD69" s="442"/>
      <c r="CE69" s="442"/>
      <c r="CF69" s="442"/>
      <c r="CG69" s="254"/>
      <c r="CH69" s="878"/>
      <c r="CI69" s="878"/>
      <c r="CJ69" s="878"/>
    </row>
    <row r="70" spans="1:88" ht="15" customHeight="1">
      <c r="A70" s="220"/>
      <c r="B70" s="879"/>
      <c r="C70" s="879"/>
      <c r="D70" s="879"/>
      <c r="E70" s="876"/>
      <c r="F70" s="877"/>
      <c r="G70" s="862"/>
      <c r="H70" s="864"/>
      <c r="I70" s="864"/>
      <c r="J70" s="864"/>
      <c r="K70" s="864"/>
      <c r="L70" s="864"/>
      <c r="M70" s="864"/>
      <c r="N70" s="864"/>
      <c r="O70" s="864"/>
      <c r="P70" s="864"/>
      <c r="Q70" s="864"/>
      <c r="R70" s="864"/>
      <c r="S70" s="864"/>
      <c r="T70" s="864"/>
      <c r="U70" s="864"/>
      <c r="V70" s="864"/>
      <c r="W70" s="864"/>
      <c r="X70" s="864"/>
      <c r="Y70" s="864"/>
      <c r="Z70" s="864"/>
      <c r="AA70" s="866"/>
      <c r="AB70" s="866"/>
      <c r="AC70" s="866"/>
      <c r="AD70" s="826"/>
      <c r="AE70" s="432" t="str">
        <f>IF(LEN(VLOOKUP(AA68,suvaha!$D$8:$H$27,2,FALSE))&lt;11,"",LEFT(RIGHT(VLOOKUP(AA68,suvaha!$D$8:$H$27,2,FALSE),11),1))</f>
        <v/>
      </c>
      <c r="AF70" s="255"/>
      <c r="AG70" s="432" t="str">
        <f>IF(LEN(VLOOKUP(AA68,suvaha!$D$8:$H$27,2,FALSE))&lt;10,"",LEFT(RIGHT(VLOOKUP(AA68,suvaha!$D$8:$H$27,2,FALSE),10),1))</f>
        <v/>
      </c>
      <c r="AH70" s="434"/>
      <c r="AI70" s="432" t="str">
        <f>IF(LEN(VLOOKUP(AA68,suvaha!$D$8:$H$27,2,FALSE))&lt;9,"",LEFT(RIGHT(VLOOKUP(AA68,suvaha!$D$8:$H$27,2,FALSE),9),1))</f>
        <v/>
      </c>
      <c r="AJ70" s="255"/>
      <c r="AK70" s="432" t="str">
        <f>IF(LEN(VLOOKUP(AA68,suvaha!$D$8:$H$27,2,FALSE))&lt;8,"",LEFT(RIGHT(VLOOKUP(AA68,suvaha!$D$8:$H$27,2,FALSE),8),1))</f>
        <v/>
      </c>
      <c r="AL70" s="434"/>
      <c r="AM70" s="432" t="str">
        <f>IF(LEN(VLOOKUP(AA68,suvaha!$D$8:$H$27,2,FALSE))&lt;7,"",LEFT(RIGHT(VLOOKUP(AA68,suvaha!$D$8:$H$27,2,FALSE),7),1))</f>
        <v/>
      </c>
      <c r="AN70" s="818"/>
      <c r="AO70" s="432" t="str">
        <f>IF(LEN(VLOOKUP(AA68,suvaha!$D$8:$H$27,2,FALSE))&lt;6,"",LEFT(RIGHT(VLOOKUP(AA68,suvaha!$D$8:$H$27,2,FALSE),6),1))</f>
        <v/>
      </c>
      <c r="AP70" s="434"/>
      <c r="AQ70" s="432" t="str">
        <f>IF(LEN(VLOOKUP(AA68,suvaha!$D$8:$H$27,2,FALSE))&lt;5,"",LEFT(RIGHT(VLOOKUP(AA68,suvaha!$D$8:$H$27,2,FALSE),5),1))</f>
        <v/>
      </c>
      <c r="AR70" s="434"/>
      <c r="AS70" s="432" t="str">
        <f>IF(LEN(VLOOKUP(AA68,suvaha!$D$8:$H$27,2,FALSE))&lt;4,"",LEFT(RIGHT(VLOOKUP(AA68,suvaha!$D$8:$H$27,2,FALSE),4),1))</f>
        <v/>
      </c>
      <c r="AT70" s="818"/>
      <c r="AU70" s="432" t="str">
        <f>IF(LEN(VLOOKUP(AA68,suvaha!$D$8:$H$27,2,FALSE))&lt;3,"",LEFT(RIGHT(VLOOKUP(AA68,suvaha!$D$8:$H$27,2,FALSE),3),1))</f>
        <v/>
      </c>
      <c r="AV70" s="434"/>
      <c r="AW70" s="432" t="str">
        <f>IF(LEN(VLOOKUP(AA68,suvaha!$D$8:$H$27,2,FALSE))&lt;2,"",LEFT(RIGHT(VLOOKUP(AA68,suvaha!$D$8:$H$27,2,FALSE),2),1))</f>
        <v/>
      </c>
      <c r="AX70" s="434"/>
      <c r="AY70" s="432" t="str">
        <f>IF(VLOOKUP(AA68,suvaha!$D$8:$H$27,2,FALSE)=0,"",IF(LEN(VLOOKUP(AA68,suvaha!$D$8:$H$27,2,FALSE))&lt;1,"",LEFT(RIGHT(VLOOKUP(AA68,suvaha!$D$8:$H$27,2,FALSE),1),1)))</f>
        <v/>
      </c>
      <c r="AZ70" s="827"/>
      <c r="BA70" s="826"/>
      <c r="BB70" s="432" t="str">
        <f>IF(LEN(VLOOKUP(AA68,suvaha!$D$8:$H$27,4,FALSE))&lt;11,"",LEFT(RIGHT(VLOOKUP(AA68,suvaha!$D$8:$H$27,4,FALSE),11),1))</f>
        <v/>
      </c>
      <c r="BC70" s="255"/>
      <c r="BD70" s="432" t="str">
        <f>IF(LEN(VLOOKUP(AA68,suvaha!$D$8:$H$27,4,FALSE))&lt;10,"",LEFT(RIGHT(VLOOKUP(AA68,suvaha!$D$8:$H$27,4,FALSE),10),1))</f>
        <v/>
      </c>
      <c r="BE70" s="434"/>
      <c r="BF70" s="432" t="str">
        <f>IF(LEN(VLOOKUP(AA68,suvaha!$D$8:$H$27,4,FALSE))&lt;9,"",LEFT(RIGHT(VLOOKUP(AA68,suvaha!$D$8:$H$27,4,FALSE),9),1))</f>
        <v/>
      </c>
      <c r="BG70" s="255"/>
      <c r="BH70" s="432" t="str">
        <f>IF(LEN(VLOOKUP(AA68,suvaha!$D$8:$H$27,4,FALSE))&lt;8,"",LEFT(RIGHT(VLOOKUP(AA68,suvaha!$D$8:$H$27,4,FALSE),8),1))</f>
        <v/>
      </c>
      <c r="BI70" s="434"/>
      <c r="BJ70" s="432" t="str">
        <f>IF(LEN(VLOOKUP(AA68,suvaha!$D$8:$H$27,4,FALSE))&lt;7,"",LEFT(RIGHT(VLOOKUP(AA68,suvaha!$D$8:$H$27,4,FALSE),7),1))</f>
        <v/>
      </c>
      <c r="BK70" s="818"/>
      <c r="BL70" s="432" t="str">
        <f>IF(LEN(VLOOKUP(AA68,suvaha!$D$8:$H$27,4,FALSE))&lt;6,"",LEFT(RIGHT(VLOOKUP(AA68,suvaha!$D$8:$H$27,4,FALSE),6),1))</f>
        <v/>
      </c>
      <c r="BM70" s="434"/>
      <c r="BN70" s="432" t="str">
        <f>IF(LEN(VLOOKUP(AA68,suvaha!$D$8:$H$27,4,FALSE))&lt;5,"",LEFT(RIGHT(VLOOKUP(AA68,suvaha!$D$8:$H$27,4,FALSE),5),1))</f>
        <v/>
      </c>
      <c r="BO70" s="434"/>
      <c r="BP70" s="432" t="str">
        <f>IF(LEN(VLOOKUP(AA68,suvaha!$D$8:$H$27,4,FALSE))&lt;4,"",LEFT(RIGHT(VLOOKUP(AA68,suvaha!$D$8:$H$27,4,FALSE),4),1))</f>
        <v/>
      </c>
      <c r="BQ70" s="819"/>
      <c r="BR70" s="432" t="str">
        <f>IF(LEN(VLOOKUP(AA68,suvaha!$D$8:$H$27,4,FALSE))&lt;3,"",LEFT(RIGHT(VLOOKUP(AA68,suvaha!$D$8:$H$27,4,FALSE),3),1))</f>
        <v/>
      </c>
      <c r="BS70" s="434"/>
      <c r="BT70" s="432" t="str">
        <f>IF(LEN(VLOOKUP(AA68,suvaha!$D$8:$H$27,4,FALSE))&lt;2,"",LEFT(RIGHT(VLOOKUP(AA68,suvaha!$D$8:$H$27,4,FALSE),2),1))</f>
        <v/>
      </c>
      <c r="BU70" s="434"/>
      <c r="BV70" s="432" t="str">
        <f>IF(VLOOKUP(AA68,suvaha!$D$8:$H$27,4,FALSE)=0,"",IF(LEN(VLOOKUP(AA68,suvaha!$D$8:$H$27,4,FALSE))&lt;1,"",LEFT(RIGHT(VLOOKUP(AA68,suvaha!$D$8:$H$27,4,FALSE),1),1)))</f>
        <v/>
      </c>
      <c r="BW70" s="441"/>
      <c r="BX70" s="442"/>
      <c r="BY70" s="442"/>
      <c r="BZ70" s="442"/>
      <c r="CA70" s="442"/>
      <c r="CB70" s="442"/>
      <c r="CC70" s="442"/>
      <c r="CD70" s="442"/>
      <c r="CE70" s="442"/>
      <c r="CF70" s="442"/>
      <c r="CG70" s="254"/>
      <c r="CH70" s="878"/>
      <c r="CI70" s="878"/>
      <c r="CJ70" s="878"/>
    </row>
    <row r="71" spans="1:88" ht="3" customHeight="1">
      <c r="A71" s="220"/>
      <c r="B71" s="879"/>
      <c r="C71" s="879"/>
      <c r="D71" s="879"/>
      <c r="E71" s="876"/>
      <c r="F71" s="877"/>
      <c r="G71" s="862"/>
      <c r="H71" s="864"/>
      <c r="I71" s="864"/>
      <c r="J71" s="864"/>
      <c r="K71" s="864"/>
      <c r="L71" s="864"/>
      <c r="M71" s="864"/>
      <c r="N71" s="864"/>
      <c r="O71" s="864"/>
      <c r="P71" s="864"/>
      <c r="Q71" s="864"/>
      <c r="R71" s="864"/>
      <c r="S71" s="864"/>
      <c r="T71" s="864"/>
      <c r="U71" s="864"/>
      <c r="V71" s="864"/>
      <c r="W71" s="864"/>
      <c r="X71" s="864"/>
      <c r="Y71" s="864"/>
      <c r="Z71" s="864"/>
      <c r="AA71" s="866"/>
      <c r="AB71" s="866"/>
      <c r="AC71" s="866"/>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6"/>
      <c r="BB71" s="846"/>
      <c r="BC71" s="846"/>
      <c r="BD71" s="846"/>
      <c r="BE71" s="846"/>
      <c r="BF71" s="846"/>
      <c r="BG71" s="846"/>
      <c r="BH71" s="846"/>
      <c r="BI71" s="846"/>
      <c r="BJ71" s="846"/>
      <c r="BK71" s="846"/>
      <c r="BL71" s="846"/>
      <c r="BM71" s="846"/>
      <c r="BN71" s="846"/>
      <c r="BO71" s="846"/>
      <c r="BP71" s="846"/>
      <c r="BQ71" s="846"/>
      <c r="BR71" s="310"/>
      <c r="BS71" s="310"/>
      <c r="BT71" s="310"/>
      <c r="BU71" s="310"/>
      <c r="BV71" s="310"/>
      <c r="BW71" s="443"/>
      <c r="BX71" s="310"/>
      <c r="BY71" s="310"/>
      <c r="BZ71" s="310"/>
      <c r="CA71" s="310"/>
      <c r="CB71" s="310"/>
      <c r="CC71" s="310"/>
      <c r="CD71" s="310"/>
      <c r="CE71" s="310"/>
      <c r="CF71" s="310"/>
      <c r="CG71" s="258"/>
      <c r="CH71" s="878"/>
      <c r="CI71" s="878"/>
      <c r="CJ71" s="878"/>
    </row>
    <row r="72" spans="1:88" ht="3" customHeight="1">
      <c r="A72" s="220"/>
      <c r="B72" s="879"/>
      <c r="C72" s="879"/>
      <c r="D72" s="879"/>
      <c r="E72" s="876"/>
      <c r="F72" s="877"/>
      <c r="G72" s="862"/>
      <c r="H72" s="864"/>
      <c r="I72" s="864"/>
      <c r="J72" s="864"/>
      <c r="K72" s="864"/>
      <c r="L72" s="864"/>
      <c r="M72" s="864"/>
      <c r="N72" s="864"/>
      <c r="O72" s="864"/>
      <c r="P72" s="864"/>
      <c r="Q72" s="864"/>
      <c r="R72" s="864"/>
      <c r="S72" s="864"/>
      <c r="T72" s="864"/>
      <c r="U72" s="864"/>
      <c r="V72" s="864"/>
      <c r="W72" s="864"/>
      <c r="X72" s="864"/>
      <c r="Y72" s="864"/>
      <c r="Z72" s="864"/>
      <c r="AA72" s="866"/>
      <c r="AB72" s="866"/>
      <c r="AC72" s="866"/>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25"/>
      <c r="BA72" s="447"/>
      <c r="BB72" s="304"/>
      <c r="BC72" s="304"/>
      <c r="BD72" s="304"/>
      <c r="BE72" s="304"/>
      <c r="BF72" s="304"/>
      <c r="BG72" s="304"/>
      <c r="BH72" s="304"/>
      <c r="BI72" s="304"/>
      <c r="BJ72" s="446"/>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253"/>
      <c r="CH72" s="878"/>
      <c r="CI72" s="878"/>
      <c r="CJ72" s="878"/>
    </row>
    <row r="73" spans="1:88" ht="3" customHeight="1">
      <c r="A73" s="220"/>
      <c r="B73" s="879"/>
      <c r="C73" s="879"/>
      <c r="D73" s="879"/>
      <c r="E73" s="876"/>
      <c r="F73" s="877"/>
      <c r="G73" s="862"/>
      <c r="H73" s="864"/>
      <c r="I73" s="864"/>
      <c r="J73" s="864"/>
      <c r="K73" s="864"/>
      <c r="L73" s="864"/>
      <c r="M73" s="864"/>
      <c r="N73" s="864"/>
      <c r="O73" s="864"/>
      <c r="P73" s="864"/>
      <c r="Q73" s="864"/>
      <c r="R73" s="864"/>
      <c r="S73" s="864"/>
      <c r="T73" s="864"/>
      <c r="U73" s="864"/>
      <c r="V73" s="864"/>
      <c r="W73" s="864"/>
      <c r="X73" s="864"/>
      <c r="Y73" s="864"/>
      <c r="Z73" s="864"/>
      <c r="AA73" s="866"/>
      <c r="AB73" s="866"/>
      <c r="AC73" s="866"/>
      <c r="AD73" s="826"/>
      <c r="AE73" s="820"/>
      <c r="AF73" s="820"/>
      <c r="AG73" s="820"/>
      <c r="AH73" s="435"/>
      <c r="AI73" s="821"/>
      <c r="AJ73" s="821"/>
      <c r="AK73" s="821"/>
      <c r="AL73" s="821"/>
      <c r="AM73" s="821"/>
      <c r="AN73" s="818" t="s">
        <v>965</v>
      </c>
      <c r="AO73" s="822"/>
      <c r="AP73" s="822"/>
      <c r="AQ73" s="822"/>
      <c r="AR73" s="822"/>
      <c r="AS73" s="822"/>
      <c r="AT73" s="818" t="s">
        <v>965</v>
      </c>
      <c r="AU73" s="822"/>
      <c r="AV73" s="822"/>
      <c r="AW73" s="822"/>
      <c r="AX73" s="822"/>
      <c r="AY73" s="822"/>
      <c r="AZ73" s="827"/>
      <c r="BA73" s="448"/>
      <c r="BB73" s="442"/>
      <c r="BC73" s="442"/>
      <c r="BD73" s="442"/>
      <c r="BE73" s="442"/>
      <c r="BF73" s="442"/>
      <c r="BG73" s="442"/>
      <c r="BH73" s="442"/>
      <c r="BI73" s="442"/>
      <c r="BJ73" s="441"/>
      <c r="BK73" s="442"/>
      <c r="BL73" s="820"/>
      <c r="BM73" s="820"/>
      <c r="BN73" s="820"/>
      <c r="BO73" s="442"/>
      <c r="BP73" s="444"/>
      <c r="BQ73" s="444"/>
      <c r="BR73" s="444"/>
      <c r="BS73" s="444"/>
      <c r="BT73" s="444"/>
      <c r="BU73" s="442"/>
      <c r="BV73" s="444"/>
      <c r="BW73" s="444"/>
      <c r="BX73" s="444"/>
      <c r="BY73" s="444"/>
      <c r="BZ73" s="444"/>
      <c r="CA73" s="445"/>
      <c r="CB73" s="444"/>
      <c r="CC73" s="444"/>
      <c r="CD73" s="444"/>
      <c r="CE73" s="444"/>
      <c r="CF73" s="444"/>
      <c r="CG73" s="259"/>
      <c r="CH73" s="878"/>
      <c r="CI73" s="878"/>
      <c r="CJ73" s="878"/>
    </row>
    <row r="74" spans="1:88" ht="15" customHeight="1">
      <c r="A74" s="220"/>
      <c r="B74" s="879"/>
      <c r="C74" s="879"/>
      <c r="D74" s="879"/>
      <c r="E74" s="876"/>
      <c r="F74" s="877"/>
      <c r="G74" s="862"/>
      <c r="H74" s="864"/>
      <c r="I74" s="864"/>
      <c r="J74" s="864"/>
      <c r="K74" s="864"/>
      <c r="L74" s="864"/>
      <c r="M74" s="864"/>
      <c r="N74" s="864"/>
      <c r="O74" s="864"/>
      <c r="P74" s="864"/>
      <c r="Q74" s="864"/>
      <c r="R74" s="864"/>
      <c r="S74" s="864"/>
      <c r="T74" s="864"/>
      <c r="U74" s="864"/>
      <c r="V74" s="864"/>
      <c r="W74" s="864"/>
      <c r="X74" s="864"/>
      <c r="Y74" s="864"/>
      <c r="Z74" s="864"/>
      <c r="AA74" s="866"/>
      <c r="AB74" s="866"/>
      <c r="AC74" s="866"/>
      <c r="AD74" s="826"/>
      <c r="AE74" s="432" t="str">
        <f>IF(LEN(VLOOKUP(AA68,suvaha!$D$8:$H$27,3,FALSE))&lt;11,"",LEFT(RIGHT(VLOOKUP(AA68,suvaha!$D$8:$H$27,3,FALSE),11),1))</f>
        <v/>
      </c>
      <c r="AF74" s="255" t="s">
        <v>965</v>
      </c>
      <c r="AG74" s="432" t="str">
        <f>IF(LEN(VLOOKUP(AA68,suvaha!$D$8:$H$27,3,FALSE))&lt;10,"",LEFT(RIGHT(VLOOKUP(AA68,suvaha!$D$8:$H$27,3,FALSE),10),1))</f>
        <v/>
      </c>
      <c r="AH74" s="434" t="s">
        <v>965</v>
      </c>
      <c r="AI74" s="432" t="str">
        <f>IF(LEN(VLOOKUP(AA68,suvaha!$D$8:$H$27,3,FALSE))&lt;9,"",LEFT(RIGHT(VLOOKUP(AA68,suvaha!$D$8:$H$27,3,FALSE),9),1))</f>
        <v/>
      </c>
      <c r="AJ74" s="255" t="s">
        <v>965</v>
      </c>
      <c r="AK74" s="432" t="str">
        <f>IF(LEN(VLOOKUP(AA68,suvaha!$D$8:$F$27,3,FALSE))&lt;8,"",LEFT(RIGHT(VLOOKUP(AA68,suvaha!$D$8:$F$27,3,FALSE),8),1))</f>
        <v/>
      </c>
      <c r="AL74" s="434" t="s">
        <v>965</v>
      </c>
      <c r="AM74" s="432" t="str">
        <f>IF(LEN(VLOOKUP(AA68,suvaha!$D$8:$H$27,3,FALSE))&lt;7,"",LEFT(RIGHT(VLOOKUP(AA68,suvaha!$D$8:$H$27,3,FALSE),7),1))</f>
        <v/>
      </c>
      <c r="AN74" s="818"/>
      <c r="AO74" s="432" t="str">
        <f>IF(LEN(VLOOKUP(AA68,suvaha!$D$8:$H$27,3,FALSE))&lt;6,"",LEFT(RIGHT(VLOOKUP(AA68,suvaha!$D$8:$H$27,3,FALSE),6),1))</f>
        <v/>
      </c>
      <c r="AP74" s="434" t="s">
        <v>965</v>
      </c>
      <c r="AQ74" s="432" t="str">
        <f>IF(LEN(VLOOKUP(AA68,suvaha!$D$8:$H$27,3,FALSE))&lt;5,"",LEFT(RIGHT(VLOOKUP(AA68,suvaha!$D$8:$H$27,3,FALSE),5),1))</f>
        <v/>
      </c>
      <c r="AR74" s="434" t="s">
        <v>965</v>
      </c>
      <c r="AS74" s="432" t="str">
        <f>IF(LEN(VLOOKUP(AA68,suvaha!$D$8:$H$27,3,FALSE))&lt;4,"",LEFT(RIGHT(VLOOKUP(AA68,suvaha!$D$8:$H$27,3,FALSE),4),1))</f>
        <v/>
      </c>
      <c r="AT74" s="818"/>
      <c r="AU74" s="432" t="str">
        <f>IF(LEN(VLOOKUP(AA68,suvaha!$D$8:$H$27,3,FALSE))&lt;3,"",LEFT(RIGHT(VLOOKUP(AA68,suvaha!$D$8:$H$27,3,FALSE),3),1))</f>
        <v/>
      </c>
      <c r="AV74" s="434" t="s">
        <v>965</v>
      </c>
      <c r="AW74" s="432" t="str">
        <f>IF(LEN(VLOOKUP(AA68,suvaha!$D$8:$H$27,3,FALSE))&lt;2,"",LEFT(RIGHT(VLOOKUP(AA68,suvaha!$D$8:$H$27,3,FALSE),2),1))</f>
        <v/>
      </c>
      <c r="AX74" s="434" t="s">
        <v>965</v>
      </c>
      <c r="AY74" s="432" t="str">
        <f>IF(VLOOKUP(AA68,suvaha!$D$8:$H$27,3,FALSE)=0,"",IF(LEN(VLOOKUP(AA68,suvaha!$D$8:$H$27,3,FALSE))&lt;1,"",LEFT(RIGHT(VLOOKUP(AA68,suvaha!$D$8:$H$27,3,FALSE),1),1)))</f>
        <v/>
      </c>
      <c r="AZ74" s="827"/>
      <c r="BA74" s="448"/>
      <c r="BB74" s="442"/>
      <c r="BC74" s="442"/>
      <c r="BD74" s="442"/>
      <c r="BE74" s="442"/>
      <c r="BF74" s="442"/>
      <c r="BG74" s="442"/>
      <c r="BH74" s="442"/>
      <c r="BI74" s="442"/>
      <c r="BJ74" s="441"/>
      <c r="BK74" s="442"/>
      <c r="BL74" s="432" t="str">
        <f>IF(LEN(VLOOKUP(AA68,suvaha!$D$8:$H$27,5,FALSE))&lt;11,"",LEFT(RIGHT(VLOOKUP(AA68,suvaha!$D$8:$H$27,5,FALSE),11),1))</f>
        <v/>
      </c>
      <c r="BM74" s="255" t="s">
        <v>965</v>
      </c>
      <c r="BN74" s="432" t="str">
        <f>IF(LEN(VLOOKUP(AA68,suvaha!$D$8:$H$27,5,FALSE))&lt;10,"",LEFT(RIGHT(VLOOKUP(AA68,suvaha!$D$8:$H$27,5,FALSE),10),1))</f>
        <v/>
      </c>
      <c r="BO74" s="442" t="s">
        <v>965</v>
      </c>
      <c r="BP74" s="432" t="str">
        <f>IF(LEN(VLOOKUP(AA68,suvaha!$D$8:$H$27,5,FALSE))&lt;9,"",LEFT(RIGHT(VLOOKUP(AA68,suvaha!$D$8:$H$27,5,FALSE),9),1))</f>
        <v/>
      </c>
      <c r="BQ74" s="434" t="s">
        <v>965</v>
      </c>
      <c r="BR74" s="432" t="str">
        <f>IF(LEN(VLOOKUP(AA68,suvaha!$D$8:$H$27,5,FALSE))&lt;8,"",LEFT(RIGHT(VLOOKUP(AA68,suvaha!$D$8:$H$27,5,FALSE),8),1))</f>
        <v/>
      </c>
      <c r="BS74" s="434" t="s">
        <v>965</v>
      </c>
      <c r="BT74" s="432" t="str">
        <f>IF(LEN(VLOOKUP(AA68,suvaha!$D$8:$H$27,5,FALSE))&lt;7,"",LEFT(RIGHT(VLOOKUP(AA68,suvaha!$D$8:$H$27,5,FALSE),7),1))</f>
        <v/>
      </c>
      <c r="BU74" s="442" t="s">
        <v>965</v>
      </c>
      <c r="BV74" s="432" t="str">
        <f>IF(LEN(VLOOKUP(AA68,suvaha!$D$8:$H$27,5,FALSE))&lt;6,"",LEFT(RIGHT(VLOOKUP(AA68,suvaha!$D$8:$H$27,5,FALSE),6),1))</f>
        <v/>
      </c>
      <c r="BW74" s="434" t="s">
        <v>965</v>
      </c>
      <c r="BX74" s="432" t="str">
        <f>IF(LEN(VLOOKUP(AA68,suvaha!$D$8:$H$27,5,FALSE))&lt;5,"",LEFT(RIGHT(VLOOKUP(AA68,suvaha!$D$8:$H$27,5,FALSE),5),1))</f>
        <v/>
      </c>
      <c r="BY74" s="434" t="s">
        <v>965</v>
      </c>
      <c r="BZ74" s="432" t="str">
        <f>IF(LEN(VLOOKUP(AA68,suvaha!$D$8:$H$27,5,FALSE))&lt;4,"",LEFT(RIGHT(VLOOKUP(AA68,suvaha!$D$8:$H$27,5,FALSE),4),1))</f>
        <v/>
      </c>
      <c r="CA74" s="445" t="s">
        <v>965</v>
      </c>
      <c r="CB74" s="432" t="str">
        <f>IF(LEN(VLOOKUP(AA68,suvaha!$D$8:$H$27,5,FALSE))&lt;3,"",LEFT(RIGHT(VLOOKUP(AA68,suvaha!$D$8:$H$27,5,FALSE),3),1))</f>
        <v/>
      </c>
      <c r="CC74" s="434" t="s">
        <v>965</v>
      </c>
      <c r="CD74" s="432" t="str">
        <f>IF(LEN(VLOOKUP(AA68,suvaha!$D$8:$H$27,5,FALSE))&lt;2,"",LEFT(RIGHT(VLOOKUP(AA68,suvaha!$D$8:$H$27,5,FALSE),2),1))</f>
        <v/>
      </c>
      <c r="CE74" s="434" t="s">
        <v>1540</v>
      </c>
      <c r="CF74" s="432" t="str">
        <f>IF(VLOOKUP(AA68,suvaha!$D$8:$H$27,5,FALSE)=0,"",IF(LEN(VLOOKUP(AA68,suvaha!$D$8:$H$27,5,FALSE))&lt;1,"",LEFT(RIGHT(VLOOKUP(AA68,suvaha!$D$8:$H$27,5,FALSE),1),1)))</f>
        <v/>
      </c>
      <c r="CG74" s="259"/>
      <c r="CH74" s="878"/>
      <c r="CI74" s="878"/>
      <c r="CJ74" s="878"/>
    </row>
    <row r="75" spans="1:88" ht="3" customHeight="1">
      <c r="A75" s="220"/>
      <c r="B75" s="879"/>
      <c r="C75" s="879"/>
      <c r="D75" s="879"/>
      <c r="E75" s="876"/>
      <c r="F75" s="877"/>
      <c r="G75" s="862"/>
      <c r="H75" s="864"/>
      <c r="I75" s="864"/>
      <c r="J75" s="864"/>
      <c r="K75" s="864"/>
      <c r="L75" s="864"/>
      <c r="M75" s="864"/>
      <c r="N75" s="864"/>
      <c r="O75" s="864"/>
      <c r="P75" s="864"/>
      <c r="Q75" s="864"/>
      <c r="R75" s="864"/>
      <c r="S75" s="864"/>
      <c r="T75" s="864"/>
      <c r="U75" s="864"/>
      <c r="V75" s="864"/>
      <c r="W75" s="864"/>
      <c r="X75" s="864"/>
      <c r="Y75" s="864"/>
      <c r="Z75" s="864"/>
      <c r="AA75" s="866"/>
      <c r="AB75" s="866"/>
      <c r="AC75" s="866"/>
      <c r="AD75" s="845"/>
      <c r="AE75" s="845"/>
      <c r="AF75" s="845"/>
      <c r="AG75" s="845"/>
      <c r="AH75" s="845"/>
      <c r="AI75" s="845"/>
      <c r="AJ75" s="845"/>
      <c r="AK75" s="845"/>
      <c r="AL75" s="845"/>
      <c r="AM75" s="845"/>
      <c r="AN75" s="845"/>
      <c r="AO75" s="845"/>
      <c r="AP75" s="845"/>
      <c r="AQ75" s="845"/>
      <c r="AR75" s="845"/>
      <c r="AS75" s="845"/>
      <c r="AT75" s="845"/>
      <c r="AU75" s="845"/>
      <c r="AV75" s="845"/>
      <c r="AW75" s="845"/>
      <c r="AX75" s="845"/>
      <c r="AY75" s="845"/>
      <c r="AZ75" s="845"/>
      <c r="BA75" s="449"/>
      <c r="BB75" s="310"/>
      <c r="BC75" s="310"/>
      <c r="BD75" s="310"/>
      <c r="BE75" s="310"/>
      <c r="BF75" s="310"/>
      <c r="BG75" s="310"/>
      <c r="BH75" s="310"/>
      <c r="BI75" s="310"/>
      <c r="BJ75" s="443"/>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258"/>
      <c r="CH75" s="878"/>
      <c r="CI75" s="878"/>
      <c r="CJ75" s="878"/>
    </row>
    <row r="76" spans="1:88" s="250" customFormat="1" ht="3" customHeight="1">
      <c r="A76" s="220"/>
      <c r="B76" s="879"/>
      <c r="C76" s="879"/>
      <c r="D76" s="879"/>
      <c r="E76" s="876" t="s">
        <v>1546</v>
      </c>
      <c r="F76" s="877"/>
      <c r="G76" s="862"/>
      <c r="H76" s="864" t="str">
        <f>Index!C60</f>
        <v>Obstarávaný dlhodobý nehmotný majetok (041) - 093</v>
      </c>
      <c r="I76" s="864"/>
      <c r="J76" s="864"/>
      <c r="K76" s="864"/>
      <c r="L76" s="864"/>
      <c r="M76" s="864"/>
      <c r="N76" s="864"/>
      <c r="O76" s="864"/>
      <c r="P76" s="864"/>
      <c r="Q76" s="864"/>
      <c r="R76" s="864"/>
      <c r="S76" s="864"/>
      <c r="T76" s="864"/>
      <c r="U76" s="864"/>
      <c r="V76" s="864"/>
      <c r="W76" s="864"/>
      <c r="X76" s="864"/>
      <c r="Y76" s="864"/>
      <c r="Z76" s="864"/>
      <c r="AA76" s="866" t="s">
        <v>662</v>
      </c>
      <c r="AB76" s="866"/>
      <c r="AC76" s="866"/>
      <c r="AD76" s="825"/>
      <c r="AE76" s="825"/>
      <c r="AF76" s="825"/>
      <c r="AG76" s="825"/>
      <c r="AH76" s="825"/>
      <c r="AI76" s="825"/>
      <c r="AJ76" s="825"/>
      <c r="AK76" s="825"/>
      <c r="AL76" s="825"/>
      <c r="AM76" s="825"/>
      <c r="AN76" s="825"/>
      <c r="AO76" s="825"/>
      <c r="AP76" s="825"/>
      <c r="AQ76" s="825"/>
      <c r="AR76" s="825"/>
      <c r="AS76" s="825"/>
      <c r="AT76" s="825"/>
      <c r="AU76" s="825"/>
      <c r="AV76" s="825"/>
      <c r="AW76" s="825"/>
      <c r="AX76" s="825"/>
      <c r="AY76" s="825"/>
      <c r="AZ76" s="825"/>
      <c r="BA76" s="867"/>
      <c r="BB76" s="867"/>
      <c r="BC76" s="867"/>
      <c r="BD76" s="867"/>
      <c r="BE76" s="867"/>
      <c r="BF76" s="867"/>
      <c r="BG76" s="867"/>
      <c r="BH76" s="867"/>
      <c r="BI76" s="867"/>
      <c r="BJ76" s="867"/>
      <c r="BK76" s="867"/>
      <c r="BL76" s="867"/>
      <c r="BM76" s="867"/>
      <c r="BN76" s="867"/>
      <c r="BO76" s="867"/>
      <c r="BP76" s="867"/>
      <c r="BQ76" s="867"/>
      <c r="BR76" s="304"/>
      <c r="BS76" s="304"/>
      <c r="BT76" s="304"/>
      <c r="BU76" s="304"/>
      <c r="BV76" s="304"/>
      <c r="BW76" s="446"/>
      <c r="BX76" s="304"/>
      <c r="BY76" s="304"/>
      <c r="BZ76" s="304"/>
      <c r="CA76" s="304"/>
      <c r="CB76" s="304"/>
      <c r="CC76" s="304"/>
      <c r="CD76" s="304"/>
      <c r="CE76" s="304"/>
      <c r="CF76" s="304"/>
      <c r="CG76" s="253"/>
      <c r="CH76" s="878"/>
      <c r="CI76" s="878"/>
      <c r="CJ76" s="878"/>
    </row>
    <row r="77" spans="1:88" s="250" customFormat="1" ht="3" customHeight="1">
      <c r="A77" s="220"/>
      <c r="B77" s="879"/>
      <c r="C77" s="879"/>
      <c r="D77" s="879"/>
      <c r="E77" s="876"/>
      <c r="F77" s="877"/>
      <c r="G77" s="862"/>
      <c r="H77" s="864"/>
      <c r="I77" s="864"/>
      <c r="J77" s="864"/>
      <c r="K77" s="864"/>
      <c r="L77" s="864"/>
      <c r="M77" s="864"/>
      <c r="N77" s="864"/>
      <c r="O77" s="864"/>
      <c r="P77" s="864"/>
      <c r="Q77" s="864"/>
      <c r="R77" s="864"/>
      <c r="S77" s="864"/>
      <c r="T77" s="864"/>
      <c r="U77" s="864"/>
      <c r="V77" s="864"/>
      <c r="W77" s="864"/>
      <c r="X77" s="864"/>
      <c r="Y77" s="864"/>
      <c r="Z77" s="864"/>
      <c r="AA77" s="866"/>
      <c r="AB77" s="866"/>
      <c r="AC77" s="866"/>
      <c r="AD77" s="826"/>
      <c r="AE77" s="820"/>
      <c r="AF77" s="820"/>
      <c r="AG77" s="820"/>
      <c r="AH77" s="435"/>
      <c r="AI77" s="821"/>
      <c r="AJ77" s="821"/>
      <c r="AK77" s="821"/>
      <c r="AL77" s="821"/>
      <c r="AM77" s="821"/>
      <c r="AN77" s="818"/>
      <c r="AO77" s="822"/>
      <c r="AP77" s="822"/>
      <c r="AQ77" s="822"/>
      <c r="AR77" s="822"/>
      <c r="AS77" s="822"/>
      <c r="AT77" s="818"/>
      <c r="AU77" s="822"/>
      <c r="AV77" s="822"/>
      <c r="AW77" s="822"/>
      <c r="AX77" s="822"/>
      <c r="AY77" s="822"/>
      <c r="AZ77" s="827"/>
      <c r="BA77" s="826"/>
      <c r="BB77" s="820"/>
      <c r="BC77" s="820"/>
      <c r="BD77" s="820"/>
      <c r="BE77" s="435"/>
      <c r="BF77" s="821"/>
      <c r="BG77" s="821"/>
      <c r="BH77" s="821"/>
      <c r="BI77" s="821"/>
      <c r="BJ77" s="821"/>
      <c r="BK77" s="818"/>
      <c r="BL77" s="822"/>
      <c r="BM77" s="822"/>
      <c r="BN77" s="822"/>
      <c r="BO77" s="822"/>
      <c r="BP77" s="822"/>
      <c r="BQ77" s="819"/>
      <c r="BR77" s="822"/>
      <c r="BS77" s="822"/>
      <c r="BT77" s="822"/>
      <c r="BU77" s="822"/>
      <c r="BV77" s="822"/>
      <c r="BW77" s="441"/>
      <c r="BX77" s="442"/>
      <c r="BY77" s="442"/>
      <c r="BZ77" s="442"/>
      <c r="CA77" s="442"/>
      <c r="CB77" s="442"/>
      <c r="CC77" s="442"/>
      <c r="CD77" s="442"/>
      <c r="CE77" s="442"/>
      <c r="CF77" s="442"/>
      <c r="CG77" s="254"/>
      <c r="CH77" s="878"/>
      <c r="CI77" s="878"/>
      <c r="CJ77" s="878"/>
    </row>
    <row r="78" spans="1:88" ht="15" customHeight="1">
      <c r="A78" s="220"/>
      <c r="B78" s="879"/>
      <c r="C78" s="879"/>
      <c r="D78" s="879"/>
      <c r="E78" s="876"/>
      <c r="F78" s="877"/>
      <c r="G78" s="862"/>
      <c r="H78" s="864"/>
      <c r="I78" s="864"/>
      <c r="J78" s="864"/>
      <c r="K78" s="864"/>
      <c r="L78" s="864"/>
      <c r="M78" s="864"/>
      <c r="N78" s="864"/>
      <c r="O78" s="864"/>
      <c r="P78" s="864"/>
      <c r="Q78" s="864"/>
      <c r="R78" s="864"/>
      <c r="S78" s="864"/>
      <c r="T78" s="864"/>
      <c r="U78" s="864"/>
      <c r="V78" s="864"/>
      <c r="W78" s="864"/>
      <c r="X78" s="864"/>
      <c r="Y78" s="864"/>
      <c r="Z78" s="864"/>
      <c r="AA78" s="866"/>
      <c r="AB78" s="866"/>
      <c r="AC78" s="866"/>
      <c r="AD78" s="826"/>
      <c r="AE78" s="432" t="str">
        <f>IF(LEN(VLOOKUP(AA76,suvaha!$D$8:$H$27,2,FALSE))&lt;11,"",LEFT(RIGHT(VLOOKUP(AA76,suvaha!$D$8:$H$27,2,FALSE),11),1))</f>
        <v/>
      </c>
      <c r="AF78" s="255"/>
      <c r="AG78" s="432" t="str">
        <f>IF(LEN(VLOOKUP(AA76,suvaha!$D$8:$H$27,2,FALSE))&lt;10,"",LEFT(RIGHT(VLOOKUP(AA76,suvaha!$D$8:$H$27,2,FALSE),10),1))</f>
        <v/>
      </c>
      <c r="AH78" s="434"/>
      <c r="AI78" s="432" t="str">
        <f>IF(LEN(VLOOKUP(AA76,suvaha!$D$8:$H$27,2,FALSE))&lt;9,"",LEFT(RIGHT(VLOOKUP(AA76,suvaha!$D$8:$H$27,2,FALSE),9),1))</f>
        <v/>
      </c>
      <c r="AJ78" s="255"/>
      <c r="AK78" s="432" t="str">
        <f>IF(LEN(VLOOKUP(AA76,suvaha!$D$8:$H$27,2,FALSE))&lt;8,"",LEFT(RIGHT(VLOOKUP(AA76,suvaha!$D$8:$H$27,2,FALSE),8),1))</f>
        <v/>
      </c>
      <c r="AL78" s="434"/>
      <c r="AM78" s="432" t="str">
        <f>IF(LEN(VLOOKUP(AA76,suvaha!$D$8:$H$27,2,FALSE))&lt;7,"",LEFT(RIGHT(VLOOKUP(AA76,suvaha!$D$8:$H$27,2,FALSE),7),1))</f>
        <v/>
      </c>
      <c r="AN78" s="818"/>
      <c r="AO78" s="432" t="str">
        <f>IF(LEN(VLOOKUP(AA76,suvaha!$D$8:$H$27,2,FALSE))&lt;6,"",LEFT(RIGHT(VLOOKUP(AA76,suvaha!$D$8:$H$27,2,FALSE),6),1))</f>
        <v>9</v>
      </c>
      <c r="AP78" s="434"/>
      <c r="AQ78" s="432" t="str">
        <f>IF(LEN(VLOOKUP(AA76,suvaha!$D$8:$H$27,2,FALSE))&lt;5,"",LEFT(RIGHT(VLOOKUP(AA76,suvaha!$D$8:$H$27,2,FALSE),5),1))</f>
        <v>3</v>
      </c>
      <c r="AR78" s="434"/>
      <c r="AS78" s="432" t="str">
        <f>IF(LEN(VLOOKUP(AA76,suvaha!$D$8:$H$27,2,FALSE))&lt;4,"",LEFT(RIGHT(VLOOKUP(AA76,suvaha!$D$8:$H$27,2,FALSE),4),1))</f>
        <v>7</v>
      </c>
      <c r="AT78" s="818"/>
      <c r="AU78" s="432" t="str">
        <f>IF(LEN(VLOOKUP(AA76,suvaha!$D$8:$H$27,2,FALSE))&lt;3,"",LEFT(RIGHT(VLOOKUP(AA76,suvaha!$D$8:$H$27,2,FALSE),3),1))</f>
        <v>7</v>
      </c>
      <c r="AV78" s="434"/>
      <c r="AW78" s="432" t="str">
        <f>IF(LEN(VLOOKUP(AA76,suvaha!$D$8:$H$27,2,FALSE))&lt;2,"",LEFT(RIGHT(VLOOKUP(AA76,suvaha!$D$8:$H$27,2,FALSE),2),1))</f>
        <v>9</v>
      </c>
      <c r="AX78" s="434"/>
      <c r="AY78" s="432" t="str">
        <f>IF(VLOOKUP(AA76,suvaha!$D$8:$H$27,2,FALSE)=0,"",IF(LEN(VLOOKUP(AA76,suvaha!$D$8:$H$27,2,FALSE))&lt;1,"",LEFT(RIGHT(VLOOKUP(AA76,suvaha!$D$8:$H$27,2,FALSE),1),1)))</f>
        <v>2</v>
      </c>
      <c r="AZ78" s="827"/>
      <c r="BA78" s="826"/>
      <c r="BB78" s="432" t="str">
        <f>IF(LEN(VLOOKUP(AA76,suvaha!$D$8:$H$27,4,FALSE))&lt;11,"",LEFT(RIGHT(VLOOKUP(AA76,suvaha!$D$8:$H$27,4,FALSE),11),1))</f>
        <v/>
      </c>
      <c r="BC78" s="255"/>
      <c r="BD78" s="432" t="str">
        <f>IF(LEN(VLOOKUP(AA76,suvaha!$D$8:$H$27,4,FALSE))&lt;10,"",LEFT(RIGHT(VLOOKUP(AA76,suvaha!$D$8:$H$27,4,FALSE),10),1))</f>
        <v/>
      </c>
      <c r="BE78" s="434"/>
      <c r="BF78" s="432" t="str">
        <f>IF(LEN(VLOOKUP(AA76,suvaha!$D$8:$H$27,4,FALSE))&lt;9,"",LEFT(RIGHT(VLOOKUP(AA76,suvaha!$D$8:$H$27,4,FALSE),9),1))</f>
        <v/>
      </c>
      <c r="BG78" s="255"/>
      <c r="BH78" s="432" t="str">
        <f>IF(LEN(VLOOKUP(AA76,suvaha!$D$8:$H$27,4,FALSE))&lt;8,"",LEFT(RIGHT(VLOOKUP(AA76,suvaha!$D$8:$H$27,4,FALSE),8),1))</f>
        <v/>
      </c>
      <c r="BI78" s="434"/>
      <c r="BJ78" s="432" t="str">
        <f>IF(LEN(VLOOKUP(AA76,suvaha!$D$8:$H$27,4,FALSE))&lt;7,"",LEFT(RIGHT(VLOOKUP(AA76,suvaha!$D$8:$H$27,4,FALSE),7),1))</f>
        <v/>
      </c>
      <c r="BK78" s="818"/>
      <c r="BL78" s="432" t="str">
        <f>IF(LEN(VLOOKUP(AA76,suvaha!$D$8:$H$27,4,FALSE))&lt;6,"",LEFT(RIGHT(VLOOKUP(AA76,suvaha!$D$8:$H$27,4,FALSE),6),1))</f>
        <v>9</v>
      </c>
      <c r="BM78" s="434"/>
      <c r="BN78" s="432" t="str">
        <f>IF(LEN(VLOOKUP(AA76,suvaha!$D$8:$H$27,4,FALSE))&lt;5,"",LEFT(RIGHT(VLOOKUP(AA76,suvaha!$D$8:$H$27,4,FALSE),5),1))</f>
        <v>3</v>
      </c>
      <c r="BO78" s="434"/>
      <c r="BP78" s="432" t="str">
        <f>IF(LEN(VLOOKUP(AA76,suvaha!$D$8:$H$27,4,FALSE))&lt;4,"",LEFT(RIGHT(VLOOKUP(AA76,suvaha!$D$8:$H$27,4,FALSE),4),1))</f>
        <v>7</v>
      </c>
      <c r="BQ78" s="819"/>
      <c r="BR78" s="432" t="str">
        <f>IF(LEN(VLOOKUP(AA76,suvaha!$D$8:$H$27,4,FALSE))&lt;3,"",LEFT(RIGHT(VLOOKUP(AA76,suvaha!$D$8:$H$27,4,FALSE),3),1))</f>
        <v>7</v>
      </c>
      <c r="BS78" s="434"/>
      <c r="BT78" s="432" t="str">
        <f>IF(LEN(VLOOKUP(AA76,suvaha!$D$8:$H$27,4,FALSE))&lt;2,"",LEFT(RIGHT(VLOOKUP(AA76,suvaha!$D$8:$H$27,4,FALSE),2),1))</f>
        <v>9</v>
      </c>
      <c r="BU78" s="434"/>
      <c r="BV78" s="432" t="str">
        <f>IF(VLOOKUP(AA76,suvaha!$D$8:$H$27,4,FALSE)=0,"",IF(LEN(VLOOKUP(AA76,suvaha!$D$8:$H$27,4,FALSE))&lt;1,"",LEFT(RIGHT(VLOOKUP(AA76,suvaha!$D$8:$H$27,4,FALSE),1),1)))</f>
        <v>2</v>
      </c>
      <c r="BW78" s="441"/>
      <c r="BX78" s="442"/>
      <c r="BY78" s="442"/>
      <c r="BZ78" s="442"/>
      <c r="CA78" s="442"/>
      <c r="CB78" s="442"/>
      <c r="CC78" s="442"/>
      <c r="CD78" s="442"/>
      <c r="CE78" s="442"/>
      <c r="CF78" s="442"/>
      <c r="CG78" s="254"/>
      <c r="CH78" s="878"/>
      <c r="CI78" s="878"/>
      <c r="CJ78" s="878"/>
    </row>
    <row r="79" spans="1:88" ht="3" customHeight="1">
      <c r="A79" s="220"/>
      <c r="B79" s="879"/>
      <c r="C79" s="879"/>
      <c r="D79" s="879"/>
      <c r="E79" s="876"/>
      <c r="F79" s="877"/>
      <c r="G79" s="862"/>
      <c r="H79" s="864"/>
      <c r="I79" s="864"/>
      <c r="J79" s="864"/>
      <c r="K79" s="864"/>
      <c r="L79" s="864"/>
      <c r="M79" s="864"/>
      <c r="N79" s="864"/>
      <c r="O79" s="864"/>
      <c r="P79" s="864"/>
      <c r="Q79" s="864"/>
      <c r="R79" s="864"/>
      <c r="S79" s="864"/>
      <c r="T79" s="864"/>
      <c r="U79" s="864"/>
      <c r="V79" s="864"/>
      <c r="W79" s="864"/>
      <c r="X79" s="864"/>
      <c r="Y79" s="864"/>
      <c r="Z79" s="864"/>
      <c r="AA79" s="866"/>
      <c r="AB79" s="866"/>
      <c r="AC79" s="866"/>
      <c r="AD79" s="845"/>
      <c r="AE79" s="845"/>
      <c r="AF79" s="845"/>
      <c r="AG79" s="845"/>
      <c r="AH79" s="845"/>
      <c r="AI79" s="845"/>
      <c r="AJ79" s="845"/>
      <c r="AK79" s="845"/>
      <c r="AL79" s="845"/>
      <c r="AM79" s="845"/>
      <c r="AN79" s="845"/>
      <c r="AO79" s="845"/>
      <c r="AP79" s="845"/>
      <c r="AQ79" s="845"/>
      <c r="AR79" s="845"/>
      <c r="AS79" s="845"/>
      <c r="AT79" s="845"/>
      <c r="AU79" s="845"/>
      <c r="AV79" s="845"/>
      <c r="AW79" s="845"/>
      <c r="AX79" s="845"/>
      <c r="AY79" s="845"/>
      <c r="AZ79" s="845"/>
      <c r="BA79" s="846"/>
      <c r="BB79" s="846"/>
      <c r="BC79" s="846"/>
      <c r="BD79" s="846"/>
      <c r="BE79" s="846"/>
      <c r="BF79" s="846"/>
      <c r="BG79" s="846"/>
      <c r="BH79" s="846"/>
      <c r="BI79" s="846"/>
      <c r="BJ79" s="846"/>
      <c r="BK79" s="846"/>
      <c r="BL79" s="846"/>
      <c r="BM79" s="846"/>
      <c r="BN79" s="846"/>
      <c r="BO79" s="846"/>
      <c r="BP79" s="846"/>
      <c r="BQ79" s="846"/>
      <c r="BR79" s="310"/>
      <c r="BS79" s="310"/>
      <c r="BT79" s="310"/>
      <c r="BU79" s="310"/>
      <c r="BV79" s="310"/>
      <c r="BW79" s="443"/>
      <c r="BX79" s="310"/>
      <c r="BY79" s="310"/>
      <c r="BZ79" s="310"/>
      <c r="CA79" s="310"/>
      <c r="CB79" s="310"/>
      <c r="CC79" s="310"/>
      <c r="CD79" s="310"/>
      <c r="CE79" s="310"/>
      <c r="CF79" s="310"/>
      <c r="CG79" s="258"/>
      <c r="CH79" s="878"/>
      <c r="CI79" s="878"/>
      <c r="CJ79" s="878"/>
    </row>
    <row r="80" spans="1:88" ht="3" customHeight="1">
      <c r="A80" s="220"/>
      <c r="B80" s="879"/>
      <c r="C80" s="879"/>
      <c r="D80" s="879"/>
      <c r="E80" s="876"/>
      <c r="F80" s="877"/>
      <c r="G80" s="862"/>
      <c r="H80" s="864"/>
      <c r="I80" s="864"/>
      <c r="J80" s="864"/>
      <c r="K80" s="864"/>
      <c r="L80" s="864"/>
      <c r="M80" s="864"/>
      <c r="N80" s="864"/>
      <c r="O80" s="864"/>
      <c r="P80" s="864"/>
      <c r="Q80" s="864"/>
      <c r="R80" s="864"/>
      <c r="S80" s="864"/>
      <c r="T80" s="864"/>
      <c r="U80" s="864"/>
      <c r="V80" s="864"/>
      <c r="W80" s="864"/>
      <c r="X80" s="864"/>
      <c r="Y80" s="864"/>
      <c r="Z80" s="864"/>
      <c r="AA80" s="866"/>
      <c r="AB80" s="866"/>
      <c r="AC80" s="866"/>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25"/>
      <c r="BA80" s="447"/>
      <c r="BB80" s="304"/>
      <c r="BC80" s="304"/>
      <c r="BD80" s="304"/>
      <c r="BE80" s="304"/>
      <c r="BF80" s="304"/>
      <c r="BG80" s="304"/>
      <c r="BH80" s="304"/>
      <c r="BI80" s="304"/>
      <c r="BJ80" s="446"/>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253"/>
      <c r="CH80" s="878"/>
      <c r="CI80" s="878"/>
      <c r="CJ80" s="878"/>
    </row>
    <row r="81" spans="1:88" ht="3" customHeight="1">
      <c r="A81" s="220"/>
      <c r="B81" s="879"/>
      <c r="C81" s="879"/>
      <c r="D81" s="879"/>
      <c r="E81" s="876"/>
      <c r="F81" s="877"/>
      <c r="G81" s="862"/>
      <c r="H81" s="864"/>
      <c r="I81" s="864"/>
      <c r="J81" s="864"/>
      <c r="K81" s="864"/>
      <c r="L81" s="864"/>
      <c r="M81" s="864"/>
      <c r="N81" s="864"/>
      <c r="O81" s="864"/>
      <c r="P81" s="864"/>
      <c r="Q81" s="864"/>
      <c r="R81" s="864"/>
      <c r="S81" s="864"/>
      <c r="T81" s="864"/>
      <c r="U81" s="864"/>
      <c r="V81" s="864"/>
      <c r="W81" s="864"/>
      <c r="X81" s="864"/>
      <c r="Y81" s="864"/>
      <c r="Z81" s="864"/>
      <c r="AA81" s="866"/>
      <c r="AB81" s="866"/>
      <c r="AC81" s="866"/>
      <c r="AD81" s="826"/>
      <c r="AE81" s="820"/>
      <c r="AF81" s="820"/>
      <c r="AG81" s="820"/>
      <c r="AH81" s="435"/>
      <c r="AI81" s="821"/>
      <c r="AJ81" s="821"/>
      <c r="AK81" s="821"/>
      <c r="AL81" s="821"/>
      <c r="AM81" s="821"/>
      <c r="AN81" s="818" t="s">
        <v>965</v>
      </c>
      <c r="AO81" s="822"/>
      <c r="AP81" s="822"/>
      <c r="AQ81" s="822"/>
      <c r="AR81" s="822"/>
      <c r="AS81" s="822"/>
      <c r="AT81" s="818" t="s">
        <v>965</v>
      </c>
      <c r="AU81" s="822"/>
      <c r="AV81" s="822"/>
      <c r="AW81" s="822"/>
      <c r="AX81" s="822"/>
      <c r="AY81" s="822"/>
      <c r="AZ81" s="827"/>
      <c r="BA81" s="448"/>
      <c r="BB81" s="442"/>
      <c r="BC81" s="442"/>
      <c r="BD81" s="442"/>
      <c r="BE81" s="442"/>
      <c r="BF81" s="442"/>
      <c r="BG81" s="442"/>
      <c r="BH81" s="442"/>
      <c r="BI81" s="442"/>
      <c r="BJ81" s="441"/>
      <c r="BK81" s="442"/>
      <c r="BL81" s="820"/>
      <c r="BM81" s="820"/>
      <c r="BN81" s="820"/>
      <c r="BO81" s="442"/>
      <c r="BP81" s="444"/>
      <c r="BQ81" s="444"/>
      <c r="BR81" s="444"/>
      <c r="BS81" s="444"/>
      <c r="BT81" s="444"/>
      <c r="BU81" s="442"/>
      <c r="BV81" s="444"/>
      <c r="BW81" s="444"/>
      <c r="BX81" s="444"/>
      <c r="BY81" s="444"/>
      <c r="BZ81" s="444"/>
      <c r="CA81" s="445"/>
      <c r="CB81" s="444"/>
      <c r="CC81" s="444"/>
      <c r="CD81" s="444"/>
      <c r="CE81" s="444"/>
      <c r="CF81" s="444"/>
      <c r="CG81" s="259"/>
      <c r="CH81" s="878"/>
      <c r="CI81" s="878"/>
      <c r="CJ81" s="878"/>
    </row>
    <row r="82" spans="1:88" ht="15" customHeight="1">
      <c r="A82" s="220"/>
      <c r="B82" s="879"/>
      <c r="C82" s="879"/>
      <c r="D82" s="879"/>
      <c r="E82" s="876"/>
      <c r="F82" s="877"/>
      <c r="G82" s="862"/>
      <c r="H82" s="864"/>
      <c r="I82" s="864"/>
      <c r="J82" s="864"/>
      <c r="K82" s="864"/>
      <c r="L82" s="864"/>
      <c r="M82" s="864"/>
      <c r="N82" s="864"/>
      <c r="O82" s="864"/>
      <c r="P82" s="864"/>
      <c r="Q82" s="864"/>
      <c r="R82" s="864"/>
      <c r="S82" s="864"/>
      <c r="T82" s="864"/>
      <c r="U82" s="864"/>
      <c r="V82" s="864"/>
      <c r="W82" s="864"/>
      <c r="X82" s="864"/>
      <c r="Y82" s="864"/>
      <c r="Z82" s="864"/>
      <c r="AA82" s="866"/>
      <c r="AB82" s="866"/>
      <c r="AC82" s="866"/>
      <c r="AD82" s="826"/>
      <c r="AE82" s="432" t="str">
        <f>IF(LEN(VLOOKUP(AA76,suvaha!$D$8:$H$27,3,FALSE))&lt;11,"",LEFT(RIGHT(VLOOKUP(AA76,suvaha!$D$8:$H$27,3,FALSE),11),1))</f>
        <v/>
      </c>
      <c r="AF82" s="255" t="s">
        <v>965</v>
      </c>
      <c r="AG82" s="432" t="str">
        <f>IF(LEN(VLOOKUP(AA76,suvaha!$D$8:$H$27,3,FALSE))&lt;10,"",LEFT(RIGHT(VLOOKUP(AA76,suvaha!$D$8:$H$27,3,FALSE),10),1))</f>
        <v/>
      </c>
      <c r="AH82" s="434" t="s">
        <v>965</v>
      </c>
      <c r="AI82" s="432" t="str">
        <f>IF(LEN(VLOOKUP(AA76,suvaha!$D$8:$H$27,3,FALSE))&lt;9,"",LEFT(RIGHT(VLOOKUP(AA76,suvaha!$D$8:$H$27,3,FALSE),9),1))</f>
        <v/>
      </c>
      <c r="AJ82" s="255" t="s">
        <v>965</v>
      </c>
      <c r="AK82" s="432" t="str">
        <f>IF(LEN(VLOOKUP(AA76,suvaha!$D$8:$F$27,3,FALSE))&lt;8,"",LEFT(RIGHT(VLOOKUP(AA76,suvaha!$D$8:$F$27,3,FALSE),8),1))</f>
        <v/>
      </c>
      <c r="AL82" s="434" t="s">
        <v>965</v>
      </c>
      <c r="AM82" s="432" t="str">
        <f>IF(LEN(VLOOKUP(AA76,suvaha!$D$8:$H$27,3,FALSE))&lt;7,"",LEFT(RIGHT(VLOOKUP(AA76,suvaha!$D$8:$H$27,3,FALSE),7),1))</f>
        <v/>
      </c>
      <c r="AN82" s="818"/>
      <c r="AO82" s="432" t="str">
        <f>IF(LEN(VLOOKUP(AA76,suvaha!$D$8:$H$27,3,FALSE))&lt;6,"",LEFT(RIGHT(VLOOKUP(AA76,suvaha!$D$8:$H$27,3,FALSE),6),1))</f>
        <v/>
      </c>
      <c r="AP82" s="434" t="s">
        <v>965</v>
      </c>
      <c r="AQ82" s="432" t="str">
        <f>IF(LEN(VLOOKUP(AA76,suvaha!$D$8:$H$27,3,FALSE))&lt;5,"",LEFT(RIGHT(VLOOKUP(AA76,suvaha!$D$8:$H$27,3,FALSE),5),1))</f>
        <v/>
      </c>
      <c r="AR82" s="434" t="s">
        <v>965</v>
      </c>
      <c r="AS82" s="432" t="str">
        <f>IF(LEN(VLOOKUP(AA76,suvaha!$D$8:$H$27,3,FALSE))&lt;4,"",LEFT(RIGHT(VLOOKUP(AA76,suvaha!$D$8:$H$27,3,FALSE),4),1))</f>
        <v/>
      </c>
      <c r="AT82" s="818"/>
      <c r="AU82" s="432" t="str">
        <f>IF(LEN(VLOOKUP(AA76,suvaha!$D$8:$H$27,3,FALSE))&lt;3,"",LEFT(RIGHT(VLOOKUP(AA76,suvaha!$D$8:$H$27,3,FALSE),3),1))</f>
        <v/>
      </c>
      <c r="AV82" s="434" t="s">
        <v>965</v>
      </c>
      <c r="AW82" s="432" t="str">
        <f>IF(LEN(VLOOKUP(AA76,suvaha!$D$8:$H$27,3,FALSE))&lt;2,"",LEFT(RIGHT(VLOOKUP(AA76,suvaha!$D$8:$H$27,3,FALSE),2),1))</f>
        <v/>
      </c>
      <c r="AX82" s="434" t="s">
        <v>965</v>
      </c>
      <c r="AY82" s="432" t="str">
        <f>IF(VLOOKUP(AA76,suvaha!$D$8:$H$27,3,FALSE)=0,"",IF(LEN(VLOOKUP(AA76,suvaha!$D$8:$H$27,3,FALSE))&lt;1,"",LEFT(RIGHT(VLOOKUP(AA76,suvaha!$D$8:$H$27,3,FALSE),1),1)))</f>
        <v/>
      </c>
      <c r="AZ82" s="827"/>
      <c r="BA82" s="448"/>
      <c r="BB82" s="442"/>
      <c r="BC82" s="442"/>
      <c r="BD82" s="442"/>
      <c r="BE82" s="442"/>
      <c r="BF82" s="442"/>
      <c r="BG82" s="442"/>
      <c r="BH82" s="442"/>
      <c r="BI82" s="442"/>
      <c r="BJ82" s="441"/>
      <c r="BK82" s="442"/>
      <c r="BL82" s="432" t="str">
        <f>IF(LEN(VLOOKUP(AA76,suvaha!$D$8:$H$27,5,FALSE))&lt;11,"",LEFT(RIGHT(VLOOKUP(AA76,suvaha!$D$8:$H$27,5,FALSE),11),1))</f>
        <v/>
      </c>
      <c r="BM82" s="255" t="s">
        <v>965</v>
      </c>
      <c r="BN82" s="432" t="str">
        <f>IF(LEN(VLOOKUP(AA76,suvaha!$D$8:$H$27,5,FALSE))&lt;10,"",LEFT(RIGHT(VLOOKUP(AA76,suvaha!$D$8:$H$27,5,FALSE),10),1))</f>
        <v/>
      </c>
      <c r="BO82" s="442" t="s">
        <v>965</v>
      </c>
      <c r="BP82" s="432" t="str">
        <f>IF(LEN(VLOOKUP(AA76,suvaha!$D$8:$H$27,5,FALSE))&lt;9,"",LEFT(RIGHT(VLOOKUP(AA76,suvaha!$D$8:$H$27,5,FALSE),9),1))</f>
        <v/>
      </c>
      <c r="BQ82" s="434" t="s">
        <v>965</v>
      </c>
      <c r="BR82" s="432" t="str">
        <f>IF(LEN(VLOOKUP(AA76,suvaha!$D$8:$H$27,5,FALSE))&lt;8,"",LEFT(RIGHT(VLOOKUP(AA76,suvaha!$D$8:$H$27,5,FALSE),8),1))</f>
        <v/>
      </c>
      <c r="BS82" s="434" t="s">
        <v>965</v>
      </c>
      <c r="BT82" s="432" t="str">
        <f>IF(LEN(VLOOKUP(AA76,suvaha!$D$8:$H$27,5,FALSE))&lt;7,"",LEFT(RIGHT(VLOOKUP(AA76,suvaha!$D$8:$H$27,5,FALSE),7),1))</f>
        <v/>
      </c>
      <c r="BU82" s="442" t="s">
        <v>965</v>
      </c>
      <c r="BV82" s="432" t="str">
        <f>IF(LEN(VLOOKUP(AA76,suvaha!$D$8:$H$27,5,FALSE))&lt;6,"",LEFT(RIGHT(VLOOKUP(AA76,suvaha!$D$8:$H$27,5,FALSE),6),1))</f>
        <v>2</v>
      </c>
      <c r="BW82" s="434" t="s">
        <v>965</v>
      </c>
      <c r="BX82" s="432" t="str">
        <f>IF(LEN(VLOOKUP(AA76,suvaha!$D$8:$H$27,5,FALSE))&lt;5,"",LEFT(RIGHT(VLOOKUP(AA76,suvaha!$D$8:$H$27,5,FALSE),5),1))</f>
        <v>5</v>
      </c>
      <c r="BY82" s="434" t="s">
        <v>965</v>
      </c>
      <c r="BZ82" s="432" t="str">
        <f>IF(LEN(VLOOKUP(AA76,suvaha!$D$8:$H$27,5,FALSE))&lt;4,"",LEFT(RIGHT(VLOOKUP(AA76,suvaha!$D$8:$H$27,5,FALSE),4),1))</f>
        <v>6</v>
      </c>
      <c r="CA82" s="445" t="s">
        <v>965</v>
      </c>
      <c r="CB82" s="432" t="str">
        <f>IF(LEN(VLOOKUP(AA76,suvaha!$D$8:$H$27,5,FALSE))&lt;3,"",LEFT(RIGHT(VLOOKUP(AA76,suvaha!$D$8:$H$27,5,FALSE),3),1))</f>
        <v>7</v>
      </c>
      <c r="CC82" s="434" t="s">
        <v>965</v>
      </c>
      <c r="CD82" s="432" t="str">
        <f>IF(LEN(VLOOKUP(AA76,suvaha!$D$8:$H$27,5,FALSE))&lt;2,"",LEFT(RIGHT(VLOOKUP(AA76,suvaha!$D$8:$H$27,5,FALSE),2),1))</f>
        <v>8</v>
      </c>
      <c r="CE82" s="434" t="s">
        <v>1540</v>
      </c>
      <c r="CF82" s="432" t="str">
        <f>IF(VLOOKUP(AA76,suvaha!$D$8:$H$27,5,FALSE)=0,"",IF(LEN(VLOOKUP(AA76,suvaha!$D$8:$H$27,5,FALSE))&lt;1,"",LEFT(RIGHT(VLOOKUP(AA76,suvaha!$D$8:$H$27,5,FALSE),1),1)))</f>
        <v>9</v>
      </c>
      <c r="CG82" s="259"/>
      <c r="CH82" s="878"/>
      <c r="CI82" s="878"/>
      <c r="CJ82" s="878"/>
    </row>
    <row r="83" spans="1:88" ht="3" customHeight="1">
      <c r="A83" s="220"/>
      <c r="B83" s="879"/>
      <c r="C83" s="879"/>
      <c r="D83" s="879"/>
      <c r="E83" s="876"/>
      <c r="F83" s="877"/>
      <c r="G83" s="862"/>
      <c r="H83" s="864"/>
      <c r="I83" s="864"/>
      <c r="J83" s="864"/>
      <c r="K83" s="864"/>
      <c r="L83" s="864"/>
      <c r="M83" s="864"/>
      <c r="N83" s="864"/>
      <c r="O83" s="864"/>
      <c r="P83" s="864"/>
      <c r="Q83" s="864"/>
      <c r="R83" s="864"/>
      <c r="S83" s="864"/>
      <c r="T83" s="864"/>
      <c r="U83" s="864"/>
      <c r="V83" s="864"/>
      <c r="W83" s="864"/>
      <c r="X83" s="864"/>
      <c r="Y83" s="864"/>
      <c r="Z83" s="864"/>
      <c r="AA83" s="866"/>
      <c r="AB83" s="866"/>
      <c r="AC83" s="866"/>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845"/>
      <c r="AZ83" s="845"/>
      <c r="BA83" s="449"/>
      <c r="BB83" s="310"/>
      <c r="BC83" s="310"/>
      <c r="BD83" s="310"/>
      <c r="BE83" s="310"/>
      <c r="BF83" s="310"/>
      <c r="BG83" s="310"/>
      <c r="BH83" s="310"/>
      <c r="BI83" s="310"/>
      <c r="BJ83" s="443"/>
      <c r="BK83" s="310"/>
      <c r="BL83" s="310"/>
      <c r="BM83" s="310"/>
      <c r="BN83" s="310"/>
      <c r="BO83" s="310"/>
      <c r="BP83" s="310"/>
      <c r="BQ83" s="310"/>
      <c r="BR83" s="310"/>
      <c r="BS83" s="310"/>
      <c r="BT83" s="310"/>
      <c r="BU83" s="310"/>
      <c r="BV83" s="310"/>
      <c r="BW83" s="310"/>
      <c r="BX83" s="310"/>
      <c r="BY83" s="310"/>
      <c r="BZ83" s="310"/>
      <c r="CA83" s="310"/>
      <c r="CB83" s="310"/>
      <c r="CC83" s="310"/>
      <c r="CD83" s="310"/>
      <c r="CE83" s="310"/>
      <c r="CF83" s="310"/>
      <c r="CG83" s="258"/>
      <c r="CH83" s="878"/>
      <c r="CI83" s="878"/>
      <c r="CJ83" s="878"/>
    </row>
    <row r="84" spans="1:88" s="250" customFormat="1" ht="3" customHeight="1">
      <c r="A84" s="220"/>
      <c r="B84" s="879"/>
      <c r="C84" s="879"/>
      <c r="D84" s="879"/>
      <c r="E84" s="876" t="s">
        <v>1547</v>
      </c>
      <c r="F84" s="877"/>
      <c r="G84" s="862"/>
      <c r="H84" s="864" t="str">
        <f>Index!C61</f>
        <v>Poskytnuté preddavky na dlhodobý nehmotný majetok (051) - /095A/</v>
      </c>
      <c r="I84" s="864"/>
      <c r="J84" s="864"/>
      <c r="K84" s="864"/>
      <c r="L84" s="864"/>
      <c r="M84" s="864"/>
      <c r="N84" s="864"/>
      <c r="O84" s="864"/>
      <c r="P84" s="864"/>
      <c r="Q84" s="864"/>
      <c r="R84" s="864"/>
      <c r="S84" s="864"/>
      <c r="T84" s="864"/>
      <c r="U84" s="864"/>
      <c r="V84" s="864"/>
      <c r="W84" s="864"/>
      <c r="X84" s="864"/>
      <c r="Y84" s="864"/>
      <c r="Z84" s="864"/>
      <c r="AA84" s="866" t="s">
        <v>1548</v>
      </c>
      <c r="AB84" s="866"/>
      <c r="AC84" s="866"/>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25"/>
      <c r="BA84" s="867"/>
      <c r="BB84" s="867"/>
      <c r="BC84" s="867"/>
      <c r="BD84" s="867"/>
      <c r="BE84" s="867"/>
      <c r="BF84" s="867"/>
      <c r="BG84" s="867"/>
      <c r="BH84" s="867"/>
      <c r="BI84" s="867"/>
      <c r="BJ84" s="867"/>
      <c r="BK84" s="867"/>
      <c r="BL84" s="867"/>
      <c r="BM84" s="867"/>
      <c r="BN84" s="867"/>
      <c r="BO84" s="867"/>
      <c r="BP84" s="867"/>
      <c r="BQ84" s="867"/>
      <c r="BR84" s="304"/>
      <c r="BS84" s="304"/>
      <c r="BT84" s="304"/>
      <c r="BU84" s="304"/>
      <c r="BV84" s="304"/>
      <c r="BW84" s="446"/>
      <c r="BX84" s="304"/>
      <c r="BY84" s="304"/>
      <c r="BZ84" s="304"/>
      <c r="CA84" s="304"/>
      <c r="CB84" s="304"/>
      <c r="CC84" s="304"/>
      <c r="CD84" s="304"/>
      <c r="CE84" s="304"/>
      <c r="CF84" s="304"/>
      <c r="CG84" s="253"/>
      <c r="CH84" s="878"/>
      <c r="CI84" s="878"/>
      <c r="CJ84" s="878"/>
    </row>
    <row r="85" spans="1:88" s="250" customFormat="1" ht="3" customHeight="1">
      <c r="A85" s="220"/>
      <c r="B85" s="879"/>
      <c r="C85" s="879"/>
      <c r="D85" s="879"/>
      <c r="E85" s="876"/>
      <c r="F85" s="877"/>
      <c r="G85" s="862"/>
      <c r="H85" s="864"/>
      <c r="I85" s="864"/>
      <c r="J85" s="864"/>
      <c r="K85" s="864"/>
      <c r="L85" s="864"/>
      <c r="M85" s="864"/>
      <c r="N85" s="864"/>
      <c r="O85" s="864"/>
      <c r="P85" s="864"/>
      <c r="Q85" s="864"/>
      <c r="R85" s="864"/>
      <c r="S85" s="864"/>
      <c r="T85" s="864"/>
      <c r="U85" s="864"/>
      <c r="V85" s="864"/>
      <c r="W85" s="864"/>
      <c r="X85" s="864"/>
      <c r="Y85" s="864"/>
      <c r="Z85" s="864"/>
      <c r="AA85" s="866"/>
      <c r="AB85" s="866"/>
      <c r="AC85" s="866"/>
      <c r="AD85" s="826"/>
      <c r="AE85" s="820"/>
      <c r="AF85" s="820"/>
      <c r="AG85" s="820"/>
      <c r="AH85" s="435"/>
      <c r="AI85" s="821"/>
      <c r="AJ85" s="821"/>
      <c r="AK85" s="821"/>
      <c r="AL85" s="821"/>
      <c r="AM85" s="821"/>
      <c r="AN85" s="818"/>
      <c r="AO85" s="822"/>
      <c r="AP85" s="822"/>
      <c r="AQ85" s="822"/>
      <c r="AR85" s="822"/>
      <c r="AS85" s="822"/>
      <c r="AT85" s="818"/>
      <c r="AU85" s="822"/>
      <c r="AV85" s="822"/>
      <c r="AW85" s="822"/>
      <c r="AX85" s="822"/>
      <c r="AY85" s="822"/>
      <c r="AZ85" s="827"/>
      <c r="BA85" s="826"/>
      <c r="BB85" s="820"/>
      <c r="BC85" s="820"/>
      <c r="BD85" s="820"/>
      <c r="BE85" s="435"/>
      <c r="BF85" s="821"/>
      <c r="BG85" s="821"/>
      <c r="BH85" s="821"/>
      <c r="BI85" s="821"/>
      <c r="BJ85" s="821"/>
      <c r="BK85" s="818"/>
      <c r="BL85" s="822"/>
      <c r="BM85" s="822"/>
      <c r="BN85" s="822"/>
      <c r="BO85" s="822"/>
      <c r="BP85" s="822"/>
      <c r="BQ85" s="819"/>
      <c r="BR85" s="822"/>
      <c r="BS85" s="822"/>
      <c r="BT85" s="822"/>
      <c r="BU85" s="822"/>
      <c r="BV85" s="822"/>
      <c r="BW85" s="441"/>
      <c r="BX85" s="442"/>
      <c r="BY85" s="442"/>
      <c r="BZ85" s="442"/>
      <c r="CA85" s="442"/>
      <c r="CB85" s="442"/>
      <c r="CC85" s="442"/>
      <c r="CD85" s="442"/>
      <c r="CE85" s="442"/>
      <c r="CF85" s="442"/>
      <c r="CG85" s="254"/>
      <c r="CH85" s="878"/>
      <c r="CI85" s="878"/>
      <c r="CJ85" s="878"/>
    </row>
    <row r="86" spans="1:88" ht="15" customHeight="1">
      <c r="A86" s="220"/>
      <c r="B86" s="879"/>
      <c r="C86" s="879"/>
      <c r="D86" s="879"/>
      <c r="E86" s="876"/>
      <c r="F86" s="877"/>
      <c r="G86" s="862"/>
      <c r="H86" s="864"/>
      <c r="I86" s="864"/>
      <c r="J86" s="864"/>
      <c r="K86" s="864"/>
      <c r="L86" s="864"/>
      <c r="M86" s="864"/>
      <c r="N86" s="864"/>
      <c r="O86" s="864"/>
      <c r="P86" s="864"/>
      <c r="Q86" s="864"/>
      <c r="R86" s="864"/>
      <c r="S86" s="864"/>
      <c r="T86" s="864"/>
      <c r="U86" s="864"/>
      <c r="V86" s="864"/>
      <c r="W86" s="864"/>
      <c r="X86" s="864"/>
      <c r="Y86" s="864"/>
      <c r="Z86" s="864"/>
      <c r="AA86" s="866"/>
      <c r="AB86" s="866"/>
      <c r="AC86" s="866"/>
      <c r="AD86" s="826"/>
      <c r="AE86" s="432" t="str">
        <f>IF(LEN(VLOOKUP(AA84,suvaha!$D$8:$H$27,2,FALSE))&lt;11,"",LEFT(RIGHT(VLOOKUP(AA84,suvaha!$D$8:$H$27,2,FALSE),11),1))</f>
        <v/>
      </c>
      <c r="AF86" s="255"/>
      <c r="AG86" s="432" t="str">
        <f>IF(LEN(VLOOKUP(AA84,suvaha!$D$8:$H$27,2,FALSE))&lt;10,"",LEFT(RIGHT(VLOOKUP(AA84,suvaha!$D$8:$H$27,2,FALSE),10),1))</f>
        <v/>
      </c>
      <c r="AH86" s="434"/>
      <c r="AI86" s="432" t="str">
        <f>IF(LEN(VLOOKUP(AA84,suvaha!$D$8:$H$27,2,FALSE))&lt;9,"",LEFT(RIGHT(VLOOKUP(AA84,suvaha!$D$8:$H$27,2,FALSE),9),1))</f>
        <v/>
      </c>
      <c r="AJ86" s="255"/>
      <c r="AK86" s="432" t="str">
        <f>IF(LEN(VLOOKUP(AA84,suvaha!$D$8:$H$27,2,FALSE))&lt;8,"",LEFT(RIGHT(VLOOKUP(AA84,suvaha!$D$8:$H$27,2,FALSE),8),1))</f>
        <v/>
      </c>
      <c r="AL86" s="434"/>
      <c r="AM86" s="432" t="str">
        <f>IF(LEN(VLOOKUP(AA84,suvaha!$D$8:$H$27,2,FALSE))&lt;7,"",LEFT(RIGHT(VLOOKUP(AA84,suvaha!$D$8:$H$27,2,FALSE),7),1))</f>
        <v/>
      </c>
      <c r="AN86" s="818"/>
      <c r="AO86" s="432" t="str">
        <f>IF(LEN(VLOOKUP(AA84,suvaha!$D$8:$H$27,2,FALSE))&lt;6,"",LEFT(RIGHT(VLOOKUP(AA84,suvaha!$D$8:$H$27,2,FALSE),6),1))</f>
        <v/>
      </c>
      <c r="AP86" s="434"/>
      <c r="AQ86" s="432" t="str">
        <f>IF(LEN(VLOOKUP(AA84,suvaha!$D$8:$H$27,2,FALSE))&lt;5,"",LEFT(RIGHT(VLOOKUP(AA84,suvaha!$D$8:$H$27,2,FALSE),5),1))</f>
        <v/>
      </c>
      <c r="AR86" s="434"/>
      <c r="AS86" s="432" t="str">
        <f>IF(LEN(VLOOKUP(AA84,suvaha!$D$8:$H$27,2,FALSE))&lt;4,"",LEFT(RIGHT(VLOOKUP(AA84,suvaha!$D$8:$H$27,2,FALSE),4),1))</f>
        <v/>
      </c>
      <c r="AT86" s="818"/>
      <c r="AU86" s="432" t="str">
        <f>IF(LEN(VLOOKUP(AA84,suvaha!$D$8:$H$27,2,FALSE))&lt;3,"",LEFT(RIGHT(VLOOKUP(AA84,suvaha!$D$8:$H$27,2,FALSE),3),1))</f>
        <v/>
      </c>
      <c r="AV86" s="434"/>
      <c r="AW86" s="432" t="str">
        <f>IF(LEN(VLOOKUP(AA84,suvaha!$D$8:$H$27,2,FALSE))&lt;2,"",LEFT(RIGHT(VLOOKUP(AA84,suvaha!$D$8:$H$27,2,FALSE),2),1))</f>
        <v/>
      </c>
      <c r="AX86" s="434"/>
      <c r="AY86" s="432" t="str">
        <f>IF(VLOOKUP(AA84,suvaha!$D$8:$H$27,2,FALSE)=0,"",IF(LEN(VLOOKUP(AA84,suvaha!$D$8:$H$27,2,FALSE))&lt;1,"",LEFT(RIGHT(VLOOKUP(AA84,suvaha!$D$8:$H$27,2,FALSE),1),1)))</f>
        <v/>
      </c>
      <c r="AZ86" s="827"/>
      <c r="BA86" s="826"/>
      <c r="BB86" s="432" t="str">
        <f>IF(LEN(VLOOKUP(AA84,suvaha!$D$8:$H$27,4,FALSE))&lt;11,"",LEFT(RIGHT(VLOOKUP(AA84,suvaha!$D$8:$H$27,4,FALSE),11),1))</f>
        <v/>
      </c>
      <c r="BC86" s="255"/>
      <c r="BD86" s="432" t="str">
        <f>IF(LEN(VLOOKUP(AA84,suvaha!$D$8:$H$27,4,FALSE))&lt;10,"",LEFT(RIGHT(VLOOKUP(AA84,suvaha!$D$8:$H$27,4,FALSE),10),1))</f>
        <v/>
      </c>
      <c r="BE86" s="434"/>
      <c r="BF86" s="432" t="str">
        <f>IF(LEN(VLOOKUP(AA84,suvaha!$D$8:$H$27,4,FALSE))&lt;9,"",LEFT(RIGHT(VLOOKUP(AA84,suvaha!$D$8:$H$27,4,FALSE),9),1))</f>
        <v/>
      </c>
      <c r="BG86" s="255"/>
      <c r="BH86" s="432" t="str">
        <f>IF(LEN(VLOOKUP(AA84,suvaha!$D$8:$H$27,4,FALSE))&lt;8,"",LEFT(RIGHT(VLOOKUP(AA84,suvaha!$D$8:$H$27,4,FALSE),8),1))</f>
        <v/>
      </c>
      <c r="BI86" s="434"/>
      <c r="BJ86" s="432" t="str">
        <f>IF(LEN(VLOOKUP(AA84,suvaha!$D$8:$H$27,4,FALSE))&lt;7,"",LEFT(RIGHT(VLOOKUP(AA84,suvaha!$D$8:$H$27,4,FALSE),7),1))</f>
        <v/>
      </c>
      <c r="BK86" s="818"/>
      <c r="BL86" s="432" t="str">
        <f>IF(LEN(VLOOKUP(AA84,suvaha!$D$8:$H$27,4,FALSE))&lt;6,"",LEFT(RIGHT(VLOOKUP(AA84,suvaha!$D$8:$H$27,4,FALSE),6),1))</f>
        <v/>
      </c>
      <c r="BM86" s="434"/>
      <c r="BN86" s="432" t="str">
        <f>IF(LEN(VLOOKUP(AA84,suvaha!$D$8:$H$27,4,FALSE))&lt;5,"",LEFT(RIGHT(VLOOKUP(AA84,suvaha!$D$8:$H$27,4,FALSE),5),1))</f>
        <v/>
      </c>
      <c r="BO86" s="434"/>
      <c r="BP86" s="432" t="str">
        <f>IF(LEN(VLOOKUP(AA84,suvaha!$D$8:$H$27,4,FALSE))&lt;4,"",LEFT(RIGHT(VLOOKUP(AA84,suvaha!$D$8:$H$27,4,FALSE),4),1))</f>
        <v/>
      </c>
      <c r="BQ86" s="819"/>
      <c r="BR86" s="432" t="str">
        <f>IF(LEN(VLOOKUP(AA84,suvaha!$D$8:$H$27,4,FALSE))&lt;3,"",LEFT(RIGHT(VLOOKUP(AA84,suvaha!$D$8:$H$27,4,FALSE),3),1))</f>
        <v/>
      </c>
      <c r="BS86" s="434"/>
      <c r="BT86" s="432" t="str">
        <f>IF(LEN(VLOOKUP(AA84,suvaha!$D$8:$H$27,4,FALSE))&lt;2,"",LEFT(RIGHT(VLOOKUP(AA84,suvaha!$D$8:$H$27,4,FALSE),2),1))</f>
        <v/>
      </c>
      <c r="BU86" s="434"/>
      <c r="BV86" s="432" t="str">
        <f>IF(VLOOKUP(AA84,suvaha!$D$8:$H$27,4,FALSE)=0,"",IF(LEN(VLOOKUP(AA84,suvaha!$D$8:$H$27,4,FALSE))&lt;1,"",LEFT(RIGHT(VLOOKUP(AA84,suvaha!$D$8:$H$27,4,FALSE),1),1)))</f>
        <v/>
      </c>
      <c r="BW86" s="441"/>
      <c r="BX86" s="442"/>
      <c r="BY86" s="442"/>
      <c r="BZ86" s="442"/>
      <c r="CA86" s="442"/>
      <c r="CB86" s="442"/>
      <c r="CC86" s="442"/>
      <c r="CD86" s="442"/>
      <c r="CE86" s="442"/>
      <c r="CF86" s="442"/>
      <c r="CG86" s="254"/>
      <c r="CH86" s="878"/>
      <c r="CI86" s="878"/>
      <c r="CJ86" s="878"/>
    </row>
    <row r="87" spans="1:88" ht="3" customHeight="1">
      <c r="A87" s="220"/>
      <c r="B87" s="879"/>
      <c r="C87" s="879"/>
      <c r="D87" s="879"/>
      <c r="E87" s="876"/>
      <c r="F87" s="877"/>
      <c r="G87" s="862"/>
      <c r="H87" s="864"/>
      <c r="I87" s="864"/>
      <c r="J87" s="864"/>
      <c r="K87" s="864"/>
      <c r="L87" s="864"/>
      <c r="M87" s="864"/>
      <c r="N87" s="864"/>
      <c r="O87" s="864"/>
      <c r="P87" s="864"/>
      <c r="Q87" s="864"/>
      <c r="R87" s="864"/>
      <c r="S87" s="864"/>
      <c r="T87" s="864"/>
      <c r="U87" s="864"/>
      <c r="V87" s="864"/>
      <c r="W87" s="864"/>
      <c r="X87" s="864"/>
      <c r="Y87" s="864"/>
      <c r="Z87" s="864"/>
      <c r="AA87" s="866"/>
      <c r="AB87" s="866"/>
      <c r="AC87" s="866"/>
      <c r="AD87" s="845"/>
      <c r="AE87" s="845"/>
      <c r="AF87" s="845"/>
      <c r="AG87" s="845"/>
      <c r="AH87" s="845"/>
      <c r="AI87" s="845"/>
      <c r="AJ87" s="845"/>
      <c r="AK87" s="845"/>
      <c r="AL87" s="845"/>
      <c r="AM87" s="845"/>
      <c r="AN87" s="845"/>
      <c r="AO87" s="845"/>
      <c r="AP87" s="845"/>
      <c r="AQ87" s="845"/>
      <c r="AR87" s="845"/>
      <c r="AS87" s="845"/>
      <c r="AT87" s="845"/>
      <c r="AU87" s="845"/>
      <c r="AV87" s="845"/>
      <c r="AW87" s="845"/>
      <c r="AX87" s="845"/>
      <c r="AY87" s="845"/>
      <c r="AZ87" s="845"/>
      <c r="BA87" s="846"/>
      <c r="BB87" s="846"/>
      <c r="BC87" s="846"/>
      <c r="BD87" s="846"/>
      <c r="BE87" s="846"/>
      <c r="BF87" s="846"/>
      <c r="BG87" s="846"/>
      <c r="BH87" s="846"/>
      <c r="BI87" s="846"/>
      <c r="BJ87" s="846"/>
      <c r="BK87" s="846"/>
      <c r="BL87" s="846"/>
      <c r="BM87" s="846"/>
      <c r="BN87" s="846"/>
      <c r="BO87" s="846"/>
      <c r="BP87" s="846"/>
      <c r="BQ87" s="846"/>
      <c r="BR87" s="310"/>
      <c r="BS87" s="310"/>
      <c r="BT87" s="310"/>
      <c r="BU87" s="310"/>
      <c r="BV87" s="310"/>
      <c r="BW87" s="443"/>
      <c r="BX87" s="310"/>
      <c r="BY87" s="310"/>
      <c r="BZ87" s="310"/>
      <c r="CA87" s="310"/>
      <c r="CB87" s="310"/>
      <c r="CC87" s="310"/>
      <c r="CD87" s="310"/>
      <c r="CE87" s="310"/>
      <c r="CF87" s="310"/>
      <c r="CG87" s="258"/>
      <c r="CH87" s="878"/>
      <c r="CI87" s="878"/>
      <c r="CJ87" s="878"/>
    </row>
    <row r="88" spans="1:88" ht="3" customHeight="1">
      <c r="A88" s="220"/>
      <c r="B88" s="879"/>
      <c r="C88" s="879"/>
      <c r="D88" s="879"/>
      <c r="E88" s="876"/>
      <c r="F88" s="877"/>
      <c r="G88" s="862"/>
      <c r="H88" s="864"/>
      <c r="I88" s="864"/>
      <c r="J88" s="864"/>
      <c r="K88" s="864"/>
      <c r="L88" s="864"/>
      <c r="M88" s="864"/>
      <c r="N88" s="864"/>
      <c r="O88" s="864"/>
      <c r="P88" s="864"/>
      <c r="Q88" s="864"/>
      <c r="R88" s="864"/>
      <c r="S88" s="864"/>
      <c r="T88" s="864"/>
      <c r="U88" s="864"/>
      <c r="V88" s="864"/>
      <c r="W88" s="864"/>
      <c r="X88" s="864"/>
      <c r="Y88" s="864"/>
      <c r="Z88" s="864"/>
      <c r="AA88" s="866"/>
      <c r="AB88" s="866"/>
      <c r="AC88" s="866"/>
      <c r="AD88" s="825"/>
      <c r="AE88" s="825"/>
      <c r="AF88" s="825"/>
      <c r="AG88" s="825"/>
      <c r="AH88" s="825"/>
      <c r="AI88" s="825"/>
      <c r="AJ88" s="825"/>
      <c r="AK88" s="825"/>
      <c r="AL88" s="825"/>
      <c r="AM88" s="825"/>
      <c r="AN88" s="825"/>
      <c r="AO88" s="825"/>
      <c r="AP88" s="825"/>
      <c r="AQ88" s="825"/>
      <c r="AR88" s="825"/>
      <c r="AS88" s="825"/>
      <c r="AT88" s="825"/>
      <c r="AU88" s="825"/>
      <c r="AV88" s="825"/>
      <c r="AW88" s="825"/>
      <c r="AX88" s="825"/>
      <c r="AY88" s="825"/>
      <c r="AZ88" s="825"/>
      <c r="BA88" s="447"/>
      <c r="BB88" s="304"/>
      <c r="BC88" s="304"/>
      <c r="BD88" s="304"/>
      <c r="BE88" s="304"/>
      <c r="BF88" s="304"/>
      <c r="BG88" s="304"/>
      <c r="BH88" s="304"/>
      <c r="BI88" s="304"/>
      <c r="BJ88" s="446"/>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253"/>
      <c r="CH88" s="878"/>
      <c r="CI88" s="878"/>
      <c r="CJ88" s="878"/>
    </row>
    <row r="89" spans="1:88" ht="3" customHeight="1">
      <c r="A89" s="220"/>
      <c r="B89" s="879"/>
      <c r="C89" s="879"/>
      <c r="D89" s="879"/>
      <c r="E89" s="876"/>
      <c r="F89" s="877"/>
      <c r="G89" s="862"/>
      <c r="H89" s="864"/>
      <c r="I89" s="864"/>
      <c r="J89" s="864"/>
      <c r="K89" s="864"/>
      <c r="L89" s="864"/>
      <c r="M89" s="864"/>
      <c r="N89" s="864"/>
      <c r="O89" s="864"/>
      <c r="P89" s="864"/>
      <c r="Q89" s="864"/>
      <c r="R89" s="864"/>
      <c r="S89" s="864"/>
      <c r="T89" s="864"/>
      <c r="U89" s="864"/>
      <c r="V89" s="864"/>
      <c r="W89" s="864"/>
      <c r="X89" s="864"/>
      <c r="Y89" s="864"/>
      <c r="Z89" s="864"/>
      <c r="AA89" s="866"/>
      <c r="AB89" s="866"/>
      <c r="AC89" s="866"/>
      <c r="AD89" s="826"/>
      <c r="AE89" s="432"/>
      <c r="AF89" s="255"/>
      <c r="AG89" s="432"/>
      <c r="AH89" s="442"/>
      <c r="AI89" s="432"/>
      <c r="AJ89" s="434"/>
      <c r="AK89" s="432"/>
      <c r="AL89" s="434"/>
      <c r="AM89" s="432"/>
      <c r="AN89" s="442" t="s">
        <v>965</v>
      </c>
      <c r="AO89" s="432"/>
      <c r="AP89" s="434"/>
      <c r="AQ89" s="432"/>
      <c r="AR89" s="434"/>
      <c r="AS89" s="432"/>
      <c r="AT89" s="445" t="s">
        <v>965</v>
      </c>
      <c r="AU89" s="432"/>
      <c r="AV89" s="434"/>
      <c r="AW89" s="432"/>
      <c r="AX89" s="434"/>
      <c r="AY89" s="432"/>
      <c r="AZ89" s="827"/>
      <c r="BA89" s="448"/>
      <c r="BB89" s="442"/>
      <c r="BC89" s="442"/>
      <c r="BD89" s="442"/>
      <c r="BE89" s="442"/>
      <c r="BF89" s="442"/>
      <c r="BG89" s="442"/>
      <c r="BH89" s="442"/>
      <c r="BI89" s="442"/>
      <c r="BJ89" s="441"/>
      <c r="BK89" s="442"/>
      <c r="BL89" s="820"/>
      <c r="BM89" s="820"/>
      <c r="BN89" s="820"/>
      <c r="BO89" s="442"/>
      <c r="BP89" s="444"/>
      <c r="BQ89" s="444"/>
      <c r="BR89" s="444"/>
      <c r="BS89" s="444"/>
      <c r="BT89" s="444"/>
      <c r="BU89" s="442"/>
      <c r="BV89" s="444"/>
      <c r="BW89" s="444"/>
      <c r="BX89" s="444"/>
      <c r="BY89" s="444"/>
      <c r="BZ89" s="444"/>
      <c r="CA89" s="445"/>
      <c r="CB89" s="444"/>
      <c r="CC89" s="444"/>
      <c r="CD89" s="444"/>
      <c r="CE89" s="444"/>
      <c r="CF89" s="444"/>
      <c r="CG89" s="259"/>
      <c r="CH89" s="878"/>
      <c r="CI89" s="878"/>
      <c r="CJ89" s="878"/>
    </row>
    <row r="90" spans="1:88" ht="15" customHeight="1">
      <c r="A90" s="220"/>
      <c r="B90" s="879"/>
      <c r="C90" s="879"/>
      <c r="D90" s="879"/>
      <c r="E90" s="876"/>
      <c r="F90" s="877"/>
      <c r="G90" s="862"/>
      <c r="H90" s="864"/>
      <c r="I90" s="864"/>
      <c r="J90" s="864"/>
      <c r="K90" s="864"/>
      <c r="L90" s="864"/>
      <c r="M90" s="864"/>
      <c r="N90" s="864"/>
      <c r="O90" s="864"/>
      <c r="P90" s="864"/>
      <c r="Q90" s="864"/>
      <c r="R90" s="864"/>
      <c r="S90" s="864"/>
      <c r="T90" s="864"/>
      <c r="U90" s="864"/>
      <c r="V90" s="864"/>
      <c r="W90" s="864"/>
      <c r="X90" s="864"/>
      <c r="Y90" s="864"/>
      <c r="Z90" s="864"/>
      <c r="AA90" s="866"/>
      <c r="AB90" s="866"/>
      <c r="AC90" s="866"/>
      <c r="AD90" s="826"/>
      <c r="AE90" s="432" t="str">
        <f>IF(LEN(VLOOKUP(AA84,suvaha!$D$8:$H$27,3,FALSE))&lt;11,"",LEFT(RIGHT(VLOOKUP(AA84,suvaha!$D$8:$H$27,3,FALSE),11),1))</f>
        <v/>
      </c>
      <c r="AF90" s="255" t="s">
        <v>965</v>
      </c>
      <c r="AG90" s="432" t="str">
        <f>IF(LEN(VLOOKUP(AA84,suvaha!$D$8:$H$27,3,FALSE))&lt;10,"",LEFT(RIGHT(VLOOKUP(AA84,suvaha!$D$8:$H$27,3,FALSE),10),1))</f>
        <v/>
      </c>
      <c r="AH90" s="442" t="s">
        <v>965</v>
      </c>
      <c r="AI90" s="432" t="str">
        <f>IF(LEN(VLOOKUP(AA84,suvaha!$D$8:$H$27,3,FALSE))&lt;9,"",LEFT(RIGHT(VLOOKUP(AA84,suvaha!$D$8:$H$27,3,FALSE),9),1))</f>
        <v/>
      </c>
      <c r="AJ90" s="434" t="s">
        <v>965</v>
      </c>
      <c r="AK90" s="432" t="str">
        <f>IF(LEN(VLOOKUP(AA84,suvaha!$D$8:$F$27,3,FALSE))&lt;8,"",LEFT(RIGHT(VLOOKUP(AA84,suvaha!$D$8:$F$27,3,FALSE),8),1))</f>
        <v/>
      </c>
      <c r="AL90" s="434" t="s">
        <v>965</v>
      </c>
      <c r="AM90" s="432" t="str">
        <f>IF(LEN(VLOOKUP(AA84,suvaha!$D$8:$H$27,3,FALSE))&lt;7,"",LEFT(RIGHT(VLOOKUP(AA84,suvaha!$D$8:$H$27,3,FALSE),7),1))</f>
        <v/>
      </c>
      <c r="AN90" s="442"/>
      <c r="AO90" s="432" t="str">
        <f>IF(LEN(VLOOKUP(AA84,suvaha!$D$8:$H$27,3,FALSE))&lt;6,"",LEFT(RIGHT(VLOOKUP(AA84,suvaha!$D$8:$H$27,3,FALSE),6),1))</f>
        <v/>
      </c>
      <c r="AP90" s="434" t="s">
        <v>965</v>
      </c>
      <c r="AQ90" s="432" t="str">
        <f>IF(LEN(VLOOKUP(AA84,suvaha!$D$8:$H$27,3,FALSE))&lt;5,"",LEFT(RIGHT(VLOOKUP(AA84,suvaha!$D$8:$H$27,3,FALSE),5),1))</f>
        <v/>
      </c>
      <c r="AR90" s="434" t="s">
        <v>965</v>
      </c>
      <c r="AS90" s="432" t="str">
        <f>IF(LEN(VLOOKUP(AA84,suvaha!$D$8:$H$27,3,FALSE))&lt;4,"",LEFT(RIGHT(VLOOKUP(AA84,suvaha!$D$8:$H$27,3,FALSE),4),1))</f>
        <v/>
      </c>
      <c r="AT90" s="445"/>
      <c r="AU90" s="432" t="str">
        <f>IF(LEN(VLOOKUP(AA84,suvaha!$D$8:$H$27,3,FALSE))&lt;3,"",LEFT(RIGHT(VLOOKUP(AA84,suvaha!$D$8:$H$27,3,FALSE),3),1))</f>
        <v/>
      </c>
      <c r="AV90" s="434" t="s">
        <v>965</v>
      </c>
      <c r="AW90" s="432" t="str">
        <f>IF(LEN(VLOOKUP(AA84,suvaha!$D$8:$H$27,3,FALSE))&lt;2,"",LEFT(RIGHT(VLOOKUP(AA84,suvaha!$D$8:$H$27,3,FALSE),2),1))</f>
        <v/>
      </c>
      <c r="AX90" s="434" t="s">
        <v>965</v>
      </c>
      <c r="AY90" s="432" t="str">
        <f>IF(VLOOKUP(AA84,suvaha!$D$8:$H$27,3,FALSE)=0,"",IF(LEN(VLOOKUP(AA84,suvaha!$D$8:$H$27,3,FALSE))&lt;1,"",LEFT(RIGHT(VLOOKUP(AA84,suvaha!$D$8:$H$27,3,FALSE),1),1)))</f>
        <v/>
      </c>
      <c r="AZ90" s="827"/>
      <c r="BA90" s="448"/>
      <c r="BB90" s="442"/>
      <c r="BC90" s="442"/>
      <c r="BD90" s="442"/>
      <c r="BE90" s="442"/>
      <c r="BF90" s="442"/>
      <c r="BG90" s="442"/>
      <c r="BH90" s="442"/>
      <c r="BI90" s="442"/>
      <c r="BJ90" s="441"/>
      <c r="BK90" s="442"/>
      <c r="BL90" s="432" t="str">
        <f>IF(LEN(VLOOKUP(AA84,suvaha!$D$8:$H$27,5,FALSE))&lt;11,"",LEFT(RIGHT(VLOOKUP(AA84,suvaha!$D$8:$H$27,5,FALSE),11),1))</f>
        <v/>
      </c>
      <c r="BM90" s="255" t="s">
        <v>965</v>
      </c>
      <c r="BN90" s="432" t="str">
        <f>IF(LEN(VLOOKUP(AA84,suvaha!$D$8:$H$27,5,FALSE))&lt;10,"",LEFT(RIGHT(VLOOKUP(AA84,suvaha!$D$8:$H$27,5,FALSE),10),1))</f>
        <v/>
      </c>
      <c r="BO90" s="442" t="s">
        <v>965</v>
      </c>
      <c r="BP90" s="432" t="str">
        <f>IF(LEN(VLOOKUP(AA84,suvaha!$D$8:$H$27,5,FALSE))&lt;9,"",LEFT(RIGHT(VLOOKUP(AA84,suvaha!$D$8:$H$27,5,FALSE),9),1))</f>
        <v/>
      </c>
      <c r="BQ90" s="434" t="s">
        <v>965</v>
      </c>
      <c r="BR90" s="432" t="str">
        <f>IF(LEN(VLOOKUP(AA84,suvaha!$D$8:$H$27,5,FALSE))&lt;8,"",LEFT(RIGHT(VLOOKUP(AA84,suvaha!$D$8:$H$27,5,FALSE),8),1))</f>
        <v/>
      </c>
      <c r="BS90" s="434" t="s">
        <v>965</v>
      </c>
      <c r="BT90" s="432" t="str">
        <f>IF(LEN(VLOOKUP(AA84,suvaha!$D$8:$H$27,5,FALSE))&lt;7,"",LEFT(RIGHT(VLOOKUP(AA84,suvaha!$D$8:$H$27,5,FALSE),7),1))</f>
        <v/>
      </c>
      <c r="BU90" s="442" t="s">
        <v>965</v>
      </c>
      <c r="BV90" s="432" t="str">
        <f>IF(LEN(VLOOKUP(AA84,suvaha!$D$8:$H$27,5,FALSE))&lt;6,"",LEFT(RIGHT(VLOOKUP(AA84,suvaha!$D$8:$H$27,5,FALSE),6),1))</f>
        <v/>
      </c>
      <c r="BW90" s="434" t="s">
        <v>965</v>
      </c>
      <c r="BX90" s="432" t="str">
        <f>IF(LEN(VLOOKUP(AA84,suvaha!$D$8:$H$27,5,FALSE))&lt;5,"",LEFT(RIGHT(VLOOKUP(AA84,suvaha!$D$8:$H$27,5,FALSE),5),1))</f>
        <v/>
      </c>
      <c r="BY90" s="434" t="s">
        <v>965</v>
      </c>
      <c r="BZ90" s="432" t="str">
        <f>IF(LEN(VLOOKUP(AA84,suvaha!$D$8:$H$27,5,FALSE))&lt;4,"",LEFT(RIGHT(VLOOKUP(AA84,suvaha!$D$8:$H$27,5,FALSE),4),1))</f>
        <v/>
      </c>
      <c r="CA90" s="445" t="s">
        <v>965</v>
      </c>
      <c r="CB90" s="432" t="str">
        <f>IF(LEN(VLOOKUP(AA84,suvaha!$D$8:$H$27,5,FALSE))&lt;3,"",LEFT(RIGHT(VLOOKUP(AA84,suvaha!$D$8:$H$27,5,FALSE),3),1))</f>
        <v/>
      </c>
      <c r="CC90" s="434" t="s">
        <v>965</v>
      </c>
      <c r="CD90" s="432" t="str">
        <f>IF(LEN(VLOOKUP(AA84,suvaha!$D$8:$H$27,5,FALSE))&lt;2,"",LEFT(RIGHT(VLOOKUP(AA84,suvaha!$D$8:$H$27,5,FALSE),2),1))</f>
        <v/>
      </c>
      <c r="CE90" s="434" t="s">
        <v>1540</v>
      </c>
      <c r="CF90" s="432" t="str">
        <f>IF(VLOOKUP(AA84,suvaha!$D$8:$H$27,5,FALSE)=0,"",IF(LEN(VLOOKUP(AA84,suvaha!$D$8:$H$27,5,FALSE))&lt;1,"",LEFT(RIGHT(VLOOKUP(AA84,suvaha!$D$8:$H$27,5,FALSE),1),1)))</f>
        <v/>
      </c>
      <c r="CG90" s="259"/>
      <c r="CH90" s="878"/>
      <c r="CI90" s="878"/>
      <c r="CJ90" s="878"/>
    </row>
    <row r="91" spans="1:88" ht="3" customHeight="1">
      <c r="A91" s="220"/>
      <c r="B91" s="879"/>
      <c r="C91" s="879"/>
      <c r="D91" s="879"/>
      <c r="E91" s="876"/>
      <c r="F91" s="877"/>
      <c r="G91" s="862"/>
      <c r="H91" s="864"/>
      <c r="I91" s="864"/>
      <c r="J91" s="864"/>
      <c r="K91" s="864"/>
      <c r="L91" s="864"/>
      <c r="M91" s="864"/>
      <c r="N91" s="864"/>
      <c r="O91" s="864"/>
      <c r="P91" s="864"/>
      <c r="Q91" s="864"/>
      <c r="R91" s="864"/>
      <c r="S91" s="864"/>
      <c r="T91" s="864"/>
      <c r="U91" s="864"/>
      <c r="V91" s="864"/>
      <c r="W91" s="864"/>
      <c r="X91" s="864"/>
      <c r="Y91" s="864"/>
      <c r="Z91" s="864"/>
      <c r="AA91" s="866"/>
      <c r="AB91" s="866"/>
      <c r="AC91" s="866"/>
      <c r="AD91" s="845"/>
      <c r="AE91" s="845"/>
      <c r="AF91" s="845"/>
      <c r="AG91" s="845"/>
      <c r="AH91" s="845"/>
      <c r="AI91" s="845"/>
      <c r="AJ91" s="845"/>
      <c r="AK91" s="845"/>
      <c r="AL91" s="845"/>
      <c r="AM91" s="845"/>
      <c r="AN91" s="845"/>
      <c r="AO91" s="845"/>
      <c r="AP91" s="845"/>
      <c r="AQ91" s="845"/>
      <c r="AR91" s="845"/>
      <c r="AS91" s="845"/>
      <c r="AT91" s="845"/>
      <c r="AU91" s="845"/>
      <c r="AV91" s="845"/>
      <c r="AW91" s="845"/>
      <c r="AX91" s="845"/>
      <c r="AY91" s="845"/>
      <c r="AZ91" s="845"/>
      <c r="BA91" s="449"/>
      <c r="BB91" s="310"/>
      <c r="BC91" s="310"/>
      <c r="BD91" s="310"/>
      <c r="BE91" s="310"/>
      <c r="BF91" s="310"/>
      <c r="BG91" s="310"/>
      <c r="BH91" s="310"/>
      <c r="BI91" s="310"/>
      <c r="BJ91" s="443"/>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258"/>
      <c r="CH91" s="878"/>
      <c r="CI91" s="878"/>
      <c r="CJ91" s="878"/>
    </row>
    <row r="92" spans="1:88" s="250" customFormat="1" ht="3" customHeight="1">
      <c r="A92" s="220"/>
      <c r="B92" s="879"/>
      <c r="C92" s="879"/>
      <c r="D92" s="879"/>
      <c r="E92" s="868" t="s">
        <v>509</v>
      </c>
      <c r="F92" s="869"/>
      <c r="G92" s="862"/>
      <c r="H92" s="874" t="str">
        <f>Index!C62</f>
        <v>Dlhodobý hmotný majetok súčet (r. 12 až r. 20)</v>
      </c>
      <c r="I92" s="874"/>
      <c r="J92" s="874"/>
      <c r="K92" s="874"/>
      <c r="L92" s="874"/>
      <c r="M92" s="874"/>
      <c r="N92" s="874"/>
      <c r="O92" s="874"/>
      <c r="P92" s="874"/>
      <c r="Q92" s="874"/>
      <c r="R92" s="874"/>
      <c r="S92" s="874"/>
      <c r="T92" s="874"/>
      <c r="U92" s="874"/>
      <c r="V92" s="874"/>
      <c r="W92" s="874"/>
      <c r="X92" s="874"/>
      <c r="Y92" s="874"/>
      <c r="Z92" s="874"/>
      <c r="AA92" s="875" t="s">
        <v>1549</v>
      </c>
      <c r="AB92" s="875"/>
      <c r="AC92" s="875"/>
      <c r="AD92" s="825"/>
      <c r="AE92" s="825"/>
      <c r="AF92" s="825"/>
      <c r="AG92" s="825"/>
      <c r="AH92" s="825"/>
      <c r="AI92" s="825"/>
      <c r="AJ92" s="825"/>
      <c r="AK92" s="825"/>
      <c r="AL92" s="825"/>
      <c r="AM92" s="825"/>
      <c r="AN92" s="825"/>
      <c r="AO92" s="825"/>
      <c r="AP92" s="825"/>
      <c r="AQ92" s="825"/>
      <c r="AR92" s="825"/>
      <c r="AS92" s="825"/>
      <c r="AT92" s="825"/>
      <c r="AU92" s="825"/>
      <c r="AV92" s="825"/>
      <c r="AW92" s="825"/>
      <c r="AX92" s="825"/>
      <c r="AY92" s="825"/>
      <c r="AZ92" s="825"/>
      <c r="BA92" s="867"/>
      <c r="BB92" s="867"/>
      <c r="BC92" s="867"/>
      <c r="BD92" s="867"/>
      <c r="BE92" s="867"/>
      <c r="BF92" s="867"/>
      <c r="BG92" s="867"/>
      <c r="BH92" s="867"/>
      <c r="BI92" s="867"/>
      <c r="BJ92" s="867"/>
      <c r="BK92" s="867"/>
      <c r="BL92" s="867"/>
      <c r="BM92" s="867"/>
      <c r="BN92" s="867"/>
      <c r="BO92" s="867"/>
      <c r="BP92" s="867"/>
      <c r="BQ92" s="867"/>
      <c r="BR92" s="304"/>
      <c r="BS92" s="304"/>
      <c r="BT92" s="304"/>
      <c r="BU92" s="304"/>
      <c r="BV92" s="304"/>
      <c r="BW92" s="446"/>
      <c r="BX92" s="304"/>
      <c r="BY92" s="304"/>
      <c r="BZ92" s="304"/>
      <c r="CA92" s="304"/>
      <c r="CB92" s="304"/>
      <c r="CC92" s="304"/>
      <c r="CD92" s="304"/>
      <c r="CE92" s="304"/>
      <c r="CF92" s="304"/>
      <c r="CG92" s="253"/>
      <c r="CH92" s="878"/>
      <c r="CI92" s="878"/>
      <c r="CJ92" s="878"/>
    </row>
    <row r="93" spans="1:88" s="250" customFormat="1" ht="3" customHeight="1">
      <c r="A93" s="220"/>
      <c r="B93" s="879"/>
      <c r="C93" s="879"/>
      <c r="D93" s="879"/>
      <c r="E93" s="870"/>
      <c r="F93" s="871"/>
      <c r="G93" s="862"/>
      <c r="H93" s="874"/>
      <c r="I93" s="874"/>
      <c r="J93" s="874"/>
      <c r="K93" s="874"/>
      <c r="L93" s="874"/>
      <c r="M93" s="874"/>
      <c r="N93" s="874"/>
      <c r="O93" s="874"/>
      <c r="P93" s="874"/>
      <c r="Q93" s="874"/>
      <c r="R93" s="874"/>
      <c r="S93" s="874"/>
      <c r="T93" s="874"/>
      <c r="U93" s="874"/>
      <c r="V93" s="874"/>
      <c r="W93" s="874"/>
      <c r="X93" s="874"/>
      <c r="Y93" s="874"/>
      <c r="Z93" s="874"/>
      <c r="AA93" s="875"/>
      <c r="AB93" s="875"/>
      <c r="AC93" s="875"/>
      <c r="AD93" s="826"/>
      <c r="AE93" s="432"/>
      <c r="AF93" s="255"/>
      <c r="AG93" s="432"/>
      <c r="AH93" s="442"/>
      <c r="AI93" s="432"/>
      <c r="AJ93" s="434"/>
      <c r="AK93" s="432"/>
      <c r="AL93" s="434"/>
      <c r="AM93" s="432"/>
      <c r="AN93" s="442"/>
      <c r="AO93" s="432"/>
      <c r="AP93" s="434"/>
      <c r="AQ93" s="432"/>
      <c r="AR93" s="434"/>
      <c r="AS93" s="432"/>
      <c r="AT93" s="445"/>
      <c r="AU93" s="432"/>
      <c r="AV93" s="434"/>
      <c r="AW93" s="432"/>
      <c r="AX93" s="434"/>
      <c r="AY93" s="432"/>
      <c r="AZ93" s="827"/>
      <c r="BA93" s="826"/>
      <c r="BB93" s="820"/>
      <c r="BC93" s="820"/>
      <c r="BD93" s="820"/>
      <c r="BE93" s="435"/>
      <c r="BF93" s="821"/>
      <c r="BG93" s="821"/>
      <c r="BH93" s="821"/>
      <c r="BI93" s="821"/>
      <c r="BJ93" s="821"/>
      <c r="BK93" s="818"/>
      <c r="BL93" s="822"/>
      <c r="BM93" s="822"/>
      <c r="BN93" s="822"/>
      <c r="BO93" s="822"/>
      <c r="BP93" s="822"/>
      <c r="BQ93" s="819"/>
      <c r="BR93" s="822"/>
      <c r="BS93" s="822"/>
      <c r="BT93" s="822"/>
      <c r="BU93" s="822"/>
      <c r="BV93" s="822"/>
      <c r="BW93" s="441"/>
      <c r="BX93" s="442"/>
      <c r="BY93" s="442"/>
      <c r="BZ93" s="442"/>
      <c r="CA93" s="442"/>
      <c r="CB93" s="442"/>
      <c r="CC93" s="442"/>
      <c r="CD93" s="442"/>
      <c r="CE93" s="442"/>
      <c r="CF93" s="442"/>
      <c r="CG93" s="254"/>
      <c r="CH93" s="878"/>
      <c r="CI93" s="878"/>
      <c r="CJ93" s="878"/>
    </row>
    <row r="94" spans="1:88" ht="15" customHeight="1">
      <c r="A94" s="220"/>
      <c r="B94" s="879"/>
      <c r="C94" s="879"/>
      <c r="D94" s="879"/>
      <c r="E94" s="870"/>
      <c r="F94" s="871"/>
      <c r="G94" s="862"/>
      <c r="H94" s="874"/>
      <c r="I94" s="874"/>
      <c r="J94" s="874"/>
      <c r="K94" s="874"/>
      <c r="L94" s="874"/>
      <c r="M94" s="874"/>
      <c r="N94" s="874"/>
      <c r="O94" s="874"/>
      <c r="P94" s="874"/>
      <c r="Q94" s="874"/>
      <c r="R94" s="874"/>
      <c r="S94" s="874"/>
      <c r="T94" s="874"/>
      <c r="U94" s="874"/>
      <c r="V94" s="874"/>
      <c r="W94" s="874"/>
      <c r="X94" s="874"/>
      <c r="Y94" s="874"/>
      <c r="Z94" s="874"/>
      <c r="AA94" s="875"/>
      <c r="AB94" s="875"/>
      <c r="AC94" s="875"/>
      <c r="AD94" s="826"/>
      <c r="AE94" s="432" t="str">
        <f>IF(LEN(VLOOKUP(AA92,suvaha!$D$8:$H$27,2,FALSE))&lt;11,"",LEFT(RIGHT(VLOOKUP(AA92,suvaha!$D$8:$H$27,2,FALSE),11),1))</f>
        <v/>
      </c>
      <c r="AF94" s="255"/>
      <c r="AG94" s="432" t="str">
        <f>IF(LEN(VLOOKUP(AA92,suvaha!$D$8:$H$27,2,FALSE))&lt;10,"",LEFT(RIGHT(VLOOKUP(AA92,suvaha!$D$8:$H$27,2,FALSE),10),1))</f>
        <v/>
      </c>
      <c r="AH94" s="442"/>
      <c r="AI94" s="432" t="str">
        <f>IF(LEN(VLOOKUP(AA92,suvaha!$D$8:$H$27,2,FALSE))&lt;9,"",LEFT(RIGHT(VLOOKUP(AA92,suvaha!$D$8:$H$27,2,FALSE),9),1))</f>
        <v/>
      </c>
      <c r="AJ94" s="434"/>
      <c r="AK94" s="432" t="str">
        <f>IF(LEN(VLOOKUP(AA92,suvaha!$D$8:$H$27,2,FALSE))&lt;8,"",LEFT(RIGHT(VLOOKUP(AA92,suvaha!$D$8:$H$27,2,FALSE),8),1))</f>
        <v/>
      </c>
      <c r="AL94" s="434"/>
      <c r="AM94" s="432" t="str">
        <f>IF(LEN(VLOOKUP(AA92,suvaha!$D$8:$H$27,2,FALSE))&lt;7,"",LEFT(RIGHT(VLOOKUP(AA92,suvaha!$D$8:$H$27,2,FALSE),7),1))</f>
        <v/>
      </c>
      <c r="AN94" s="442"/>
      <c r="AO94" s="432" t="str">
        <f>IF(LEN(VLOOKUP(AA92,suvaha!$D$8:$H$27,2,FALSE))&lt;6,"",LEFT(RIGHT(VLOOKUP(AA92,suvaha!$D$8:$H$27,2,FALSE),6),1))</f>
        <v>1</v>
      </c>
      <c r="AP94" s="434"/>
      <c r="AQ94" s="432" t="str">
        <f>IF(LEN(VLOOKUP(AA92,suvaha!$D$8:$H$27,2,FALSE))&lt;5,"",LEFT(RIGHT(VLOOKUP(AA92,suvaha!$D$8:$H$27,2,FALSE),5),1))</f>
        <v>0</v>
      </c>
      <c r="AR94" s="434"/>
      <c r="AS94" s="432" t="str">
        <f>IF(LEN(VLOOKUP(AA92,suvaha!$D$8:$H$27,2,FALSE))&lt;4,"",LEFT(RIGHT(VLOOKUP(AA92,suvaha!$D$8:$H$27,2,FALSE),4),1))</f>
        <v>6</v>
      </c>
      <c r="AT94" s="445"/>
      <c r="AU94" s="432" t="str">
        <f>IF(LEN(VLOOKUP(AA92,suvaha!$D$8:$H$27,2,FALSE))&lt;3,"",LEFT(RIGHT(VLOOKUP(AA92,suvaha!$D$8:$H$27,2,FALSE),3),1))</f>
        <v>7</v>
      </c>
      <c r="AV94" s="434"/>
      <c r="AW94" s="432" t="str">
        <f>IF(LEN(VLOOKUP(AA92,suvaha!$D$8:$H$27,2,FALSE))&lt;2,"",LEFT(RIGHT(VLOOKUP(AA92,suvaha!$D$8:$H$27,2,FALSE),2),1))</f>
        <v>5</v>
      </c>
      <c r="AX94" s="434"/>
      <c r="AY94" s="432" t="str">
        <f>IF(VLOOKUP(AA92,suvaha!$D$8:$H$27,2,FALSE)=0,"",IF(LEN(VLOOKUP(AA92,suvaha!$D$8:$H$27,2,FALSE))&lt;1,"",LEFT(RIGHT(VLOOKUP(AA92,suvaha!$D$8:$H$27,2,FALSE),1),1)))</f>
        <v>7</v>
      </c>
      <c r="AZ94" s="827"/>
      <c r="BA94" s="826"/>
      <c r="BB94" s="432" t="str">
        <f>IF(LEN(VLOOKUP(AA92,suvaha!$D$8:$H$27,4,FALSE))&lt;11,"",LEFT(RIGHT(VLOOKUP(AA92,suvaha!$D$8:$H$27,4,FALSE),11),1))</f>
        <v/>
      </c>
      <c r="BC94" s="255"/>
      <c r="BD94" s="432" t="str">
        <f>IF(LEN(VLOOKUP(AA92,suvaha!$D$8:$H$27,4,FALSE))&lt;10,"",LEFT(RIGHT(VLOOKUP(AA92,suvaha!$D$8:$H$27,4,FALSE),10),1))</f>
        <v/>
      </c>
      <c r="BE94" s="434"/>
      <c r="BF94" s="432" t="str">
        <f>IF(LEN(VLOOKUP(AA92,suvaha!$D$8:$H$27,4,FALSE))&lt;9,"",LEFT(RIGHT(VLOOKUP(AA92,suvaha!$D$8:$H$27,4,FALSE),9),1))</f>
        <v/>
      </c>
      <c r="BG94" s="255"/>
      <c r="BH94" s="432" t="str">
        <f>IF(LEN(VLOOKUP(AA92,suvaha!$D$8:$H$27,4,FALSE))&lt;8,"",LEFT(RIGHT(VLOOKUP(AA92,suvaha!$D$8:$H$27,4,FALSE),8),1))</f>
        <v/>
      </c>
      <c r="BI94" s="434"/>
      <c r="BJ94" s="432" t="str">
        <f>IF(LEN(VLOOKUP(AA92,suvaha!$D$8:$H$27,4,FALSE))&lt;7,"",LEFT(RIGHT(VLOOKUP(AA92,suvaha!$D$8:$H$27,4,FALSE),7),1))</f>
        <v/>
      </c>
      <c r="BK94" s="818"/>
      <c r="BL94" s="432" t="str">
        <f>IF(LEN(VLOOKUP(AA92,suvaha!$D$8:$H$27,4,FALSE))&lt;6,"",LEFT(RIGHT(VLOOKUP(AA92,suvaha!$D$8:$H$27,4,FALSE),6),1))</f>
        <v>1</v>
      </c>
      <c r="BM94" s="434"/>
      <c r="BN94" s="432" t="str">
        <f>IF(LEN(VLOOKUP(AA92,suvaha!$D$8:$H$27,4,FALSE))&lt;5,"",LEFT(RIGHT(VLOOKUP(AA92,suvaha!$D$8:$H$27,4,FALSE),5),1))</f>
        <v>0</v>
      </c>
      <c r="BO94" s="434"/>
      <c r="BP94" s="432" t="str">
        <f>IF(LEN(VLOOKUP(AA92,suvaha!$D$8:$H$27,4,FALSE))&lt;4,"",LEFT(RIGHT(VLOOKUP(AA92,suvaha!$D$8:$H$27,4,FALSE),4),1))</f>
        <v>2</v>
      </c>
      <c r="BQ94" s="819"/>
      <c r="BR94" s="432" t="str">
        <f>IF(LEN(VLOOKUP(AA92,suvaha!$D$8:$H$27,4,FALSE))&lt;3,"",LEFT(RIGHT(VLOOKUP(AA92,suvaha!$D$8:$H$27,4,FALSE),3),1))</f>
        <v>6</v>
      </c>
      <c r="BS94" s="434"/>
      <c r="BT94" s="432" t="str">
        <f>IF(LEN(VLOOKUP(AA92,suvaha!$D$8:$H$27,4,FALSE))&lt;2,"",LEFT(RIGHT(VLOOKUP(AA92,suvaha!$D$8:$H$27,4,FALSE),2),1))</f>
        <v>5</v>
      </c>
      <c r="BU94" s="434"/>
      <c r="BV94" s="432" t="str">
        <f>IF(VLOOKUP(AA92,suvaha!$D$8:$H$27,4,FALSE)=0,"",IF(LEN(VLOOKUP(AA92,suvaha!$D$8:$H$27,4,FALSE))&lt;1,"",LEFT(RIGHT(VLOOKUP(AA92,suvaha!$D$8:$H$27,4,FALSE),1),1)))</f>
        <v>3</v>
      </c>
      <c r="BW94" s="441"/>
      <c r="BX94" s="442"/>
      <c r="BY94" s="442"/>
      <c r="BZ94" s="442"/>
      <c r="CA94" s="442"/>
      <c r="CB94" s="442"/>
      <c r="CC94" s="442"/>
      <c r="CD94" s="442"/>
      <c r="CE94" s="442"/>
      <c r="CF94" s="442"/>
      <c r="CG94" s="254"/>
      <c r="CH94" s="878"/>
      <c r="CI94" s="878"/>
      <c r="CJ94" s="878"/>
    </row>
    <row r="95" spans="1:88" ht="3" customHeight="1">
      <c r="A95" s="220"/>
      <c r="B95" s="879"/>
      <c r="C95" s="879"/>
      <c r="D95" s="879"/>
      <c r="E95" s="870"/>
      <c r="F95" s="871"/>
      <c r="G95" s="862"/>
      <c r="H95" s="874"/>
      <c r="I95" s="874"/>
      <c r="J95" s="874"/>
      <c r="K95" s="874"/>
      <c r="L95" s="874"/>
      <c r="M95" s="874"/>
      <c r="N95" s="874"/>
      <c r="O95" s="874"/>
      <c r="P95" s="874"/>
      <c r="Q95" s="874"/>
      <c r="R95" s="874"/>
      <c r="S95" s="874"/>
      <c r="T95" s="874"/>
      <c r="U95" s="874"/>
      <c r="V95" s="874"/>
      <c r="W95" s="874"/>
      <c r="X95" s="874"/>
      <c r="Y95" s="874"/>
      <c r="Z95" s="874"/>
      <c r="AA95" s="875"/>
      <c r="AB95" s="875"/>
      <c r="AC95" s="875"/>
      <c r="AD95" s="845"/>
      <c r="AE95" s="845"/>
      <c r="AF95" s="845"/>
      <c r="AG95" s="845"/>
      <c r="AH95" s="845"/>
      <c r="AI95" s="845"/>
      <c r="AJ95" s="845"/>
      <c r="AK95" s="845"/>
      <c r="AL95" s="845"/>
      <c r="AM95" s="845"/>
      <c r="AN95" s="845"/>
      <c r="AO95" s="845"/>
      <c r="AP95" s="845"/>
      <c r="AQ95" s="845"/>
      <c r="AR95" s="845"/>
      <c r="AS95" s="845"/>
      <c r="AT95" s="845"/>
      <c r="AU95" s="845"/>
      <c r="AV95" s="845"/>
      <c r="AW95" s="845"/>
      <c r="AX95" s="845"/>
      <c r="AY95" s="845"/>
      <c r="AZ95" s="845"/>
      <c r="BA95" s="846"/>
      <c r="BB95" s="846"/>
      <c r="BC95" s="846"/>
      <c r="BD95" s="846"/>
      <c r="BE95" s="846"/>
      <c r="BF95" s="846"/>
      <c r="BG95" s="846"/>
      <c r="BH95" s="846"/>
      <c r="BI95" s="846"/>
      <c r="BJ95" s="846"/>
      <c r="BK95" s="846"/>
      <c r="BL95" s="846"/>
      <c r="BM95" s="846"/>
      <c r="BN95" s="846"/>
      <c r="BO95" s="846"/>
      <c r="BP95" s="846"/>
      <c r="BQ95" s="846"/>
      <c r="BR95" s="310"/>
      <c r="BS95" s="310"/>
      <c r="BT95" s="310"/>
      <c r="BU95" s="310"/>
      <c r="BV95" s="310"/>
      <c r="BW95" s="443"/>
      <c r="BX95" s="310"/>
      <c r="BY95" s="310"/>
      <c r="BZ95" s="310"/>
      <c r="CA95" s="310"/>
      <c r="CB95" s="310"/>
      <c r="CC95" s="310"/>
      <c r="CD95" s="310"/>
      <c r="CE95" s="310"/>
      <c r="CF95" s="310"/>
      <c r="CG95" s="258"/>
      <c r="CH95" s="878"/>
      <c r="CI95" s="878"/>
      <c r="CJ95" s="878"/>
    </row>
    <row r="96" spans="1:88" ht="3" customHeight="1">
      <c r="A96" s="220"/>
      <c r="B96" s="879"/>
      <c r="C96" s="879"/>
      <c r="D96" s="879"/>
      <c r="E96" s="870"/>
      <c r="F96" s="871"/>
      <c r="G96" s="862"/>
      <c r="H96" s="874"/>
      <c r="I96" s="874"/>
      <c r="J96" s="874"/>
      <c r="K96" s="874"/>
      <c r="L96" s="874"/>
      <c r="M96" s="874"/>
      <c r="N96" s="874"/>
      <c r="O96" s="874"/>
      <c r="P96" s="874"/>
      <c r="Q96" s="874"/>
      <c r="R96" s="874"/>
      <c r="S96" s="874"/>
      <c r="T96" s="874"/>
      <c r="U96" s="874"/>
      <c r="V96" s="874"/>
      <c r="W96" s="874"/>
      <c r="X96" s="874"/>
      <c r="Y96" s="874"/>
      <c r="Z96" s="874"/>
      <c r="AA96" s="875"/>
      <c r="AB96" s="875"/>
      <c r="AC96" s="875"/>
      <c r="AD96" s="825"/>
      <c r="AE96" s="825"/>
      <c r="AF96" s="825"/>
      <c r="AG96" s="825"/>
      <c r="AH96" s="825"/>
      <c r="AI96" s="825"/>
      <c r="AJ96" s="825"/>
      <c r="AK96" s="825"/>
      <c r="AL96" s="825"/>
      <c r="AM96" s="825"/>
      <c r="AN96" s="825"/>
      <c r="AO96" s="825"/>
      <c r="AP96" s="825"/>
      <c r="AQ96" s="825"/>
      <c r="AR96" s="825"/>
      <c r="AS96" s="825"/>
      <c r="AT96" s="825"/>
      <c r="AU96" s="825"/>
      <c r="AV96" s="825"/>
      <c r="AW96" s="825"/>
      <c r="AX96" s="825"/>
      <c r="AY96" s="825"/>
      <c r="AZ96" s="825"/>
      <c r="BA96" s="447"/>
      <c r="BB96" s="304"/>
      <c r="BC96" s="304"/>
      <c r="BD96" s="304"/>
      <c r="BE96" s="304"/>
      <c r="BF96" s="304"/>
      <c r="BG96" s="304"/>
      <c r="BH96" s="304"/>
      <c r="BI96" s="304"/>
      <c r="BJ96" s="446"/>
      <c r="BK96" s="304"/>
      <c r="BL96" s="304"/>
      <c r="BM96" s="304"/>
      <c r="BN96" s="304"/>
      <c r="BO96" s="304"/>
      <c r="BP96" s="304"/>
      <c r="BQ96" s="304"/>
      <c r="BR96" s="304"/>
      <c r="BS96" s="304"/>
      <c r="BT96" s="304"/>
      <c r="BU96" s="304"/>
      <c r="BV96" s="304"/>
      <c r="BW96" s="304"/>
      <c r="BX96" s="304"/>
      <c r="BY96" s="304"/>
      <c r="BZ96" s="304"/>
      <c r="CA96" s="304"/>
      <c r="CB96" s="304"/>
      <c r="CC96" s="304"/>
      <c r="CD96" s="304"/>
      <c r="CE96" s="304"/>
      <c r="CF96" s="304"/>
      <c r="CG96" s="253"/>
      <c r="CH96" s="878"/>
      <c r="CI96" s="878"/>
      <c r="CJ96" s="878"/>
    </row>
    <row r="97" spans="1:88" ht="3" customHeight="1">
      <c r="A97" s="220"/>
      <c r="B97" s="879"/>
      <c r="C97" s="879"/>
      <c r="D97" s="879"/>
      <c r="E97" s="870"/>
      <c r="F97" s="871"/>
      <c r="G97" s="862"/>
      <c r="H97" s="874"/>
      <c r="I97" s="874"/>
      <c r="J97" s="874"/>
      <c r="K97" s="874"/>
      <c r="L97" s="874"/>
      <c r="M97" s="874"/>
      <c r="N97" s="874"/>
      <c r="O97" s="874"/>
      <c r="P97" s="874"/>
      <c r="Q97" s="874"/>
      <c r="R97" s="874"/>
      <c r="S97" s="874"/>
      <c r="T97" s="874"/>
      <c r="U97" s="874"/>
      <c r="V97" s="874"/>
      <c r="W97" s="874"/>
      <c r="X97" s="874"/>
      <c r="Y97" s="874"/>
      <c r="Z97" s="874"/>
      <c r="AA97" s="875"/>
      <c r="AB97" s="875"/>
      <c r="AC97" s="875"/>
      <c r="AD97" s="826"/>
      <c r="AE97" s="820"/>
      <c r="AF97" s="820"/>
      <c r="AG97" s="820"/>
      <c r="AH97" s="435"/>
      <c r="AI97" s="821"/>
      <c r="AJ97" s="821"/>
      <c r="AK97" s="821"/>
      <c r="AL97" s="821"/>
      <c r="AM97" s="821"/>
      <c r="AN97" s="818" t="s">
        <v>965</v>
      </c>
      <c r="AO97" s="822"/>
      <c r="AP97" s="822"/>
      <c r="AQ97" s="822"/>
      <c r="AR97" s="822"/>
      <c r="AS97" s="822"/>
      <c r="AT97" s="819" t="s">
        <v>965</v>
      </c>
      <c r="AU97" s="822"/>
      <c r="AV97" s="822"/>
      <c r="AW97" s="822"/>
      <c r="AX97" s="822"/>
      <c r="AY97" s="822"/>
      <c r="AZ97" s="827"/>
      <c r="BA97" s="448"/>
      <c r="BB97" s="442"/>
      <c r="BC97" s="442"/>
      <c r="BD97" s="442"/>
      <c r="BE97" s="442"/>
      <c r="BF97" s="442"/>
      <c r="BG97" s="442"/>
      <c r="BH97" s="442"/>
      <c r="BI97" s="442"/>
      <c r="BJ97" s="441"/>
      <c r="BK97" s="442"/>
      <c r="BL97" s="820"/>
      <c r="BM97" s="820"/>
      <c r="BN97" s="820"/>
      <c r="BO97" s="442"/>
      <c r="BP97" s="444"/>
      <c r="BQ97" s="444"/>
      <c r="BR97" s="444"/>
      <c r="BS97" s="444"/>
      <c r="BT97" s="444"/>
      <c r="BU97" s="442"/>
      <c r="BV97" s="444"/>
      <c r="BW97" s="444"/>
      <c r="BX97" s="444"/>
      <c r="BY97" s="444"/>
      <c r="BZ97" s="444"/>
      <c r="CA97" s="445"/>
      <c r="CB97" s="444"/>
      <c r="CC97" s="444"/>
      <c r="CD97" s="444"/>
      <c r="CE97" s="444"/>
      <c r="CF97" s="444"/>
      <c r="CG97" s="259"/>
      <c r="CH97" s="878"/>
      <c r="CI97" s="878"/>
      <c r="CJ97" s="878"/>
    </row>
    <row r="98" spans="1:88" ht="15" customHeight="1">
      <c r="A98" s="220"/>
      <c r="B98" s="879"/>
      <c r="C98" s="879"/>
      <c r="D98" s="879"/>
      <c r="E98" s="870"/>
      <c r="F98" s="871"/>
      <c r="G98" s="862"/>
      <c r="H98" s="874"/>
      <c r="I98" s="874"/>
      <c r="J98" s="874"/>
      <c r="K98" s="874"/>
      <c r="L98" s="874"/>
      <c r="M98" s="874"/>
      <c r="N98" s="874"/>
      <c r="O98" s="874"/>
      <c r="P98" s="874"/>
      <c r="Q98" s="874"/>
      <c r="R98" s="874"/>
      <c r="S98" s="874"/>
      <c r="T98" s="874"/>
      <c r="U98" s="874"/>
      <c r="V98" s="874"/>
      <c r="W98" s="874"/>
      <c r="X98" s="874"/>
      <c r="Y98" s="874"/>
      <c r="Z98" s="874"/>
      <c r="AA98" s="875"/>
      <c r="AB98" s="875"/>
      <c r="AC98" s="875"/>
      <c r="AD98" s="826"/>
      <c r="AE98" s="432" t="str">
        <f>IF(LEN(VLOOKUP(AA92,suvaha!$D$8:$H$27,3,FALSE))&lt;11,"",LEFT(RIGHT(VLOOKUP(AA92,suvaha!$D$8:$H$27,3,FALSE),11),1))</f>
        <v/>
      </c>
      <c r="AF98" s="255" t="s">
        <v>965</v>
      </c>
      <c r="AG98" s="432" t="str">
        <f>IF(LEN(VLOOKUP(AA92,suvaha!$D$8:$H$27,3,FALSE))&lt;10,"",LEFT(RIGHT(VLOOKUP(AA92,suvaha!$D$8:$H$27,3,FALSE),10),1))</f>
        <v/>
      </c>
      <c r="AH98" s="434" t="s">
        <v>965</v>
      </c>
      <c r="AI98" s="432" t="str">
        <f>IF(LEN(VLOOKUP(AA92,suvaha!$D$8:$H$27,3,FALSE))&lt;9,"",LEFT(RIGHT(VLOOKUP(AA92,suvaha!$D$8:$H$27,3,FALSE),9),1))</f>
        <v/>
      </c>
      <c r="AJ98" s="255" t="s">
        <v>965</v>
      </c>
      <c r="AK98" s="432" t="str">
        <f>IF(LEN(VLOOKUP(AA92,suvaha!$D$8:$F$27,3,FALSE))&lt;8,"",LEFT(RIGHT(VLOOKUP(AA92,suvaha!$D$8:$F$27,3,FALSE),8),1))</f>
        <v/>
      </c>
      <c r="AL98" s="434" t="s">
        <v>965</v>
      </c>
      <c r="AM98" s="432" t="str">
        <f>IF(LEN(VLOOKUP(AA92,suvaha!$D$8:$H$27,3,FALSE))&lt;7,"",LEFT(RIGHT(VLOOKUP(AA92,suvaha!$D$8:$H$27,3,FALSE),7),1))</f>
        <v/>
      </c>
      <c r="AN98" s="818"/>
      <c r="AO98" s="432" t="str">
        <f>IF(LEN(VLOOKUP(AA92,suvaha!$D$8:$H$27,3,FALSE))&lt;6,"",LEFT(RIGHT(VLOOKUP(AA92,suvaha!$D$8:$H$27,3,FALSE),6),1))</f>
        <v/>
      </c>
      <c r="AP98" s="434" t="s">
        <v>965</v>
      </c>
      <c r="AQ98" s="432" t="str">
        <f>IF(LEN(VLOOKUP(AA92,suvaha!$D$8:$H$27,3,FALSE))&lt;5,"",LEFT(RIGHT(VLOOKUP(AA92,suvaha!$D$8:$H$27,3,FALSE),5),1))</f>
        <v/>
      </c>
      <c r="AR98" s="434" t="s">
        <v>965</v>
      </c>
      <c r="AS98" s="432" t="str">
        <f>IF(LEN(VLOOKUP(AA92,suvaha!$D$8:$H$27,3,FALSE))&lt;4,"",LEFT(RIGHT(VLOOKUP(AA92,suvaha!$D$8:$H$27,3,FALSE),4),1))</f>
        <v>4</v>
      </c>
      <c r="AT98" s="819"/>
      <c r="AU98" s="432" t="str">
        <f>IF(LEN(VLOOKUP(AA92,suvaha!$D$8:$H$27,3,FALSE))&lt;3,"",LEFT(RIGHT(VLOOKUP(AA92,suvaha!$D$8:$H$27,3,FALSE),3),1))</f>
        <v>1</v>
      </c>
      <c r="AV98" s="434" t="s">
        <v>965</v>
      </c>
      <c r="AW98" s="432" t="str">
        <f>IF(LEN(VLOOKUP(AA92,suvaha!$D$8:$H$27,3,FALSE))&lt;2,"",LEFT(RIGHT(VLOOKUP(AA92,suvaha!$D$8:$H$27,3,FALSE),2),1))</f>
        <v>0</v>
      </c>
      <c r="AX98" s="434" t="s">
        <v>965</v>
      </c>
      <c r="AY98" s="432" t="str">
        <f>IF(VLOOKUP(AA92,suvaha!$D$8:$H$27,3,FALSE)=0,"",IF(LEN(VLOOKUP(AA92,suvaha!$D$8:$H$27,3,FALSE))&lt;1,"",LEFT(RIGHT(VLOOKUP(AA92,suvaha!$D$8:$H$27,3,FALSE),1),1)))</f>
        <v>4</v>
      </c>
      <c r="AZ98" s="827"/>
      <c r="BA98" s="448"/>
      <c r="BB98" s="442"/>
      <c r="BC98" s="442"/>
      <c r="BD98" s="442"/>
      <c r="BE98" s="442"/>
      <c r="BF98" s="442"/>
      <c r="BG98" s="442"/>
      <c r="BH98" s="442"/>
      <c r="BI98" s="442"/>
      <c r="BJ98" s="441"/>
      <c r="BK98" s="442"/>
      <c r="BL98" s="432" t="str">
        <f>IF(LEN(VLOOKUP(AA92,suvaha!$D$8:$H$27,5,FALSE))&lt;11,"",LEFT(RIGHT(VLOOKUP(AA92,suvaha!$D$8:$H$27,5,FALSE),11),1))</f>
        <v/>
      </c>
      <c r="BM98" s="255" t="s">
        <v>965</v>
      </c>
      <c r="BN98" s="432" t="str">
        <f>IF(LEN(VLOOKUP(AA92,suvaha!$D$8:$H$27,5,FALSE))&lt;10,"",LEFT(RIGHT(VLOOKUP(AA92,suvaha!$D$8:$H$27,5,FALSE),10),1))</f>
        <v/>
      </c>
      <c r="BO98" s="442" t="s">
        <v>965</v>
      </c>
      <c r="BP98" s="432" t="str">
        <f>IF(LEN(VLOOKUP(AA92,suvaha!$D$8:$H$27,5,FALSE))&lt;9,"",LEFT(RIGHT(VLOOKUP(AA92,suvaha!$D$8:$H$27,5,FALSE),9),1))</f>
        <v/>
      </c>
      <c r="BQ98" s="434" t="s">
        <v>965</v>
      </c>
      <c r="BR98" s="432" t="str">
        <f>IF(LEN(VLOOKUP(AA92,suvaha!$D$8:$H$27,5,FALSE))&lt;8,"",LEFT(RIGHT(VLOOKUP(AA92,suvaha!$D$8:$H$27,5,FALSE),8),1))</f>
        <v/>
      </c>
      <c r="BS98" s="434" t="s">
        <v>965</v>
      </c>
      <c r="BT98" s="432" t="str">
        <f>IF(LEN(VLOOKUP(AA92,suvaha!$D$8:$H$27,5,FALSE))&lt;7,"",LEFT(RIGHT(VLOOKUP(AA92,suvaha!$D$8:$H$27,5,FALSE),7),1))</f>
        <v/>
      </c>
      <c r="BU98" s="442" t="s">
        <v>965</v>
      </c>
      <c r="BV98" s="432" t="str">
        <f>IF(LEN(VLOOKUP(AA92,suvaha!$D$8:$H$27,5,FALSE))&lt;6,"",LEFT(RIGHT(VLOOKUP(AA92,suvaha!$D$8:$H$27,5,FALSE),6),1))</f>
        <v/>
      </c>
      <c r="BW98" s="434" t="s">
        <v>965</v>
      </c>
      <c r="BX98" s="432" t="str">
        <f>IF(LEN(VLOOKUP(AA92,suvaha!$D$8:$H$27,5,FALSE))&lt;5,"",LEFT(RIGHT(VLOOKUP(AA92,suvaha!$D$8:$H$27,5,FALSE),5),1))</f>
        <v/>
      </c>
      <c r="BY98" s="434" t="s">
        <v>965</v>
      </c>
      <c r="BZ98" s="432" t="str">
        <f>IF(LEN(VLOOKUP(AA92,suvaha!$D$8:$H$27,5,FALSE))&lt;4,"",LEFT(RIGHT(VLOOKUP(AA92,suvaha!$D$8:$H$27,5,FALSE),4),1))</f>
        <v>3</v>
      </c>
      <c r="CA98" s="445" t="s">
        <v>965</v>
      </c>
      <c r="CB98" s="432" t="str">
        <f>IF(LEN(VLOOKUP(AA92,suvaha!$D$8:$H$27,5,FALSE))&lt;3,"",LEFT(RIGHT(VLOOKUP(AA92,suvaha!$D$8:$H$27,5,FALSE),3),1))</f>
        <v>1</v>
      </c>
      <c r="CC98" s="434" t="s">
        <v>965</v>
      </c>
      <c r="CD98" s="432" t="str">
        <f>IF(LEN(VLOOKUP(AA92,suvaha!$D$8:$H$27,5,FALSE))&lt;2,"",LEFT(RIGHT(VLOOKUP(AA92,suvaha!$D$8:$H$27,5,FALSE),2),1))</f>
        <v>5</v>
      </c>
      <c r="CE98" s="434" t="s">
        <v>1540</v>
      </c>
      <c r="CF98" s="432" t="str">
        <f>IF(VLOOKUP(AA92,suvaha!$D$8:$H$27,5,FALSE)=0,"",IF(LEN(VLOOKUP(AA92,suvaha!$D$8:$H$27,5,FALSE))&lt;1,"",LEFT(RIGHT(VLOOKUP(AA92,suvaha!$D$8:$H$27,5,FALSE),1),1)))</f>
        <v>3</v>
      </c>
      <c r="CG98" s="259"/>
      <c r="CH98" s="878"/>
      <c r="CI98" s="878"/>
      <c r="CJ98" s="878"/>
    </row>
    <row r="99" spans="1:88" ht="3" customHeight="1">
      <c r="A99" s="220"/>
      <c r="B99" s="879"/>
      <c r="C99" s="879"/>
      <c r="D99" s="879"/>
      <c r="E99" s="872"/>
      <c r="F99" s="873"/>
      <c r="G99" s="862"/>
      <c r="H99" s="874"/>
      <c r="I99" s="874"/>
      <c r="J99" s="874"/>
      <c r="K99" s="874"/>
      <c r="L99" s="874"/>
      <c r="M99" s="874"/>
      <c r="N99" s="874"/>
      <c r="O99" s="874"/>
      <c r="P99" s="874"/>
      <c r="Q99" s="874"/>
      <c r="R99" s="874"/>
      <c r="S99" s="874"/>
      <c r="T99" s="874"/>
      <c r="U99" s="874"/>
      <c r="V99" s="874"/>
      <c r="W99" s="874"/>
      <c r="X99" s="874"/>
      <c r="Y99" s="874"/>
      <c r="Z99" s="874"/>
      <c r="AA99" s="875"/>
      <c r="AB99" s="875"/>
      <c r="AC99" s="875"/>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449"/>
      <c r="BB99" s="310"/>
      <c r="BC99" s="310"/>
      <c r="BD99" s="310"/>
      <c r="BE99" s="310"/>
      <c r="BF99" s="310"/>
      <c r="BG99" s="310"/>
      <c r="BH99" s="310"/>
      <c r="BI99" s="310"/>
      <c r="BJ99" s="443"/>
      <c r="BK99" s="310"/>
      <c r="BL99" s="310"/>
      <c r="BM99" s="310"/>
      <c r="BN99" s="310"/>
      <c r="BO99" s="310"/>
      <c r="BP99" s="310"/>
      <c r="BQ99" s="310"/>
      <c r="BR99" s="310"/>
      <c r="BS99" s="310"/>
      <c r="BT99" s="310"/>
      <c r="BU99" s="310"/>
      <c r="BV99" s="310"/>
      <c r="BW99" s="310"/>
      <c r="BX99" s="310"/>
      <c r="BY99" s="310"/>
      <c r="BZ99" s="310"/>
      <c r="CA99" s="310"/>
      <c r="CB99" s="310"/>
      <c r="CC99" s="310"/>
      <c r="CD99" s="310"/>
      <c r="CE99" s="310"/>
      <c r="CF99" s="310"/>
      <c r="CG99" s="258"/>
      <c r="CH99" s="878"/>
      <c r="CI99" s="878"/>
      <c r="CJ99" s="878"/>
    </row>
    <row r="100" spans="1:88" s="250" customFormat="1" ht="3" customHeight="1">
      <c r="A100" s="220"/>
      <c r="B100" s="879"/>
      <c r="C100" s="879"/>
      <c r="D100" s="879"/>
      <c r="E100" s="858" t="s">
        <v>510</v>
      </c>
      <c r="F100" s="859"/>
      <c r="G100" s="862"/>
      <c r="H100" s="864" t="str">
        <f>Index!C63</f>
        <v>Pozemky (031) - 092A</v>
      </c>
      <c r="I100" s="864"/>
      <c r="J100" s="864"/>
      <c r="K100" s="864"/>
      <c r="L100" s="864"/>
      <c r="M100" s="864"/>
      <c r="N100" s="864"/>
      <c r="O100" s="864"/>
      <c r="P100" s="864"/>
      <c r="Q100" s="864"/>
      <c r="R100" s="864"/>
      <c r="S100" s="864"/>
      <c r="T100" s="864"/>
      <c r="U100" s="864"/>
      <c r="V100" s="864"/>
      <c r="W100" s="864"/>
      <c r="X100" s="864"/>
      <c r="Y100" s="864"/>
      <c r="Z100" s="864"/>
      <c r="AA100" s="866" t="s">
        <v>1550</v>
      </c>
      <c r="AB100" s="866"/>
      <c r="AC100" s="866"/>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67"/>
      <c r="BB100" s="867"/>
      <c r="BC100" s="867"/>
      <c r="BD100" s="867"/>
      <c r="BE100" s="867"/>
      <c r="BF100" s="867"/>
      <c r="BG100" s="867"/>
      <c r="BH100" s="867"/>
      <c r="BI100" s="867"/>
      <c r="BJ100" s="867"/>
      <c r="BK100" s="867"/>
      <c r="BL100" s="867"/>
      <c r="BM100" s="867"/>
      <c r="BN100" s="867"/>
      <c r="BO100" s="867"/>
      <c r="BP100" s="867"/>
      <c r="BQ100" s="867"/>
      <c r="BR100" s="304"/>
      <c r="BS100" s="304"/>
      <c r="BT100" s="304"/>
      <c r="BU100" s="304"/>
      <c r="BV100" s="304"/>
      <c r="BW100" s="446"/>
      <c r="BX100" s="304"/>
      <c r="BY100" s="304"/>
      <c r="BZ100" s="304"/>
      <c r="CA100" s="304"/>
      <c r="CB100" s="304"/>
      <c r="CC100" s="304"/>
      <c r="CD100" s="304"/>
      <c r="CE100" s="304"/>
      <c r="CF100" s="304"/>
      <c r="CG100" s="253"/>
      <c r="CH100" s="878"/>
      <c r="CI100" s="878"/>
      <c r="CJ100" s="878"/>
    </row>
    <row r="101" spans="1:88" s="250" customFormat="1" ht="3" customHeight="1">
      <c r="A101" s="220"/>
      <c r="B101" s="879"/>
      <c r="C101" s="879"/>
      <c r="D101" s="879"/>
      <c r="E101" s="858"/>
      <c r="F101" s="859"/>
      <c r="G101" s="862"/>
      <c r="H101" s="864"/>
      <c r="I101" s="864"/>
      <c r="J101" s="864"/>
      <c r="K101" s="864"/>
      <c r="L101" s="864"/>
      <c r="M101" s="864"/>
      <c r="N101" s="864"/>
      <c r="O101" s="864"/>
      <c r="P101" s="864"/>
      <c r="Q101" s="864"/>
      <c r="R101" s="864"/>
      <c r="S101" s="864"/>
      <c r="T101" s="864"/>
      <c r="U101" s="864"/>
      <c r="V101" s="864"/>
      <c r="W101" s="864"/>
      <c r="X101" s="864"/>
      <c r="Y101" s="864"/>
      <c r="Z101" s="864"/>
      <c r="AA101" s="866"/>
      <c r="AB101" s="866"/>
      <c r="AC101" s="866"/>
      <c r="AD101" s="826"/>
      <c r="AE101" s="820"/>
      <c r="AF101" s="820"/>
      <c r="AG101" s="820"/>
      <c r="AH101" s="435"/>
      <c r="AI101" s="821"/>
      <c r="AJ101" s="821"/>
      <c r="AK101" s="821"/>
      <c r="AL101" s="821"/>
      <c r="AM101" s="821"/>
      <c r="AN101" s="818"/>
      <c r="AO101" s="822"/>
      <c r="AP101" s="822"/>
      <c r="AQ101" s="822"/>
      <c r="AR101" s="822"/>
      <c r="AS101" s="822"/>
      <c r="AT101" s="819"/>
      <c r="AU101" s="822"/>
      <c r="AV101" s="822"/>
      <c r="AW101" s="822"/>
      <c r="AX101" s="822"/>
      <c r="AY101" s="822"/>
      <c r="AZ101" s="827"/>
      <c r="BA101" s="826"/>
      <c r="BB101" s="820"/>
      <c r="BC101" s="820"/>
      <c r="BD101" s="820"/>
      <c r="BE101" s="435"/>
      <c r="BF101" s="821"/>
      <c r="BG101" s="821"/>
      <c r="BH101" s="821"/>
      <c r="BI101" s="821"/>
      <c r="BJ101" s="821"/>
      <c r="BK101" s="818"/>
      <c r="BL101" s="822"/>
      <c r="BM101" s="822"/>
      <c r="BN101" s="822"/>
      <c r="BO101" s="822"/>
      <c r="BP101" s="822"/>
      <c r="BQ101" s="819"/>
      <c r="BR101" s="822"/>
      <c r="BS101" s="822"/>
      <c r="BT101" s="822"/>
      <c r="BU101" s="822"/>
      <c r="BV101" s="822"/>
      <c r="BW101" s="441"/>
      <c r="BX101" s="442"/>
      <c r="BY101" s="442"/>
      <c r="BZ101" s="442"/>
      <c r="CA101" s="442"/>
      <c r="CB101" s="442"/>
      <c r="CC101" s="442"/>
      <c r="CD101" s="442"/>
      <c r="CE101" s="442"/>
      <c r="CF101" s="442"/>
      <c r="CG101" s="254"/>
      <c r="CH101" s="878"/>
      <c r="CI101" s="878"/>
      <c r="CJ101" s="878"/>
    </row>
    <row r="102" spans="1:88" ht="15" customHeight="1">
      <c r="A102" s="220"/>
      <c r="B102" s="879"/>
      <c r="C102" s="879"/>
      <c r="D102" s="879"/>
      <c r="E102" s="858"/>
      <c r="F102" s="859"/>
      <c r="G102" s="862"/>
      <c r="H102" s="864"/>
      <c r="I102" s="864"/>
      <c r="J102" s="864"/>
      <c r="K102" s="864"/>
      <c r="L102" s="864"/>
      <c r="M102" s="864"/>
      <c r="N102" s="864"/>
      <c r="O102" s="864"/>
      <c r="P102" s="864"/>
      <c r="Q102" s="864"/>
      <c r="R102" s="864"/>
      <c r="S102" s="864"/>
      <c r="T102" s="864"/>
      <c r="U102" s="864"/>
      <c r="V102" s="864"/>
      <c r="W102" s="864"/>
      <c r="X102" s="864"/>
      <c r="Y102" s="864"/>
      <c r="Z102" s="864"/>
      <c r="AA102" s="866"/>
      <c r="AB102" s="866"/>
      <c r="AC102" s="866"/>
      <c r="AD102" s="826"/>
      <c r="AE102" s="432" t="str">
        <f>IF(LEN(VLOOKUP(AA100,suvaha!$D$8:$H$27,2,FALSE))&lt;11,"",LEFT(RIGHT(VLOOKUP(AA100,suvaha!$D$8:$H$27,2,FALSE),11),1))</f>
        <v/>
      </c>
      <c r="AF102" s="255"/>
      <c r="AG102" s="432" t="str">
        <f>IF(LEN(VLOOKUP(AA100,suvaha!$D$8:$H$27,2,FALSE))&lt;10,"",LEFT(RIGHT(VLOOKUP(AA100,suvaha!$D$8:$H$27,2,FALSE),10),1))</f>
        <v/>
      </c>
      <c r="AH102" s="434"/>
      <c r="AI102" s="432" t="str">
        <f>IF(LEN(VLOOKUP(AA100,suvaha!$D$8:$H$27,2,FALSE))&lt;9,"",LEFT(RIGHT(VLOOKUP(AA100,suvaha!$D$8:$H$27,2,FALSE),9),1))</f>
        <v/>
      </c>
      <c r="AJ102" s="255"/>
      <c r="AK102" s="432" t="str">
        <f>IF(LEN(VLOOKUP(AA100,suvaha!$D$8:$H$27,2,FALSE))&lt;8,"",LEFT(RIGHT(VLOOKUP(AA100,suvaha!$D$8:$H$27,2,FALSE),8),1))</f>
        <v/>
      </c>
      <c r="AL102" s="434"/>
      <c r="AM102" s="432" t="str">
        <f>IF(LEN(VLOOKUP(AA100,suvaha!$D$8:$H$27,2,FALSE))&lt;7,"",LEFT(RIGHT(VLOOKUP(AA100,suvaha!$D$8:$H$27,2,FALSE),7),1))</f>
        <v/>
      </c>
      <c r="AN102" s="818"/>
      <c r="AO102" s="432" t="str">
        <f>IF(LEN(VLOOKUP(AA100,suvaha!$D$8:$H$27,2,FALSE))&lt;6,"",LEFT(RIGHT(VLOOKUP(AA100,suvaha!$D$8:$H$27,2,FALSE),6),1))</f>
        <v/>
      </c>
      <c r="AP102" s="434"/>
      <c r="AQ102" s="432" t="str">
        <f>IF(LEN(VLOOKUP(AA100,suvaha!$D$8:$H$27,2,FALSE))&lt;5,"",LEFT(RIGHT(VLOOKUP(AA100,suvaha!$D$8:$H$27,2,FALSE),5),1))</f>
        <v/>
      </c>
      <c r="AR102" s="434"/>
      <c r="AS102" s="432" t="str">
        <f>IF(LEN(VLOOKUP(AA100,suvaha!$D$8:$H$27,2,FALSE))&lt;4,"",LEFT(RIGHT(VLOOKUP(AA100,suvaha!$D$8:$H$27,2,FALSE),4),1))</f>
        <v/>
      </c>
      <c r="AT102" s="819"/>
      <c r="AU102" s="432" t="str">
        <f>IF(LEN(VLOOKUP(AA100,suvaha!$D$8:$H$27,2,FALSE))&lt;3,"",LEFT(RIGHT(VLOOKUP(AA100,suvaha!$D$8:$H$27,2,FALSE),3),1))</f>
        <v/>
      </c>
      <c r="AV102" s="434"/>
      <c r="AW102" s="432" t="str">
        <f>IF(LEN(VLOOKUP(AA100,suvaha!$D$8:$H$27,2,FALSE))&lt;2,"",LEFT(RIGHT(VLOOKUP(AA100,suvaha!$D$8:$H$27,2,FALSE),2),1))</f>
        <v/>
      </c>
      <c r="AX102" s="434"/>
      <c r="AY102" s="432" t="str">
        <f>IF(VLOOKUP(AA100,suvaha!$D$8:$H$27,2,FALSE)=0,"",IF(LEN(VLOOKUP(AA100,suvaha!$D$8:$H$27,2,FALSE))&lt;1,"",LEFT(RIGHT(VLOOKUP(AA100,suvaha!$D$8:$H$27,2,FALSE),1),1)))</f>
        <v/>
      </c>
      <c r="AZ102" s="827"/>
      <c r="BA102" s="826"/>
      <c r="BB102" s="432" t="str">
        <f>IF(LEN(VLOOKUP(AA100,suvaha!$D$8:$H$27,4,FALSE))&lt;11,"",LEFT(RIGHT(VLOOKUP(AA100,suvaha!$D$8:$H$27,4,FALSE),11),1))</f>
        <v/>
      </c>
      <c r="BC102" s="255"/>
      <c r="BD102" s="432" t="str">
        <f>IF(LEN(VLOOKUP(AA100,suvaha!$D$8:$H$27,4,FALSE))&lt;10,"",LEFT(RIGHT(VLOOKUP(AA100,suvaha!$D$8:$H$27,4,FALSE),10),1))</f>
        <v/>
      </c>
      <c r="BE102" s="434"/>
      <c r="BF102" s="432" t="str">
        <f>IF(LEN(VLOOKUP(AA100,suvaha!$D$8:$H$27,4,FALSE))&lt;9,"",LEFT(RIGHT(VLOOKUP(AA100,suvaha!$D$8:$H$27,4,FALSE),9),1))</f>
        <v/>
      </c>
      <c r="BG102" s="255"/>
      <c r="BH102" s="432" t="str">
        <f>IF(LEN(VLOOKUP(AA100,suvaha!$D$8:$H$27,4,FALSE))&lt;8,"",LEFT(RIGHT(VLOOKUP(AA100,suvaha!$D$8:$H$27,4,FALSE),8),1))</f>
        <v/>
      </c>
      <c r="BI102" s="434"/>
      <c r="BJ102" s="432" t="str">
        <f>IF(LEN(VLOOKUP(AA100,suvaha!$D$8:$H$27,4,FALSE))&lt;7,"",LEFT(RIGHT(VLOOKUP(AA100,suvaha!$D$8:$H$27,4,FALSE),7),1))</f>
        <v/>
      </c>
      <c r="BK102" s="818"/>
      <c r="BL102" s="432" t="str">
        <f>IF(LEN(VLOOKUP(AA100,suvaha!$D$8:$H$27,4,FALSE))&lt;6,"",LEFT(RIGHT(VLOOKUP(AA100,suvaha!$D$8:$H$27,4,FALSE),6),1))</f>
        <v/>
      </c>
      <c r="BM102" s="434"/>
      <c r="BN102" s="432" t="str">
        <f>IF(LEN(VLOOKUP(AA100,suvaha!$D$8:$H$27,4,FALSE))&lt;5,"",LEFT(RIGHT(VLOOKUP(AA100,suvaha!$D$8:$H$27,4,FALSE),5),1))</f>
        <v/>
      </c>
      <c r="BO102" s="434"/>
      <c r="BP102" s="432" t="str">
        <f>IF(LEN(VLOOKUP(AA100,suvaha!$D$8:$H$27,4,FALSE))&lt;4,"",LEFT(RIGHT(VLOOKUP(AA100,suvaha!$D$8:$H$27,4,FALSE),4),1))</f>
        <v/>
      </c>
      <c r="BQ102" s="819"/>
      <c r="BR102" s="432" t="str">
        <f>IF(LEN(VLOOKUP(AA100,suvaha!$D$8:$H$27,4,FALSE))&lt;3,"",LEFT(RIGHT(VLOOKUP(AA100,suvaha!$D$8:$H$27,4,FALSE),3),1))</f>
        <v/>
      </c>
      <c r="BS102" s="434"/>
      <c r="BT102" s="432" t="str">
        <f>IF(LEN(VLOOKUP(AA100,suvaha!$D$8:$H$27,4,FALSE))&lt;2,"",LEFT(RIGHT(VLOOKUP(AA100,suvaha!$D$8:$H$27,4,FALSE),2),1))</f>
        <v/>
      </c>
      <c r="BU102" s="434"/>
      <c r="BV102" s="432" t="str">
        <f>IF(VLOOKUP(AA100,suvaha!$D$8:$H$27,4,FALSE)=0,"",IF(LEN(VLOOKUP(AA100,suvaha!$D$8:$H$27,4,FALSE))&lt;1,"",LEFT(RIGHT(VLOOKUP(AA100,suvaha!$D$8:$H$27,4,FALSE),1),1)))</f>
        <v/>
      </c>
      <c r="BW102" s="441"/>
      <c r="BX102" s="442"/>
      <c r="BY102" s="442"/>
      <c r="BZ102" s="442"/>
      <c r="CA102" s="442"/>
      <c r="CB102" s="442"/>
      <c r="CC102" s="442"/>
      <c r="CD102" s="442"/>
      <c r="CE102" s="442"/>
      <c r="CF102" s="442"/>
      <c r="CG102" s="254"/>
      <c r="CH102" s="878"/>
      <c r="CI102" s="878"/>
      <c r="CJ102" s="878"/>
    </row>
    <row r="103" spans="1:88" ht="3" customHeight="1">
      <c r="A103" s="220"/>
      <c r="B103" s="879"/>
      <c r="C103" s="879"/>
      <c r="D103" s="879"/>
      <c r="E103" s="858"/>
      <c r="F103" s="859"/>
      <c r="G103" s="862"/>
      <c r="H103" s="864"/>
      <c r="I103" s="864"/>
      <c r="J103" s="864"/>
      <c r="K103" s="864"/>
      <c r="L103" s="864"/>
      <c r="M103" s="864"/>
      <c r="N103" s="864"/>
      <c r="O103" s="864"/>
      <c r="P103" s="864"/>
      <c r="Q103" s="864"/>
      <c r="R103" s="864"/>
      <c r="S103" s="864"/>
      <c r="T103" s="864"/>
      <c r="U103" s="864"/>
      <c r="V103" s="864"/>
      <c r="W103" s="864"/>
      <c r="X103" s="864"/>
      <c r="Y103" s="864"/>
      <c r="Z103" s="864"/>
      <c r="AA103" s="866"/>
      <c r="AB103" s="866"/>
      <c r="AC103" s="866"/>
      <c r="AD103" s="845"/>
      <c r="AE103" s="845"/>
      <c r="AF103" s="845"/>
      <c r="AG103" s="845"/>
      <c r="AH103" s="845"/>
      <c r="AI103" s="845"/>
      <c r="AJ103" s="845"/>
      <c r="AK103" s="845"/>
      <c r="AL103" s="845"/>
      <c r="AM103" s="845"/>
      <c r="AN103" s="845"/>
      <c r="AO103" s="845"/>
      <c r="AP103" s="845"/>
      <c r="AQ103" s="845"/>
      <c r="AR103" s="845"/>
      <c r="AS103" s="845"/>
      <c r="AT103" s="845"/>
      <c r="AU103" s="845"/>
      <c r="AV103" s="845"/>
      <c r="AW103" s="845"/>
      <c r="AX103" s="845"/>
      <c r="AY103" s="845"/>
      <c r="AZ103" s="845"/>
      <c r="BA103" s="846"/>
      <c r="BB103" s="846"/>
      <c r="BC103" s="846"/>
      <c r="BD103" s="846"/>
      <c r="BE103" s="846"/>
      <c r="BF103" s="846"/>
      <c r="BG103" s="846"/>
      <c r="BH103" s="846"/>
      <c r="BI103" s="846"/>
      <c r="BJ103" s="846"/>
      <c r="BK103" s="846"/>
      <c r="BL103" s="846"/>
      <c r="BM103" s="846"/>
      <c r="BN103" s="846"/>
      <c r="BO103" s="846"/>
      <c r="BP103" s="846"/>
      <c r="BQ103" s="846"/>
      <c r="BR103" s="310"/>
      <c r="BS103" s="310"/>
      <c r="BT103" s="310"/>
      <c r="BU103" s="310"/>
      <c r="BV103" s="310"/>
      <c r="BW103" s="443"/>
      <c r="BX103" s="310"/>
      <c r="BY103" s="310"/>
      <c r="BZ103" s="310"/>
      <c r="CA103" s="310"/>
      <c r="CB103" s="310"/>
      <c r="CC103" s="310"/>
      <c r="CD103" s="310"/>
      <c r="CE103" s="310"/>
      <c r="CF103" s="310"/>
      <c r="CG103" s="258"/>
      <c r="CH103" s="878"/>
      <c r="CI103" s="878"/>
      <c r="CJ103" s="878"/>
    </row>
    <row r="104" spans="1:88" ht="3" customHeight="1">
      <c r="A104" s="220"/>
      <c r="B104" s="879"/>
      <c r="C104" s="879"/>
      <c r="D104" s="879"/>
      <c r="E104" s="858"/>
      <c r="F104" s="859"/>
      <c r="G104" s="862"/>
      <c r="H104" s="864"/>
      <c r="I104" s="864"/>
      <c r="J104" s="864"/>
      <c r="K104" s="864"/>
      <c r="L104" s="864"/>
      <c r="M104" s="864"/>
      <c r="N104" s="864"/>
      <c r="O104" s="864"/>
      <c r="P104" s="864"/>
      <c r="Q104" s="864"/>
      <c r="R104" s="864"/>
      <c r="S104" s="864"/>
      <c r="T104" s="864"/>
      <c r="U104" s="864"/>
      <c r="V104" s="864"/>
      <c r="W104" s="864"/>
      <c r="X104" s="864"/>
      <c r="Y104" s="864"/>
      <c r="Z104" s="864"/>
      <c r="AA104" s="866"/>
      <c r="AB104" s="866"/>
      <c r="AC104" s="866"/>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825"/>
      <c r="AY104" s="825"/>
      <c r="AZ104" s="825"/>
      <c r="BA104" s="447"/>
      <c r="BB104" s="304"/>
      <c r="BC104" s="304"/>
      <c r="BD104" s="304"/>
      <c r="BE104" s="304"/>
      <c r="BF104" s="304"/>
      <c r="BG104" s="304"/>
      <c r="BH104" s="304"/>
      <c r="BI104" s="304"/>
      <c r="BJ104" s="446"/>
      <c r="BK104" s="304"/>
      <c r="BL104" s="304"/>
      <c r="BM104" s="304"/>
      <c r="BN104" s="304"/>
      <c r="BO104" s="304"/>
      <c r="BP104" s="304"/>
      <c r="BQ104" s="304"/>
      <c r="BR104" s="304"/>
      <c r="BS104" s="304"/>
      <c r="BT104" s="304"/>
      <c r="BU104" s="304"/>
      <c r="BV104" s="304"/>
      <c r="BW104" s="304"/>
      <c r="BX104" s="304"/>
      <c r="BY104" s="304"/>
      <c r="BZ104" s="304"/>
      <c r="CA104" s="304"/>
      <c r="CB104" s="304"/>
      <c r="CC104" s="304"/>
      <c r="CD104" s="304"/>
      <c r="CE104" s="304"/>
      <c r="CF104" s="304"/>
      <c r="CG104" s="253"/>
      <c r="CH104" s="878"/>
      <c r="CI104" s="878"/>
      <c r="CJ104" s="878"/>
    </row>
    <row r="105" spans="1:88" ht="3" customHeight="1">
      <c r="A105" s="220"/>
      <c r="B105" s="879"/>
      <c r="C105" s="879"/>
      <c r="D105" s="879"/>
      <c r="E105" s="858"/>
      <c r="F105" s="859"/>
      <c r="G105" s="862"/>
      <c r="H105" s="864"/>
      <c r="I105" s="864"/>
      <c r="J105" s="864"/>
      <c r="K105" s="864"/>
      <c r="L105" s="864"/>
      <c r="M105" s="864"/>
      <c r="N105" s="864"/>
      <c r="O105" s="864"/>
      <c r="P105" s="864"/>
      <c r="Q105" s="864"/>
      <c r="R105" s="864"/>
      <c r="S105" s="864"/>
      <c r="T105" s="864"/>
      <c r="U105" s="864"/>
      <c r="V105" s="864"/>
      <c r="W105" s="864"/>
      <c r="X105" s="864"/>
      <c r="Y105" s="864"/>
      <c r="Z105" s="864"/>
      <c r="AA105" s="866"/>
      <c r="AB105" s="866"/>
      <c r="AC105" s="866"/>
      <c r="AD105" s="826"/>
      <c r="AE105" s="820"/>
      <c r="AF105" s="820"/>
      <c r="AG105" s="820"/>
      <c r="AH105" s="435"/>
      <c r="AI105" s="821"/>
      <c r="AJ105" s="821"/>
      <c r="AK105" s="821"/>
      <c r="AL105" s="821"/>
      <c r="AM105" s="821"/>
      <c r="AN105" s="818" t="s">
        <v>965</v>
      </c>
      <c r="AO105" s="822"/>
      <c r="AP105" s="822"/>
      <c r="AQ105" s="822"/>
      <c r="AR105" s="822"/>
      <c r="AS105" s="822"/>
      <c r="AT105" s="819" t="s">
        <v>965</v>
      </c>
      <c r="AU105" s="822"/>
      <c r="AV105" s="822"/>
      <c r="AW105" s="822"/>
      <c r="AX105" s="822"/>
      <c r="AY105" s="822"/>
      <c r="AZ105" s="827"/>
      <c r="BA105" s="448"/>
      <c r="BB105" s="442"/>
      <c r="BC105" s="442"/>
      <c r="BD105" s="442"/>
      <c r="BE105" s="442"/>
      <c r="BF105" s="442"/>
      <c r="BG105" s="442"/>
      <c r="BH105" s="442"/>
      <c r="BI105" s="442"/>
      <c r="BJ105" s="441"/>
      <c r="BK105" s="442"/>
      <c r="BL105" s="820"/>
      <c r="BM105" s="820"/>
      <c r="BN105" s="820"/>
      <c r="BO105" s="442"/>
      <c r="BP105" s="444"/>
      <c r="BQ105" s="444"/>
      <c r="BR105" s="444"/>
      <c r="BS105" s="444"/>
      <c r="BT105" s="444"/>
      <c r="BU105" s="442"/>
      <c r="BV105" s="444"/>
      <c r="BW105" s="444"/>
      <c r="BX105" s="444"/>
      <c r="BY105" s="444"/>
      <c r="BZ105" s="444"/>
      <c r="CA105" s="445"/>
      <c r="CB105" s="444"/>
      <c r="CC105" s="444"/>
      <c r="CD105" s="444"/>
      <c r="CE105" s="444"/>
      <c r="CF105" s="444"/>
      <c r="CG105" s="259"/>
      <c r="CH105" s="878"/>
      <c r="CI105" s="878"/>
      <c r="CJ105" s="878"/>
    </row>
    <row r="106" spans="1:88" ht="15" customHeight="1">
      <c r="A106" s="220"/>
      <c r="B106" s="879"/>
      <c r="C106" s="879"/>
      <c r="D106" s="879"/>
      <c r="E106" s="858"/>
      <c r="F106" s="859"/>
      <c r="G106" s="862"/>
      <c r="H106" s="864"/>
      <c r="I106" s="864"/>
      <c r="J106" s="864"/>
      <c r="K106" s="864"/>
      <c r="L106" s="864"/>
      <c r="M106" s="864"/>
      <c r="N106" s="864"/>
      <c r="O106" s="864"/>
      <c r="P106" s="864"/>
      <c r="Q106" s="864"/>
      <c r="R106" s="864"/>
      <c r="S106" s="864"/>
      <c r="T106" s="864"/>
      <c r="U106" s="864"/>
      <c r="V106" s="864"/>
      <c r="W106" s="864"/>
      <c r="X106" s="864"/>
      <c r="Y106" s="864"/>
      <c r="Z106" s="864"/>
      <c r="AA106" s="866"/>
      <c r="AB106" s="866"/>
      <c r="AC106" s="866"/>
      <c r="AD106" s="826"/>
      <c r="AE106" s="432" t="str">
        <f>IF(LEN(VLOOKUP(AA100,suvaha!$D$8:$H$27,3,FALSE))&lt;11,"",LEFT(RIGHT(VLOOKUP(AA100,suvaha!$D$8:$H$27,3,FALSE),11),1))</f>
        <v/>
      </c>
      <c r="AF106" s="255" t="s">
        <v>965</v>
      </c>
      <c r="AG106" s="432" t="str">
        <f>IF(LEN(VLOOKUP(AA100,suvaha!$D$8:$H$27,3,FALSE))&lt;10,"",LEFT(RIGHT(VLOOKUP(AA100,suvaha!$D$8:$H$27,3,FALSE),10),1))</f>
        <v/>
      </c>
      <c r="AH106" s="434" t="s">
        <v>965</v>
      </c>
      <c r="AI106" s="432" t="str">
        <f>IF(LEN(VLOOKUP(AA100,suvaha!$D$8:$H$27,3,FALSE))&lt;9,"",LEFT(RIGHT(VLOOKUP(AA100,suvaha!$D$8:$H$27,3,FALSE),9),1))</f>
        <v/>
      </c>
      <c r="AJ106" s="255" t="s">
        <v>965</v>
      </c>
      <c r="AK106" s="432" t="str">
        <f>IF(LEN(VLOOKUP(AA100,suvaha!$D$8:$F$27,3,FALSE))&lt;8,"",LEFT(RIGHT(VLOOKUP(AA100,suvaha!$D$8:$F$27,3,FALSE),8),1))</f>
        <v/>
      </c>
      <c r="AL106" s="434" t="s">
        <v>965</v>
      </c>
      <c r="AM106" s="432" t="str">
        <f>IF(LEN(VLOOKUP(AA100,suvaha!$D$8:$H$27,3,FALSE))&lt;7,"",LEFT(RIGHT(VLOOKUP(AA100,suvaha!$D$8:$H$27,3,FALSE),7),1))</f>
        <v/>
      </c>
      <c r="AN106" s="818"/>
      <c r="AO106" s="432" t="str">
        <f>IF(LEN(VLOOKUP(AA100,suvaha!$D$8:$H$27,3,FALSE))&lt;6,"",LEFT(RIGHT(VLOOKUP(AA100,suvaha!$D$8:$H$27,3,FALSE),6),1))</f>
        <v/>
      </c>
      <c r="AP106" s="434" t="s">
        <v>965</v>
      </c>
      <c r="AQ106" s="432" t="str">
        <f>IF(LEN(VLOOKUP(AA100,suvaha!$D$8:$H$27,3,FALSE))&lt;5,"",LEFT(RIGHT(VLOOKUP(AA100,suvaha!$D$8:$H$27,3,FALSE),5),1))</f>
        <v/>
      </c>
      <c r="AR106" s="434" t="s">
        <v>965</v>
      </c>
      <c r="AS106" s="432" t="str">
        <f>IF(LEN(VLOOKUP(AA100,suvaha!$D$8:$H$27,3,FALSE))&lt;4,"",LEFT(RIGHT(VLOOKUP(AA100,suvaha!$D$8:$H$27,3,FALSE),4),1))</f>
        <v/>
      </c>
      <c r="AT106" s="819"/>
      <c r="AU106" s="432" t="str">
        <f>IF(LEN(VLOOKUP(AA100,suvaha!$D$8:$H$27,3,FALSE))&lt;3,"",LEFT(RIGHT(VLOOKUP(AA100,suvaha!$D$8:$H$27,3,FALSE),3),1))</f>
        <v/>
      </c>
      <c r="AV106" s="434" t="s">
        <v>965</v>
      </c>
      <c r="AW106" s="432" t="str">
        <f>IF(LEN(VLOOKUP(AA100,suvaha!$D$8:$H$27,3,FALSE))&lt;2,"",LEFT(RIGHT(VLOOKUP(AA100,suvaha!$D$8:$H$27,3,FALSE),2),1))</f>
        <v/>
      </c>
      <c r="AX106" s="434" t="s">
        <v>965</v>
      </c>
      <c r="AY106" s="432" t="str">
        <f>IF(VLOOKUP(AA100,suvaha!$D$8:$H$27,3,FALSE)=0,"",IF(LEN(VLOOKUP(AA100,suvaha!$D$8:$H$27,3,FALSE))&lt;1,"",LEFT(RIGHT(VLOOKUP(AA100,suvaha!$D$8:$H$27,3,FALSE),1),1)))</f>
        <v/>
      </c>
      <c r="AZ106" s="827"/>
      <c r="BA106" s="448"/>
      <c r="BB106" s="442"/>
      <c r="BC106" s="442"/>
      <c r="BD106" s="442"/>
      <c r="BE106" s="442"/>
      <c r="BF106" s="442"/>
      <c r="BG106" s="442"/>
      <c r="BH106" s="442"/>
      <c r="BI106" s="442"/>
      <c r="BJ106" s="441"/>
      <c r="BK106" s="442"/>
      <c r="BL106" s="432" t="str">
        <f>IF(LEN(VLOOKUP(AA100,suvaha!$D$8:$H$27,5,FALSE))&lt;11,"",LEFT(RIGHT(VLOOKUP(AA100,suvaha!$D$8:$H$27,5,FALSE),11),1))</f>
        <v/>
      </c>
      <c r="BM106" s="255" t="s">
        <v>965</v>
      </c>
      <c r="BN106" s="432" t="str">
        <f>IF(LEN(VLOOKUP(AA100,suvaha!$D$8:$H$27,5,FALSE))&lt;10,"",LEFT(RIGHT(VLOOKUP(AA100,suvaha!$D$8:$H$27,5,FALSE),10),1))</f>
        <v/>
      </c>
      <c r="BO106" s="442" t="s">
        <v>965</v>
      </c>
      <c r="BP106" s="432" t="str">
        <f>IF(LEN(VLOOKUP(AA100,suvaha!$D$8:$H$27,5,FALSE))&lt;9,"",LEFT(RIGHT(VLOOKUP(AA100,suvaha!$D$8:$H$27,5,FALSE),9),1))</f>
        <v/>
      </c>
      <c r="BQ106" s="434" t="s">
        <v>965</v>
      </c>
      <c r="BR106" s="432" t="str">
        <f>IF(LEN(VLOOKUP(AA100,suvaha!$D$8:$H$27,5,FALSE))&lt;8,"",LEFT(RIGHT(VLOOKUP(AA100,suvaha!$D$8:$H$27,5,FALSE),8),1))</f>
        <v/>
      </c>
      <c r="BS106" s="434" t="s">
        <v>965</v>
      </c>
      <c r="BT106" s="432" t="str">
        <f>IF(LEN(VLOOKUP(AA100,suvaha!$D$8:$H$27,5,FALSE))&lt;7,"",LEFT(RIGHT(VLOOKUP(AA100,suvaha!$D$8:$H$27,5,FALSE),7),1))</f>
        <v/>
      </c>
      <c r="BU106" s="442" t="s">
        <v>965</v>
      </c>
      <c r="BV106" s="432" t="str">
        <f>IF(LEN(VLOOKUP(AA100,suvaha!$D$8:$H$27,5,FALSE))&lt;6,"",LEFT(RIGHT(VLOOKUP(AA100,suvaha!$D$8:$H$27,5,FALSE),6),1))</f>
        <v/>
      </c>
      <c r="BW106" s="434" t="s">
        <v>965</v>
      </c>
      <c r="BX106" s="432" t="str">
        <f>IF(LEN(VLOOKUP(AA100,suvaha!$D$8:$H$27,5,FALSE))&lt;5,"",LEFT(RIGHT(VLOOKUP(AA100,suvaha!$D$8:$H$27,5,FALSE),5),1))</f>
        <v/>
      </c>
      <c r="BY106" s="434" t="s">
        <v>965</v>
      </c>
      <c r="BZ106" s="432" t="str">
        <f>IF(LEN(VLOOKUP(AA100,suvaha!$D$8:$H$27,5,FALSE))&lt;4,"",LEFT(RIGHT(VLOOKUP(AA100,suvaha!$D$8:$H$27,5,FALSE),4),1))</f>
        <v/>
      </c>
      <c r="CA106" s="445" t="s">
        <v>965</v>
      </c>
      <c r="CB106" s="432" t="str">
        <f>IF(LEN(VLOOKUP(AA100,suvaha!$D$8:$H$27,5,FALSE))&lt;3,"",LEFT(RIGHT(VLOOKUP(AA100,suvaha!$D$8:$H$27,5,FALSE),3),1))</f>
        <v/>
      </c>
      <c r="CC106" s="434" t="s">
        <v>965</v>
      </c>
      <c r="CD106" s="432" t="str">
        <f>IF(LEN(VLOOKUP(AA100,suvaha!$D$8:$H$27,5,FALSE))&lt;2,"",LEFT(RIGHT(VLOOKUP(AA100,suvaha!$D$8:$H$27,5,FALSE),2),1))</f>
        <v/>
      </c>
      <c r="CE106" s="434" t="s">
        <v>1540</v>
      </c>
      <c r="CF106" s="432" t="str">
        <f>IF(VLOOKUP(AA100,suvaha!$D$8:$H$27,5,FALSE)=0,"",IF(LEN(VLOOKUP(AA100,suvaha!$D$8:$H$27,5,FALSE))&lt;1,"",LEFT(RIGHT(VLOOKUP(AA100,suvaha!$D$8:$H$27,5,FALSE),1),1)))</f>
        <v/>
      </c>
      <c r="CG106" s="259"/>
      <c r="CH106" s="878"/>
      <c r="CI106" s="878"/>
      <c r="CJ106" s="878"/>
    </row>
    <row r="107" spans="1:88" ht="3" customHeight="1">
      <c r="A107" s="220"/>
      <c r="B107" s="879"/>
      <c r="C107" s="879"/>
      <c r="D107" s="879"/>
      <c r="E107" s="860"/>
      <c r="F107" s="861"/>
      <c r="G107" s="863"/>
      <c r="H107" s="865"/>
      <c r="I107" s="865"/>
      <c r="J107" s="865"/>
      <c r="K107" s="865"/>
      <c r="L107" s="865"/>
      <c r="M107" s="865"/>
      <c r="N107" s="865"/>
      <c r="O107" s="865"/>
      <c r="P107" s="865"/>
      <c r="Q107" s="865"/>
      <c r="R107" s="865"/>
      <c r="S107" s="865"/>
      <c r="T107" s="865"/>
      <c r="U107" s="865"/>
      <c r="V107" s="865"/>
      <c r="W107" s="865"/>
      <c r="X107" s="865"/>
      <c r="Y107" s="865"/>
      <c r="Z107" s="865"/>
      <c r="AA107" s="843"/>
      <c r="AB107" s="843"/>
      <c r="AC107" s="843"/>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449"/>
      <c r="BB107" s="310"/>
      <c r="BC107" s="310"/>
      <c r="BD107" s="310"/>
      <c r="BE107" s="310"/>
      <c r="BF107" s="310"/>
      <c r="BG107" s="310"/>
      <c r="BH107" s="310"/>
      <c r="BI107" s="310"/>
      <c r="BJ107" s="443"/>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258"/>
      <c r="CH107" s="878"/>
      <c r="CI107" s="878"/>
      <c r="CJ107" s="878"/>
    </row>
    <row r="108" spans="1:88" s="250" customFormat="1" ht="3" customHeight="1">
      <c r="A108" s="220"/>
      <c r="B108" s="879"/>
      <c r="C108" s="879"/>
      <c r="D108" s="879"/>
      <c r="E108" s="852" t="s">
        <v>1542</v>
      </c>
      <c r="F108" s="853"/>
      <c r="G108" s="854"/>
      <c r="H108" s="855" t="str">
        <f>Index!C64</f>
        <v>Stavby (021) - /081, 092A/</v>
      </c>
      <c r="I108" s="856"/>
      <c r="J108" s="856"/>
      <c r="K108" s="856"/>
      <c r="L108" s="856"/>
      <c r="M108" s="856"/>
      <c r="N108" s="856"/>
      <c r="O108" s="856"/>
      <c r="P108" s="856"/>
      <c r="Q108" s="856"/>
      <c r="R108" s="856"/>
      <c r="S108" s="856"/>
      <c r="T108" s="856"/>
      <c r="U108" s="856"/>
      <c r="V108" s="856"/>
      <c r="W108" s="856"/>
      <c r="X108" s="856"/>
      <c r="Y108" s="856"/>
      <c r="Z108" s="856"/>
      <c r="AA108" s="857" t="s">
        <v>1551</v>
      </c>
      <c r="AB108" s="857"/>
      <c r="AC108" s="857"/>
      <c r="AD108" s="850"/>
      <c r="AE108" s="825"/>
      <c r="AF108" s="825"/>
      <c r="AG108" s="825"/>
      <c r="AH108" s="825"/>
      <c r="AI108" s="825"/>
      <c r="AJ108" s="825"/>
      <c r="AK108" s="825"/>
      <c r="AL108" s="825"/>
      <c r="AM108" s="825"/>
      <c r="AN108" s="825"/>
      <c r="AO108" s="825"/>
      <c r="AP108" s="825"/>
      <c r="AQ108" s="825"/>
      <c r="AR108" s="825"/>
      <c r="AS108" s="825"/>
      <c r="AT108" s="825"/>
      <c r="AU108" s="825"/>
      <c r="AV108" s="825"/>
      <c r="AW108" s="825"/>
      <c r="AX108" s="825"/>
      <c r="AY108" s="825"/>
      <c r="AZ108" s="825"/>
      <c r="BA108" s="867"/>
      <c r="BB108" s="867"/>
      <c r="BC108" s="867"/>
      <c r="BD108" s="867"/>
      <c r="BE108" s="867"/>
      <c r="BF108" s="867"/>
      <c r="BG108" s="867"/>
      <c r="BH108" s="867"/>
      <c r="BI108" s="867"/>
      <c r="BJ108" s="867"/>
      <c r="BK108" s="867"/>
      <c r="BL108" s="867"/>
      <c r="BM108" s="867"/>
      <c r="BN108" s="867"/>
      <c r="BO108" s="867"/>
      <c r="BP108" s="867"/>
      <c r="BQ108" s="867"/>
      <c r="BR108" s="304"/>
      <c r="BS108" s="304"/>
      <c r="BT108" s="304"/>
      <c r="BU108" s="304"/>
      <c r="BV108" s="304"/>
      <c r="BW108" s="446"/>
      <c r="BX108" s="304"/>
      <c r="BY108" s="304"/>
      <c r="BZ108" s="304"/>
      <c r="CA108" s="304"/>
      <c r="CB108" s="304"/>
      <c r="CC108" s="304"/>
      <c r="CD108" s="304"/>
      <c r="CE108" s="304"/>
      <c r="CF108" s="304"/>
      <c r="CG108" s="253"/>
      <c r="CH108" s="878"/>
      <c r="CI108" s="878"/>
      <c r="CJ108" s="878"/>
    </row>
    <row r="109" spans="1:88" s="250" customFormat="1" ht="3" customHeight="1">
      <c r="A109" s="220"/>
      <c r="B109" s="879"/>
      <c r="C109" s="879"/>
      <c r="D109" s="879"/>
      <c r="E109" s="852"/>
      <c r="F109" s="853"/>
      <c r="G109" s="854"/>
      <c r="H109" s="855"/>
      <c r="I109" s="856"/>
      <c r="J109" s="856"/>
      <c r="K109" s="856"/>
      <c r="L109" s="856"/>
      <c r="M109" s="856"/>
      <c r="N109" s="856"/>
      <c r="O109" s="856"/>
      <c r="P109" s="856"/>
      <c r="Q109" s="856"/>
      <c r="R109" s="856"/>
      <c r="S109" s="856"/>
      <c r="T109" s="856"/>
      <c r="U109" s="856"/>
      <c r="V109" s="856"/>
      <c r="W109" s="856"/>
      <c r="X109" s="856"/>
      <c r="Y109" s="856"/>
      <c r="Z109" s="856"/>
      <c r="AA109" s="857"/>
      <c r="AB109" s="857"/>
      <c r="AC109" s="857"/>
      <c r="AD109" s="851"/>
      <c r="AE109" s="820"/>
      <c r="AF109" s="820"/>
      <c r="AG109" s="820"/>
      <c r="AH109" s="435"/>
      <c r="AI109" s="821"/>
      <c r="AJ109" s="821"/>
      <c r="AK109" s="821"/>
      <c r="AL109" s="821"/>
      <c r="AM109" s="821"/>
      <c r="AN109" s="818"/>
      <c r="AO109" s="822"/>
      <c r="AP109" s="822"/>
      <c r="AQ109" s="822"/>
      <c r="AR109" s="822"/>
      <c r="AS109" s="822"/>
      <c r="AT109" s="819"/>
      <c r="AU109" s="822"/>
      <c r="AV109" s="822"/>
      <c r="AW109" s="822"/>
      <c r="AX109" s="822"/>
      <c r="AY109" s="822"/>
      <c r="AZ109" s="827"/>
      <c r="BA109" s="826"/>
      <c r="BB109" s="820"/>
      <c r="BC109" s="820"/>
      <c r="BD109" s="820"/>
      <c r="BE109" s="435"/>
      <c r="BF109" s="821"/>
      <c r="BG109" s="821"/>
      <c r="BH109" s="821"/>
      <c r="BI109" s="821"/>
      <c r="BJ109" s="821"/>
      <c r="BK109" s="818"/>
      <c r="BL109" s="822"/>
      <c r="BM109" s="822"/>
      <c r="BN109" s="822"/>
      <c r="BO109" s="822"/>
      <c r="BP109" s="822"/>
      <c r="BQ109" s="819"/>
      <c r="BR109" s="822"/>
      <c r="BS109" s="822"/>
      <c r="BT109" s="822"/>
      <c r="BU109" s="822"/>
      <c r="BV109" s="822"/>
      <c r="BW109" s="441"/>
      <c r="BX109" s="442"/>
      <c r="BY109" s="442"/>
      <c r="BZ109" s="442"/>
      <c r="CA109" s="442"/>
      <c r="CB109" s="442"/>
      <c r="CC109" s="442"/>
      <c r="CD109" s="442"/>
      <c r="CE109" s="442"/>
      <c r="CF109" s="442"/>
      <c r="CG109" s="254"/>
      <c r="CH109" s="878"/>
      <c r="CI109" s="878"/>
      <c r="CJ109" s="878"/>
    </row>
    <row r="110" spans="1:88" ht="15" customHeight="1">
      <c r="A110" s="220"/>
      <c r="B110" s="879"/>
      <c r="C110" s="879"/>
      <c r="D110" s="879"/>
      <c r="E110" s="852"/>
      <c r="F110" s="853"/>
      <c r="G110" s="854"/>
      <c r="H110" s="855"/>
      <c r="I110" s="856"/>
      <c r="J110" s="856"/>
      <c r="K110" s="856"/>
      <c r="L110" s="856"/>
      <c r="M110" s="856"/>
      <c r="N110" s="856"/>
      <c r="O110" s="856"/>
      <c r="P110" s="856"/>
      <c r="Q110" s="856"/>
      <c r="R110" s="856"/>
      <c r="S110" s="856"/>
      <c r="T110" s="856"/>
      <c r="U110" s="856"/>
      <c r="V110" s="856"/>
      <c r="W110" s="856"/>
      <c r="X110" s="856"/>
      <c r="Y110" s="856"/>
      <c r="Z110" s="856"/>
      <c r="AA110" s="857"/>
      <c r="AB110" s="857"/>
      <c r="AC110" s="857"/>
      <c r="AD110" s="851"/>
      <c r="AE110" s="432" t="str">
        <f>IF(LEN(VLOOKUP(AA108,suvaha!$D$8:$H$27,2,FALSE))&lt;11,"",LEFT(RIGHT(VLOOKUP(AA108,suvaha!$D$8:$H$27,2,FALSE),11),1))</f>
        <v/>
      </c>
      <c r="AF110" s="255"/>
      <c r="AG110" s="432" t="str">
        <f>IF(LEN(VLOOKUP(AA108,suvaha!$D$8:$H$27,2,FALSE))&lt;10,"",LEFT(RIGHT(VLOOKUP(AA108,suvaha!$D$8:$H$27,2,FALSE),10),1))</f>
        <v/>
      </c>
      <c r="AH110" s="434"/>
      <c r="AI110" s="432" t="str">
        <f>IF(LEN(VLOOKUP(AA108,suvaha!$D$8:$H$27,2,FALSE))&lt;9,"",LEFT(RIGHT(VLOOKUP(AA108,suvaha!$D$8:$H$27,2,FALSE),9),1))</f>
        <v/>
      </c>
      <c r="AJ110" s="255"/>
      <c r="AK110" s="432" t="str">
        <f>IF(LEN(VLOOKUP(AA108,suvaha!$D$8:$H$27,2,FALSE))&lt;8,"",LEFT(RIGHT(VLOOKUP(AA108,suvaha!$D$8:$H$27,2,FALSE),8),1))</f>
        <v/>
      </c>
      <c r="AL110" s="434"/>
      <c r="AM110" s="432" t="str">
        <f>IF(LEN(VLOOKUP(AA108,suvaha!$D$8:$H$27,2,FALSE))&lt;7,"",LEFT(RIGHT(VLOOKUP(AA108,suvaha!$D$8:$H$27,2,FALSE),7),1))</f>
        <v/>
      </c>
      <c r="AN110" s="818"/>
      <c r="AO110" s="432" t="str">
        <f>IF(LEN(VLOOKUP(AA108,suvaha!$D$8:$H$27,2,FALSE))&lt;6,"",LEFT(RIGHT(VLOOKUP(AA108,suvaha!$D$8:$H$27,2,FALSE),6),1))</f>
        <v/>
      </c>
      <c r="AP110" s="434"/>
      <c r="AQ110" s="432" t="str">
        <f>IF(LEN(VLOOKUP(AA108,suvaha!$D$8:$H$27,2,FALSE))&lt;5,"",LEFT(RIGHT(VLOOKUP(AA108,suvaha!$D$8:$H$27,2,FALSE),5),1))</f>
        <v/>
      </c>
      <c r="AR110" s="434"/>
      <c r="AS110" s="432" t="str">
        <f>IF(LEN(VLOOKUP(AA108,suvaha!$D$8:$H$27,2,FALSE))&lt;4,"",LEFT(RIGHT(VLOOKUP(AA108,suvaha!$D$8:$H$27,2,FALSE),4),1))</f>
        <v/>
      </c>
      <c r="AT110" s="819"/>
      <c r="AU110" s="432" t="str">
        <f>IF(LEN(VLOOKUP(AA108,suvaha!$D$8:$H$27,2,FALSE))&lt;3,"",LEFT(RIGHT(VLOOKUP(AA108,suvaha!$D$8:$H$27,2,FALSE),3),1))</f>
        <v/>
      </c>
      <c r="AV110" s="434"/>
      <c r="AW110" s="432" t="str">
        <f>IF(LEN(VLOOKUP(AA108,suvaha!$D$8:$H$27,2,FALSE))&lt;2,"",LEFT(RIGHT(VLOOKUP(AA108,suvaha!$D$8:$H$27,2,FALSE),2),1))</f>
        <v/>
      </c>
      <c r="AX110" s="434"/>
      <c r="AY110" s="432" t="str">
        <f>IF(VLOOKUP(AA108,suvaha!$D$8:$H$27,2,FALSE)=0,"",IF(LEN(VLOOKUP(AA108,suvaha!$D$8:$H$27,2,FALSE))&lt;1,"",LEFT(RIGHT(VLOOKUP(AA108,suvaha!$D$8:$H$27,2,FALSE),1),1)))</f>
        <v/>
      </c>
      <c r="AZ110" s="827"/>
      <c r="BA110" s="826"/>
      <c r="BB110" s="432" t="str">
        <f>IF(LEN(VLOOKUP(AA108,suvaha!$D$8:$H$27,4,FALSE))&lt;11,"",LEFT(RIGHT(VLOOKUP(AA108,suvaha!$D$8:$H$27,4,FALSE),11),1))</f>
        <v/>
      </c>
      <c r="BC110" s="255"/>
      <c r="BD110" s="432" t="str">
        <f>IF(LEN(VLOOKUP(AA108,suvaha!$D$8:$H$27,4,FALSE))&lt;10,"",LEFT(RIGHT(VLOOKUP(AA108,suvaha!$D$8:$H$27,4,FALSE),10),1))</f>
        <v/>
      </c>
      <c r="BE110" s="434"/>
      <c r="BF110" s="432" t="str">
        <f>IF(LEN(VLOOKUP(AA108,suvaha!$D$8:$H$27,4,FALSE))&lt;9,"",LEFT(RIGHT(VLOOKUP(AA108,suvaha!$D$8:$H$27,4,FALSE),9),1))</f>
        <v/>
      </c>
      <c r="BG110" s="255"/>
      <c r="BH110" s="432" t="str">
        <f>IF(LEN(VLOOKUP(AA108,suvaha!$D$8:$H$27,4,FALSE))&lt;8,"",LEFT(RIGHT(VLOOKUP(AA108,suvaha!$D$8:$H$27,4,FALSE),8),1))</f>
        <v/>
      </c>
      <c r="BI110" s="434"/>
      <c r="BJ110" s="432" t="str">
        <f>IF(LEN(VLOOKUP(AA108,suvaha!$D$8:$H$27,4,FALSE))&lt;7,"",LEFT(RIGHT(VLOOKUP(AA108,suvaha!$D$8:$H$27,4,FALSE),7),1))</f>
        <v/>
      </c>
      <c r="BK110" s="818"/>
      <c r="BL110" s="432" t="str">
        <f>IF(LEN(VLOOKUP(AA108,suvaha!$D$8:$H$27,4,FALSE))&lt;6,"",LEFT(RIGHT(VLOOKUP(AA108,suvaha!$D$8:$H$27,4,FALSE),6),1))</f>
        <v/>
      </c>
      <c r="BM110" s="434"/>
      <c r="BN110" s="432" t="str">
        <f>IF(LEN(VLOOKUP(AA108,suvaha!$D$8:$H$27,4,FALSE))&lt;5,"",LEFT(RIGHT(VLOOKUP(AA108,suvaha!$D$8:$H$27,4,FALSE),5),1))</f>
        <v/>
      </c>
      <c r="BO110" s="434"/>
      <c r="BP110" s="432" t="str">
        <f>IF(LEN(VLOOKUP(AA108,suvaha!$D$8:$H$27,4,FALSE))&lt;4,"",LEFT(RIGHT(VLOOKUP(AA108,suvaha!$D$8:$H$27,4,FALSE),4),1))</f>
        <v/>
      </c>
      <c r="BQ110" s="819"/>
      <c r="BR110" s="432" t="str">
        <f>IF(LEN(VLOOKUP(AA108,suvaha!$D$8:$H$27,4,FALSE))&lt;3,"",LEFT(RIGHT(VLOOKUP(AA108,suvaha!$D$8:$H$27,4,FALSE),3),1))</f>
        <v/>
      </c>
      <c r="BS110" s="434"/>
      <c r="BT110" s="432" t="str">
        <f>IF(LEN(VLOOKUP(AA108,suvaha!$D$8:$H$27,4,FALSE))&lt;2,"",LEFT(RIGHT(VLOOKUP(AA108,suvaha!$D$8:$H$27,4,FALSE),2),1))</f>
        <v/>
      </c>
      <c r="BU110" s="434"/>
      <c r="BV110" s="432" t="str">
        <f>IF(VLOOKUP(AA108,suvaha!$D$8:$H$27,4,FALSE)=0,"",IF(LEN(VLOOKUP(AA108,suvaha!$D$8:$H$27,4,FALSE))&lt;1,"",LEFT(RIGHT(VLOOKUP(AA108,suvaha!$D$8:$H$27,4,FALSE),1),1)))</f>
        <v/>
      </c>
      <c r="BW110" s="441"/>
      <c r="BX110" s="442"/>
      <c r="BY110" s="442"/>
      <c r="BZ110" s="442"/>
      <c r="CA110" s="442"/>
      <c r="CB110" s="442"/>
      <c r="CC110" s="442"/>
      <c r="CD110" s="442"/>
      <c r="CE110" s="442"/>
      <c r="CF110" s="442"/>
      <c r="CG110" s="254"/>
      <c r="CH110" s="878"/>
      <c r="CI110" s="878"/>
      <c r="CJ110" s="878"/>
    </row>
    <row r="111" spans="1:88" ht="3" customHeight="1">
      <c r="A111" s="220"/>
      <c r="B111" s="879"/>
      <c r="C111" s="879"/>
      <c r="D111" s="879"/>
      <c r="E111" s="852"/>
      <c r="F111" s="853"/>
      <c r="G111" s="854"/>
      <c r="H111" s="855"/>
      <c r="I111" s="856"/>
      <c r="J111" s="856"/>
      <c r="K111" s="856"/>
      <c r="L111" s="856"/>
      <c r="M111" s="856"/>
      <c r="N111" s="856"/>
      <c r="O111" s="856"/>
      <c r="P111" s="856"/>
      <c r="Q111" s="856"/>
      <c r="R111" s="856"/>
      <c r="S111" s="856"/>
      <c r="T111" s="856"/>
      <c r="U111" s="856"/>
      <c r="V111" s="856"/>
      <c r="W111" s="856"/>
      <c r="X111" s="856"/>
      <c r="Y111" s="856"/>
      <c r="Z111" s="856"/>
      <c r="AA111" s="857"/>
      <c r="AB111" s="857"/>
      <c r="AC111" s="857"/>
      <c r="AD111" s="849"/>
      <c r="AE111" s="845"/>
      <c r="AF111" s="845"/>
      <c r="AG111" s="845"/>
      <c r="AH111" s="845"/>
      <c r="AI111" s="845"/>
      <c r="AJ111" s="845"/>
      <c r="AK111" s="845"/>
      <c r="AL111" s="845"/>
      <c r="AM111" s="845"/>
      <c r="AN111" s="845"/>
      <c r="AO111" s="845"/>
      <c r="AP111" s="845"/>
      <c r="AQ111" s="845"/>
      <c r="AR111" s="845"/>
      <c r="AS111" s="845"/>
      <c r="AT111" s="845"/>
      <c r="AU111" s="845"/>
      <c r="AV111" s="845"/>
      <c r="AW111" s="845"/>
      <c r="AX111" s="845"/>
      <c r="AY111" s="845"/>
      <c r="AZ111" s="845"/>
      <c r="BA111" s="846"/>
      <c r="BB111" s="846"/>
      <c r="BC111" s="846"/>
      <c r="BD111" s="846"/>
      <c r="BE111" s="846"/>
      <c r="BF111" s="846"/>
      <c r="BG111" s="846"/>
      <c r="BH111" s="846"/>
      <c r="BI111" s="846"/>
      <c r="BJ111" s="846"/>
      <c r="BK111" s="846"/>
      <c r="BL111" s="846"/>
      <c r="BM111" s="846"/>
      <c r="BN111" s="846"/>
      <c r="BO111" s="846"/>
      <c r="BP111" s="846"/>
      <c r="BQ111" s="846"/>
      <c r="BR111" s="310"/>
      <c r="BS111" s="310"/>
      <c r="BT111" s="310"/>
      <c r="BU111" s="310"/>
      <c r="BV111" s="310"/>
      <c r="BW111" s="443"/>
      <c r="BX111" s="310"/>
      <c r="BY111" s="310"/>
      <c r="BZ111" s="310"/>
      <c r="CA111" s="310"/>
      <c r="CB111" s="310"/>
      <c r="CC111" s="310"/>
      <c r="CD111" s="310"/>
      <c r="CE111" s="310"/>
      <c r="CF111" s="310"/>
      <c r="CG111" s="258"/>
      <c r="CH111" s="878"/>
      <c r="CI111" s="878"/>
      <c r="CJ111" s="878"/>
    </row>
    <row r="112" spans="1:88" ht="3" customHeight="1">
      <c r="A112" s="220"/>
      <c r="B112" s="879"/>
      <c r="C112" s="879"/>
      <c r="D112" s="879"/>
      <c r="E112" s="852"/>
      <c r="F112" s="853"/>
      <c r="G112" s="854"/>
      <c r="H112" s="855"/>
      <c r="I112" s="856"/>
      <c r="J112" s="856"/>
      <c r="K112" s="856"/>
      <c r="L112" s="856"/>
      <c r="M112" s="856"/>
      <c r="N112" s="856"/>
      <c r="O112" s="856"/>
      <c r="P112" s="856"/>
      <c r="Q112" s="856"/>
      <c r="R112" s="856"/>
      <c r="S112" s="856"/>
      <c r="T112" s="856"/>
      <c r="U112" s="856"/>
      <c r="V112" s="856"/>
      <c r="W112" s="856"/>
      <c r="X112" s="856"/>
      <c r="Y112" s="856"/>
      <c r="Z112" s="856"/>
      <c r="AA112" s="857"/>
      <c r="AB112" s="857"/>
      <c r="AC112" s="857"/>
      <c r="AD112" s="850"/>
      <c r="AE112" s="825"/>
      <c r="AF112" s="825"/>
      <c r="AG112" s="825"/>
      <c r="AH112" s="825"/>
      <c r="AI112" s="825"/>
      <c r="AJ112" s="825"/>
      <c r="AK112" s="825"/>
      <c r="AL112" s="825"/>
      <c r="AM112" s="825"/>
      <c r="AN112" s="825"/>
      <c r="AO112" s="825"/>
      <c r="AP112" s="825"/>
      <c r="AQ112" s="825"/>
      <c r="AR112" s="825"/>
      <c r="AS112" s="825"/>
      <c r="AT112" s="825"/>
      <c r="AU112" s="825"/>
      <c r="AV112" s="825"/>
      <c r="AW112" s="825"/>
      <c r="AX112" s="825"/>
      <c r="AY112" s="825"/>
      <c r="AZ112" s="825"/>
      <c r="BA112" s="447"/>
      <c r="BB112" s="304"/>
      <c r="BC112" s="304"/>
      <c r="BD112" s="304"/>
      <c r="BE112" s="304"/>
      <c r="BF112" s="304"/>
      <c r="BG112" s="304"/>
      <c r="BH112" s="304"/>
      <c r="BI112" s="304"/>
      <c r="BJ112" s="446"/>
      <c r="BK112" s="304"/>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253"/>
      <c r="CH112" s="878"/>
      <c r="CI112" s="878"/>
      <c r="CJ112" s="878"/>
    </row>
    <row r="113" spans="1:88" ht="3" customHeight="1">
      <c r="A113" s="220"/>
      <c r="B113" s="879"/>
      <c r="C113" s="879"/>
      <c r="D113" s="879"/>
      <c r="E113" s="852"/>
      <c r="F113" s="853"/>
      <c r="G113" s="854"/>
      <c r="H113" s="855"/>
      <c r="I113" s="856"/>
      <c r="J113" s="856"/>
      <c r="K113" s="856"/>
      <c r="L113" s="856"/>
      <c r="M113" s="856"/>
      <c r="N113" s="856"/>
      <c r="O113" s="856"/>
      <c r="P113" s="856"/>
      <c r="Q113" s="856"/>
      <c r="R113" s="856"/>
      <c r="S113" s="856"/>
      <c r="T113" s="856"/>
      <c r="U113" s="856"/>
      <c r="V113" s="856"/>
      <c r="W113" s="856"/>
      <c r="X113" s="856"/>
      <c r="Y113" s="856"/>
      <c r="Z113" s="856"/>
      <c r="AA113" s="857"/>
      <c r="AB113" s="857"/>
      <c r="AC113" s="857"/>
      <c r="AD113" s="851"/>
      <c r="AE113" s="820"/>
      <c r="AF113" s="820"/>
      <c r="AG113" s="820"/>
      <c r="AH113" s="435"/>
      <c r="AI113" s="821"/>
      <c r="AJ113" s="821"/>
      <c r="AK113" s="821"/>
      <c r="AL113" s="821"/>
      <c r="AM113" s="821"/>
      <c r="AN113" s="818" t="s">
        <v>965</v>
      </c>
      <c r="AO113" s="822"/>
      <c r="AP113" s="822"/>
      <c r="AQ113" s="822"/>
      <c r="AR113" s="822"/>
      <c r="AS113" s="822"/>
      <c r="AT113" s="819" t="s">
        <v>965</v>
      </c>
      <c r="AU113" s="822"/>
      <c r="AV113" s="822"/>
      <c r="AW113" s="822"/>
      <c r="AX113" s="822"/>
      <c r="AY113" s="822"/>
      <c r="AZ113" s="827"/>
      <c r="BA113" s="448"/>
      <c r="BB113" s="442"/>
      <c r="BC113" s="442"/>
      <c r="BD113" s="442"/>
      <c r="BE113" s="442"/>
      <c r="BF113" s="442"/>
      <c r="BG113" s="442"/>
      <c r="BH113" s="442"/>
      <c r="BI113" s="442"/>
      <c r="BJ113" s="441"/>
      <c r="BK113" s="442"/>
      <c r="BL113" s="820"/>
      <c r="BM113" s="820"/>
      <c r="BN113" s="820"/>
      <c r="BO113" s="435"/>
      <c r="BP113" s="821"/>
      <c r="BQ113" s="821"/>
      <c r="BR113" s="821"/>
      <c r="BS113" s="821"/>
      <c r="BT113" s="821"/>
      <c r="BU113" s="818"/>
      <c r="BV113" s="822"/>
      <c r="BW113" s="822"/>
      <c r="BX113" s="822"/>
      <c r="BY113" s="822"/>
      <c r="BZ113" s="822"/>
      <c r="CA113" s="819"/>
      <c r="CB113" s="822"/>
      <c r="CC113" s="822"/>
      <c r="CD113" s="822"/>
      <c r="CE113" s="822"/>
      <c r="CF113" s="822"/>
      <c r="CG113" s="259"/>
      <c r="CH113" s="878"/>
      <c r="CI113" s="878"/>
      <c r="CJ113" s="878"/>
    </row>
    <row r="114" spans="1:88" ht="15" customHeight="1">
      <c r="A114" s="220"/>
      <c r="B114" s="879"/>
      <c r="C114" s="879"/>
      <c r="D114" s="879"/>
      <c r="E114" s="852"/>
      <c r="F114" s="853"/>
      <c r="G114" s="854"/>
      <c r="H114" s="855"/>
      <c r="I114" s="856"/>
      <c r="J114" s="856"/>
      <c r="K114" s="856"/>
      <c r="L114" s="856"/>
      <c r="M114" s="856"/>
      <c r="N114" s="856"/>
      <c r="O114" s="856"/>
      <c r="P114" s="856"/>
      <c r="Q114" s="856"/>
      <c r="R114" s="856"/>
      <c r="S114" s="856"/>
      <c r="T114" s="856"/>
      <c r="U114" s="856"/>
      <c r="V114" s="856"/>
      <c r="W114" s="856"/>
      <c r="X114" s="856"/>
      <c r="Y114" s="856"/>
      <c r="Z114" s="856"/>
      <c r="AA114" s="857"/>
      <c r="AB114" s="857"/>
      <c r="AC114" s="857"/>
      <c r="AD114" s="851"/>
      <c r="AE114" s="432" t="str">
        <f>IF(LEN(VLOOKUP(AA108,suvaha!$D$8:$H$27,3,FALSE))&lt;11,"",LEFT(RIGHT(VLOOKUP(AA108,suvaha!$D$8:$H$27,3,FALSE),11),1))</f>
        <v/>
      </c>
      <c r="AF114" s="255" t="s">
        <v>965</v>
      </c>
      <c r="AG114" s="432" t="str">
        <f>IF(LEN(VLOOKUP(AA108,suvaha!$D$8:$H$27,3,FALSE))&lt;10,"",LEFT(RIGHT(VLOOKUP(AA108,suvaha!$D$8:$H$27,3,FALSE),10),1))</f>
        <v/>
      </c>
      <c r="AH114" s="434" t="s">
        <v>965</v>
      </c>
      <c r="AI114" s="432" t="str">
        <f>IF(LEN(VLOOKUP(AA108,suvaha!$D$8:$H$27,3,FALSE))&lt;9,"",LEFT(RIGHT(VLOOKUP(AA108,suvaha!$D$8:$H$27,3,FALSE),9),1))</f>
        <v/>
      </c>
      <c r="AJ114" s="255" t="s">
        <v>965</v>
      </c>
      <c r="AK114" s="432" t="str">
        <f>IF(LEN(VLOOKUP(AA108,suvaha!$D$8:$F$27,3,FALSE))&lt;8,"",LEFT(RIGHT(VLOOKUP(AA108,suvaha!$D$8:$F$27,3,FALSE),8),1))</f>
        <v/>
      </c>
      <c r="AL114" s="434" t="s">
        <v>965</v>
      </c>
      <c r="AM114" s="432" t="str">
        <f>IF(LEN(VLOOKUP(AA108,suvaha!$D$8:$H$27,3,FALSE))&lt;7,"",LEFT(RIGHT(VLOOKUP(AA108,suvaha!$D$8:$H$27,3,FALSE),7),1))</f>
        <v/>
      </c>
      <c r="AN114" s="818"/>
      <c r="AO114" s="432" t="str">
        <f>IF(LEN(VLOOKUP(AA108,suvaha!$D$8:$H$27,3,FALSE))&lt;6,"",LEFT(RIGHT(VLOOKUP(AA108,suvaha!$D$8:$H$27,3,FALSE),6),1))</f>
        <v/>
      </c>
      <c r="AP114" s="434" t="s">
        <v>965</v>
      </c>
      <c r="AQ114" s="432" t="str">
        <f>IF(LEN(VLOOKUP(AA108,suvaha!$D$8:$H$27,3,FALSE))&lt;5,"",LEFT(RIGHT(VLOOKUP(AA108,suvaha!$D$8:$H$27,3,FALSE),5),1))</f>
        <v/>
      </c>
      <c r="AR114" s="434" t="s">
        <v>965</v>
      </c>
      <c r="AS114" s="432" t="str">
        <f>IF(LEN(VLOOKUP(AA108,suvaha!$D$8:$H$27,3,FALSE))&lt;4,"",LEFT(RIGHT(VLOOKUP(AA108,suvaha!$D$8:$H$27,3,FALSE),4),1))</f>
        <v/>
      </c>
      <c r="AT114" s="819"/>
      <c r="AU114" s="432" t="str">
        <f>IF(LEN(VLOOKUP(AA108,suvaha!$D$8:$H$27,3,FALSE))&lt;3,"",LEFT(RIGHT(VLOOKUP(AA108,suvaha!$D$8:$H$27,3,FALSE),3),1))</f>
        <v/>
      </c>
      <c r="AV114" s="434" t="s">
        <v>965</v>
      </c>
      <c r="AW114" s="432" t="str">
        <f>IF(LEN(VLOOKUP(AA108,suvaha!$D$8:$H$27,3,FALSE))&lt;2,"",LEFT(RIGHT(VLOOKUP(AA108,suvaha!$D$8:$H$27,3,FALSE),2),1))</f>
        <v/>
      </c>
      <c r="AX114" s="434" t="s">
        <v>965</v>
      </c>
      <c r="AY114" s="432" t="str">
        <f>IF(VLOOKUP(AA108,suvaha!$D$8:$H$27,3,FALSE)=0,"",IF(LEN(VLOOKUP(AA108,suvaha!$D$8:$H$27,3,FALSE))&lt;1,"",LEFT(RIGHT(VLOOKUP(AA108,suvaha!$D$8:$H$27,3,FALSE),1),1)))</f>
        <v/>
      </c>
      <c r="AZ114" s="827"/>
      <c r="BA114" s="448"/>
      <c r="BB114" s="442"/>
      <c r="BC114" s="442"/>
      <c r="BD114" s="442"/>
      <c r="BE114" s="442"/>
      <c r="BF114" s="442"/>
      <c r="BG114" s="442"/>
      <c r="BH114" s="442"/>
      <c r="BI114" s="442"/>
      <c r="BJ114" s="441"/>
      <c r="BK114" s="442"/>
      <c r="BL114" s="432" t="str">
        <f>IF(LEN(VLOOKUP(AA108,suvaha!$D$8:$H$27,5,FALSE))&lt;11,"",LEFT(RIGHT(VLOOKUP(AA108,suvaha!$D$8:$H$27,5,FALSE),11),1))</f>
        <v/>
      </c>
      <c r="BM114" s="255" t="s">
        <v>965</v>
      </c>
      <c r="BN114" s="432" t="str">
        <f>IF(LEN(VLOOKUP(AA108,suvaha!$D$8:$H$27,5,FALSE))&lt;10,"",LEFT(RIGHT(VLOOKUP(AA108,suvaha!$D$8:$H$27,5,FALSE),10),1))</f>
        <v/>
      </c>
      <c r="BO114" s="434" t="s">
        <v>965</v>
      </c>
      <c r="BP114" s="432" t="str">
        <f>IF(LEN(VLOOKUP(AA108,suvaha!$D$8:$H$27,5,FALSE))&lt;9,"",LEFT(RIGHT(VLOOKUP(AA108,suvaha!$D$8:$H$27,5,FALSE),9),1))</f>
        <v/>
      </c>
      <c r="BQ114" s="255" t="s">
        <v>965</v>
      </c>
      <c r="BR114" s="432" t="str">
        <f>IF(LEN(VLOOKUP(AA108,suvaha!$D$8:$H$27,5,FALSE))&lt;8,"",LEFT(RIGHT(VLOOKUP(AA108,suvaha!$D$8:$H$27,5,FALSE),8),1))</f>
        <v/>
      </c>
      <c r="BS114" s="434" t="s">
        <v>965</v>
      </c>
      <c r="BT114" s="432" t="str">
        <f>IF(LEN(VLOOKUP(AA108,suvaha!$D$8:$H$27,5,FALSE))&lt;7,"",LEFT(RIGHT(VLOOKUP(AA108,suvaha!$D$8:$H$27,5,FALSE),7),1))</f>
        <v/>
      </c>
      <c r="BU114" s="818" t="s">
        <v>965</v>
      </c>
      <c r="BV114" s="432" t="str">
        <f>IF(LEN(VLOOKUP(AA108,suvaha!$D$8:$H$27,5,FALSE))&lt;6,"",LEFT(RIGHT(VLOOKUP(AA108,suvaha!$D$8:$H$27,5,FALSE),6),1))</f>
        <v/>
      </c>
      <c r="BW114" s="434" t="s">
        <v>965</v>
      </c>
      <c r="BX114" s="432" t="str">
        <f>IF(LEN(VLOOKUP(AA108,suvaha!$D$8:$H$27,5,FALSE))&lt;5,"",LEFT(RIGHT(VLOOKUP(AA108,suvaha!$D$8:$H$27,5,FALSE),5),1))</f>
        <v/>
      </c>
      <c r="BY114" s="434" t="s">
        <v>965</v>
      </c>
      <c r="BZ114" s="432" t="str">
        <f>IF(LEN(VLOOKUP(AA108,suvaha!$D$8:$H$27,5,FALSE))&lt;4,"",LEFT(RIGHT(VLOOKUP(AA108,suvaha!$D$8:$H$27,5,FALSE),4),1))</f>
        <v/>
      </c>
      <c r="CA114" s="819" t="s">
        <v>965</v>
      </c>
      <c r="CB114" s="432" t="str">
        <f>IF(LEN(VLOOKUP(AA108,suvaha!$D$8:$H$27,5,FALSE))&lt;3,"",LEFT(RIGHT(VLOOKUP(AA108,suvaha!$D$8:$H$27,5,FALSE),3),1))</f>
        <v/>
      </c>
      <c r="CC114" s="434" t="s">
        <v>965</v>
      </c>
      <c r="CD114" s="432" t="str">
        <f>IF(LEN(VLOOKUP(AA108,suvaha!$D$8:$H$27,5,FALSE))&lt;2,"",LEFT(RIGHT(VLOOKUP(AA108,suvaha!$D$8:$H$27,5,FALSE),2),1))</f>
        <v/>
      </c>
      <c r="CE114" s="434" t="s">
        <v>1540</v>
      </c>
      <c r="CF114" s="432" t="str">
        <f>IF(VLOOKUP(AA108,suvaha!$D$8:$H$27,5,FALSE)=0,"",IF(LEN(VLOOKUP(AA108,suvaha!$D$8:$H$27,5,FALSE))&lt;1,"",LEFT(RIGHT(VLOOKUP(AA108,suvaha!$D$8:$H$27,5,FALSE),1),1)))</f>
        <v/>
      </c>
      <c r="CG114" s="259"/>
      <c r="CH114" s="878"/>
      <c r="CI114" s="878"/>
      <c r="CJ114" s="878"/>
    </row>
    <row r="115" spans="1:88" ht="3" customHeight="1">
      <c r="A115" s="220"/>
      <c r="B115" s="879"/>
      <c r="C115" s="879"/>
      <c r="D115" s="879"/>
      <c r="E115" s="852"/>
      <c r="F115" s="853"/>
      <c r="G115" s="854"/>
      <c r="H115" s="855"/>
      <c r="I115" s="856"/>
      <c r="J115" s="856"/>
      <c r="K115" s="856"/>
      <c r="L115" s="856"/>
      <c r="M115" s="856"/>
      <c r="N115" s="856"/>
      <c r="O115" s="856"/>
      <c r="P115" s="856"/>
      <c r="Q115" s="856"/>
      <c r="R115" s="856"/>
      <c r="S115" s="856"/>
      <c r="T115" s="856"/>
      <c r="U115" s="856"/>
      <c r="V115" s="856"/>
      <c r="W115" s="856"/>
      <c r="X115" s="856"/>
      <c r="Y115" s="856"/>
      <c r="Z115" s="856"/>
      <c r="AA115" s="857"/>
      <c r="AB115" s="857"/>
      <c r="AC115" s="857"/>
      <c r="AD115" s="847"/>
      <c r="AE115" s="848"/>
      <c r="AF115" s="848"/>
      <c r="AG115" s="848"/>
      <c r="AH115" s="848"/>
      <c r="AI115" s="848"/>
      <c r="AJ115" s="848"/>
      <c r="AK115" s="848"/>
      <c r="AL115" s="848"/>
      <c r="AM115" s="848"/>
      <c r="AN115" s="848"/>
      <c r="AO115" s="848"/>
      <c r="AP115" s="848"/>
      <c r="AQ115" s="848"/>
      <c r="AR115" s="848"/>
      <c r="AS115" s="848"/>
      <c r="AT115" s="848"/>
      <c r="AU115" s="848"/>
      <c r="AV115" s="848"/>
      <c r="AW115" s="848"/>
      <c r="AX115" s="848"/>
      <c r="AY115" s="848"/>
      <c r="AZ115" s="848"/>
      <c r="BA115" s="261"/>
      <c r="BB115" s="256"/>
      <c r="BC115" s="256"/>
      <c r="BD115" s="256"/>
      <c r="BE115" s="256"/>
      <c r="BF115" s="256"/>
      <c r="BG115" s="256"/>
      <c r="BH115" s="256"/>
      <c r="BI115" s="256"/>
      <c r="BJ115" s="257"/>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58"/>
      <c r="CH115" s="878"/>
      <c r="CI115" s="878"/>
      <c r="CJ115" s="878"/>
    </row>
    <row r="116" spans="1:88" s="250" customFormat="1" ht="3" customHeight="1" thickBot="1">
      <c r="A116" s="220"/>
      <c r="B116" s="359"/>
      <c r="C116" s="359"/>
      <c r="D116" s="359"/>
      <c r="E116" s="828" t="s">
        <v>1543</v>
      </c>
      <c r="F116" s="829"/>
      <c r="G116" s="834"/>
      <c r="H116" s="837" t="str">
        <f>Index!C65</f>
        <v>Samostatné hnuteľné veci a súbory hnuteľných vecí (022) - /082, 092A/</v>
      </c>
      <c r="I116" s="837"/>
      <c r="J116" s="837"/>
      <c r="K116" s="837"/>
      <c r="L116" s="837"/>
      <c r="M116" s="837"/>
      <c r="N116" s="837"/>
      <c r="O116" s="837"/>
      <c r="P116" s="837"/>
      <c r="Q116" s="837"/>
      <c r="R116" s="837"/>
      <c r="S116" s="837"/>
      <c r="T116" s="837"/>
      <c r="U116" s="837"/>
      <c r="V116" s="837"/>
      <c r="W116" s="837"/>
      <c r="X116" s="837"/>
      <c r="Y116" s="837"/>
      <c r="Z116" s="837"/>
      <c r="AA116" s="840" t="s">
        <v>1552</v>
      </c>
      <c r="AB116" s="840"/>
      <c r="AC116" s="840"/>
      <c r="AD116" s="843"/>
      <c r="AE116" s="843"/>
      <c r="AF116" s="843"/>
      <c r="AG116" s="843"/>
      <c r="AH116" s="843"/>
      <c r="AI116" s="843"/>
      <c r="AJ116" s="843"/>
      <c r="AK116" s="843"/>
      <c r="AL116" s="843"/>
      <c r="AM116" s="843"/>
      <c r="AN116" s="843"/>
      <c r="AO116" s="843"/>
      <c r="AP116" s="843"/>
      <c r="AQ116" s="843"/>
      <c r="AR116" s="843"/>
      <c r="AS116" s="843"/>
      <c r="AT116" s="843"/>
      <c r="AU116" s="843"/>
      <c r="AV116" s="843"/>
      <c r="AW116" s="843"/>
      <c r="AX116" s="843"/>
      <c r="AY116" s="843"/>
      <c r="AZ116" s="843"/>
      <c r="BA116" s="844"/>
      <c r="BB116" s="844"/>
      <c r="BC116" s="844"/>
      <c r="BD116" s="844"/>
      <c r="BE116" s="844"/>
      <c r="BF116" s="844"/>
      <c r="BG116" s="844"/>
      <c r="BH116" s="844"/>
      <c r="BI116" s="844"/>
      <c r="BJ116" s="844"/>
      <c r="BK116" s="844"/>
      <c r="BL116" s="844"/>
      <c r="BM116" s="844"/>
      <c r="BN116" s="844"/>
      <c r="BO116" s="844"/>
      <c r="BP116" s="844"/>
      <c r="BQ116" s="844"/>
      <c r="BR116" s="251"/>
      <c r="BS116" s="251"/>
      <c r="BT116" s="251"/>
      <c r="BU116" s="251"/>
      <c r="BV116" s="251"/>
      <c r="BW116" s="252"/>
      <c r="BX116" s="251"/>
      <c r="BY116" s="251"/>
      <c r="BZ116" s="251"/>
      <c r="CA116" s="251"/>
      <c r="CB116" s="251"/>
      <c r="CC116" s="251"/>
      <c r="CD116" s="251"/>
      <c r="CE116" s="251"/>
      <c r="CF116" s="251"/>
      <c r="CG116" s="253"/>
      <c r="CH116" s="220"/>
      <c r="CI116" s="220"/>
      <c r="CJ116" s="220"/>
    </row>
    <row r="117" spans="1:88" s="250" customFormat="1" ht="3" customHeight="1" thickBot="1">
      <c r="A117" s="220"/>
      <c r="B117" s="359"/>
      <c r="C117" s="359"/>
      <c r="D117" s="359"/>
      <c r="E117" s="830"/>
      <c r="F117" s="831"/>
      <c r="G117" s="835"/>
      <c r="H117" s="838"/>
      <c r="I117" s="838"/>
      <c r="J117" s="838"/>
      <c r="K117" s="838"/>
      <c r="L117" s="838"/>
      <c r="M117" s="838"/>
      <c r="N117" s="838"/>
      <c r="O117" s="838"/>
      <c r="P117" s="838"/>
      <c r="Q117" s="838"/>
      <c r="R117" s="838"/>
      <c r="S117" s="838"/>
      <c r="T117" s="838"/>
      <c r="U117" s="838"/>
      <c r="V117" s="838"/>
      <c r="W117" s="838"/>
      <c r="X117" s="838"/>
      <c r="Y117" s="838"/>
      <c r="Z117" s="838"/>
      <c r="AA117" s="841"/>
      <c r="AB117" s="841"/>
      <c r="AC117" s="841"/>
      <c r="AD117" s="826"/>
      <c r="AE117" s="820"/>
      <c r="AF117" s="820"/>
      <c r="AG117" s="820"/>
      <c r="AH117" s="435"/>
      <c r="AI117" s="821"/>
      <c r="AJ117" s="821"/>
      <c r="AK117" s="821"/>
      <c r="AL117" s="821"/>
      <c r="AM117" s="821"/>
      <c r="AN117" s="818"/>
      <c r="AO117" s="822"/>
      <c r="AP117" s="822"/>
      <c r="AQ117" s="822"/>
      <c r="AR117" s="822"/>
      <c r="AS117" s="822"/>
      <c r="AT117" s="819"/>
      <c r="AU117" s="822"/>
      <c r="AV117" s="822"/>
      <c r="AW117" s="822"/>
      <c r="AX117" s="822"/>
      <c r="AY117" s="822"/>
      <c r="AZ117" s="827"/>
      <c r="BA117" s="826"/>
      <c r="BB117" s="820"/>
      <c r="BC117" s="820"/>
      <c r="BD117" s="820"/>
      <c r="BE117" s="435"/>
      <c r="BF117" s="821"/>
      <c r="BG117" s="821"/>
      <c r="BH117" s="821"/>
      <c r="BI117" s="821"/>
      <c r="BJ117" s="821"/>
      <c r="BK117" s="818"/>
      <c r="BL117" s="822"/>
      <c r="BM117" s="822"/>
      <c r="BN117" s="822"/>
      <c r="BO117" s="822"/>
      <c r="BP117" s="822"/>
      <c r="BQ117" s="819"/>
      <c r="BR117" s="822"/>
      <c r="BS117" s="822"/>
      <c r="BT117" s="822"/>
      <c r="BU117" s="822"/>
      <c r="BV117" s="822"/>
      <c r="BW117" s="441"/>
      <c r="BX117" s="442"/>
      <c r="BY117" s="442"/>
      <c r="BZ117" s="442"/>
      <c r="CA117" s="442"/>
      <c r="CB117" s="442"/>
      <c r="CC117" s="442"/>
      <c r="CD117" s="442"/>
      <c r="CE117" s="442"/>
      <c r="CF117" s="442"/>
      <c r="CG117" s="254"/>
      <c r="CH117" s="220"/>
      <c r="CI117" s="220"/>
      <c r="CJ117" s="220"/>
    </row>
    <row r="118" spans="1:88" ht="15" customHeight="1" thickBot="1">
      <c r="A118" s="220"/>
      <c r="B118" s="359"/>
      <c r="C118" s="359"/>
      <c r="D118" s="359"/>
      <c r="E118" s="830"/>
      <c r="F118" s="831"/>
      <c r="G118" s="835"/>
      <c r="H118" s="838"/>
      <c r="I118" s="838"/>
      <c r="J118" s="838"/>
      <c r="K118" s="838"/>
      <c r="L118" s="838"/>
      <c r="M118" s="838"/>
      <c r="N118" s="838"/>
      <c r="O118" s="838"/>
      <c r="P118" s="838"/>
      <c r="Q118" s="838"/>
      <c r="R118" s="838"/>
      <c r="S118" s="838"/>
      <c r="T118" s="838"/>
      <c r="U118" s="838"/>
      <c r="V118" s="838"/>
      <c r="W118" s="838"/>
      <c r="X118" s="838"/>
      <c r="Y118" s="838"/>
      <c r="Z118" s="838"/>
      <c r="AA118" s="841"/>
      <c r="AB118" s="841"/>
      <c r="AC118" s="841"/>
      <c r="AD118" s="826"/>
      <c r="AE118" s="432" t="str">
        <f>IF(LEN(VLOOKUP(AA116,suvaha!$D$8:$H$27,2,FALSE))&lt;11,"",LEFT(RIGHT(VLOOKUP(AA116,suvaha!$D$8:$H$27,2,FALSE),11),1))</f>
        <v/>
      </c>
      <c r="AF118" s="255"/>
      <c r="AG118" s="432" t="str">
        <f>IF(LEN(VLOOKUP(AA116,suvaha!$D$8:$H$27,2,FALSE))&lt;10,"",LEFT(RIGHT(VLOOKUP(AA116,suvaha!$D$8:$H$27,2,FALSE),10),1))</f>
        <v/>
      </c>
      <c r="AH118" s="434"/>
      <c r="AI118" s="432" t="str">
        <f>IF(LEN(VLOOKUP(AA116,suvaha!$D$8:$H$27,2,FALSE))&lt;9,"",LEFT(RIGHT(VLOOKUP(AA116,suvaha!$D$8:$H$27,2,FALSE),9),1))</f>
        <v/>
      </c>
      <c r="AJ118" s="255"/>
      <c r="AK118" s="432" t="str">
        <f>IF(LEN(VLOOKUP(AA116,suvaha!$D$8:$H$27,2,FALSE))&lt;8,"",LEFT(RIGHT(VLOOKUP(AA116,suvaha!$D$8:$H$27,2,FALSE),8),1))</f>
        <v/>
      </c>
      <c r="AL118" s="434"/>
      <c r="AM118" s="432" t="str">
        <f>IF(LEN(VLOOKUP(AA116,suvaha!$D$8:$H$27,2,FALSE))&lt;7,"",LEFT(RIGHT(VLOOKUP(AA116,suvaha!$D$8:$H$27,2,FALSE),7),1))</f>
        <v/>
      </c>
      <c r="AN118" s="818"/>
      <c r="AO118" s="432" t="str">
        <f>IF(LEN(VLOOKUP(AA116,suvaha!$D$8:$H$27,2,FALSE))&lt;6,"",LEFT(RIGHT(VLOOKUP(AA116,suvaha!$D$8:$H$27,2,FALSE),6),1))</f>
        <v>1</v>
      </c>
      <c r="AP118" s="434"/>
      <c r="AQ118" s="432" t="str">
        <f>IF(LEN(VLOOKUP(AA116,suvaha!$D$8:$H$27,2,FALSE))&lt;5,"",LEFT(RIGHT(VLOOKUP(AA116,suvaha!$D$8:$H$27,2,FALSE),5),1))</f>
        <v>0</v>
      </c>
      <c r="AR118" s="434"/>
      <c r="AS118" s="432" t="str">
        <f>IF(LEN(VLOOKUP(AA116,suvaha!$D$8:$H$27,2,FALSE))&lt;4,"",LEFT(RIGHT(VLOOKUP(AA116,suvaha!$D$8:$H$27,2,FALSE),4),1))</f>
        <v>6</v>
      </c>
      <c r="AT118" s="819"/>
      <c r="AU118" s="432" t="str">
        <f>IF(LEN(VLOOKUP(AA116,suvaha!$D$8:$H$27,2,FALSE))&lt;3,"",LEFT(RIGHT(VLOOKUP(AA116,suvaha!$D$8:$H$27,2,FALSE),3),1))</f>
        <v>7</v>
      </c>
      <c r="AV118" s="434"/>
      <c r="AW118" s="432" t="str">
        <f>IF(LEN(VLOOKUP(AA116,suvaha!$D$8:$H$27,2,FALSE))&lt;2,"",LEFT(RIGHT(VLOOKUP(AA116,suvaha!$D$8:$H$27,2,FALSE),2),1))</f>
        <v>5</v>
      </c>
      <c r="AX118" s="434"/>
      <c r="AY118" s="432" t="str">
        <f>IF(VLOOKUP(AA116,suvaha!$D$8:$H$27,2,FALSE)=0,"",IF(LEN(VLOOKUP(AA116,suvaha!$D$8:$H$27,2,FALSE))&lt;1,"",LEFT(RIGHT(VLOOKUP(AA116,suvaha!$D$8:$H$27,2,FALSE),1),1)))</f>
        <v>7</v>
      </c>
      <c r="AZ118" s="827"/>
      <c r="BA118" s="826"/>
      <c r="BB118" s="432" t="str">
        <f>IF(LEN(VLOOKUP(AA116,suvaha!$D$8:$H$27,4,FALSE))&lt;11,"",LEFT(RIGHT(VLOOKUP(AA116,suvaha!$D$8:$H$27,4,FALSE),11),1))</f>
        <v/>
      </c>
      <c r="BC118" s="255"/>
      <c r="BD118" s="432" t="str">
        <f>IF(LEN(VLOOKUP(AA116,suvaha!$D$8:$H$27,4,FALSE))&lt;10,"",LEFT(RIGHT(VLOOKUP(AA116,suvaha!$D$8:$H$27,4,FALSE),10),1))</f>
        <v/>
      </c>
      <c r="BE118" s="434"/>
      <c r="BF118" s="432" t="str">
        <f>IF(LEN(VLOOKUP(AA116,suvaha!$D$8:$H$27,4,FALSE))&lt;9,"",LEFT(RIGHT(VLOOKUP(AA116,suvaha!$D$8:$H$27,4,FALSE),9),1))</f>
        <v/>
      </c>
      <c r="BG118" s="255"/>
      <c r="BH118" s="432" t="str">
        <f>IF(LEN(VLOOKUP(AA116,suvaha!$D$8:$H$27,4,FALSE))&lt;8,"",LEFT(RIGHT(VLOOKUP(AA116,suvaha!$D$8:$H$27,4,FALSE),8),1))</f>
        <v/>
      </c>
      <c r="BI118" s="434"/>
      <c r="BJ118" s="432" t="str">
        <f>IF(LEN(VLOOKUP(AA116,suvaha!$D$8:$H$27,4,FALSE))&lt;7,"",LEFT(RIGHT(VLOOKUP(AA116,suvaha!$D$8:$H$27,4,FALSE),7),1))</f>
        <v/>
      </c>
      <c r="BK118" s="818"/>
      <c r="BL118" s="432" t="str">
        <f>IF(LEN(VLOOKUP(AA116,suvaha!$D$8:$H$27,4,FALSE))&lt;6,"",LEFT(RIGHT(VLOOKUP(AA116,suvaha!$D$8:$H$27,4,FALSE),6),1))</f>
        <v>1</v>
      </c>
      <c r="BM118" s="434"/>
      <c r="BN118" s="432" t="str">
        <f>IF(LEN(VLOOKUP(AA116,suvaha!$D$8:$H$27,4,FALSE))&lt;5,"",LEFT(RIGHT(VLOOKUP(AA116,suvaha!$D$8:$H$27,4,FALSE),5),1))</f>
        <v>0</v>
      </c>
      <c r="BO118" s="434"/>
      <c r="BP118" s="432" t="str">
        <f>IF(LEN(VLOOKUP(AA116,suvaha!$D$8:$H$27,4,FALSE))&lt;4,"",LEFT(RIGHT(VLOOKUP(AA116,suvaha!$D$8:$H$27,4,FALSE),4),1))</f>
        <v>2</v>
      </c>
      <c r="BQ118" s="819"/>
      <c r="BR118" s="432" t="str">
        <f>IF(LEN(VLOOKUP(AA116,suvaha!$D$8:$H$27,4,FALSE))&lt;3,"",LEFT(RIGHT(VLOOKUP(AA116,suvaha!$D$8:$H$27,4,FALSE),3),1))</f>
        <v>6</v>
      </c>
      <c r="BS118" s="434"/>
      <c r="BT118" s="432" t="str">
        <f>IF(LEN(VLOOKUP(AA116,suvaha!$D$8:$H$27,4,FALSE))&lt;2,"",LEFT(RIGHT(VLOOKUP(AA116,suvaha!$D$8:$H$27,4,FALSE),2),1))</f>
        <v>5</v>
      </c>
      <c r="BU118" s="434"/>
      <c r="BV118" s="432" t="str">
        <f>IF(VLOOKUP(AA116,suvaha!$D$8:$H$27,4,FALSE)=0,"",IF(LEN(VLOOKUP(AA116,suvaha!$D$8:$H$27,4,FALSE))&lt;1,"",LEFT(RIGHT(VLOOKUP(AA116,suvaha!$D$8:$H$27,4,FALSE),1),1)))</f>
        <v>3</v>
      </c>
      <c r="BW118" s="441"/>
      <c r="BX118" s="442"/>
      <c r="BY118" s="442"/>
      <c r="BZ118" s="442"/>
      <c r="CA118" s="442"/>
      <c r="CB118" s="442"/>
      <c r="CC118" s="442"/>
      <c r="CD118" s="442"/>
      <c r="CE118" s="442"/>
      <c r="CF118" s="442"/>
      <c r="CG118" s="254"/>
      <c r="CH118" s="220"/>
      <c r="CI118" s="220"/>
    </row>
    <row r="119" spans="1:88" ht="3" customHeight="1" thickBot="1">
      <c r="A119" s="220"/>
      <c r="B119" s="359"/>
      <c r="C119" s="359"/>
      <c r="D119" s="359"/>
      <c r="E119" s="830"/>
      <c r="F119" s="831"/>
      <c r="G119" s="835"/>
      <c r="H119" s="838"/>
      <c r="I119" s="838"/>
      <c r="J119" s="838"/>
      <c r="K119" s="838"/>
      <c r="L119" s="838"/>
      <c r="M119" s="838"/>
      <c r="N119" s="838"/>
      <c r="O119" s="838"/>
      <c r="P119" s="838"/>
      <c r="Q119" s="838"/>
      <c r="R119" s="838"/>
      <c r="S119" s="838"/>
      <c r="T119" s="838"/>
      <c r="U119" s="838"/>
      <c r="V119" s="838"/>
      <c r="W119" s="838"/>
      <c r="X119" s="838"/>
      <c r="Y119" s="838"/>
      <c r="Z119" s="838"/>
      <c r="AA119" s="841"/>
      <c r="AB119" s="841"/>
      <c r="AC119" s="841"/>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6"/>
      <c r="BB119" s="846"/>
      <c r="BC119" s="846"/>
      <c r="BD119" s="846"/>
      <c r="BE119" s="846"/>
      <c r="BF119" s="846"/>
      <c r="BG119" s="846"/>
      <c r="BH119" s="846"/>
      <c r="BI119" s="846"/>
      <c r="BJ119" s="846"/>
      <c r="BK119" s="846"/>
      <c r="BL119" s="846"/>
      <c r="BM119" s="846"/>
      <c r="BN119" s="846"/>
      <c r="BO119" s="846"/>
      <c r="BP119" s="846"/>
      <c r="BQ119" s="846"/>
      <c r="BR119" s="310"/>
      <c r="BS119" s="310"/>
      <c r="BT119" s="310"/>
      <c r="BU119" s="310"/>
      <c r="BV119" s="310"/>
      <c r="BW119" s="443"/>
      <c r="BX119" s="310"/>
      <c r="BY119" s="310"/>
      <c r="BZ119" s="310"/>
      <c r="CA119" s="310"/>
      <c r="CB119" s="310"/>
      <c r="CC119" s="310"/>
      <c r="CD119" s="310"/>
      <c r="CE119" s="310"/>
      <c r="CF119" s="310"/>
      <c r="CG119" s="258"/>
      <c r="CH119" s="220"/>
      <c r="CI119" s="220"/>
    </row>
    <row r="120" spans="1:88" ht="3" customHeight="1" thickBot="1">
      <c r="A120" s="220"/>
      <c r="B120" s="359"/>
      <c r="C120" s="359"/>
      <c r="D120" s="359"/>
      <c r="E120" s="830"/>
      <c r="F120" s="831"/>
      <c r="G120" s="835"/>
      <c r="H120" s="838"/>
      <c r="I120" s="838"/>
      <c r="J120" s="838"/>
      <c r="K120" s="838"/>
      <c r="L120" s="838"/>
      <c r="M120" s="838"/>
      <c r="N120" s="838"/>
      <c r="O120" s="838"/>
      <c r="P120" s="838"/>
      <c r="Q120" s="838"/>
      <c r="R120" s="838"/>
      <c r="S120" s="838"/>
      <c r="T120" s="838"/>
      <c r="U120" s="838"/>
      <c r="V120" s="838"/>
      <c r="W120" s="838"/>
      <c r="X120" s="838"/>
      <c r="Y120" s="838"/>
      <c r="Z120" s="838"/>
      <c r="AA120" s="841"/>
      <c r="AB120" s="841"/>
      <c r="AC120" s="841"/>
      <c r="AD120" s="825"/>
      <c r="AE120" s="825"/>
      <c r="AF120" s="825"/>
      <c r="AG120" s="825"/>
      <c r="AH120" s="825"/>
      <c r="AI120" s="825"/>
      <c r="AJ120" s="825"/>
      <c r="AK120" s="825"/>
      <c r="AL120" s="825"/>
      <c r="AM120" s="825"/>
      <c r="AN120" s="825"/>
      <c r="AO120" s="825"/>
      <c r="AP120" s="825"/>
      <c r="AQ120" s="825"/>
      <c r="AR120" s="825"/>
      <c r="AS120" s="825"/>
      <c r="AT120" s="825"/>
      <c r="AU120" s="825"/>
      <c r="AV120" s="825"/>
      <c r="AW120" s="825"/>
      <c r="AX120" s="825"/>
      <c r="AY120" s="825"/>
      <c r="AZ120" s="825"/>
      <c r="BA120" s="447"/>
      <c r="BB120" s="304"/>
      <c r="BC120" s="304"/>
      <c r="BD120" s="304"/>
      <c r="BE120" s="304"/>
      <c r="BF120" s="304"/>
      <c r="BG120" s="304"/>
      <c r="BH120" s="304"/>
      <c r="BI120" s="304"/>
      <c r="BJ120" s="446"/>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253"/>
      <c r="CH120" s="220"/>
      <c r="CI120" s="220"/>
    </row>
    <row r="121" spans="1:88" ht="3" customHeight="1" thickBot="1">
      <c r="A121" s="220"/>
      <c r="B121" s="359"/>
      <c r="C121" s="359"/>
      <c r="D121" s="359"/>
      <c r="E121" s="830"/>
      <c r="F121" s="831"/>
      <c r="G121" s="835"/>
      <c r="H121" s="838"/>
      <c r="I121" s="838"/>
      <c r="J121" s="838"/>
      <c r="K121" s="838"/>
      <c r="L121" s="838"/>
      <c r="M121" s="838"/>
      <c r="N121" s="838"/>
      <c r="O121" s="838"/>
      <c r="P121" s="838"/>
      <c r="Q121" s="838"/>
      <c r="R121" s="838"/>
      <c r="S121" s="838"/>
      <c r="T121" s="838"/>
      <c r="U121" s="838"/>
      <c r="V121" s="838"/>
      <c r="W121" s="838"/>
      <c r="X121" s="838"/>
      <c r="Y121" s="838"/>
      <c r="Z121" s="838"/>
      <c r="AA121" s="841"/>
      <c r="AB121" s="841"/>
      <c r="AC121" s="841"/>
      <c r="AD121" s="826"/>
      <c r="AE121" s="820"/>
      <c r="AF121" s="820"/>
      <c r="AG121" s="820"/>
      <c r="AH121" s="435"/>
      <c r="AI121" s="821"/>
      <c r="AJ121" s="821"/>
      <c r="AK121" s="821"/>
      <c r="AL121" s="821"/>
      <c r="AM121" s="821"/>
      <c r="AN121" s="818" t="s">
        <v>965</v>
      </c>
      <c r="AO121" s="822"/>
      <c r="AP121" s="822"/>
      <c r="AQ121" s="822"/>
      <c r="AR121" s="822"/>
      <c r="AS121" s="822"/>
      <c r="AT121" s="819" t="s">
        <v>965</v>
      </c>
      <c r="AU121" s="822"/>
      <c r="AV121" s="822"/>
      <c r="AW121" s="822"/>
      <c r="AX121" s="822"/>
      <c r="AY121" s="822"/>
      <c r="AZ121" s="827"/>
      <c r="BA121" s="448"/>
      <c r="BB121" s="442"/>
      <c r="BC121" s="442"/>
      <c r="BD121" s="442"/>
      <c r="BE121" s="442"/>
      <c r="BF121" s="442"/>
      <c r="BG121" s="442"/>
      <c r="BH121" s="442"/>
      <c r="BI121" s="442"/>
      <c r="BJ121" s="441"/>
      <c r="BK121" s="442"/>
      <c r="BL121" s="820"/>
      <c r="BM121" s="820"/>
      <c r="BN121" s="820"/>
      <c r="BO121" s="435"/>
      <c r="BP121" s="821"/>
      <c r="BQ121" s="821"/>
      <c r="BR121" s="821"/>
      <c r="BS121" s="821"/>
      <c r="BT121" s="821"/>
      <c r="BU121" s="818"/>
      <c r="BV121" s="822"/>
      <c r="BW121" s="822"/>
      <c r="BX121" s="822"/>
      <c r="BY121" s="822"/>
      <c r="BZ121" s="822"/>
      <c r="CA121" s="819"/>
      <c r="CB121" s="822"/>
      <c r="CC121" s="822"/>
      <c r="CD121" s="822"/>
      <c r="CE121" s="822"/>
      <c r="CF121" s="822"/>
      <c r="CG121" s="259"/>
      <c r="CH121" s="220"/>
      <c r="CI121" s="220"/>
    </row>
    <row r="122" spans="1:88" ht="15" customHeight="1" thickBot="1">
      <c r="A122" s="220"/>
      <c r="B122" s="359"/>
      <c r="C122" s="359"/>
      <c r="D122" s="359"/>
      <c r="E122" s="830"/>
      <c r="F122" s="831"/>
      <c r="G122" s="835"/>
      <c r="H122" s="838"/>
      <c r="I122" s="838"/>
      <c r="J122" s="838"/>
      <c r="K122" s="838"/>
      <c r="L122" s="838"/>
      <c r="M122" s="838"/>
      <c r="N122" s="838"/>
      <c r="O122" s="838"/>
      <c r="P122" s="838"/>
      <c r="Q122" s="838"/>
      <c r="R122" s="838"/>
      <c r="S122" s="838"/>
      <c r="T122" s="838"/>
      <c r="U122" s="838"/>
      <c r="V122" s="838"/>
      <c r="W122" s="838"/>
      <c r="X122" s="838"/>
      <c r="Y122" s="838"/>
      <c r="Z122" s="838"/>
      <c r="AA122" s="841"/>
      <c r="AB122" s="841"/>
      <c r="AC122" s="841"/>
      <c r="AD122" s="826"/>
      <c r="AE122" s="432" t="str">
        <f>IF(LEN(VLOOKUP(AA116,suvaha!$D$8:$H$27,3,FALSE))&lt;11,"",LEFT(RIGHT(VLOOKUP(AA116,suvaha!$D$8:$H$27,3,FALSE),11),1))</f>
        <v/>
      </c>
      <c r="AF122" s="255" t="s">
        <v>965</v>
      </c>
      <c r="AG122" s="432" t="str">
        <f>IF(LEN(VLOOKUP(AA116,suvaha!$D$8:$H$27,3,FALSE))&lt;10,"",LEFT(RIGHT(VLOOKUP(AA116,suvaha!$D$8:$H$27,3,FALSE),10),1))</f>
        <v/>
      </c>
      <c r="AH122" s="434" t="s">
        <v>965</v>
      </c>
      <c r="AI122" s="432" t="str">
        <f>IF(LEN(VLOOKUP(AA116,suvaha!$D$8:$H$27,3,FALSE))&lt;9,"",LEFT(RIGHT(VLOOKUP(AA116,suvaha!$D$8:$H$27,3,FALSE),9),1))</f>
        <v/>
      </c>
      <c r="AJ122" s="255" t="s">
        <v>965</v>
      </c>
      <c r="AK122" s="432" t="str">
        <f>IF(LEN(VLOOKUP(AA116,suvaha!$D$8:$F$27,3,FALSE))&lt;8,"",LEFT(RIGHT(VLOOKUP(AA116,suvaha!$D$8:$F$27,3,FALSE),8),1))</f>
        <v/>
      </c>
      <c r="AL122" s="434" t="s">
        <v>965</v>
      </c>
      <c r="AM122" s="432" t="str">
        <f>IF(LEN(VLOOKUP(AA116,suvaha!$D$8:$H$27,3,FALSE))&lt;7,"",LEFT(RIGHT(VLOOKUP(AA116,suvaha!$D$8:$H$27,3,FALSE),7),1))</f>
        <v/>
      </c>
      <c r="AN122" s="818"/>
      <c r="AO122" s="432" t="str">
        <f>IF(LEN(VLOOKUP(AA116,suvaha!$D$8:$H$27,3,FALSE))&lt;6,"",LEFT(RIGHT(VLOOKUP(AA116,suvaha!$D$8:$H$27,3,FALSE),6),1))</f>
        <v/>
      </c>
      <c r="AP122" s="434" t="s">
        <v>965</v>
      </c>
      <c r="AQ122" s="432" t="str">
        <f>IF(LEN(VLOOKUP(AA116,suvaha!$D$8:$H$27,3,FALSE))&lt;5,"",LEFT(RIGHT(VLOOKUP(AA116,suvaha!$D$8:$H$27,3,FALSE),5),1))</f>
        <v/>
      </c>
      <c r="AR122" s="434" t="s">
        <v>965</v>
      </c>
      <c r="AS122" s="432" t="str">
        <f>IF(LEN(VLOOKUP(AA116,suvaha!$D$8:$H$27,3,FALSE))&lt;4,"",LEFT(RIGHT(VLOOKUP(AA116,suvaha!$D$8:$H$27,3,FALSE),4),1))</f>
        <v>4</v>
      </c>
      <c r="AT122" s="819"/>
      <c r="AU122" s="432" t="str">
        <f>IF(LEN(VLOOKUP(AA116,suvaha!$D$8:$H$27,3,FALSE))&lt;3,"",LEFT(RIGHT(VLOOKUP(AA116,suvaha!$D$8:$H$27,3,FALSE),3),1))</f>
        <v>1</v>
      </c>
      <c r="AV122" s="434" t="s">
        <v>965</v>
      </c>
      <c r="AW122" s="432" t="str">
        <f>IF(LEN(VLOOKUP(AA116,suvaha!$D$8:$H$27,3,FALSE))&lt;2,"",LEFT(RIGHT(VLOOKUP(AA116,suvaha!$D$8:$H$27,3,FALSE),2),1))</f>
        <v>0</v>
      </c>
      <c r="AX122" s="434" t="s">
        <v>965</v>
      </c>
      <c r="AY122" s="432" t="str">
        <f>IF(VLOOKUP(AA116,suvaha!$D$8:$H$27,3,FALSE)=0,"",IF(LEN(VLOOKUP(AA116,suvaha!$D$8:$H$27,3,FALSE))&lt;1,"",LEFT(RIGHT(VLOOKUP(AA116,suvaha!$D$8:$H$27,3,FALSE),1),1)))</f>
        <v>4</v>
      </c>
      <c r="AZ122" s="827"/>
      <c r="BA122" s="448"/>
      <c r="BB122" s="442"/>
      <c r="BC122" s="442"/>
      <c r="BD122" s="442"/>
      <c r="BE122" s="442"/>
      <c r="BF122" s="442"/>
      <c r="BG122" s="442"/>
      <c r="BH122" s="442"/>
      <c r="BI122" s="442"/>
      <c r="BJ122" s="441"/>
      <c r="BK122" s="442"/>
      <c r="BL122" s="432" t="str">
        <f>IF(LEN(VLOOKUP(AA116,suvaha!$D$8:$H$27,5,FALSE))&lt;11,"",LEFT(RIGHT(VLOOKUP(AA116,suvaha!$D$8:$H$27,5,FALSE),11),1))</f>
        <v/>
      </c>
      <c r="BM122" s="255" t="s">
        <v>965</v>
      </c>
      <c r="BN122" s="432" t="str">
        <f>IF(LEN(VLOOKUP(AA116,suvaha!$D$8:$H$27,5,FALSE))&lt;10,"",LEFT(RIGHT(VLOOKUP(AA116,suvaha!$D$8:$H$27,5,FALSE),10),1))</f>
        <v/>
      </c>
      <c r="BO122" s="434" t="s">
        <v>965</v>
      </c>
      <c r="BP122" s="432" t="str">
        <f>IF(LEN(VLOOKUP(AA116,suvaha!$D$8:$H$27,5,FALSE))&lt;9,"",LEFT(RIGHT(VLOOKUP(AA116,suvaha!$D$8:$H$27,5,FALSE),9),1))</f>
        <v/>
      </c>
      <c r="BQ122" s="255" t="s">
        <v>965</v>
      </c>
      <c r="BR122" s="432" t="str">
        <f>IF(LEN(VLOOKUP(AA116,suvaha!$D$8:$H$27,5,FALSE))&lt;8,"",LEFT(RIGHT(VLOOKUP(AA116,suvaha!$D$8:$H$27,5,FALSE),8),1))</f>
        <v/>
      </c>
      <c r="BS122" s="434" t="s">
        <v>965</v>
      </c>
      <c r="BT122" s="432" t="str">
        <f>IF(LEN(VLOOKUP(AA116,suvaha!$D$8:$H$27,5,FALSE))&lt;7,"",LEFT(RIGHT(VLOOKUP(AA116,suvaha!$D$8:$H$27,5,FALSE),7),1))</f>
        <v/>
      </c>
      <c r="BU122" s="818" t="s">
        <v>965</v>
      </c>
      <c r="BV122" s="432" t="str">
        <f>IF(LEN(VLOOKUP(AA116,suvaha!$D$8:$H$27,5,FALSE))&lt;6,"",LEFT(RIGHT(VLOOKUP(AA116,suvaha!$D$8:$H$27,5,FALSE),6),1))</f>
        <v/>
      </c>
      <c r="BW122" s="434" t="s">
        <v>965</v>
      </c>
      <c r="BX122" s="432" t="str">
        <f>IF(LEN(VLOOKUP(AA116,suvaha!$D$8:$H$27,5,FALSE))&lt;5,"",LEFT(RIGHT(VLOOKUP(AA116,suvaha!$D$8:$H$27,5,FALSE),5),1))</f>
        <v/>
      </c>
      <c r="BY122" s="434" t="s">
        <v>965</v>
      </c>
      <c r="BZ122" s="432" t="str">
        <f>IF(LEN(VLOOKUP(AA116,suvaha!$D$8:$H$27,5,FALSE))&lt;4,"",LEFT(RIGHT(VLOOKUP(AA116,suvaha!$D$8:$H$27,5,FALSE),4),1))</f>
        <v>3</v>
      </c>
      <c r="CA122" s="819" t="s">
        <v>965</v>
      </c>
      <c r="CB122" s="432" t="str">
        <f>IF(LEN(VLOOKUP(AA116,suvaha!$D$8:$H$27,5,FALSE))&lt;3,"",LEFT(RIGHT(VLOOKUP(AA116,suvaha!$D$8:$H$27,5,FALSE),3),1))</f>
        <v>1</v>
      </c>
      <c r="CC122" s="434" t="s">
        <v>965</v>
      </c>
      <c r="CD122" s="432" t="str">
        <f>IF(LEN(VLOOKUP(AA116,suvaha!$D$8:$H$27,5,FALSE))&lt;2,"",LEFT(RIGHT(VLOOKUP(AA116,suvaha!$D$8:$H$27,5,FALSE),2),1))</f>
        <v>5</v>
      </c>
      <c r="CE122" s="434" t="s">
        <v>1540</v>
      </c>
      <c r="CF122" s="432" t="str">
        <f>IF(VLOOKUP(AA116,suvaha!$D$8:$H$27,5,FALSE)=0,"",IF(LEN(VLOOKUP(AA116,suvaha!$D$8:$H$27,5,FALSE))&lt;1,"",LEFT(RIGHT(VLOOKUP(AA116,suvaha!$D$8:$H$27,5,FALSE),1),1)))</f>
        <v>3</v>
      </c>
      <c r="CG122" s="259"/>
      <c r="CH122" s="220"/>
      <c r="CI122" s="220"/>
    </row>
    <row r="123" spans="1:88" ht="3" customHeight="1" thickBot="1">
      <c r="A123" s="220"/>
      <c r="B123" s="359"/>
      <c r="C123" s="359"/>
      <c r="D123" s="359"/>
      <c r="E123" s="832"/>
      <c r="F123" s="833"/>
      <c r="G123" s="836"/>
      <c r="H123" s="839"/>
      <c r="I123" s="839"/>
      <c r="J123" s="839"/>
      <c r="K123" s="839"/>
      <c r="L123" s="839"/>
      <c r="M123" s="839"/>
      <c r="N123" s="839"/>
      <c r="O123" s="839"/>
      <c r="P123" s="839"/>
      <c r="Q123" s="839"/>
      <c r="R123" s="839"/>
      <c r="S123" s="839"/>
      <c r="T123" s="839"/>
      <c r="U123" s="839"/>
      <c r="V123" s="839"/>
      <c r="W123" s="839"/>
      <c r="X123" s="839"/>
      <c r="Y123" s="839"/>
      <c r="Z123" s="839"/>
      <c r="AA123" s="842"/>
      <c r="AB123" s="842"/>
      <c r="AC123" s="842"/>
      <c r="AD123" s="823"/>
      <c r="AE123" s="823"/>
      <c r="AF123" s="823"/>
      <c r="AG123" s="823"/>
      <c r="AH123" s="823"/>
      <c r="AI123" s="823"/>
      <c r="AJ123" s="823"/>
      <c r="AK123" s="823"/>
      <c r="AL123" s="823"/>
      <c r="AM123" s="823"/>
      <c r="AN123" s="823"/>
      <c r="AO123" s="823"/>
      <c r="AP123" s="823"/>
      <c r="AQ123" s="823"/>
      <c r="AR123" s="823"/>
      <c r="AS123" s="823"/>
      <c r="AT123" s="823"/>
      <c r="AU123" s="823"/>
      <c r="AV123" s="823"/>
      <c r="AW123" s="823"/>
      <c r="AX123" s="823"/>
      <c r="AY123" s="823"/>
      <c r="AZ123" s="823"/>
      <c r="BA123" s="263"/>
      <c r="BB123" s="264"/>
      <c r="BC123" s="264"/>
      <c r="BD123" s="264"/>
      <c r="BE123" s="264"/>
      <c r="BF123" s="264"/>
      <c r="BG123" s="264"/>
      <c r="BH123" s="264"/>
      <c r="BI123" s="264"/>
      <c r="BJ123" s="265"/>
      <c r="BK123" s="264"/>
      <c r="BL123" s="264"/>
      <c r="BM123" s="264"/>
      <c r="BN123" s="264"/>
      <c r="BO123" s="264"/>
      <c r="BP123" s="264"/>
      <c r="BQ123" s="264"/>
      <c r="BR123" s="264"/>
      <c r="BS123" s="264"/>
      <c r="BT123" s="264"/>
      <c r="BU123" s="264"/>
      <c r="BV123" s="264"/>
      <c r="BW123" s="264"/>
      <c r="BX123" s="264"/>
      <c r="BY123" s="264"/>
      <c r="BZ123" s="264"/>
      <c r="CA123" s="264"/>
      <c r="CB123" s="264"/>
      <c r="CC123" s="264"/>
      <c r="CD123" s="264"/>
      <c r="CE123" s="264"/>
      <c r="CF123" s="264"/>
      <c r="CG123" s="266"/>
      <c r="CH123" s="220"/>
      <c r="CI123" s="220"/>
    </row>
    <row r="124" spans="1:88" ht="3" customHeight="1">
      <c r="B124" s="220"/>
      <c r="E124" s="824"/>
      <c r="F124" s="824"/>
      <c r="G124" s="824"/>
      <c r="H124" s="824"/>
      <c r="I124" s="824"/>
      <c r="J124" s="824"/>
      <c r="K124" s="824"/>
      <c r="L124" s="824"/>
      <c r="M124" s="824"/>
      <c r="N124" s="824"/>
      <c r="O124" s="824"/>
      <c r="P124" s="824"/>
      <c r="Q124" s="824"/>
      <c r="R124" s="824"/>
      <c r="S124" s="824"/>
      <c r="T124" s="824"/>
      <c r="U124" s="824"/>
      <c r="V124" s="824"/>
      <c r="W124" s="824"/>
      <c r="X124" s="824"/>
      <c r="Y124" s="824"/>
      <c r="Z124" s="824"/>
      <c r="AA124" s="824"/>
      <c r="AB124" s="824"/>
      <c r="AC124" s="824"/>
      <c r="AD124" s="824"/>
      <c r="AE124" s="824"/>
      <c r="AF124" s="824"/>
      <c r="AG124" s="824"/>
      <c r="AH124" s="824"/>
      <c r="AI124" s="824"/>
      <c r="AJ124" s="824"/>
      <c r="AK124" s="824"/>
      <c r="AL124" s="824"/>
      <c r="AM124" s="824"/>
      <c r="AN124" s="824"/>
      <c r="AO124" s="824"/>
      <c r="AP124" s="824"/>
      <c r="AQ124" s="824"/>
      <c r="AR124" s="824"/>
      <c r="AS124" s="824"/>
      <c r="AT124" s="824"/>
      <c r="AU124" s="824"/>
      <c r="AV124" s="824"/>
      <c r="AW124" s="824"/>
      <c r="AX124" s="824"/>
      <c r="AY124" s="824"/>
      <c r="AZ124" s="824"/>
      <c r="BA124" s="824"/>
      <c r="BB124" s="824"/>
      <c r="BC124" s="824"/>
      <c r="BD124" s="824"/>
      <c r="BE124" s="824"/>
      <c r="BF124" s="824"/>
      <c r="BG124" s="824"/>
      <c r="BH124" s="824"/>
      <c r="BI124" s="824"/>
      <c r="BJ124" s="824"/>
      <c r="BK124" s="824"/>
      <c r="BL124" s="824"/>
      <c r="BM124" s="824"/>
      <c r="BN124" s="824"/>
      <c r="BO124" s="824"/>
      <c r="BP124" s="824"/>
      <c r="BQ124" s="824"/>
      <c r="BR124" s="824"/>
      <c r="BS124" s="824"/>
      <c r="BT124" s="824"/>
      <c r="BU124" s="824"/>
      <c r="BV124" s="824"/>
      <c r="BW124" s="824"/>
      <c r="BX124" s="824"/>
      <c r="BY124" s="824"/>
      <c r="BZ124" s="824"/>
      <c r="CA124" s="824"/>
      <c r="CB124" s="824"/>
      <c r="CC124" s="824"/>
      <c r="CD124" s="824"/>
      <c r="CE124" s="824"/>
      <c r="CF124" s="824"/>
      <c r="CG124" s="824"/>
    </row>
    <row r="125" spans="1:88" s="220" customFormat="1" ht="5.25" customHeight="1">
      <c r="E125" s="267"/>
      <c r="CG125" s="238"/>
    </row>
    <row r="126" spans="1:88" ht="3.75" customHeight="1">
      <c r="A126" s="220"/>
      <c r="B126" s="220"/>
      <c r="C126" s="220"/>
      <c r="D126" s="220"/>
      <c r="E126" s="267"/>
      <c r="F126" s="220"/>
      <c r="G126" s="268"/>
      <c r="H126" s="240"/>
      <c r="I126" s="240"/>
      <c r="J126" s="240"/>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220"/>
      <c r="CG126" s="238"/>
      <c r="CH126" s="220"/>
      <c r="CI126" s="220"/>
    </row>
    <row r="127" spans="1:88" ht="3.75" customHeight="1" thickBot="1">
      <c r="A127" s="220"/>
      <c r="B127" s="220"/>
      <c r="C127" s="220"/>
      <c r="D127" s="220"/>
      <c r="E127" s="269"/>
      <c r="F127" s="270"/>
      <c r="G127" s="268"/>
      <c r="H127" s="240"/>
      <c r="I127" s="240"/>
      <c r="J127" s="240"/>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270"/>
      <c r="CG127" s="271"/>
      <c r="CH127" s="220"/>
      <c r="CI127" s="220"/>
    </row>
    <row r="128" spans="1:88" ht="6.75" customHeight="1" thickTop="1">
      <c r="A128" s="220"/>
      <c r="B128" s="272"/>
      <c r="C128" s="272"/>
      <c r="D128" s="272"/>
      <c r="E128" s="220"/>
      <c r="F128" s="220"/>
      <c r="G128" s="268"/>
      <c r="H128" s="353" t="s">
        <v>1532</v>
      </c>
      <c r="I128" s="240"/>
      <c r="J128" s="240"/>
      <c r="K128" s="356"/>
      <c r="L128" s="356"/>
      <c r="M128" s="356"/>
      <c r="N128" s="356"/>
      <c r="O128" s="356"/>
      <c r="P128" s="356"/>
      <c r="Q128" s="356"/>
      <c r="R128" s="356"/>
      <c r="S128" s="356"/>
      <c r="T128" s="356"/>
      <c r="U128" s="356"/>
      <c r="V128" s="356"/>
      <c r="W128" s="356"/>
      <c r="X128" s="356"/>
      <c r="Y128" s="356"/>
      <c r="Z128" s="356"/>
      <c r="AA128" s="268"/>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414" t="str">
        <f>Index!C420</f>
        <v>Strana 2</v>
      </c>
      <c r="CE128" s="356"/>
      <c r="CF128" s="356"/>
      <c r="CG128" s="356"/>
      <c r="CH128" s="272"/>
      <c r="CI128" s="220"/>
    </row>
    <row r="129" spans="1:88" s="277" customFormat="1">
      <c r="A129" s="272"/>
      <c r="B129" s="272"/>
      <c r="C129" s="272"/>
      <c r="D129" s="272"/>
      <c r="E129" s="273"/>
      <c r="F129" s="273"/>
      <c r="G129" s="273"/>
      <c r="H129" s="274"/>
      <c r="I129" s="274"/>
      <c r="J129" s="274"/>
      <c r="K129" s="275"/>
      <c r="L129" s="275"/>
      <c r="M129" s="275"/>
      <c r="N129" s="275"/>
      <c r="O129" s="275"/>
      <c r="P129" s="275"/>
      <c r="Q129" s="275"/>
      <c r="R129" s="275"/>
      <c r="S129" s="275"/>
      <c r="T129" s="275"/>
      <c r="U129" s="275"/>
      <c r="V129" s="275"/>
      <c r="W129" s="275"/>
      <c r="X129" s="275"/>
      <c r="Y129" s="275"/>
      <c r="Z129" s="275"/>
      <c r="AA129" s="275"/>
      <c r="AB129" s="275"/>
      <c r="AC129" s="275"/>
      <c r="AD129" s="275"/>
      <c r="AE129" s="276">
        <v>10</v>
      </c>
      <c r="AF129" s="275"/>
      <c r="AG129" s="276">
        <v>9</v>
      </c>
      <c r="AH129" s="275"/>
      <c r="AI129" s="276">
        <v>8</v>
      </c>
      <c r="AJ129" s="275"/>
      <c r="AK129" s="276">
        <v>7</v>
      </c>
      <c r="AL129" s="275"/>
      <c r="AM129" s="276">
        <v>6</v>
      </c>
      <c r="AN129" s="275"/>
      <c r="AO129" s="276">
        <v>5</v>
      </c>
      <c r="AP129" s="275"/>
      <c r="AQ129" s="276">
        <v>4</v>
      </c>
      <c r="AR129" s="275"/>
      <c r="AS129" s="276">
        <v>3</v>
      </c>
      <c r="AT129" s="275"/>
      <c r="AU129" s="276">
        <v>2</v>
      </c>
      <c r="AV129" s="275"/>
      <c r="AW129" s="276">
        <v>1</v>
      </c>
      <c r="AX129" s="275"/>
      <c r="AY129" s="276">
        <v>0</v>
      </c>
      <c r="AZ129" s="275"/>
      <c r="BA129" s="275"/>
      <c r="BB129" s="276">
        <v>10</v>
      </c>
      <c r="BC129" s="275"/>
      <c r="BD129" s="276">
        <v>9</v>
      </c>
      <c r="BE129" s="275"/>
      <c r="BF129" s="276">
        <v>8</v>
      </c>
      <c r="BG129" s="275"/>
      <c r="BH129" s="276">
        <v>7</v>
      </c>
      <c r="BI129" s="275"/>
      <c r="BJ129" s="276">
        <v>6</v>
      </c>
      <c r="BK129" s="275"/>
      <c r="BL129" s="276">
        <v>5</v>
      </c>
      <c r="BM129" s="275"/>
      <c r="BN129" s="276">
        <v>4</v>
      </c>
      <c r="BO129" s="275"/>
      <c r="BP129" s="276">
        <v>3</v>
      </c>
      <c r="BQ129" s="275"/>
      <c r="BR129" s="276">
        <v>2</v>
      </c>
      <c r="BS129" s="275"/>
      <c r="BT129" s="276">
        <v>1</v>
      </c>
      <c r="BU129" s="275"/>
      <c r="BV129" s="276">
        <v>0</v>
      </c>
      <c r="BW129" s="275"/>
      <c r="BX129" s="275"/>
      <c r="BY129" s="275"/>
      <c r="BZ129" s="275"/>
      <c r="CA129" s="275"/>
      <c r="CB129" s="275"/>
      <c r="CC129" s="275"/>
      <c r="CD129" s="275"/>
      <c r="CE129" s="275"/>
      <c r="CF129" s="275"/>
      <c r="CG129" s="275"/>
      <c r="CH129" s="272"/>
      <c r="CI129" s="272"/>
      <c r="CJ129" s="272"/>
    </row>
    <row r="130" spans="1:88" s="277" customFormat="1">
      <c r="B130" s="272"/>
      <c r="C130" s="272"/>
      <c r="D130" s="272"/>
      <c r="E130" s="273"/>
      <c r="F130" s="273"/>
      <c r="G130" s="273"/>
      <c r="H130" s="274"/>
      <c r="I130" s="274"/>
      <c r="J130" s="274"/>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6">
        <v>10</v>
      </c>
      <c r="BM130" s="275"/>
      <c r="BN130" s="276">
        <v>9</v>
      </c>
      <c r="BO130" s="275"/>
      <c r="BP130" s="276">
        <v>8</v>
      </c>
      <c r="BQ130" s="275"/>
      <c r="BR130" s="276">
        <v>7</v>
      </c>
      <c r="BS130" s="275"/>
      <c r="BT130" s="276">
        <v>6</v>
      </c>
      <c r="BU130" s="275"/>
      <c r="BV130" s="276">
        <v>5</v>
      </c>
      <c r="BW130" s="275"/>
      <c r="BX130" s="276">
        <v>4</v>
      </c>
      <c r="BY130" s="275"/>
      <c r="BZ130" s="276">
        <v>3</v>
      </c>
      <c r="CA130" s="275"/>
      <c r="CB130" s="276">
        <v>2</v>
      </c>
      <c r="CC130" s="275"/>
      <c r="CD130" s="276">
        <v>1</v>
      </c>
      <c r="CE130" s="275"/>
      <c r="CF130" s="276">
        <v>0</v>
      </c>
      <c r="CG130" s="275"/>
      <c r="CH130" s="272"/>
      <c r="CJ130" s="272"/>
    </row>
  </sheetData>
  <sheetProtection sheet="1" objects="1" scenarios="1"/>
  <mergeCells count="518">
    <mergeCell ref="CJ1:CJ115"/>
    <mergeCell ref="H2:X4"/>
    <mergeCell ref="AB2:AX2"/>
    <mergeCell ref="AY2:AY5"/>
    <mergeCell ref="AZ2:BS2"/>
    <mergeCell ref="BT2:CD5"/>
    <mergeCell ref="AE3:AW3"/>
    <mergeCell ref="AZ3:BC4"/>
    <mergeCell ref="BD3:BR3"/>
    <mergeCell ref="AB4:AC5"/>
    <mergeCell ref="AP4:AP5"/>
    <mergeCell ref="AR4:AR5"/>
    <mergeCell ref="CH8:CI8"/>
    <mergeCell ref="CH9:CH38"/>
    <mergeCell ref="BQ13:BQ14"/>
    <mergeCell ref="BR13:BV13"/>
    <mergeCell ref="BV17:BZ17"/>
    <mergeCell ref="CB17:CF17"/>
    <mergeCell ref="BA15:BQ15"/>
    <mergeCell ref="AD16:AZ16"/>
    <mergeCell ref="AD17:AD18"/>
    <mergeCell ref="AE17:AG17"/>
    <mergeCell ref="AI17:AM17"/>
    <mergeCell ref="AN17:AN18"/>
    <mergeCell ref="E7:F10"/>
    <mergeCell ref="AD7:BQ8"/>
    <mergeCell ref="BR7:CG10"/>
    <mergeCell ref="B8:D8"/>
    <mergeCell ref="G8:Z9"/>
    <mergeCell ref="AD4:AD5"/>
    <mergeCell ref="AF4:AF5"/>
    <mergeCell ref="AH4:AH5"/>
    <mergeCell ref="AJ4:AJ5"/>
    <mergeCell ref="AL4:AL5"/>
    <mergeCell ref="AN4:AN5"/>
    <mergeCell ref="B9:C29"/>
    <mergeCell ref="D9:D29"/>
    <mergeCell ref="AA9:AC9"/>
    <mergeCell ref="AD9:AF11"/>
    <mergeCell ref="AG9:AZ10"/>
    <mergeCell ref="BA9:BQ10"/>
    <mergeCell ref="AA10:AC10"/>
    <mergeCell ref="E11:F11"/>
    <mergeCell ref="G11:Z11"/>
    <mergeCell ref="AA11:AC11"/>
    <mergeCell ref="AG11:AZ11"/>
    <mergeCell ref="BA11:BQ11"/>
    <mergeCell ref="BR11:CG11"/>
    <mergeCell ref="E12:F19"/>
    <mergeCell ref="G12:G19"/>
    <mergeCell ref="H12:Z19"/>
    <mergeCell ref="AA12:AC19"/>
    <mergeCell ref="AD12:AZ12"/>
    <mergeCell ref="BB13:BD13"/>
    <mergeCell ref="BF13:BJ13"/>
    <mergeCell ref="BK13:BK14"/>
    <mergeCell ref="BL13:BP13"/>
    <mergeCell ref="BA12:BQ12"/>
    <mergeCell ref="AD13:AD14"/>
    <mergeCell ref="AE13:AG13"/>
    <mergeCell ref="AI13:AM13"/>
    <mergeCell ref="AN13:AN14"/>
    <mergeCell ref="AO13:AS13"/>
    <mergeCell ref="AT13:AT14"/>
    <mergeCell ref="AU13:AY13"/>
    <mergeCell ref="AZ13:AZ14"/>
    <mergeCell ref="BA13:BA14"/>
    <mergeCell ref="AZ17:AZ18"/>
    <mergeCell ref="BL17:BN17"/>
    <mergeCell ref="BP17:BT17"/>
    <mergeCell ref="AD19:AZ19"/>
    <mergeCell ref="AD15:AZ15"/>
    <mergeCell ref="AO17:AS17"/>
    <mergeCell ref="AT17:AT18"/>
    <mergeCell ref="AU17:AY17"/>
    <mergeCell ref="BF21:BJ21"/>
    <mergeCell ref="BK21:BK22"/>
    <mergeCell ref="BL21:BP21"/>
    <mergeCell ref="BQ21:BQ22"/>
    <mergeCell ref="BR21:BV21"/>
    <mergeCell ref="AD23:AZ23"/>
    <mergeCell ref="BA23:BQ23"/>
    <mergeCell ref="AO21:AS21"/>
    <mergeCell ref="AT21:AT22"/>
    <mergeCell ref="AU21:AY21"/>
    <mergeCell ref="AZ21:AZ22"/>
    <mergeCell ref="BA21:BA22"/>
    <mergeCell ref="BB21:BD21"/>
    <mergeCell ref="AD21:AD22"/>
    <mergeCell ref="AE21:AG21"/>
    <mergeCell ref="AI21:AM21"/>
    <mergeCell ref="AN21:AN22"/>
    <mergeCell ref="BA20:BQ20"/>
    <mergeCell ref="BR29:BV29"/>
    <mergeCell ref="BA28:BQ28"/>
    <mergeCell ref="AD29:AD30"/>
    <mergeCell ref="AD24:AZ24"/>
    <mergeCell ref="AD25:AD26"/>
    <mergeCell ref="AE25:AG25"/>
    <mergeCell ref="AI25:AM25"/>
    <mergeCell ref="AN25:AN26"/>
    <mergeCell ref="AO25:AS25"/>
    <mergeCell ref="AT25:AT26"/>
    <mergeCell ref="AU25:AY25"/>
    <mergeCell ref="AZ25:AZ26"/>
    <mergeCell ref="BL25:BN25"/>
    <mergeCell ref="AD27:AZ27"/>
    <mergeCell ref="BB29:BD29"/>
    <mergeCell ref="BF29:BJ29"/>
    <mergeCell ref="BK29:BK30"/>
    <mergeCell ref="BL29:BP29"/>
    <mergeCell ref="BQ29:BQ30"/>
    <mergeCell ref="BA29:BA30"/>
    <mergeCell ref="E28:F35"/>
    <mergeCell ref="G28:G35"/>
    <mergeCell ref="H28:Z35"/>
    <mergeCell ref="AA28:AC35"/>
    <mergeCell ref="AD28:AZ28"/>
    <mergeCell ref="E20:F27"/>
    <mergeCell ref="G20:G27"/>
    <mergeCell ref="H20:Z27"/>
    <mergeCell ref="AA20:AC27"/>
    <mergeCell ref="AD20:AZ20"/>
    <mergeCell ref="AE29:AG29"/>
    <mergeCell ref="AI29:AM29"/>
    <mergeCell ref="AN29:AN30"/>
    <mergeCell ref="AO29:AS29"/>
    <mergeCell ref="AT29:AT30"/>
    <mergeCell ref="AU29:AY29"/>
    <mergeCell ref="AZ29:AZ30"/>
    <mergeCell ref="BL33:BN33"/>
    <mergeCell ref="B30:D115"/>
    <mergeCell ref="AD31:AZ31"/>
    <mergeCell ref="BA31:BQ31"/>
    <mergeCell ref="AD32:AZ32"/>
    <mergeCell ref="AD33:AD34"/>
    <mergeCell ref="AE33:AG33"/>
    <mergeCell ref="AI33:AM33"/>
    <mergeCell ref="AN33:AN34"/>
    <mergeCell ref="AO33:AS33"/>
    <mergeCell ref="AT33:AT34"/>
    <mergeCell ref="AD35:AZ35"/>
    <mergeCell ref="E36:F43"/>
    <mergeCell ref="G36:G43"/>
    <mergeCell ref="H36:Z43"/>
    <mergeCell ref="AA36:AC43"/>
    <mergeCell ref="AD36:AZ36"/>
    <mergeCell ref="AD39:AZ39"/>
    <mergeCell ref="AU33:AY33"/>
    <mergeCell ref="AZ33:AZ34"/>
    <mergeCell ref="BB37:BD37"/>
    <mergeCell ref="BF37:BJ37"/>
    <mergeCell ref="BK37:BK38"/>
    <mergeCell ref="BL37:BP37"/>
    <mergeCell ref="BQ37:BQ38"/>
    <mergeCell ref="BR37:BV37"/>
    <mergeCell ref="BA36:BQ36"/>
    <mergeCell ref="AD37:AD38"/>
    <mergeCell ref="AE37:AG37"/>
    <mergeCell ref="AI37:AM37"/>
    <mergeCell ref="AN37:AN38"/>
    <mergeCell ref="AO37:AS37"/>
    <mergeCell ref="AT37:AT38"/>
    <mergeCell ref="AU37:AY37"/>
    <mergeCell ref="AZ37:AZ38"/>
    <mergeCell ref="BA37:BA38"/>
    <mergeCell ref="CH43:CI115"/>
    <mergeCell ref="AO45:AS45"/>
    <mergeCell ref="AT45:AT46"/>
    <mergeCell ref="AU45:AY45"/>
    <mergeCell ref="AZ45:AZ46"/>
    <mergeCell ref="BA39:BQ39"/>
    <mergeCell ref="AD40:AZ40"/>
    <mergeCell ref="AD41:AD42"/>
    <mergeCell ref="AE41:AG41"/>
    <mergeCell ref="AI41:AM41"/>
    <mergeCell ref="AN41:AN42"/>
    <mergeCell ref="AO41:AS41"/>
    <mergeCell ref="AT41:AT42"/>
    <mergeCell ref="AU41:AY41"/>
    <mergeCell ref="AZ41:AZ42"/>
    <mergeCell ref="BA44:BQ44"/>
    <mergeCell ref="AD45:AD46"/>
    <mergeCell ref="AE45:AG45"/>
    <mergeCell ref="AI45:AM45"/>
    <mergeCell ref="AN45:AN46"/>
    <mergeCell ref="BL41:BN41"/>
    <mergeCell ref="AD43:AZ43"/>
    <mergeCell ref="BL49:BN49"/>
    <mergeCell ref="BR45:BV45"/>
    <mergeCell ref="AD47:AZ47"/>
    <mergeCell ref="BA47:BQ47"/>
    <mergeCell ref="AD48:AZ48"/>
    <mergeCell ref="AD49:AD50"/>
    <mergeCell ref="AE49:AG49"/>
    <mergeCell ref="AI49:AM49"/>
    <mergeCell ref="AN49:AN50"/>
    <mergeCell ref="AO49:AS49"/>
    <mergeCell ref="AT49:AT50"/>
    <mergeCell ref="BA45:BA46"/>
    <mergeCell ref="BB45:BD45"/>
    <mergeCell ref="BF45:BJ45"/>
    <mergeCell ref="BK45:BK46"/>
    <mergeCell ref="BL45:BP45"/>
    <mergeCell ref="BQ45:BQ46"/>
    <mergeCell ref="AD51:AZ51"/>
    <mergeCell ref="E52:F59"/>
    <mergeCell ref="G52:G59"/>
    <mergeCell ref="H52:Z59"/>
    <mergeCell ref="AA52:AC59"/>
    <mergeCell ref="AD52:AZ52"/>
    <mergeCell ref="AD55:AZ55"/>
    <mergeCell ref="AU49:AY49"/>
    <mergeCell ref="AZ49:AZ50"/>
    <mergeCell ref="E44:F51"/>
    <mergeCell ref="G44:G51"/>
    <mergeCell ref="H44:Z51"/>
    <mergeCell ref="AA44:AC51"/>
    <mergeCell ref="AD44:AZ44"/>
    <mergeCell ref="BB53:BD53"/>
    <mergeCell ref="BF53:BJ53"/>
    <mergeCell ref="BK53:BK54"/>
    <mergeCell ref="BL53:BP53"/>
    <mergeCell ref="BQ53:BQ54"/>
    <mergeCell ref="BR53:BV53"/>
    <mergeCell ref="BA52:BQ52"/>
    <mergeCell ref="AD53:AD54"/>
    <mergeCell ref="AE53:AG53"/>
    <mergeCell ref="AI53:AM53"/>
    <mergeCell ref="AN53:AN54"/>
    <mergeCell ref="AO53:AS53"/>
    <mergeCell ref="AT53:AT54"/>
    <mergeCell ref="AU53:AY53"/>
    <mergeCell ref="AZ53:AZ54"/>
    <mergeCell ref="BA53:BA54"/>
    <mergeCell ref="BA55:BQ55"/>
    <mergeCell ref="AD56:AZ56"/>
    <mergeCell ref="AD57:AD58"/>
    <mergeCell ref="AE57:AG57"/>
    <mergeCell ref="AI57:AM57"/>
    <mergeCell ref="AN57:AN58"/>
    <mergeCell ref="AO57:AS57"/>
    <mergeCell ref="AT57:AT58"/>
    <mergeCell ref="AU57:AY57"/>
    <mergeCell ref="AZ57:AZ58"/>
    <mergeCell ref="BL57:BN57"/>
    <mergeCell ref="BL61:BP61"/>
    <mergeCell ref="BQ61:BQ62"/>
    <mergeCell ref="BR61:BV61"/>
    <mergeCell ref="BA60:BQ60"/>
    <mergeCell ref="AD61:AD62"/>
    <mergeCell ref="AE61:AG61"/>
    <mergeCell ref="AI61:AM61"/>
    <mergeCell ref="AN61:AN62"/>
    <mergeCell ref="AO61:AS61"/>
    <mergeCell ref="AT61:AT62"/>
    <mergeCell ref="AU61:AY61"/>
    <mergeCell ref="AZ61:AZ62"/>
    <mergeCell ref="BA61:BA62"/>
    <mergeCell ref="AD59:AZ59"/>
    <mergeCell ref="E60:F67"/>
    <mergeCell ref="G60:G67"/>
    <mergeCell ref="H60:Z67"/>
    <mergeCell ref="AA60:AC67"/>
    <mergeCell ref="AD60:AZ60"/>
    <mergeCell ref="BB61:BD61"/>
    <mergeCell ref="BF61:BJ61"/>
    <mergeCell ref="BK61:BK62"/>
    <mergeCell ref="AZ65:AZ66"/>
    <mergeCell ref="BL65:BN65"/>
    <mergeCell ref="AD67:AZ67"/>
    <mergeCell ref="AD63:AZ63"/>
    <mergeCell ref="BA63:BQ63"/>
    <mergeCell ref="AD64:AZ64"/>
    <mergeCell ref="AD65:AD66"/>
    <mergeCell ref="AE65:AG65"/>
    <mergeCell ref="AI65:AM65"/>
    <mergeCell ref="AN65:AN66"/>
    <mergeCell ref="AO65:AS65"/>
    <mergeCell ref="AT65:AT66"/>
    <mergeCell ref="AU65:AY65"/>
    <mergeCell ref="BR69:BV69"/>
    <mergeCell ref="AD71:AZ71"/>
    <mergeCell ref="BA71:BQ71"/>
    <mergeCell ref="AO69:AS69"/>
    <mergeCell ref="AT69:AT70"/>
    <mergeCell ref="AU69:AY69"/>
    <mergeCell ref="AZ69:AZ70"/>
    <mergeCell ref="BA69:BA70"/>
    <mergeCell ref="BB69:BD69"/>
    <mergeCell ref="AD69:AD70"/>
    <mergeCell ref="AE69:AG69"/>
    <mergeCell ref="AI69:AM69"/>
    <mergeCell ref="AN69:AN70"/>
    <mergeCell ref="BR77:BV77"/>
    <mergeCell ref="BA76:BQ76"/>
    <mergeCell ref="AD77:AD78"/>
    <mergeCell ref="AD72:AZ72"/>
    <mergeCell ref="AD73:AD74"/>
    <mergeCell ref="AE73:AG73"/>
    <mergeCell ref="AI73:AM73"/>
    <mergeCell ref="AN73:AN74"/>
    <mergeCell ref="AO73:AS73"/>
    <mergeCell ref="AT73:AT74"/>
    <mergeCell ref="AU73:AY73"/>
    <mergeCell ref="AZ73:AZ74"/>
    <mergeCell ref="BL73:BN73"/>
    <mergeCell ref="AD75:AZ75"/>
    <mergeCell ref="E76:F83"/>
    <mergeCell ref="G76:G83"/>
    <mergeCell ref="H76:Z83"/>
    <mergeCell ref="AA76:AC83"/>
    <mergeCell ref="AD76:AZ76"/>
    <mergeCell ref="E68:F75"/>
    <mergeCell ref="G68:G75"/>
    <mergeCell ref="H68:Z75"/>
    <mergeCell ref="AA68:AC75"/>
    <mergeCell ref="AD68:AZ68"/>
    <mergeCell ref="AE77:AG77"/>
    <mergeCell ref="AI77:AM77"/>
    <mergeCell ref="AN77:AN78"/>
    <mergeCell ref="AO77:AS77"/>
    <mergeCell ref="AT77:AT78"/>
    <mergeCell ref="AU77:AY77"/>
    <mergeCell ref="AZ77:AZ78"/>
    <mergeCell ref="AZ81:AZ82"/>
    <mergeCell ref="BA68:BQ68"/>
    <mergeCell ref="BB77:BD77"/>
    <mergeCell ref="BF77:BJ77"/>
    <mergeCell ref="BK77:BK78"/>
    <mergeCell ref="BL77:BP77"/>
    <mergeCell ref="BQ77:BQ78"/>
    <mergeCell ref="BF69:BJ69"/>
    <mergeCell ref="BK69:BK70"/>
    <mergeCell ref="BL69:BP69"/>
    <mergeCell ref="BQ69:BQ70"/>
    <mergeCell ref="BA77:BA78"/>
    <mergeCell ref="BL81:BN81"/>
    <mergeCell ref="AD83:AZ83"/>
    <mergeCell ref="AD79:AZ79"/>
    <mergeCell ref="BA79:BQ79"/>
    <mergeCell ref="AD80:AZ80"/>
    <mergeCell ref="AD81:AD82"/>
    <mergeCell ref="AE81:AG81"/>
    <mergeCell ref="AI81:AM81"/>
    <mergeCell ref="AN81:AN82"/>
    <mergeCell ref="AO81:AS81"/>
    <mergeCell ref="AT81:AT82"/>
    <mergeCell ref="AU81:AY81"/>
    <mergeCell ref="BR93:BV93"/>
    <mergeCell ref="BA92:BQ92"/>
    <mergeCell ref="AD93:AD94"/>
    <mergeCell ref="AD88:AZ88"/>
    <mergeCell ref="AD89:AD90"/>
    <mergeCell ref="AZ89:AZ90"/>
    <mergeCell ref="BF85:BJ85"/>
    <mergeCell ref="BK85:BK86"/>
    <mergeCell ref="BL85:BP85"/>
    <mergeCell ref="BQ85:BQ86"/>
    <mergeCell ref="BR85:BV85"/>
    <mergeCell ref="AD87:AZ87"/>
    <mergeCell ref="BA87:BQ87"/>
    <mergeCell ref="AO85:AS85"/>
    <mergeCell ref="AT85:AT86"/>
    <mergeCell ref="AU85:AY85"/>
    <mergeCell ref="AZ85:AZ86"/>
    <mergeCell ref="BA85:BA86"/>
    <mergeCell ref="BB85:BD85"/>
    <mergeCell ref="AD85:AD86"/>
    <mergeCell ref="AE85:AG85"/>
    <mergeCell ref="AI85:AM85"/>
    <mergeCell ref="AN85:AN86"/>
    <mergeCell ref="AZ93:AZ94"/>
    <mergeCell ref="BA93:BA94"/>
    <mergeCell ref="AZ97:AZ98"/>
    <mergeCell ref="BL89:BN89"/>
    <mergeCell ref="AD91:AZ91"/>
    <mergeCell ref="E92:F99"/>
    <mergeCell ref="G92:G99"/>
    <mergeCell ref="H92:Z99"/>
    <mergeCell ref="AA92:AC99"/>
    <mergeCell ref="AD92:AZ92"/>
    <mergeCell ref="E84:F91"/>
    <mergeCell ref="G84:G91"/>
    <mergeCell ref="H84:Z91"/>
    <mergeCell ref="AA84:AC91"/>
    <mergeCell ref="AD84:AZ84"/>
    <mergeCell ref="BA84:BQ84"/>
    <mergeCell ref="BB93:BD93"/>
    <mergeCell ref="BF93:BJ93"/>
    <mergeCell ref="BK93:BK94"/>
    <mergeCell ref="BL93:BP93"/>
    <mergeCell ref="BQ93:BQ94"/>
    <mergeCell ref="BL97:BN97"/>
    <mergeCell ref="AD99:AZ99"/>
    <mergeCell ref="AD95:AZ95"/>
    <mergeCell ref="BA95:BQ95"/>
    <mergeCell ref="AD96:AZ96"/>
    <mergeCell ref="AD97:AD98"/>
    <mergeCell ref="AE97:AG97"/>
    <mergeCell ref="AI97:AM97"/>
    <mergeCell ref="AN97:AN98"/>
    <mergeCell ref="AO97:AS97"/>
    <mergeCell ref="AT97:AT98"/>
    <mergeCell ref="AU97:AY97"/>
    <mergeCell ref="BR101:BV101"/>
    <mergeCell ref="BA100:BQ100"/>
    <mergeCell ref="BA103:BQ103"/>
    <mergeCell ref="AO101:AS101"/>
    <mergeCell ref="AT101:AT102"/>
    <mergeCell ref="AU101:AY101"/>
    <mergeCell ref="AZ101:AZ102"/>
    <mergeCell ref="BA101:BA102"/>
    <mergeCell ref="BB101:BD101"/>
    <mergeCell ref="AD101:AD102"/>
    <mergeCell ref="AE101:AG101"/>
    <mergeCell ref="AI101:AM101"/>
    <mergeCell ref="AN101:AN102"/>
    <mergeCell ref="BF101:BJ101"/>
    <mergeCell ref="BK101:BK102"/>
    <mergeCell ref="BL101:BP101"/>
    <mergeCell ref="BQ101:BQ102"/>
    <mergeCell ref="BR109:BV109"/>
    <mergeCell ref="BA108:BQ108"/>
    <mergeCell ref="AD109:AD110"/>
    <mergeCell ref="AD104:AZ104"/>
    <mergeCell ref="AD105:AD106"/>
    <mergeCell ref="AE105:AG105"/>
    <mergeCell ref="AI105:AM105"/>
    <mergeCell ref="AN105:AN106"/>
    <mergeCell ref="AO105:AS105"/>
    <mergeCell ref="AT105:AT106"/>
    <mergeCell ref="AU105:AY105"/>
    <mergeCell ref="AZ105:AZ106"/>
    <mergeCell ref="BL105:BN105"/>
    <mergeCell ref="AD107:AZ107"/>
    <mergeCell ref="BB109:BD109"/>
    <mergeCell ref="BF109:BJ109"/>
    <mergeCell ref="BK109:BK110"/>
    <mergeCell ref="BL109:BP109"/>
    <mergeCell ref="BQ109:BQ110"/>
    <mergeCell ref="BA109:BA110"/>
    <mergeCell ref="E108:F115"/>
    <mergeCell ref="G108:G115"/>
    <mergeCell ref="H108:Z115"/>
    <mergeCell ref="AA108:AC115"/>
    <mergeCell ref="AD108:AZ108"/>
    <mergeCell ref="E100:F107"/>
    <mergeCell ref="G100:G107"/>
    <mergeCell ref="H100:Z107"/>
    <mergeCell ref="AA100:AC107"/>
    <mergeCell ref="AD100:AZ100"/>
    <mergeCell ref="AE109:AG109"/>
    <mergeCell ref="AI109:AM109"/>
    <mergeCell ref="AN109:AN110"/>
    <mergeCell ref="AO109:AS109"/>
    <mergeCell ref="AT109:AT110"/>
    <mergeCell ref="AU109:AY109"/>
    <mergeCell ref="AZ109:AZ110"/>
    <mergeCell ref="AZ113:AZ114"/>
    <mergeCell ref="AD103:AZ103"/>
    <mergeCell ref="BL113:BN113"/>
    <mergeCell ref="BP113:BT113"/>
    <mergeCell ref="BV113:BZ113"/>
    <mergeCell ref="CB113:CF113"/>
    <mergeCell ref="AD115:AZ115"/>
    <mergeCell ref="AD111:AZ111"/>
    <mergeCell ref="BA111:BQ111"/>
    <mergeCell ref="AD112:AZ112"/>
    <mergeCell ref="AD113:AD114"/>
    <mergeCell ref="AE113:AG113"/>
    <mergeCell ref="AI113:AM113"/>
    <mergeCell ref="AN113:AN114"/>
    <mergeCell ref="AO113:AS113"/>
    <mergeCell ref="AT113:AT114"/>
    <mergeCell ref="AU113:AY113"/>
    <mergeCell ref="BU113:BU114"/>
    <mergeCell ref="CA113:CA114"/>
    <mergeCell ref="BK117:BK118"/>
    <mergeCell ref="BL117:BP117"/>
    <mergeCell ref="BQ117:BQ118"/>
    <mergeCell ref="BR117:BV117"/>
    <mergeCell ref="AD119:AZ119"/>
    <mergeCell ref="BA119:BQ119"/>
    <mergeCell ref="AO117:AS117"/>
    <mergeCell ref="AT117:AT118"/>
    <mergeCell ref="AU117:AY117"/>
    <mergeCell ref="AZ117:AZ118"/>
    <mergeCell ref="BA117:BA118"/>
    <mergeCell ref="BB117:BD117"/>
    <mergeCell ref="AD117:AD118"/>
    <mergeCell ref="AE117:AG117"/>
    <mergeCell ref="AI117:AM117"/>
    <mergeCell ref="AN117:AN118"/>
    <mergeCell ref="BU121:BU122"/>
    <mergeCell ref="CA121:CA122"/>
    <mergeCell ref="BL121:BN121"/>
    <mergeCell ref="BP121:BT121"/>
    <mergeCell ref="BV121:BZ121"/>
    <mergeCell ref="CB121:CF121"/>
    <mergeCell ref="AD123:AZ123"/>
    <mergeCell ref="E124:CG124"/>
    <mergeCell ref="AD120:AZ120"/>
    <mergeCell ref="AD121:AD122"/>
    <mergeCell ref="AE121:AG121"/>
    <mergeCell ref="AI121:AM121"/>
    <mergeCell ref="AN121:AN122"/>
    <mergeCell ref="AO121:AS121"/>
    <mergeCell ref="AT121:AT122"/>
    <mergeCell ref="AU121:AY121"/>
    <mergeCell ref="AZ121:AZ122"/>
    <mergeCell ref="E116:F123"/>
    <mergeCell ref="G116:G123"/>
    <mergeCell ref="H116:Z123"/>
    <mergeCell ref="AA116:AC123"/>
    <mergeCell ref="AD116:AZ116"/>
    <mergeCell ref="BA116:BQ116"/>
    <mergeCell ref="BF117:BJ117"/>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900-000000000000}">
          <x14:formula1>
            <xm:f>0</xm:f>
          </x14:formula1>
          <x14:formula2>
            <xm:f>9</xm:f>
          </x14:formula2>
          <xm:sqref>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dimension ref="A1:CJ130"/>
  <sheetViews>
    <sheetView topLeftCell="A42" zoomScale="110" zoomScaleNormal="110" workbookViewId="0">
      <selection activeCell="C31" sqref="C31"/>
    </sheetView>
  </sheetViews>
  <sheetFormatPr defaultRowHeight="12.75"/>
  <cols>
    <col min="1" max="1" width="0.7109375" style="221" customWidth="1"/>
    <col min="2" max="2" width="0.42578125" style="221" customWidth="1"/>
    <col min="3" max="3" width="0.5703125" style="221" customWidth="1"/>
    <col min="4" max="4" width="0.28515625" style="221" customWidth="1"/>
    <col min="5" max="5" width="3.42578125" style="278" customWidth="1"/>
    <col min="6" max="6" width="0.5703125" style="278" customWidth="1"/>
    <col min="7" max="7" width="0.7109375" style="278" customWidth="1"/>
    <col min="8" max="10" width="0.7109375" style="279" customWidth="1"/>
    <col min="11" max="26" width="0.710937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140625" style="280" customWidth="1"/>
    <col min="63" max="63" width="0.5703125" style="280" customWidth="1"/>
    <col min="64" max="64" width="2.140625" style="280" customWidth="1"/>
    <col min="65" max="65" width="0.5703125" style="280" customWidth="1"/>
    <col min="66" max="66" width="2.140625" style="280" customWidth="1"/>
    <col min="67" max="67" width="0.5703125" style="280" customWidth="1"/>
    <col min="68" max="68" width="2.140625" style="280" customWidth="1"/>
    <col min="69" max="69" width="0.5703125" style="280" customWidth="1"/>
    <col min="70" max="70" width="2.140625" style="280" customWidth="1"/>
    <col min="71" max="71" width="0.5703125" style="280" customWidth="1"/>
    <col min="72" max="72" width="2.140625" style="280" customWidth="1"/>
    <col min="73" max="73" width="0.5703125" style="280" customWidth="1"/>
    <col min="74" max="74" width="2.140625" style="280" customWidth="1"/>
    <col min="75" max="75" width="0.5703125" style="280" customWidth="1"/>
    <col min="76" max="76" width="2.140625" style="280" customWidth="1"/>
    <col min="77" max="77" width="0.5703125" style="280" customWidth="1"/>
    <col min="78" max="78" width="2.140625" style="280" customWidth="1"/>
    <col min="79" max="79" width="0.5703125" style="280" customWidth="1"/>
    <col min="80" max="80" width="2.140625" style="280" customWidth="1"/>
    <col min="81" max="81" width="0.5703125" style="280" customWidth="1"/>
    <col min="82" max="82" width="2.140625" style="280" customWidth="1"/>
    <col min="83" max="83" width="0.5703125" style="280" customWidth="1"/>
    <col min="84" max="84" width="2.140625" style="280" customWidth="1"/>
    <col min="85" max="85" width="0.5703125" style="280" customWidth="1"/>
    <col min="86" max="86" width="1.7109375" style="221" customWidth="1"/>
    <col min="87" max="256" width="9.140625" style="221"/>
    <col min="257" max="257" width="0.7109375" style="221" customWidth="1"/>
    <col min="258" max="258" width="0.42578125" style="221" customWidth="1"/>
    <col min="259" max="259" width="0.5703125" style="221" customWidth="1"/>
    <col min="260" max="260" width="0.28515625" style="221" customWidth="1"/>
    <col min="261" max="261" width="3.42578125" style="221" customWidth="1"/>
    <col min="262" max="262" width="0.5703125" style="221" customWidth="1"/>
    <col min="263" max="282" width="0.710937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140625" style="221" customWidth="1"/>
    <col min="319" max="319" width="0.5703125" style="221" customWidth="1"/>
    <col min="320" max="320" width="2.140625" style="221" customWidth="1"/>
    <col min="321" max="321" width="0.5703125" style="221" customWidth="1"/>
    <col min="322" max="322" width="2.140625" style="221" customWidth="1"/>
    <col min="323" max="323" width="0.5703125" style="221" customWidth="1"/>
    <col min="324" max="324" width="2.140625" style="221" customWidth="1"/>
    <col min="325" max="325" width="0.5703125" style="221" customWidth="1"/>
    <col min="326" max="326" width="2.140625" style="221" customWidth="1"/>
    <col min="327" max="327" width="0.5703125" style="221" customWidth="1"/>
    <col min="328" max="328" width="2.140625" style="221" customWidth="1"/>
    <col min="329" max="329" width="0.5703125" style="221" customWidth="1"/>
    <col min="330" max="330" width="2.140625" style="221" customWidth="1"/>
    <col min="331" max="331" width="0.5703125" style="221" customWidth="1"/>
    <col min="332" max="332" width="2.140625" style="221" customWidth="1"/>
    <col min="333" max="333" width="0.5703125" style="221" customWidth="1"/>
    <col min="334" max="334" width="2.140625" style="221" customWidth="1"/>
    <col min="335" max="335" width="0.5703125" style="221" customWidth="1"/>
    <col min="336" max="336" width="2.140625" style="221" customWidth="1"/>
    <col min="337" max="337" width="0.5703125" style="221" customWidth="1"/>
    <col min="338" max="338" width="2.140625" style="221" customWidth="1"/>
    <col min="339" max="339" width="0.5703125" style="221" customWidth="1"/>
    <col min="340" max="340" width="2.140625" style="221" customWidth="1"/>
    <col min="341" max="341" width="0.5703125" style="221" customWidth="1"/>
    <col min="342" max="342" width="1.7109375" style="221" customWidth="1"/>
    <col min="343" max="512" width="9.140625" style="221"/>
    <col min="513" max="513" width="0.7109375" style="221" customWidth="1"/>
    <col min="514" max="514" width="0.42578125" style="221" customWidth="1"/>
    <col min="515" max="515" width="0.5703125" style="221" customWidth="1"/>
    <col min="516" max="516" width="0.28515625" style="221" customWidth="1"/>
    <col min="517" max="517" width="3.42578125" style="221" customWidth="1"/>
    <col min="518" max="518" width="0.5703125" style="221" customWidth="1"/>
    <col min="519" max="538" width="0.710937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140625" style="221" customWidth="1"/>
    <col min="575" max="575" width="0.5703125" style="221" customWidth="1"/>
    <col min="576" max="576" width="2.140625" style="221" customWidth="1"/>
    <col min="577" max="577" width="0.5703125" style="221" customWidth="1"/>
    <col min="578" max="578" width="2.140625" style="221" customWidth="1"/>
    <col min="579" max="579" width="0.5703125" style="221" customWidth="1"/>
    <col min="580" max="580" width="2.140625" style="221" customWidth="1"/>
    <col min="581" max="581" width="0.5703125" style="221" customWidth="1"/>
    <col min="582" max="582" width="2.140625" style="221" customWidth="1"/>
    <col min="583" max="583" width="0.5703125" style="221" customWidth="1"/>
    <col min="584" max="584" width="2.140625" style="221" customWidth="1"/>
    <col min="585" max="585" width="0.5703125" style="221" customWidth="1"/>
    <col min="586" max="586" width="2.140625" style="221" customWidth="1"/>
    <col min="587" max="587" width="0.5703125" style="221" customWidth="1"/>
    <col min="588" max="588" width="2.140625" style="221" customWidth="1"/>
    <col min="589" max="589" width="0.5703125" style="221" customWidth="1"/>
    <col min="590" max="590" width="2.140625" style="221" customWidth="1"/>
    <col min="591" max="591" width="0.5703125" style="221" customWidth="1"/>
    <col min="592" max="592" width="2.140625" style="221" customWidth="1"/>
    <col min="593" max="593" width="0.5703125" style="221" customWidth="1"/>
    <col min="594" max="594" width="2.140625" style="221" customWidth="1"/>
    <col min="595" max="595" width="0.5703125" style="221" customWidth="1"/>
    <col min="596" max="596" width="2.140625" style="221" customWidth="1"/>
    <col min="597" max="597" width="0.5703125" style="221" customWidth="1"/>
    <col min="598" max="598" width="1.7109375" style="221" customWidth="1"/>
    <col min="599" max="768" width="9.140625" style="221"/>
    <col min="769" max="769" width="0.7109375" style="221" customWidth="1"/>
    <col min="770" max="770" width="0.42578125" style="221" customWidth="1"/>
    <col min="771" max="771" width="0.5703125" style="221" customWidth="1"/>
    <col min="772" max="772" width="0.28515625" style="221" customWidth="1"/>
    <col min="773" max="773" width="3.42578125" style="221" customWidth="1"/>
    <col min="774" max="774" width="0.5703125" style="221" customWidth="1"/>
    <col min="775" max="794" width="0.710937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140625" style="221" customWidth="1"/>
    <col min="831" max="831" width="0.5703125" style="221" customWidth="1"/>
    <col min="832" max="832" width="2.140625" style="221" customWidth="1"/>
    <col min="833" max="833" width="0.5703125" style="221" customWidth="1"/>
    <col min="834" max="834" width="2.140625" style="221" customWidth="1"/>
    <col min="835" max="835" width="0.5703125" style="221" customWidth="1"/>
    <col min="836" max="836" width="2.140625" style="221" customWidth="1"/>
    <col min="837" max="837" width="0.5703125" style="221" customWidth="1"/>
    <col min="838" max="838" width="2.140625" style="221" customWidth="1"/>
    <col min="839" max="839" width="0.5703125" style="221" customWidth="1"/>
    <col min="840" max="840" width="2.140625" style="221" customWidth="1"/>
    <col min="841" max="841" width="0.5703125" style="221" customWidth="1"/>
    <col min="842" max="842" width="2.140625" style="221" customWidth="1"/>
    <col min="843" max="843" width="0.5703125" style="221" customWidth="1"/>
    <col min="844" max="844" width="2.140625" style="221" customWidth="1"/>
    <col min="845" max="845" width="0.5703125" style="221" customWidth="1"/>
    <col min="846" max="846" width="2.140625" style="221" customWidth="1"/>
    <col min="847" max="847" width="0.5703125" style="221" customWidth="1"/>
    <col min="848" max="848" width="2.140625" style="221" customWidth="1"/>
    <col min="849" max="849" width="0.5703125" style="221" customWidth="1"/>
    <col min="850" max="850" width="2.140625" style="221" customWidth="1"/>
    <col min="851" max="851" width="0.5703125" style="221" customWidth="1"/>
    <col min="852" max="852" width="2.140625" style="221" customWidth="1"/>
    <col min="853" max="853" width="0.5703125" style="221" customWidth="1"/>
    <col min="854" max="854" width="1.7109375" style="221" customWidth="1"/>
    <col min="855"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42578125" style="221" customWidth="1"/>
    <col min="1030" max="1030" width="0.5703125" style="221" customWidth="1"/>
    <col min="1031" max="1050" width="0.710937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140625" style="221" customWidth="1"/>
    <col min="1087" max="1087" width="0.5703125" style="221" customWidth="1"/>
    <col min="1088" max="1088" width="2.140625" style="221" customWidth="1"/>
    <col min="1089" max="1089" width="0.5703125" style="221" customWidth="1"/>
    <col min="1090" max="1090" width="2.140625" style="221" customWidth="1"/>
    <col min="1091" max="1091" width="0.5703125" style="221" customWidth="1"/>
    <col min="1092" max="1092" width="2.140625" style="221" customWidth="1"/>
    <col min="1093" max="1093" width="0.5703125" style="221" customWidth="1"/>
    <col min="1094" max="1094" width="2.140625" style="221" customWidth="1"/>
    <col min="1095" max="1095" width="0.5703125" style="221" customWidth="1"/>
    <col min="1096" max="1096" width="2.140625" style="221" customWidth="1"/>
    <col min="1097" max="1097" width="0.5703125" style="221" customWidth="1"/>
    <col min="1098" max="1098" width="2.140625" style="221" customWidth="1"/>
    <col min="1099" max="1099" width="0.5703125" style="221" customWidth="1"/>
    <col min="1100" max="1100" width="2.140625" style="221" customWidth="1"/>
    <col min="1101" max="1101" width="0.5703125" style="221" customWidth="1"/>
    <col min="1102" max="1102" width="2.140625" style="221" customWidth="1"/>
    <col min="1103" max="1103" width="0.5703125" style="221" customWidth="1"/>
    <col min="1104" max="1104" width="2.140625" style="221" customWidth="1"/>
    <col min="1105" max="1105" width="0.5703125" style="221" customWidth="1"/>
    <col min="1106" max="1106" width="2.140625" style="221" customWidth="1"/>
    <col min="1107" max="1107" width="0.5703125" style="221" customWidth="1"/>
    <col min="1108" max="1108" width="2.140625" style="221" customWidth="1"/>
    <col min="1109" max="1109" width="0.5703125" style="221" customWidth="1"/>
    <col min="1110" max="1110" width="1.7109375" style="221" customWidth="1"/>
    <col min="1111"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42578125" style="221" customWidth="1"/>
    <col min="1286" max="1286" width="0.5703125" style="221" customWidth="1"/>
    <col min="1287" max="1306" width="0.710937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140625" style="221" customWidth="1"/>
    <col min="1343" max="1343" width="0.5703125" style="221" customWidth="1"/>
    <col min="1344" max="1344" width="2.140625" style="221" customWidth="1"/>
    <col min="1345" max="1345" width="0.5703125" style="221" customWidth="1"/>
    <col min="1346" max="1346" width="2.140625" style="221" customWidth="1"/>
    <col min="1347" max="1347" width="0.5703125" style="221" customWidth="1"/>
    <col min="1348" max="1348" width="2.140625" style="221" customWidth="1"/>
    <col min="1349" max="1349" width="0.5703125" style="221" customWidth="1"/>
    <col min="1350" max="1350" width="2.140625" style="221" customWidth="1"/>
    <col min="1351" max="1351" width="0.5703125" style="221" customWidth="1"/>
    <col min="1352" max="1352" width="2.140625" style="221" customWidth="1"/>
    <col min="1353" max="1353" width="0.5703125" style="221" customWidth="1"/>
    <col min="1354" max="1354" width="2.140625" style="221" customWidth="1"/>
    <col min="1355" max="1355" width="0.5703125" style="221" customWidth="1"/>
    <col min="1356" max="1356" width="2.140625" style="221" customWidth="1"/>
    <col min="1357" max="1357" width="0.5703125" style="221" customWidth="1"/>
    <col min="1358" max="1358" width="2.140625" style="221" customWidth="1"/>
    <col min="1359" max="1359" width="0.5703125" style="221" customWidth="1"/>
    <col min="1360" max="1360" width="2.140625" style="221" customWidth="1"/>
    <col min="1361" max="1361" width="0.5703125" style="221" customWidth="1"/>
    <col min="1362" max="1362" width="2.140625" style="221" customWidth="1"/>
    <col min="1363" max="1363" width="0.5703125" style="221" customWidth="1"/>
    <col min="1364" max="1364" width="2.140625" style="221" customWidth="1"/>
    <col min="1365" max="1365" width="0.5703125" style="221" customWidth="1"/>
    <col min="1366" max="1366" width="1.7109375" style="221" customWidth="1"/>
    <col min="1367"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42578125" style="221" customWidth="1"/>
    <col min="1542" max="1542" width="0.5703125" style="221" customWidth="1"/>
    <col min="1543" max="1562" width="0.710937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140625" style="221" customWidth="1"/>
    <col min="1599" max="1599" width="0.5703125" style="221" customWidth="1"/>
    <col min="1600" max="1600" width="2.140625" style="221" customWidth="1"/>
    <col min="1601" max="1601" width="0.5703125" style="221" customWidth="1"/>
    <col min="1602" max="1602" width="2.140625" style="221" customWidth="1"/>
    <col min="1603" max="1603" width="0.5703125" style="221" customWidth="1"/>
    <col min="1604" max="1604" width="2.140625" style="221" customWidth="1"/>
    <col min="1605" max="1605" width="0.5703125" style="221" customWidth="1"/>
    <col min="1606" max="1606" width="2.140625" style="221" customWidth="1"/>
    <col min="1607" max="1607" width="0.5703125" style="221" customWidth="1"/>
    <col min="1608" max="1608" width="2.140625" style="221" customWidth="1"/>
    <col min="1609" max="1609" width="0.5703125" style="221" customWidth="1"/>
    <col min="1610" max="1610" width="2.140625" style="221" customWidth="1"/>
    <col min="1611" max="1611" width="0.5703125" style="221" customWidth="1"/>
    <col min="1612" max="1612" width="2.140625" style="221" customWidth="1"/>
    <col min="1613" max="1613" width="0.5703125" style="221" customWidth="1"/>
    <col min="1614" max="1614" width="2.140625" style="221" customWidth="1"/>
    <col min="1615" max="1615" width="0.5703125" style="221" customWidth="1"/>
    <col min="1616" max="1616" width="2.140625" style="221" customWidth="1"/>
    <col min="1617" max="1617" width="0.5703125" style="221" customWidth="1"/>
    <col min="1618" max="1618" width="2.140625" style="221" customWidth="1"/>
    <col min="1619" max="1619" width="0.5703125" style="221" customWidth="1"/>
    <col min="1620" max="1620" width="2.140625" style="221" customWidth="1"/>
    <col min="1621" max="1621" width="0.5703125" style="221" customWidth="1"/>
    <col min="1622" max="1622" width="1.7109375" style="221" customWidth="1"/>
    <col min="1623"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42578125" style="221" customWidth="1"/>
    <col min="1798" max="1798" width="0.5703125" style="221" customWidth="1"/>
    <col min="1799" max="1818" width="0.710937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140625" style="221" customWidth="1"/>
    <col min="1855" max="1855" width="0.5703125" style="221" customWidth="1"/>
    <col min="1856" max="1856" width="2.140625" style="221" customWidth="1"/>
    <col min="1857" max="1857" width="0.5703125" style="221" customWidth="1"/>
    <col min="1858" max="1858" width="2.140625" style="221" customWidth="1"/>
    <col min="1859" max="1859" width="0.5703125" style="221" customWidth="1"/>
    <col min="1860" max="1860" width="2.140625" style="221" customWidth="1"/>
    <col min="1861" max="1861" width="0.5703125" style="221" customWidth="1"/>
    <col min="1862" max="1862" width="2.140625" style="221" customWidth="1"/>
    <col min="1863" max="1863" width="0.5703125" style="221" customWidth="1"/>
    <col min="1864" max="1864" width="2.140625" style="221" customWidth="1"/>
    <col min="1865" max="1865" width="0.5703125" style="221" customWidth="1"/>
    <col min="1866" max="1866" width="2.140625" style="221" customWidth="1"/>
    <col min="1867" max="1867" width="0.5703125" style="221" customWidth="1"/>
    <col min="1868" max="1868" width="2.140625" style="221" customWidth="1"/>
    <col min="1869" max="1869" width="0.5703125" style="221" customWidth="1"/>
    <col min="1870" max="1870" width="2.140625" style="221" customWidth="1"/>
    <col min="1871" max="1871" width="0.5703125" style="221" customWidth="1"/>
    <col min="1872" max="1872" width="2.140625" style="221" customWidth="1"/>
    <col min="1873" max="1873" width="0.5703125" style="221" customWidth="1"/>
    <col min="1874" max="1874" width="2.140625" style="221" customWidth="1"/>
    <col min="1875" max="1875" width="0.5703125" style="221" customWidth="1"/>
    <col min="1876" max="1876" width="2.140625" style="221" customWidth="1"/>
    <col min="1877" max="1877" width="0.5703125" style="221" customWidth="1"/>
    <col min="1878" max="1878" width="1.7109375" style="221" customWidth="1"/>
    <col min="1879"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42578125" style="221" customWidth="1"/>
    <col min="2054" max="2054" width="0.5703125" style="221" customWidth="1"/>
    <col min="2055" max="2074" width="0.710937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140625" style="221" customWidth="1"/>
    <col min="2111" max="2111" width="0.5703125" style="221" customWidth="1"/>
    <col min="2112" max="2112" width="2.140625" style="221" customWidth="1"/>
    <col min="2113" max="2113" width="0.5703125" style="221" customWidth="1"/>
    <col min="2114" max="2114" width="2.140625" style="221" customWidth="1"/>
    <col min="2115" max="2115" width="0.5703125" style="221" customWidth="1"/>
    <col min="2116" max="2116" width="2.140625" style="221" customWidth="1"/>
    <col min="2117" max="2117" width="0.5703125" style="221" customWidth="1"/>
    <col min="2118" max="2118" width="2.140625" style="221" customWidth="1"/>
    <col min="2119" max="2119" width="0.5703125" style="221" customWidth="1"/>
    <col min="2120" max="2120" width="2.140625" style="221" customWidth="1"/>
    <col min="2121" max="2121" width="0.5703125" style="221" customWidth="1"/>
    <col min="2122" max="2122" width="2.140625" style="221" customWidth="1"/>
    <col min="2123" max="2123" width="0.5703125" style="221" customWidth="1"/>
    <col min="2124" max="2124" width="2.140625" style="221" customWidth="1"/>
    <col min="2125" max="2125" width="0.5703125" style="221" customWidth="1"/>
    <col min="2126" max="2126" width="2.140625" style="221" customWidth="1"/>
    <col min="2127" max="2127" width="0.5703125" style="221" customWidth="1"/>
    <col min="2128" max="2128" width="2.140625" style="221" customWidth="1"/>
    <col min="2129" max="2129" width="0.5703125" style="221" customWidth="1"/>
    <col min="2130" max="2130" width="2.140625" style="221" customWidth="1"/>
    <col min="2131" max="2131" width="0.5703125" style="221" customWidth="1"/>
    <col min="2132" max="2132" width="2.140625" style="221" customWidth="1"/>
    <col min="2133" max="2133" width="0.5703125" style="221" customWidth="1"/>
    <col min="2134" max="2134" width="1.7109375" style="221" customWidth="1"/>
    <col min="2135"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42578125" style="221" customWidth="1"/>
    <col min="2310" max="2310" width="0.5703125" style="221" customWidth="1"/>
    <col min="2311" max="2330" width="0.710937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140625" style="221" customWidth="1"/>
    <col min="2367" max="2367" width="0.5703125" style="221" customWidth="1"/>
    <col min="2368" max="2368" width="2.140625" style="221" customWidth="1"/>
    <col min="2369" max="2369" width="0.5703125" style="221" customWidth="1"/>
    <col min="2370" max="2370" width="2.140625" style="221" customWidth="1"/>
    <col min="2371" max="2371" width="0.5703125" style="221" customWidth="1"/>
    <col min="2372" max="2372" width="2.140625" style="221" customWidth="1"/>
    <col min="2373" max="2373" width="0.5703125" style="221" customWidth="1"/>
    <col min="2374" max="2374" width="2.140625" style="221" customWidth="1"/>
    <col min="2375" max="2375" width="0.5703125" style="221" customWidth="1"/>
    <col min="2376" max="2376" width="2.140625" style="221" customWidth="1"/>
    <col min="2377" max="2377" width="0.5703125" style="221" customWidth="1"/>
    <col min="2378" max="2378" width="2.140625" style="221" customWidth="1"/>
    <col min="2379" max="2379" width="0.5703125" style="221" customWidth="1"/>
    <col min="2380" max="2380" width="2.140625" style="221" customWidth="1"/>
    <col min="2381" max="2381" width="0.5703125" style="221" customWidth="1"/>
    <col min="2382" max="2382" width="2.140625" style="221" customWidth="1"/>
    <col min="2383" max="2383" width="0.5703125" style="221" customWidth="1"/>
    <col min="2384" max="2384" width="2.140625" style="221" customWidth="1"/>
    <col min="2385" max="2385" width="0.5703125" style="221" customWidth="1"/>
    <col min="2386" max="2386" width="2.140625" style="221" customWidth="1"/>
    <col min="2387" max="2387" width="0.5703125" style="221" customWidth="1"/>
    <col min="2388" max="2388" width="2.140625" style="221" customWidth="1"/>
    <col min="2389" max="2389" width="0.5703125" style="221" customWidth="1"/>
    <col min="2390" max="2390" width="1.7109375" style="221" customWidth="1"/>
    <col min="2391"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42578125" style="221" customWidth="1"/>
    <col min="2566" max="2566" width="0.5703125" style="221" customWidth="1"/>
    <col min="2567" max="2586" width="0.710937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140625" style="221" customWidth="1"/>
    <col min="2623" max="2623" width="0.5703125" style="221" customWidth="1"/>
    <col min="2624" max="2624" width="2.140625" style="221" customWidth="1"/>
    <col min="2625" max="2625" width="0.5703125" style="221" customWidth="1"/>
    <col min="2626" max="2626" width="2.140625" style="221" customWidth="1"/>
    <col min="2627" max="2627" width="0.5703125" style="221" customWidth="1"/>
    <col min="2628" max="2628" width="2.140625" style="221" customWidth="1"/>
    <col min="2629" max="2629" width="0.5703125" style="221" customWidth="1"/>
    <col min="2630" max="2630" width="2.140625" style="221" customWidth="1"/>
    <col min="2631" max="2631" width="0.5703125" style="221" customWidth="1"/>
    <col min="2632" max="2632" width="2.140625" style="221" customWidth="1"/>
    <col min="2633" max="2633" width="0.5703125" style="221" customWidth="1"/>
    <col min="2634" max="2634" width="2.140625" style="221" customWidth="1"/>
    <col min="2635" max="2635" width="0.5703125" style="221" customWidth="1"/>
    <col min="2636" max="2636" width="2.140625" style="221" customWidth="1"/>
    <col min="2637" max="2637" width="0.5703125" style="221" customWidth="1"/>
    <col min="2638" max="2638" width="2.140625" style="221" customWidth="1"/>
    <col min="2639" max="2639" width="0.5703125" style="221" customWidth="1"/>
    <col min="2640" max="2640" width="2.140625" style="221" customWidth="1"/>
    <col min="2641" max="2641" width="0.5703125" style="221" customWidth="1"/>
    <col min="2642" max="2642" width="2.140625" style="221" customWidth="1"/>
    <col min="2643" max="2643" width="0.5703125" style="221" customWidth="1"/>
    <col min="2644" max="2644" width="2.140625" style="221" customWidth="1"/>
    <col min="2645" max="2645" width="0.5703125" style="221" customWidth="1"/>
    <col min="2646" max="2646" width="1.7109375" style="221" customWidth="1"/>
    <col min="2647"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42578125" style="221" customWidth="1"/>
    <col min="2822" max="2822" width="0.5703125" style="221" customWidth="1"/>
    <col min="2823" max="2842" width="0.710937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140625" style="221" customWidth="1"/>
    <col min="2879" max="2879" width="0.5703125" style="221" customWidth="1"/>
    <col min="2880" max="2880" width="2.140625" style="221" customWidth="1"/>
    <col min="2881" max="2881" width="0.5703125" style="221" customWidth="1"/>
    <col min="2882" max="2882" width="2.140625" style="221" customWidth="1"/>
    <col min="2883" max="2883" width="0.5703125" style="221" customWidth="1"/>
    <col min="2884" max="2884" width="2.140625" style="221" customWidth="1"/>
    <col min="2885" max="2885" width="0.5703125" style="221" customWidth="1"/>
    <col min="2886" max="2886" width="2.140625" style="221" customWidth="1"/>
    <col min="2887" max="2887" width="0.5703125" style="221" customWidth="1"/>
    <col min="2888" max="2888" width="2.140625" style="221" customWidth="1"/>
    <col min="2889" max="2889" width="0.5703125" style="221" customWidth="1"/>
    <col min="2890" max="2890" width="2.140625" style="221" customWidth="1"/>
    <col min="2891" max="2891" width="0.5703125" style="221" customWidth="1"/>
    <col min="2892" max="2892" width="2.140625" style="221" customWidth="1"/>
    <col min="2893" max="2893" width="0.5703125" style="221" customWidth="1"/>
    <col min="2894" max="2894" width="2.140625" style="221" customWidth="1"/>
    <col min="2895" max="2895" width="0.5703125" style="221" customWidth="1"/>
    <col min="2896" max="2896" width="2.140625" style="221" customWidth="1"/>
    <col min="2897" max="2897" width="0.5703125" style="221" customWidth="1"/>
    <col min="2898" max="2898" width="2.140625" style="221" customWidth="1"/>
    <col min="2899" max="2899" width="0.5703125" style="221" customWidth="1"/>
    <col min="2900" max="2900" width="2.140625" style="221" customWidth="1"/>
    <col min="2901" max="2901" width="0.5703125" style="221" customWidth="1"/>
    <col min="2902" max="2902" width="1.7109375" style="221" customWidth="1"/>
    <col min="2903"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42578125" style="221" customWidth="1"/>
    <col min="3078" max="3078" width="0.5703125" style="221" customWidth="1"/>
    <col min="3079" max="3098" width="0.710937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140625" style="221" customWidth="1"/>
    <col min="3135" max="3135" width="0.5703125" style="221" customWidth="1"/>
    <col min="3136" max="3136" width="2.140625" style="221" customWidth="1"/>
    <col min="3137" max="3137" width="0.5703125" style="221" customWidth="1"/>
    <col min="3138" max="3138" width="2.140625" style="221" customWidth="1"/>
    <col min="3139" max="3139" width="0.5703125" style="221" customWidth="1"/>
    <col min="3140" max="3140" width="2.140625" style="221" customWidth="1"/>
    <col min="3141" max="3141" width="0.5703125" style="221" customWidth="1"/>
    <col min="3142" max="3142" width="2.140625" style="221" customWidth="1"/>
    <col min="3143" max="3143" width="0.5703125" style="221" customWidth="1"/>
    <col min="3144" max="3144" width="2.140625" style="221" customWidth="1"/>
    <col min="3145" max="3145" width="0.5703125" style="221" customWidth="1"/>
    <col min="3146" max="3146" width="2.140625" style="221" customWidth="1"/>
    <col min="3147" max="3147" width="0.5703125" style="221" customWidth="1"/>
    <col min="3148" max="3148" width="2.140625" style="221" customWidth="1"/>
    <col min="3149" max="3149" width="0.5703125" style="221" customWidth="1"/>
    <col min="3150" max="3150" width="2.140625" style="221" customWidth="1"/>
    <col min="3151" max="3151" width="0.5703125" style="221" customWidth="1"/>
    <col min="3152" max="3152" width="2.140625" style="221" customWidth="1"/>
    <col min="3153" max="3153" width="0.5703125" style="221" customWidth="1"/>
    <col min="3154" max="3154" width="2.140625" style="221" customWidth="1"/>
    <col min="3155" max="3155" width="0.5703125" style="221" customWidth="1"/>
    <col min="3156" max="3156" width="2.140625" style="221" customWidth="1"/>
    <col min="3157" max="3157" width="0.5703125" style="221" customWidth="1"/>
    <col min="3158" max="3158" width="1.7109375" style="221" customWidth="1"/>
    <col min="3159"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42578125" style="221" customWidth="1"/>
    <col min="3334" max="3334" width="0.5703125" style="221" customWidth="1"/>
    <col min="3335" max="3354" width="0.710937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140625" style="221" customWidth="1"/>
    <col min="3391" max="3391" width="0.5703125" style="221" customWidth="1"/>
    <col min="3392" max="3392" width="2.140625" style="221" customWidth="1"/>
    <col min="3393" max="3393" width="0.5703125" style="221" customWidth="1"/>
    <col min="3394" max="3394" width="2.140625" style="221" customWidth="1"/>
    <col min="3395" max="3395" width="0.5703125" style="221" customWidth="1"/>
    <col min="3396" max="3396" width="2.140625" style="221" customWidth="1"/>
    <col min="3397" max="3397" width="0.5703125" style="221" customWidth="1"/>
    <col min="3398" max="3398" width="2.140625" style="221" customWidth="1"/>
    <col min="3399" max="3399" width="0.5703125" style="221" customWidth="1"/>
    <col min="3400" max="3400" width="2.140625" style="221" customWidth="1"/>
    <col min="3401" max="3401" width="0.5703125" style="221" customWidth="1"/>
    <col min="3402" max="3402" width="2.140625" style="221" customWidth="1"/>
    <col min="3403" max="3403" width="0.5703125" style="221" customWidth="1"/>
    <col min="3404" max="3404" width="2.140625" style="221" customWidth="1"/>
    <col min="3405" max="3405" width="0.5703125" style="221" customWidth="1"/>
    <col min="3406" max="3406" width="2.140625" style="221" customWidth="1"/>
    <col min="3407" max="3407" width="0.5703125" style="221" customWidth="1"/>
    <col min="3408" max="3408" width="2.140625" style="221" customWidth="1"/>
    <col min="3409" max="3409" width="0.5703125" style="221" customWidth="1"/>
    <col min="3410" max="3410" width="2.140625" style="221" customWidth="1"/>
    <col min="3411" max="3411" width="0.5703125" style="221" customWidth="1"/>
    <col min="3412" max="3412" width="2.140625" style="221" customWidth="1"/>
    <col min="3413" max="3413" width="0.5703125" style="221" customWidth="1"/>
    <col min="3414" max="3414" width="1.7109375" style="221" customWidth="1"/>
    <col min="3415"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42578125" style="221" customWidth="1"/>
    <col min="3590" max="3590" width="0.5703125" style="221" customWidth="1"/>
    <col min="3591" max="3610" width="0.710937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140625" style="221" customWidth="1"/>
    <col min="3647" max="3647" width="0.5703125" style="221" customWidth="1"/>
    <col min="3648" max="3648" width="2.140625" style="221" customWidth="1"/>
    <col min="3649" max="3649" width="0.5703125" style="221" customWidth="1"/>
    <col min="3650" max="3650" width="2.140625" style="221" customWidth="1"/>
    <col min="3651" max="3651" width="0.5703125" style="221" customWidth="1"/>
    <col min="3652" max="3652" width="2.140625" style="221" customWidth="1"/>
    <col min="3653" max="3653" width="0.5703125" style="221" customWidth="1"/>
    <col min="3654" max="3654" width="2.140625" style="221" customWidth="1"/>
    <col min="3655" max="3655" width="0.5703125" style="221" customWidth="1"/>
    <col min="3656" max="3656" width="2.140625" style="221" customWidth="1"/>
    <col min="3657" max="3657" width="0.5703125" style="221" customWidth="1"/>
    <col min="3658" max="3658" width="2.140625" style="221" customWidth="1"/>
    <col min="3659" max="3659" width="0.5703125" style="221" customWidth="1"/>
    <col min="3660" max="3660" width="2.140625" style="221" customWidth="1"/>
    <col min="3661" max="3661" width="0.5703125" style="221" customWidth="1"/>
    <col min="3662" max="3662" width="2.140625" style="221" customWidth="1"/>
    <col min="3663" max="3663" width="0.5703125" style="221" customWidth="1"/>
    <col min="3664" max="3664" width="2.140625" style="221" customWidth="1"/>
    <col min="3665" max="3665" width="0.5703125" style="221" customWidth="1"/>
    <col min="3666" max="3666" width="2.140625" style="221" customWidth="1"/>
    <col min="3667" max="3667" width="0.5703125" style="221" customWidth="1"/>
    <col min="3668" max="3668" width="2.140625" style="221" customWidth="1"/>
    <col min="3669" max="3669" width="0.5703125" style="221" customWidth="1"/>
    <col min="3670" max="3670" width="1.7109375" style="221" customWidth="1"/>
    <col min="3671"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42578125" style="221" customWidth="1"/>
    <col min="3846" max="3846" width="0.5703125" style="221" customWidth="1"/>
    <col min="3847" max="3866" width="0.710937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140625" style="221" customWidth="1"/>
    <col min="3903" max="3903" width="0.5703125" style="221" customWidth="1"/>
    <col min="3904" max="3904" width="2.140625" style="221" customWidth="1"/>
    <col min="3905" max="3905" width="0.5703125" style="221" customWidth="1"/>
    <col min="3906" max="3906" width="2.140625" style="221" customWidth="1"/>
    <col min="3907" max="3907" width="0.5703125" style="221" customWidth="1"/>
    <col min="3908" max="3908" width="2.140625" style="221" customWidth="1"/>
    <col min="3909" max="3909" width="0.5703125" style="221" customWidth="1"/>
    <col min="3910" max="3910" width="2.140625" style="221" customWidth="1"/>
    <col min="3911" max="3911" width="0.5703125" style="221" customWidth="1"/>
    <col min="3912" max="3912" width="2.140625" style="221" customWidth="1"/>
    <col min="3913" max="3913" width="0.5703125" style="221" customWidth="1"/>
    <col min="3914" max="3914" width="2.140625" style="221" customWidth="1"/>
    <col min="3915" max="3915" width="0.5703125" style="221" customWidth="1"/>
    <col min="3916" max="3916" width="2.140625" style="221" customWidth="1"/>
    <col min="3917" max="3917" width="0.5703125" style="221" customWidth="1"/>
    <col min="3918" max="3918" width="2.140625" style="221" customWidth="1"/>
    <col min="3919" max="3919" width="0.5703125" style="221" customWidth="1"/>
    <col min="3920" max="3920" width="2.140625" style="221" customWidth="1"/>
    <col min="3921" max="3921" width="0.5703125" style="221" customWidth="1"/>
    <col min="3922" max="3922" width="2.140625" style="221" customWidth="1"/>
    <col min="3923" max="3923" width="0.5703125" style="221" customWidth="1"/>
    <col min="3924" max="3924" width="2.140625" style="221" customWidth="1"/>
    <col min="3925" max="3925" width="0.5703125" style="221" customWidth="1"/>
    <col min="3926" max="3926" width="1.7109375" style="221" customWidth="1"/>
    <col min="3927"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42578125" style="221" customWidth="1"/>
    <col min="4102" max="4102" width="0.5703125" style="221" customWidth="1"/>
    <col min="4103" max="4122" width="0.710937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140625" style="221" customWidth="1"/>
    <col min="4159" max="4159" width="0.5703125" style="221" customWidth="1"/>
    <col min="4160" max="4160" width="2.140625" style="221" customWidth="1"/>
    <col min="4161" max="4161" width="0.5703125" style="221" customWidth="1"/>
    <col min="4162" max="4162" width="2.140625" style="221" customWidth="1"/>
    <col min="4163" max="4163" width="0.5703125" style="221" customWidth="1"/>
    <col min="4164" max="4164" width="2.140625" style="221" customWidth="1"/>
    <col min="4165" max="4165" width="0.5703125" style="221" customWidth="1"/>
    <col min="4166" max="4166" width="2.140625" style="221" customWidth="1"/>
    <col min="4167" max="4167" width="0.5703125" style="221" customWidth="1"/>
    <col min="4168" max="4168" width="2.140625" style="221" customWidth="1"/>
    <col min="4169" max="4169" width="0.5703125" style="221" customWidth="1"/>
    <col min="4170" max="4170" width="2.140625" style="221" customWidth="1"/>
    <col min="4171" max="4171" width="0.5703125" style="221" customWidth="1"/>
    <col min="4172" max="4172" width="2.140625" style="221" customWidth="1"/>
    <col min="4173" max="4173" width="0.5703125" style="221" customWidth="1"/>
    <col min="4174" max="4174" width="2.140625" style="221" customWidth="1"/>
    <col min="4175" max="4175" width="0.5703125" style="221" customWidth="1"/>
    <col min="4176" max="4176" width="2.140625" style="221" customWidth="1"/>
    <col min="4177" max="4177" width="0.5703125" style="221" customWidth="1"/>
    <col min="4178" max="4178" width="2.140625" style="221" customWidth="1"/>
    <col min="4179" max="4179" width="0.5703125" style="221" customWidth="1"/>
    <col min="4180" max="4180" width="2.140625" style="221" customWidth="1"/>
    <col min="4181" max="4181" width="0.5703125" style="221" customWidth="1"/>
    <col min="4182" max="4182" width="1.7109375" style="221" customWidth="1"/>
    <col min="4183"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42578125" style="221" customWidth="1"/>
    <col min="4358" max="4358" width="0.5703125" style="221" customWidth="1"/>
    <col min="4359" max="4378" width="0.710937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140625" style="221" customWidth="1"/>
    <col min="4415" max="4415" width="0.5703125" style="221" customWidth="1"/>
    <col min="4416" max="4416" width="2.140625" style="221" customWidth="1"/>
    <col min="4417" max="4417" width="0.5703125" style="221" customWidth="1"/>
    <col min="4418" max="4418" width="2.140625" style="221" customWidth="1"/>
    <col min="4419" max="4419" width="0.5703125" style="221" customWidth="1"/>
    <col min="4420" max="4420" width="2.140625" style="221" customWidth="1"/>
    <col min="4421" max="4421" width="0.5703125" style="221" customWidth="1"/>
    <col min="4422" max="4422" width="2.140625" style="221" customWidth="1"/>
    <col min="4423" max="4423" width="0.5703125" style="221" customWidth="1"/>
    <col min="4424" max="4424" width="2.140625" style="221" customWidth="1"/>
    <col min="4425" max="4425" width="0.5703125" style="221" customWidth="1"/>
    <col min="4426" max="4426" width="2.140625" style="221" customWidth="1"/>
    <col min="4427" max="4427" width="0.5703125" style="221" customWidth="1"/>
    <col min="4428" max="4428" width="2.140625" style="221" customWidth="1"/>
    <col min="4429" max="4429" width="0.5703125" style="221" customWidth="1"/>
    <col min="4430" max="4430" width="2.140625" style="221" customWidth="1"/>
    <col min="4431" max="4431" width="0.5703125" style="221" customWidth="1"/>
    <col min="4432" max="4432" width="2.140625" style="221" customWidth="1"/>
    <col min="4433" max="4433" width="0.5703125" style="221" customWidth="1"/>
    <col min="4434" max="4434" width="2.140625" style="221" customWidth="1"/>
    <col min="4435" max="4435" width="0.5703125" style="221" customWidth="1"/>
    <col min="4436" max="4436" width="2.140625" style="221" customWidth="1"/>
    <col min="4437" max="4437" width="0.5703125" style="221" customWidth="1"/>
    <col min="4438" max="4438" width="1.7109375" style="221" customWidth="1"/>
    <col min="4439"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42578125" style="221" customWidth="1"/>
    <col min="4614" max="4614" width="0.5703125" style="221" customWidth="1"/>
    <col min="4615" max="4634" width="0.710937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140625" style="221" customWidth="1"/>
    <col min="4671" max="4671" width="0.5703125" style="221" customWidth="1"/>
    <col min="4672" max="4672" width="2.140625" style="221" customWidth="1"/>
    <col min="4673" max="4673" width="0.5703125" style="221" customWidth="1"/>
    <col min="4674" max="4674" width="2.140625" style="221" customWidth="1"/>
    <col min="4675" max="4675" width="0.5703125" style="221" customWidth="1"/>
    <col min="4676" max="4676" width="2.140625" style="221" customWidth="1"/>
    <col min="4677" max="4677" width="0.5703125" style="221" customWidth="1"/>
    <col min="4678" max="4678" width="2.140625" style="221" customWidth="1"/>
    <col min="4679" max="4679" width="0.5703125" style="221" customWidth="1"/>
    <col min="4680" max="4680" width="2.140625" style="221" customWidth="1"/>
    <col min="4681" max="4681" width="0.5703125" style="221" customWidth="1"/>
    <col min="4682" max="4682" width="2.140625" style="221" customWidth="1"/>
    <col min="4683" max="4683" width="0.5703125" style="221" customWidth="1"/>
    <col min="4684" max="4684" width="2.140625" style="221" customWidth="1"/>
    <col min="4685" max="4685" width="0.5703125" style="221" customWidth="1"/>
    <col min="4686" max="4686" width="2.140625" style="221" customWidth="1"/>
    <col min="4687" max="4687" width="0.5703125" style="221" customWidth="1"/>
    <col min="4688" max="4688" width="2.140625" style="221" customWidth="1"/>
    <col min="4689" max="4689" width="0.5703125" style="221" customWidth="1"/>
    <col min="4690" max="4690" width="2.140625" style="221" customWidth="1"/>
    <col min="4691" max="4691" width="0.5703125" style="221" customWidth="1"/>
    <col min="4692" max="4692" width="2.140625" style="221" customWidth="1"/>
    <col min="4693" max="4693" width="0.5703125" style="221" customWidth="1"/>
    <col min="4694" max="4694" width="1.7109375" style="221" customWidth="1"/>
    <col min="4695"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42578125" style="221" customWidth="1"/>
    <col min="4870" max="4870" width="0.5703125" style="221" customWidth="1"/>
    <col min="4871" max="4890" width="0.710937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140625" style="221" customWidth="1"/>
    <col min="4927" max="4927" width="0.5703125" style="221" customWidth="1"/>
    <col min="4928" max="4928" width="2.140625" style="221" customWidth="1"/>
    <col min="4929" max="4929" width="0.5703125" style="221" customWidth="1"/>
    <col min="4930" max="4930" width="2.140625" style="221" customWidth="1"/>
    <col min="4931" max="4931" width="0.5703125" style="221" customWidth="1"/>
    <col min="4932" max="4932" width="2.140625" style="221" customWidth="1"/>
    <col min="4933" max="4933" width="0.5703125" style="221" customWidth="1"/>
    <col min="4934" max="4934" width="2.140625" style="221" customWidth="1"/>
    <col min="4935" max="4935" width="0.5703125" style="221" customWidth="1"/>
    <col min="4936" max="4936" width="2.140625" style="221" customWidth="1"/>
    <col min="4937" max="4937" width="0.5703125" style="221" customWidth="1"/>
    <col min="4938" max="4938" width="2.140625" style="221" customWidth="1"/>
    <col min="4939" max="4939" width="0.5703125" style="221" customWidth="1"/>
    <col min="4940" max="4940" width="2.140625" style="221" customWidth="1"/>
    <col min="4941" max="4941" width="0.5703125" style="221" customWidth="1"/>
    <col min="4942" max="4942" width="2.140625" style="221" customWidth="1"/>
    <col min="4943" max="4943" width="0.5703125" style="221" customWidth="1"/>
    <col min="4944" max="4944" width="2.140625" style="221" customWidth="1"/>
    <col min="4945" max="4945" width="0.5703125" style="221" customWidth="1"/>
    <col min="4946" max="4946" width="2.140625" style="221" customWidth="1"/>
    <col min="4947" max="4947" width="0.5703125" style="221" customWidth="1"/>
    <col min="4948" max="4948" width="2.140625" style="221" customWidth="1"/>
    <col min="4949" max="4949" width="0.5703125" style="221" customWidth="1"/>
    <col min="4950" max="4950" width="1.7109375" style="221" customWidth="1"/>
    <col min="4951"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42578125" style="221" customWidth="1"/>
    <col min="5126" max="5126" width="0.5703125" style="221" customWidth="1"/>
    <col min="5127" max="5146" width="0.710937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140625" style="221" customWidth="1"/>
    <col min="5183" max="5183" width="0.5703125" style="221" customWidth="1"/>
    <col min="5184" max="5184" width="2.140625" style="221" customWidth="1"/>
    <col min="5185" max="5185" width="0.5703125" style="221" customWidth="1"/>
    <col min="5186" max="5186" width="2.140625" style="221" customWidth="1"/>
    <col min="5187" max="5187" width="0.5703125" style="221" customWidth="1"/>
    <col min="5188" max="5188" width="2.140625" style="221" customWidth="1"/>
    <col min="5189" max="5189" width="0.5703125" style="221" customWidth="1"/>
    <col min="5190" max="5190" width="2.140625" style="221" customWidth="1"/>
    <col min="5191" max="5191" width="0.5703125" style="221" customWidth="1"/>
    <col min="5192" max="5192" width="2.140625" style="221" customWidth="1"/>
    <col min="5193" max="5193" width="0.5703125" style="221" customWidth="1"/>
    <col min="5194" max="5194" width="2.140625" style="221" customWidth="1"/>
    <col min="5195" max="5195" width="0.5703125" style="221" customWidth="1"/>
    <col min="5196" max="5196" width="2.140625" style="221" customWidth="1"/>
    <col min="5197" max="5197" width="0.5703125" style="221" customWidth="1"/>
    <col min="5198" max="5198" width="2.140625" style="221" customWidth="1"/>
    <col min="5199" max="5199" width="0.5703125" style="221" customWidth="1"/>
    <col min="5200" max="5200" width="2.140625" style="221" customWidth="1"/>
    <col min="5201" max="5201" width="0.5703125" style="221" customWidth="1"/>
    <col min="5202" max="5202" width="2.140625" style="221" customWidth="1"/>
    <col min="5203" max="5203" width="0.5703125" style="221" customWidth="1"/>
    <col min="5204" max="5204" width="2.140625" style="221" customWidth="1"/>
    <col min="5205" max="5205" width="0.5703125" style="221" customWidth="1"/>
    <col min="5206" max="5206" width="1.7109375" style="221" customWidth="1"/>
    <col min="5207"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42578125" style="221" customWidth="1"/>
    <col min="5382" max="5382" width="0.5703125" style="221" customWidth="1"/>
    <col min="5383" max="5402" width="0.710937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140625" style="221" customWidth="1"/>
    <col min="5439" max="5439" width="0.5703125" style="221" customWidth="1"/>
    <col min="5440" max="5440" width="2.140625" style="221" customWidth="1"/>
    <col min="5441" max="5441" width="0.5703125" style="221" customWidth="1"/>
    <col min="5442" max="5442" width="2.140625" style="221" customWidth="1"/>
    <col min="5443" max="5443" width="0.5703125" style="221" customWidth="1"/>
    <col min="5444" max="5444" width="2.140625" style="221" customWidth="1"/>
    <col min="5445" max="5445" width="0.5703125" style="221" customWidth="1"/>
    <col min="5446" max="5446" width="2.140625" style="221" customWidth="1"/>
    <col min="5447" max="5447" width="0.5703125" style="221" customWidth="1"/>
    <col min="5448" max="5448" width="2.140625" style="221" customWidth="1"/>
    <col min="5449" max="5449" width="0.5703125" style="221" customWidth="1"/>
    <col min="5450" max="5450" width="2.140625" style="221" customWidth="1"/>
    <col min="5451" max="5451" width="0.5703125" style="221" customWidth="1"/>
    <col min="5452" max="5452" width="2.140625" style="221" customWidth="1"/>
    <col min="5453" max="5453" width="0.5703125" style="221" customWidth="1"/>
    <col min="5454" max="5454" width="2.140625" style="221" customWidth="1"/>
    <col min="5455" max="5455" width="0.5703125" style="221" customWidth="1"/>
    <col min="5456" max="5456" width="2.140625" style="221" customWidth="1"/>
    <col min="5457" max="5457" width="0.5703125" style="221" customWidth="1"/>
    <col min="5458" max="5458" width="2.140625" style="221" customWidth="1"/>
    <col min="5459" max="5459" width="0.5703125" style="221" customWidth="1"/>
    <col min="5460" max="5460" width="2.140625" style="221" customWidth="1"/>
    <col min="5461" max="5461" width="0.5703125" style="221" customWidth="1"/>
    <col min="5462" max="5462" width="1.7109375" style="221" customWidth="1"/>
    <col min="5463"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42578125" style="221" customWidth="1"/>
    <col min="5638" max="5638" width="0.5703125" style="221" customWidth="1"/>
    <col min="5639" max="5658" width="0.710937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140625" style="221" customWidth="1"/>
    <col min="5695" max="5695" width="0.5703125" style="221" customWidth="1"/>
    <col min="5696" max="5696" width="2.140625" style="221" customWidth="1"/>
    <col min="5697" max="5697" width="0.5703125" style="221" customWidth="1"/>
    <col min="5698" max="5698" width="2.140625" style="221" customWidth="1"/>
    <col min="5699" max="5699" width="0.5703125" style="221" customWidth="1"/>
    <col min="5700" max="5700" width="2.140625" style="221" customWidth="1"/>
    <col min="5701" max="5701" width="0.5703125" style="221" customWidth="1"/>
    <col min="5702" max="5702" width="2.140625" style="221" customWidth="1"/>
    <col min="5703" max="5703" width="0.5703125" style="221" customWidth="1"/>
    <col min="5704" max="5704" width="2.140625" style="221" customWidth="1"/>
    <col min="5705" max="5705" width="0.5703125" style="221" customWidth="1"/>
    <col min="5706" max="5706" width="2.140625" style="221" customWidth="1"/>
    <col min="5707" max="5707" width="0.5703125" style="221" customWidth="1"/>
    <col min="5708" max="5708" width="2.140625" style="221" customWidth="1"/>
    <col min="5709" max="5709" width="0.5703125" style="221" customWidth="1"/>
    <col min="5710" max="5710" width="2.140625" style="221" customWidth="1"/>
    <col min="5711" max="5711" width="0.5703125" style="221" customWidth="1"/>
    <col min="5712" max="5712" width="2.140625" style="221" customWidth="1"/>
    <col min="5713" max="5713" width="0.5703125" style="221" customWidth="1"/>
    <col min="5714" max="5714" width="2.140625" style="221" customWidth="1"/>
    <col min="5715" max="5715" width="0.5703125" style="221" customWidth="1"/>
    <col min="5716" max="5716" width="2.140625" style="221" customWidth="1"/>
    <col min="5717" max="5717" width="0.5703125" style="221" customWidth="1"/>
    <col min="5718" max="5718" width="1.7109375" style="221" customWidth="1"/>
    <col min="5719"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42578125" style="221" customWidth="1"/>
    <col min="5894" max="5894" width="0.5703125" style="221" customWidth="1"/>
    <col min="5895" max="5914" width="0.710937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140625" style="221" customWidth="1"/>
    <col min="5951" max="5951" width="0.5703125" style="221" customWidth="1"/>
    <col min="5952" max="5952" width="2.140625" style="221" customWidth="1"/>
    <col min="5953" max="5953" width="0.5703125" style="221" customWidth="1"/>
    <col min="5954" max="5954" width="2.140625" style="221" customWidth="1"/>
    <col min="5955" max="5955" width="0.5703125" style="221" customWidth="1"/>
    <col min="5956" max="5956" width="2.140625" style="221" customWidth="1"/>
    <col min="5957" max="5957" width="0.5703125" style="221" customWidth="1"/>
    <col min="5958" max="5958" width="2.140625" style="221" customWidth="1"/>
    <col min="5959" max="5959" width="0.5703125" style="221" customWidth="1"/>
    <col min="5960" max="5960" width="2.140625" style="221" customWidth="1"/>
    <col min="5961" max="5961" width="0.5703125" style="221" customWidth="1"/>
    <col min="5962" max="5962" width="2.140625" style="221" customWidth="1"/>
    <col min="5963" max="5963" width="0.5703125" style="221" customWidth="1"/>
    <col min="5964" max="5964" width="2.140625" style="221" customWidth="1"/>
    <col min="5965" max="5965" width="0.5703125" style="221" customWidth="1"/>
    <col min="5966" max="5966" width="2.140625" style="221" customWidth="1"/>
    <col min="5967" max="5967" width="0.5703125" style="221" customWidth="1"/>
    <col min="5968" max="5968" width="2.140625" style="221" customWidth="1"/>
    <col min="5969" max="5969" width="0.5703125" style="221" customWidth="1"/>
    <col min="5970" max="5970" width="2.140625" style="221" customWidth="1"/>
    <col min="5971" max="5971" width="0.5703125" style="221" customWidth="1"/>
    <col min="5972" max="5972" width="2.140625" style="221" customWidth="1"/>
    <col min="5973" max="5973" width="0.5703125" style="221" customWidth="1"/>
    <col min="5974" max="5974" width="1.7109375" style="221" customWidth="1"/>
    <col min="5975"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42578125" style="221" customWidth="1"/>
    <col min="6150" max="6150" width="0.5703125" style="221" customWidth="1"/>
    <col min="6151" max="6170" width="0.710937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140625" style="221" customWidth="1"/>
    <col min="6207" max="6207" width="0.5703125" style="221" customWidth="1"/>
    <col min="6208" max="6208" width="2.140625" style="221" customWidth="1"/>
    <col min="6209" max="6209" width="0.5703125" style="221" customWidth="1"/>
    <col min="6210" max="6210" width="2.140625" style="221" customWidth="1"/>
    <col min="6211" max="6211" width="0.5703125" style="221" customWidth="1"/>
    <col min="6212" max="6212" width="2.140625" style="221" customWidth="1"/>
    <col min="6213" max="6213" width="0.5703125" style="221" customWidth="1"/>
    <col min="6214" max="6214" width="2.140625" style="221" customWidth="1"/>
    <col min="6215" max="6215" width="0.5703125" style="221" customWidth="1"/>
    <col min="6216" max="6216" width="2.140625" style="221" customWidth="1"/>
    <col min="6217" max="6217" width="0.5703125" style="221" customWidth="1"/>
    <col min="6218" max="6218" width="2.140625" style="221" customWidth="1"/>
    <col min="6219" max="6219" width="0.5703125" style="221" customWidth="1"/>
    <col min="6220" max="6220" width="2.140625" style="221" customWidth="1"/>
    <col min="6221" max="6221" width="0.5703125" style="221" customWidth="1"/>
    <col min="6222" max="6222" width="2.140625" style="221" customWidth="1"/>
    <col min="6223" max="6223" width="0.5703125" style="221" customWidth="1"/>
    <col min="6224" max="6224" width="2.140625" style="221" customWidth="1"/>
    <col min="6225" max="6225" width="0.5703125" style="221" customWidth="1"/>
    <col min="6226" max="6226" width="2.140625" style="221" customWidth="1"/>
    <col min="6227" max="6227" width="0.5703125" style="221" customWidth="1"/>
    <col min="6228" max="6228" width="2.140625" style="221" customWidth="1"/>
    <col min="6229" max="6229" width="0.5703125" style="221" customWidth="1"/>
    <col min="6230" max="6230" width="1.7109375" style="221" customWidth="1"/>
    <col min="6231"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42578125" style="221" customWidth="1"/>
    <col min="6406" max="6406" width="0.5703125" style="221" customWidth="1"/>
    <col min="6407" max="6426" width="0.710937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140625" style="221" customWidth="1"/>
    <col min="6463" max="6463" width="0.5703125" style="221" customWidth="1"/>
    <col min="6464" max="6464" width="2.140625" style="221" customWidth="1"/>
    <col min="6465" max="6465" width="0.5703125" style="221" customWidth="1"/>
    <col min="6466" max="6466" width="2.140625" style="221" customWidth="1"/>
    <col min="6467" max="6467" width="0.5703125" style="221" customWidth="1"/>
    <col min="6468" max="6468" width="2.140625" style="221" customWidth="1"/>
    <col min="6469" max="6469" width="0.5703125" style="221" customWidth="1"/>
    <col min="6470" max="6470" width="2.140625" style="221" customWidth="1"/>
    <col min="6471" max="6471" width="0.5703125" style="221" customWidth="1"/>
    <col min="6472" max="6472" width="2.140625" style="221" customWidth="1"/>
    <col min="6473" max="6473" width="0.5703125" style="221" customWidth="1"/>
    <col min="6474" max="6474" width="2.140625" style="221" customWidth="1"/>
    <col min="6475" max="6475" width="0.5703125" style="221" customWidth="1"/>
    <col min="6476" max="6476" width="2.140625" style="221" customWidth="1"/>
    <col min="6477" max="6477" width="0.5703125" style="221" customWidth="1"/>
    <col min="6478" max="6478" width="2.140625" style="221" customWidth="1"/>
    <col min="6479" max="6479" width="0.5703125" style="221" customWidth="1"/>
    <col min="6480" max="6480" width="2.140625" style="221" customWidth="1"/>
    <col min="6481" max="6481" width="0.5703125" style="221" customWidth="1"/>
    <col min="6482" max="6482" width="2.140625" style="221" customWidth="1"/>
    <col min="6483" max="6483" width="0.5703125" style="221" customWidth="1"/>
    <col min="6484" max="6484" width="2.140625" style="221" customWidth="1"/>
    <col min="6485" max="6485" width="0.5703125" style="221" customWidth="1"/>
    <col min="6486" max="6486" width="1.7109375" style="221" customWidth="1"/>
    <col min="6487"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42578125" style="221" customWidth="1"/>
    <col min="6662" max="6662" width="0.5703125" style="221" customWidth="1"/>
    <col min="6663" max="6682" width="0.710937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140625" style="221" customWidth="1"/>
    <col min="6719" max="6719" width="0.5703125" style="221" customWidth="1"/>
    <col min="6720" max="6720" width="2.140625" style="221" customWidth="1"/>
    <col min="6721" max="6721" width="0.5703125" style="221" customWidth="1"/>
    <col min="6722" max="6722" width="2.140625" style="221" customWidth="1"/>
    <col min="6723" max="6723" width="0.5703125" style="221" customWidth="1"/>
    <col min="6724" max="6724" width="2.140625" style="221" customWidth="1"/>
    <col min="6725" max="6725" width="0.5703125" style="221" customWidth="1"/>
    <col min="6726" max="6726" width="2.140625" style="221" customWidth="1"/>
    <col min="6727" max="6727" width="0.5703125" style="221" customWidth="1"/>
    <col min="6728" max="6728" width="2.140625" style="221" customWidth="1"/>
    <col min="6729" max="6729" width="0.5703125" style="221" customWidth="1"/>
    <col min="6730" max="6730" width="2.140625" style="221" customWidth="1"/>
    <col min="6731" max="6731" width="0.5703125" style="221" customWidth="1"/>
    <col min="6732" max="6732" width="2.140625" style="221" customWidth="1"/>
    <col min="6733" max="6733" width="0.5703125" style="221" customWidth="1"/>
    <col min="6734" max="6734" width="2.140625" style="221" customWidth="1"/>
    <col min="6735" max="6735" width="0.5703125" style="221" customWidth="1"/>
    <col min="6736" max="6736" width="2.140625" style="221" customWidth="1"/>
    <col min="6737" max="6737" width="0.5703125" style="221" customWidth="1"/>
    <col min="6738" max="6738" width="2.140625" style="221" customWidth="1"/>
    <col min="6739" max="6739" width="0.5703125" style="221" customWidth="1"/>
    <col min="6740" max="6740" width="2.140625" style="221" customWidth="1"/>
    <col min="6741" max="6741" width="0.5703125" style="221" customWidth="1"/>
    <col min="6742" max="6742" width="1.7109375" style="221" customWidth="1"/>
    <col min="6743"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42578125" style="221" customWidth="1"/>
    <col min="6918" max="6918" width="0.5703125" style="221" customWidth="1"/>
    <col min="6919" max="6938" width="0.710937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140625" style="221" customWidth="1"/>
    <col min="6975" max="6975" width="0.5703125" style="221" customWidth="1"/>
    <col min="6976" max="6976" width="2.140625" style="221" customWidth="1"/>
    <col min="6977" max="6977" width="0.5703125" style="221" customWidth="1"/>
    <col min="6978" max="6978" width="2.140625" style="221" customWidth="1"/>
    <col min="6979" max="6979" width="0.5703125" style="221" customWidth="1"/>
    <col min="6980" max="6980" width="2.140625" style="221" customWidth="1"/>
    <col min="6981" max="6981" width="0.5703125" style="221" customWidth="1"/>
    <col min="6982" max="6982" width="2.140625" style="221" customWidth="1"/>
    <col min="6983" max="6983" width="0.5703125" style="221" customWidth="1"/>
    <col min="6984" max="6984" width="2.140625" style="221" customWidth="1"/>
    <col min="6985" max="6985" width="0.5703125" style="221" customWidth="1"/>
    <col min="6986" max="6986" width="2.140625" style="221" customWidth="1"/>
    <col min="6987" max="6987" width="0.5703125" style="221" customWidth="1"/>
    <col min="6988" max="6988" width="2.140625" style="221" customWidth="1"/>
    <col min="6989" max="6989" width="0.5703125" style="221" customWidth="1"/>
    <col min="6990" max="6990" width="2.140625" style="221" customWidth="1"/>
    <col min="6991" max="6991" width="0.5703125" style="221" customWidth="1"/>
    <col min="6992" max="6992" width="2.140625" style="221" customWidth="1"/>
    <col min="6993" max="6993" width="0.5703125" style="221" customWidth="1"/>
    <col min="6994" max="6994" width="2.140625" style="221" customWidth="1"/>
    <col min="6995" max="6995" width="0.5703125" style="221" customWidth="1"/>
    <col min="6996" max="6996" width="2.140625" style="221" customWidth="1"/>
    <col min="6997" max="6997" width="0.5703125" style="221" customWidth="1"/>
    <col min="6998" max="6998" width="1.7109375" style="221" customWidth="1"/>
    <col min="6999"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42578125" style="221" customWidth="1"/>
    <col min="7174" max="7174" width="0.5703125" style="221" customWidth="1"/>
    <col min="7175" max="7194" width="0.710937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140625" style="221" customWidth="1"/>
    <col min="7231" max="7231" width="0.5703125" style="221" customWidth="1"/>
    <col min="7232" max="7232" width="2.140625" style="221" customWidth="1"/>
    <col min="7233" max="7233" width="0.5703125" style="221" customWidth="1"/>
    <col min="7234" max="7234" width="2.140625" style="221" customWidth="1"/>
    <col min="7235" max="7235" width="0.5703125" style="221" customWidth="1"/>
    <col min="7236" max="7236" width="2.140625" style="221" customWidth="1"/>
    <col min="7237" max="7237" width="0.5703125" style="221" customWidth="1"/>
    <col min="7238" max="7238" width="2.140625" style="221" customWidth="1"/>
    <col min="7239" max="7239" width="0.5703125" style="221" customWidth="1"/>
    <col min="7240" max="7240" width="2.140625" style="221" customWidth="1"/>
    <col min="7241" max="7241" width="0.5703125" style="221" customWidth="1"/>
    <col min="7242" max="7242" width="2.140625" style="221" customWidth="1"/>
    <col min="7243" max="7243" width="0.5703125" style="221" customWidth="1"/>
    <col min="7244" max="7244" width="2.140625" style="221" customWidth="1"/>
    <col min="7245" max="7245" width="0.5703125" style="221" customWidth="1"/>
    <col min="7246" max="7246" width="2.140625" style="221" customWidth="1"/>
    <col min="7247" max="7247" width="0.5703125" style="221" customWidth="1"/>
    <col min="7248" max="7248" width="2.140625" style="221" customWidth="1"/>
    <col min="7249" max="7249" width="0.5703125" style="221" customWidth="1"/>
    <col min="7250" max="7250" width="2.140625" style="221" customWidth="1"/>
    <col min="7251" max="7251" width="0.5703125" style="221" customWidth="1"/>
    <col min="7252" max="7252" width="2.140625" style="221" customWidth="1"/>
    <col min="7253" max="7253" width="0.5703125" style="221" customWidth="1"/>
    <col min="7254" max="7254" width="1.7109375" style="221" customWidth="1"/>
    <col min="7255"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42578125" style="221" customWidth="1"/>
    <col min="7430" max="7430" width="0.5703125" style="221" customWidth="1"/>
    <col min="7431" max="7450" width="0.710937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140625" style="221" customWidth="1"/>
    <col min="7487" max="7487" width="0.5703125" style="221" customWidth="1"/>
    <col min="7488" max="7488" width="2.140625" style="221" customWidth="1"/>
    <col min="7489" max="7489" width="0.5703125" style="221" customWidth="1"/>
    <col min="7490" max="7490" width="2.140625" style="221" customWidth="1"/>
    <col min="7491" max="7491" width="0.5703125" style="221" customWidth="1"/>
    <col min="7492" max="7492" width="2.140625" style="221" customWidth="1"/>
    <col min="7493" max="7493" width="0.5703125" style="221" customWidth="1"/>
    <col min="7494" max="7494" width="2.140625" style="221" customWidth="1"/>
    <col min="7495" max="7495" width="0.5703125" style="221" customWidth="1"/>
    <col min="7496" max="7496" width="2.140625" style="221" customWidth="1"/>
    <col min="7497" max="7497" width="0.5703125" style="221" customWidth="1"/>
    <col min="7498" max="7498" width="2.140625" style="221" customWidth="1"/>
    <col min="7499" max="7499" width="0.5703125" style="221" customWidth="1"/>
    <col min="7500" max="7500" width="2.140625" style="221" customWidth="1"/>
    <col min="7501" max="7501" width="0.5703125" style="221" customWidth="1"/>
    <col min="7502" max="7502" width="2.140625" style="221" customWidth="1"/>
    <col min="7503" max="7503" width="0.5703125" style="221" customWidth="1"/>
    <col min="7504" max="7504" width="2.140625" style="221" customWidth="1"/>
    <col min="7505" max="7505" width="0.5703125" style="221" customWidth="1"/>
    <col min="7506" max="7506" width="2.140625" style="221" customWidth="1"/>
    <col min="7507" max="7507" width="0.5703125" style="221" customWidth="1"/>
    <col min="7508" max="7508" width="2.140625" style="221" customWidth="1"/>
    <col min="7509" max="7509" width="0.5703125" style="221" customWidth="1"/>
    <col min="7510" max="7510" width="1.7109375" style="221" customWidth="1"/>
    <col min="7511"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42578125" style="221" customWidth="1"/>
    <col min="7686" max="7686" width="0.5703125" style="221" customWidth="1"/>
    <col min="7687" max="7706" width="0.710937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140625" style="221" customWidth="1"/>
    <col min="7743" max="7743" width="0.5703125" style="221" customWidth="1"/>
    <col min="7744" max="7744" width="2.140625" style="221" customWidth="1"/>
    <col min="7745" max="7745" width="0.5703125" style="221" customWidth="1"/>
    <col min="7746" max="7746" width="2.140625" style="221" customWidth="1"/>
    <col min="7747" max="7747" width="0.5703125" style="221" customWidth="1"/>
    <col min="7748" max="7748" width="2.140625" style="221" customWidth="1"/>
    <col min="7749" max="7749" width="0.5703125" style="221" customWidth="1"/>
    <col min="7750" max="7750" width="2.140625" style="221" customWidth="1"/>
    <col min="7751" max="7751" width="0.5703125" style="221" customWidth="1"/>
    <col min="7752" max="7752" width="2.140625" style="221" customWidth="1"/>
    <col min="7753" max="7753" width="0.5703125" style="221" customWidth="1"/>
    <col min="7754" max="7754" width="2.140625" style="221" customWidth="1"/>
    <col min="7755" max="7755" width="0.5703125" style="221" customWidth="1"/>
    <col min="7756" max="7756" width="2.140625" style="221" customWidth="1"/>
    <col min="7757" max="7757" width="0.5703125" style="221" customWidth="1"/>
    <col min="7758" max="7758" width="2.140625" style="221" customWidth="1"/>
    <col min="7759" max="7759" width="0.5703125" style="221" customWidth="1"/>
    <col min="7760" max="7760" width="2.140625" style="221" customWidth="1"/>
    <col min="7761" max="7761" width="0.5703125" style="221" customWidth="1"/>
    <col min="7762" max="7762" width="2.140625" style="221" customWidth="1"/>
    <col min="7763" max="7763" width="0.5703125" style="221" customWidth="1"/>
    <col min="7764" max="7764" width="2.140625" style="221" customWidth="1"/>
    <col min="7765" max="7765" width="0.5703125" style="221" customWidth="1"/>
    <col min="7766" max="7766" width="1.7109375" style="221" customWidth="1"/>
    <col min="7767"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42578125" style="221" customWidth="1"/>
    <col min="7942" max="7942" width="0.5703125" style="221" customWidth="1"/>
    <col min="7943" max="7962" width="0.710937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140625" style="221" customWidth="1"/>
    <col min="7999" max="7999" width="0.5703125" style="221" customWidth="1"/>
    <col min="8000" max="8000" width="2.140625" style="221" customWidth="1"/>
    <col min="8001" max="8001" width="0.5703125" style="221" customWidth="1"/>
    <col min="8002" max="8002" width="2.140625" style="221" customWidth="1"/>
    <col min="8003" max="8003" width="0.5703125" style="221" customWidth="1"/>
    <col min="8004" max="8004" width="2.140625" style="221" customWidth="1"/>
    <col min="8005" max="8005" width="0.5703125" style="221" customWidth="1"/>
    <col min="8006" max="8006" width="2.140625" style="221" customWidth="1"/>
    <col min="8007" max="8007" width="0.5703125" style="221" customWidth="1"/>
    <col min="8008" max="8008" width="2.140625" style="221" customWidth="1"/>
    <col min="8009" max="8009" width="0.5703125" style="221" customWidth="1"/>
    <col min="8010" max="8010" width="2.140625" style="221" customWidth="1"/>
    <col min="8011" max="8011" width="0.5703125" style="221" customWidth="1"/>
    <col min="8012" max="8012" width="2.140625" style="221" customWidth="1"/>
    <col min="8013" max="8013" width="0.5703125" style="221" customWidth="1"/>
    <col min="8014" max="8014" width="2.140625" style="221" customWidth="1"/>
    <col min="8015" max="8015" width="0.5703125" style="221" customWidth="1"/>
    <col min="8016" max="8016" width="2.140625" style="221" customWidth="1"/>
    <col min="8017" max="8017" width="0.5703125" style="221" customWidth="1"/>
    <col min="8018" max="8018" width="2.140625" style="221" customWidth="1"/>
    <col min="8019" max="8019" width="0.5703125" style="221" customWidth="1"/>
    <col min="8020" max="8020" width="2.140625" style="221" customWidth="1"/>
    <col min="8021" max="8021" width="0.5703125" style="221" customWidth="1"/>
    <col min="8022" max="8022" width="1.7109375" style="221" customWidth="1"/>
    <col min="8023"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42578125" style="221" customWidth="1"/>
    <col min="8198" max="8198" width="0.5703125" style="221" customWidth="1"/>
    <col min="8199" max="8218" width="0.710937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140625" style="221" customWidth="1"/>
    <col min="8255" max="8255" width="0.5703125" style="221" customWidth="1"/>
    <col min="8256" max="8256" width="2.140625" style="221" customWidth="1"/>
    <col min="8257" max="8257" width="0.5703125" style="221" customWidth="1"/>
    <col min="8258" max="8258" width="2.140625" style="221" customWidth="1"/>
    <col min="8259" max="8259" width="0.5703125" style="221" customWidth="1"/>
    <col min="8260" max="8260" width="2.140625" style="221" customWidth="1"/>
    <col min="8261" max="8261" width="0.5703125" style="221" customWidth="1"/>
    <col min="8262" max="8262" width="2.140625" style="221" customWidth="1"/>
    <col min="8263" max="8263" width="0.5703125" style="221" customWidth="1"/>
    <col min="8264" max="8264" width="2.140625" style="221" customWidth="1"/>
    <col min="8265" max="8265" width="0.5703125" style="221" customWidth="1"/>
    <col min="8266" max="8266" width="2.140625" style="221" customWidth="1"/>
    <col min="8267" max="8267" width="0.5703125" style="221" customWidth="1"/>
    <col min="8268" max="8268" width="2.140625" style="221" customWidth="1"/>
    <col min="8269" max="8269" width="0.5703125" style="221" customWidth="1"/>
    <col min="8270" max="8270" width="2.140625" style="221" customWidth="1"/>
    <col min="8271" max="8271" width="0.5703125" style="221" customWidth="1"/>
    <col min="8272" max="8272" width="2.140625" style="221" customWidth="1"/>
    <col min="8273" max="8273" width="0.5703125" style="221" customWidth="1"/>
    <col min="8274" max="8274" width="2.140625" style="221" customWidth="1"/>
    <col min="8275" max="8275" width="0.5703125" style="221" customWidth="1"/>
    <col min="8276" max="8276" width="2.140625" style="221" customWidth="1"/>
    <col min="8277" max="8277" width="0.5703125" style="221" customWidth="1"/>
    <col min="8278" max="8278" width="1.7109375" style="221" customWidth="1"/>
    <col min="8279"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42578125" style="221" customWidth="1"/>
    <col min="8454" max="8454" width="0.5703125" style="221" customWidth="1"/>
    <col min="8455" max="8474" width="0.710937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140625" style="221" customWidth="1"/>
    <col min="8511" max="8511" width="0.5703125" style="221" customWidth="1"/>
    <col min="8512" max="8512" width="2.140625" style="221" customWidth="1"/>
    <col min="8513" max="8513" width="0.5703125" style="221" customWidth="1"/>
    <col min="8514" max="8514" width="2.140625" style="221" customWidth="1"/>
    <col min="8515" max="8515" width="0.5703125" style="221" customWidth="1"/>
    <col min="8516" max="8516" width="2.140625" style="221" customWidth="1"/>
    <col min="8517" max="8517" width="0.5703125" style="221" customWidth="1"/>
    <col min="8518" max="8518" width="2.140625" style="221" customWidth="1"/>
    <col min="8519" max="8519" width="0.5703125" style="221" customWidth="1"/>
    <col min="8520" max="8520" width="2.140625" style="221" customWidth="1"/>
    <col min="8521" max="8521" width="0.5703125" style="221" customWidth="1"/>
    <col min="8522" max="8522" width="2.140625" style="221" customWidth="1"/>
    <col min="8523" max="8523" width="0.5703125" style="221" customWidth="1"/>
    <col min="8524" max="8524" width="2.140625" style="221" customWidth="1"/>
    <col min="8525" max="8525" width="0.5703125" style="221" customWidth="1"/>
    <col min="8526" max="8526" width="2.140625" style="221" customWidth="1"/>
    <col min="8527" max="8527" width="0.5703125" style="221" customWidth="1"/>
    <col min="8528" max="8528" width="2.140625" style="221" customWidth="1"/>
    <col min="8529" max="8529" width="0.5703125" style="221" customWidth="1"/>
    <col min="8530" max="8530" width="2.140625" style="221" customWidth="1"/>
    <col min="8531" max="8531" width="0.5703125" style="221" customWidth="1"/>
    <col min="8532" max="8532" width="2.140625" style="221" customWidth="1"/>
    <col min="8533" max="8533" width="0.5703125" style="221" customWidth="1"/>
    <col min="8534" max="8534" width="1.7109375" style="221" customWidth="1"/>
    <col min="8535"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42578125" style="221" customWidth="1"/>
    <col min="8710" max="8710" width="0.5703125" style="221" customWidth="1"/>
    <col min="8711" max="8730" width="0.710937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140625" style="221" customWidth="1"/>
    <col min="8767" max="8767" width="0.5703125" style="221" customWidth="1"/>
    <col min="8768" max="8768" width="2.140625" style="221" customWidth="1"/>
    <col min="8769" max="8769" width="0.5703125" style="221" customWidth="1"/>
    <col min="8770" max="8770" width="2.140625" style="221" customWidth="1"/>
    <col min="8771" max="8771" width="0.5703125" style="221" customWidth="1"/>
    <col min="8772" max="8772" width="2.140625" style="221" customWidth="1"/>
    <col min="8773" max="8773" width="0.5703125" style="221" customWidth="1"/>
    <col min="8774" max="8774" width="2.140625" style="221" customWidth="1"/>
    <col min="8775" max="8775" width="0.5703125" style="221" customWidth="1"/>
    <col min="8776" max="8776" width="2.140625" style="221" customWidth="1"/>
    <col min="8777" max="8777" width="0.5703125" style="221" customWidth="1"/>
    <col min="8778" max="8778" width="2.140625" style="221" customWidth="1"/>
    <col min="8779" max="8779" width="0.5703125" style="221" customWidth="1"/>
    <col min="8780" max="8780" width="2.140625" style="221" customWidth="1"/>
    <col min="8781" max="8781" width="0.5703125" style="221" customWidth="1"/>
    <col min="8782" max="8782" width="2.140625" style="221" customWidth="1"/>
    <col min="8783" max="8783" width="0.5703125" style="221" customWidth="1"/>
    <col min="8784" max="8784" width="2.140625" style="221" customWidth="1"/>
    <col min="8785" max="8785" width="0.5703125" style="221" customWidth="1"/>
    <col min="8786" max="8786" width="2.140625" style="221" customWidth="1"/>
    <col min="8787" max="8787" width="0.5703125" style="221" customWidth="1"/>
    <col min="8788" max="8788" width="2.140625" style="221" customWidth="1"/>
    <col min="8789" max="8789" width="0.5703125" style="221" customWidth="1"/>
    <col min="8790" max="8790" width="1.7109375" style="221" customWidth="1"/>
    <col min="8791"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42578125" style="221" customWidth="1"/>
    <col min="8966" max="8966" width="0.5703125" style="221" customWidth="1"/>
    <col min="8967" max="8986" width="0.710937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140625" style="221" customWidth="1"/>
    <col min="9023" max="9023" width="0.5703125" style="221" customWidth="1"/>
    <col min="9024" max="9024" width="2.140625" style="221" customWidth="1"/>
    <col min="9025" max="9025" width="0.5703125" style="221" customWidth="1"/>
    <col min="9026" max="9026" width="2.140625" style="221" customWidth="1"/>
    <col min="9027" max="9027" width="0.5703125" style="221" customWidth="1"/>
    <col min="9028" max="9028" width="2.140625" style="221" customWidth="1"/>
    <col min="9029" max="9029" width="0.5703125" style="221" customWidth="1"/>
    <col min="9030" max="9030" width="2.140625" style="221" customWidth="1"/>
    <col min="9031" max="9031" width="0.5703125" style="221" customWidth="1"/>
    <col min="9032" max="9032" width="2.140625" style="221" customWidth="1"/>
    <col min="9033" max="9033" width="0.5703125" style="221" customWidth="1"/>
    <col min="9034" max="9034" width="2.140625" style="221" customWidth="1"/>
    <col min="9035" max="9035" width="0.5703125" style="221" customWidth="1"/>
    <col min="9036" max="9036" width="2.140625" style="221" customWidth="1"/>
    <col min="9037" max="9037" width="0.5703125" style="221" customWidth="1"/>
    <col min="9038" max="9038" width="2.140625" style="221" customWidth="1"/>
    <col min="9039" max="9039" width="0.5703125" style="221" customWidth="1"/>
    <col min="9040" max="9040" width="2.140625" style="221" customWidth="1"/>
    <col min="9041" max="9041" width="0.5703125" style="221" customWidth="1"/>
    <col min="9042" max="9042" width="2.140625" style="221" customWidth="1"/>
    <col min="9043" max="9043" width="0.5703125" style="221" customWidth="1"/>
    <col min="9044" max="9044" width="2.140625" style="221" customWidth="1"/>
    <col min="9045" max="9045" width="0.5703125" style="221" customWidth="1"/>
    <col min="9046" max="9046" width="1.7109375" style="221" customWidth="1"/>
    <col min="9047"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42578125" style="221" customWidth="1"/>
    <col min="9222" max="9222" width="0.5703125" style="221" customWidth="1"/>
    <col min="9223" max="9242" width="0.710937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140625" style="221" customWidth="1"/>
    <col min="9279" max="9279" width="0.5703125" style="221" customWidth="1"/>
    <col min="9280" max="9280" width="2.140625" style="221" customWidth="1"/>
    <col min="9281" max="9281" width="0.5703125" style="221" customWidth="1"/>
    <col min="9282" max="9282" width="2.140625" style="221" customWidth="1"/>
    <col min="9283" max="9283" width="0.5703125" style="221" customWidth="1"/>
    <col min="9284" max="9284" width="2.140625" style="221" customWidth="1"/>
    <col min="9285" max="9285" width="0.5703125" style="221" customWidth="1"/>
    <col min="9286" max="9286" width="2.140625" style="221" customWidth="1"/>
    <col min="9287" max="9287" width="0.5703125" style="221" customWidth="1"/>
    <col min="9288" max="9288" width="2.140625" style="221" customWidth="1"/>
    <col min="9289" max="9289" width="0.5703125" style="221" customWidth="1"/>
    <col min="9290" max="9290" width="2.140625" style="221" customWidth="1"/>
    <col min="9291" max="9291" width="0.5703125" style="221" customWidth="1"/>
    <col min="9292" max="9292" width="2.140625" style="221" customWidth="1"/>
    <col min="9293" max="9293" width="0.5703125" style="221" customWidth="1"/>
    <col min="9294" max="9294" width="2.140625" style="221" customWidth="1"/>
    <col min="9295" max="9295" width="0.5703125" style="221" customWidth="1"/>
    <col min="9296" max="9296" width="2.140625" style="221" customWidth="1"/>
    <col min="9297" max="9297" width="0.5703125" style="221" customWidth="1"/>
    <col min="9298" max="9298" width="2.140625" style="221" customWidth="1"/>
    <col min="9299" max="9299" width="0.5703125" style="221" customWidth="1"/>
    <col min="9300" max="9300" width="2.140625" style="221" customWidth="1"/>
    <col min="9301" max="9301" width="0.5703125" style="221" customWidth="1"/>
    <col min="9302" max="9302" width="1.7109375" style="221" customWidth="1"/>
    <col min="9303"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42578125" style="221" customWidth="1"/>
    <col min="9478" max="9478" width="0.5703125" style="221" customWidth="1"/>
    <col min="9479" max="9498" width="0.710937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140625" style="221" customWidth="1"/>
    <col min="9535" max="9535" width="0.5703125" style="221" customWidth="1"/>
    <col min="9536" max="9536" width="2.140625" style="221" customWidth="1"/>
    <col min="9537" max="9537" width="0.5703125" style="221" customWidth="1"/>
    <col min="9538" max="9538" width="2.140625" style="221" customWidth="1"/>
    <col min="9539" max="9539" width="0.5703125" style="221" customWidth="1"/>
    <col min="9540" max="9540" width="2.140625" style="221" customWidth="1"/>
    <col min="9541" max="9541" width="0.5703125" style="221" customWidth="1"/>
    <col min="9542" max="9542" width="2.140625" style="221" customWidth="1"/>
    <col min="9543" max="9543" width="0.5703125" style="221" customWidth="1"/>
    <col min="9544" max="9544" width="2.140625" style="221" customWidth="1"/>
    <col min="9545" max="9545" width="0.5703125" style="221" customWidth="1"/>
    <col min="9546" max="9546" width="2.140625" style="221" customWidth="1"/>
    <col min="9547" max="9547" width="0.5703125" style="221" customWidth="1"/>
    <col min="9548" max="9548" width="2.140625" style="221" customWidth="1"/>
    <col min="9549" max="9549" width="0.5703125" style="221" customWidth="1"/>
    <col min="9550" max="9550" width="2.140625" style="221" customWidth="1"/>
    <col min="9551" max="9551" width="0.5703125" style="221" customWidth="1"/>
    <col min="9552" max="9552" width="2.140625" style="221" customWidth="1"/>
    <col min="9553" max="9553" width="0.5703125" style="221" customWidth="1"/>
    <col min="9554" max="9554" width="2.140625" style="221" customWidth="1"/>
    <col min="9555" max="9555" width="0.5703125" style="221" customWidth="1"/>
    <col min="9556" max="9556" width="2.140625" style="221" customWidth="1"/>
    <col min="9557" max="9557" width="0.5703125" style="221" customWidth="1"/>
    <col min="9558" max="9558" width="1.7109375" style="221" customWidth="1"/>
    <col min="9559"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42578125" style="221" customWidth="1"/>
    <col min="9734" max="9734" width="0.5703125" style="221" customWidth="1"/>
    <col min="9735" max="9754" width="0.710937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140625" style="221" customWidth="1"/>
    <col min="9791" max="9791" width="0.5703125" style="221" customWidth="1"/>
    <col min="9792" max="9792" width="2.140625" style="221" customWidth="1"/>
    <col min="9793" max="9793" width="0.5703125" style="221" customWidth="1"/>
    <col min="9794" max="9794" width="2.140625" style="221" customWidth="1"/>
    <col min="9795" max="9795" width="0.5703125" style="221" customWidth="1"/>
    <col min="9796" max="9796" width="2.140625" style="221" customWidth="1"/>
    <col min="9797" max="9797" width="0.5703125" style="221" customWidth="1"/>
    <col min="9798" max="9798" width="2.140625" style="221" customWidth="1"/>
    <col min="9799" max="9799" width="0.5703125" style="221" customWidth="1"/>
    <col min="9800" max="9800" width="2.140625" style="221" customWidth="1"/>
    <col min="9801" max="9801" width="0.5703125" style="221" customWidth="1"/>
    <col min="9802" max="9802" width="2.140625" style="221" customWidth="1"/>
    <col min="9803" max="9803" width="0.5703125" style="221" customWidth="1"/>
    <col min="9804" max="9804" width="2.140625" style="221" customWidth="1"/>
    <col min="9805" max="9805" width="0.5703125" style="221" customWidth="1"/>
    <col min="9806" max="9806" width="2.140625" style="221" customWidth="1"/>
    <col min="9807" max="9807" width="0.5703125" style="221" customWidth="1"/>
    <col min="9808" max="9808" width="2.140625" style="221" customWidth="1"/>
    <col min="9809" max="9809" width="0.5703125" style="221" customWidth="1"/>
    <col min="9810" max="9810" width="2.140625" style="221" customWidth="1"/>
    <col min="9811" max="9811" width="0.5703125" style="221" customWidth="1"/>
    <col min="9812" max="9812" width="2.140625" style="221" customWidth="1"/>
    <col min="9813" max="9813" width="0.5703125" style="221" customWidth="1"/>
    <col min="9814" max="9814" width="1.7109375" style="221" customWidth="1"/>
    <col min="9815"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42578125" style="221" customWidth="1"/>
    <col min="9990" max="9990" width="0.5703125" style="221" customWidth="1"/>
    <col min="9991" max="10010" width="0.710937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140625" style="221" customWidth="1"/>
    <col min="10047" max="10047" width="0.5703125" style="221" customWidth="1"/>
    <col min="10048" max="10048" width="2.140625" style="221" customWidth="1"/>
    <col min="10049" max="10049" width="0.5703125" style="221" customWidth="1"/>
    <col min="10050" max="10050" width="2.140625" style="221" customWidth="1"/>
    <col min="10051" max="10051" width="0.5703125" style="221" customWidth="1"/>
    <col min="10052" max="10052" width="2.140625" style="221" customWidth="1"/>
    <col min="10053" max="10053" width="0.5703125" style="221" customWidth="1"/>
    <col min="10054" max="10054" width="2.140625" style="221" customWidth="1"/>
    <col min="10055" max="10055" width="0.5703125" style="221" customWidth="1"/>
    <col min="10056" max="10056" width="2.140625" style="221" customWidth="1"/>
    <col min="10057" max="10057" width="0.5703125" style="221" customWidth="1"/>
    <col min="10058" max="10058" width="2.140625" style="221" customWidth="1"/>
    <col min="10059" max="10059" width="0.5703125" style="221" customWidth="1"/>
    <col min="10060" max="10060" width="2.140625" style="221" customWidth="1"/>
    <col min="10061" max="10061" width="0.5703125" style="221" customWidth="1"/>
    <col min="10062" max="10062" width="2.140625" style="221" customWidth="1"/>
    <col min="10063" max="10063" width="0.5703125" style="221" customWidth="1"/>
    <col min="10064" max="10064" width="2.140625" style="221" customWidth="1"/>
    <col min="10065" max="10065" width="0.5703125" style="221" customWidth="1"/>
    <col min="10066" max="10066" width="2.140625" style="221" customWidth="1"/>
    <col min="10067" max="10067" width="0.5703125" style="221" customWidth="1"/>
    <col min="10068" max="10068" width="2.140625" style="221" customWidth="1"/>
    <col min="10069" max="10069" width="0.5703125" style="221" customWidth="1"/>
    <col min="10070" max="10070" width="1.7109375" style="221" customWidth="1"/>
    <col min="10071"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42578125" style="221" customWidth="1"/>
    <col min="10246" max="10246" width="0.5703125" style="221" customWidth="1"/>
    <col min="10247" max="10266" width="0.710937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140625" style="221" customWidth="1"/>
    <col min="10303" max="10303" width="0.5703125" style="221" customWidth="1"/>
    <col min="10304" max="10304" width="2.140625" style="221" customWidth="1"/>
    <col min="10305" max="10305" width="0.5703125" style="221" customWidth="1"/>
    <col min="10306" max="10306" width="2.140625" style="221" customWidth="1"/>
    <col min="10307" max="10307" width="0.5703125" style="221" customWidth="1"/>
    <col min="10308" max="10308" width="2.140625" style="221" customWidth="1"/>
    <col min="10309" max="10309" width="0.5703125" style="221" customWidth="1"/>
    <col min="10310" max="10310" width="2.140625" style="221" customWidth="1"/>
    <col min="10311" max="10311" width="0.5703125" style="221" customWidth="1"/>
    <col min="10312" max="10312" width="2.140625" style="221" customWidth="1"/>
    <col min="10313" max="10313" width="0.5703125" style="221" customWidth="1"/>
    <col min="10314" max="10314" width="2.140625" style="221" customWidth="1"/>
    <col min="10315" max="10315" width="0.5703125" style="221" customWidth="1"/>
    <col min="10316" max="10316" width="2.140625" style="221" customWidth="1"/>
    <col min="10317" max="10317" width="0.5703125" style="221" customWidth="1"/>
    <col min="10318" max="10318" width="2.140625" style="221" customWidth="1"/>
    <col min="10319" max="10319" width="0.5703125" style="221" customWidth="1"/>
    <col min="10320" max="10320" width="2.140625" style="221" customWidth="1"/>
    <col min="10321" max="10321" width="0.5703125" style="221" customWidth="1"/>
    <col min="10322" max="10322" width="2.140625" style="221" customWidth="1"/>
    <col min="10323" max="10323" width="0.5703125" style="221" customWidth="1"/>
    <col min="10324" max="10324" width="2.140625" style="221" customWidth="1"/>
    <col min="10325" max="10325" width="0.5703125" style="221" customWidth="1"/>
    <col min="10326" max="10326" width="1.7109375" style="221" customWidth="1"/>
    <col min="10327"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42578125" style="221" customWidth="1"/>
    <col min="10502" max="10502" width="0.5703125" style="221" customWidth="1"/>
    <col min="10503" max="10522" width="0.710937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140625" style="221" customWidth="1"/>
    <col min="10559" max="10559" width="0.5703125" style="221" customWidth="1"/>
    <col min="10560" max="10560" width="2.140625" style="221" customWidth="1"/>
    <col min="10561" max="10561" width="0.5703125" style="221" customWidth="1"/>
    <col min="10562" max="10562" width="2.140625" style="221" customWidth="1"/>
    <col min="10563" max="10563" width="0.5703125" style="221" customWidth="1"/>
    <col min="10564" max="10564" width="2.140625" style="221" customWidth="1"/>
    <col min="10565" max="10565" width="0.5703125" style="221" customWidth="1"/>
    <col min="10566" max="10566" width="2.140625" style="221" customWidth="1"/>
    <col min="10567" max="10567" width="0.5703125" style="221" customWidth="1"/>
    <col min="10568" max="10568" width="2.140625" style="221" customWidth="1"/>
    <col min="10569" max="10569" width="0.5703125" style="221" customWidth="1"/>
    <col min="10570" max="10570" width="2.140625" style="221" customWidth="1"/>
    <col min="10571" max="10571" width="0.5703125" style="221" customWidth="1"/>
    <col min="10572" max="10572" width="2.140625" style="221" customWidth="1"/>
    <col min="10573" max="10573" width="0.5703125" style="221" customWidth="1"/>
    <col min="10574" max="10574" width="2.140625" style="221" customWidth="1"/>
    <col min="10575" max="10575" width="0.5703125" style="221" customWidth="1"/>
    <col min="10576" max="10576" width="2.140625" style="221" customWidth="1"/>
    <col min="10577" max="10577" width="0.5703125" style="221" customWidth="1"/>
    <col min="10578" max="10578" width="2.140625" style="221" customWidth="1"/>
    <col min="10579" max="10579" width="0.5703125" style="221" customWidth="1"/>
    <col min="10580" max="10580" width="2.140625" style="221" customWidth="1"/>
    <col min="10581" max="10581" width="0.5703125" style="221" customWidth="1"/>
    <col min="10582" max="10582" width="1.7109375" style="221" customWidth="1"/>
    <col min="10583"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42578125" style="221" customWidth="1"/>
    <col min="10758" max="10758" width="0.5703125" style="221" customWidth="1"/>
    <col min="10759" max="10778" width="0.710937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140625" style="221" customWidth="1"/>
    <col min="10815" max="10815" width="0.5703125" style="221" customWidth="1"/>
    <col min="10816" max="10816" width="2.140625" style="221" customWidth="1"/>
    <col min="10817" max="10817" width="0.5703125" style="221" customWidth="1"/>
    <col min="10818" max="10818" width="2.140625" style="221" customWidth="1"/>
    <col min="10819" max="10819" width="0.5703125" style="221" customWidth="1"/>
    <col min="10820" max="10820" width="2.140625" style="221" customWidth="1"/>
    <col min="10821" max="10821" width="0.5703125" style="221" customWidth="1"/>
    <col min="10822" max="10822" width="2.140625" style="221" customWidth="1"/>
    <col min="10823" max="10823" width="0.5703125" style="221" customWidth="1"/>
    <col min="10824" max="10824" width="2.140625" style="221" customWidth="1"/>
    <col min="10825" max="10825" width="0.5703125" style="221" customWidth="1"/>
    <col min="10826" max="10826" width="2.140625" style="221" customWidth="1"/>
    <col min="10827" max="10827" width="0.5703125" style="221" customWidth="1"/>
    <col min="10828" max="10828" width="2.140625" style="221" customWidth="1"/>
    <col min="10829" max="10829" width="0.5703125" style="221" customWidth="1"/>
    <col min="10830" max="10830" width="2.140625" style="221" customWidth="1"/>
    <col min="10831" max="10831" width="0.5703125" style="221" customWidth="1"/>
    <col min="10832" max="10832" width="2.140625" style="221" customWidth="1"/>
    <col min="10833" max="10833" width="0.5703125" style="221" customWidth="1"/>
    <col min="10834" max="10834" width="2.140625" style="221" customWidth="1"/>
    <col min="10835" max="10835" width="0.5703125" style="221" customWidth="1"/>
    <col min="10836" max="10836" width="2.140625" style="221" customWidth="1"/>
    <col min="10837" max="10837" width="0.5703125" style="221" customWidth="1"/>
    <col min="10838" max="10838" width="1.7109375" style="221" customWidth="1"/>
    <col min="10839"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42578125" style="221" customWidth="1"/>
    <col min="11014" max="11014" width="0.5703125" style="221" customWidth="1"/>
    <col min="11015" max="11034" width="0.710937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140625" style="221" customWidth="1"/>
    <col min="11071" max="11071" width="0.5703125" style="221" customWidth="1"/>
    <col min="11072" max="11072" width="2.140625" style="221" customWidth="1"/>
    <col min="11073" max="11073" width="0.5703125" style="221" customWidth="1"/>
    <col min="11074" max="11074" width="2.140625" style="221" customWidth="1"/>
    <col min="11075" max="11075" width="0.5703125" style="221" customWidth="1"/>
    <col min="11076" max="11076" width="2.140625" style="221" customWidth="1"/>
    <col min="11077" max="11077" width="0.5703125" style="221" customWidth="1"/>
    <col min="11078" max="11078" width="2.140625" style="221" customWidth="1"/>
    <col min="11079" max="11079" width="0.5703125" style="221" customWidth="1"/>
    <col min="11080" max="11080" width="2.140625" style="221" customWidth="1"/>
    <col min="11081" max="11081" width="0.5703125" style="221" customWidth="1"/>
    <col min="11082" max="11082" width="2.140625" style="221" customWidth="1"/>
    <col min="11083" max="11083" width="0.5703125" style="221" customWidth="1"/>
    <col min="11084" max="11084" width="2.140625" style="221" customWidth="1"/>
    <col min="11085" max="11085" width="0.5703125" style="221" customWidth="1"/>
    <col min="11086" max="11086" width="2.140625" style="221" customWidth="1"/>
    <col min="11087" max="11087" width="0.5703125" style="221" customWidth="1"/>
    <col min="11088" max="11088" width="2.140625" style="221" customWidth="1"/>
    <col min="11089" max="11089" width="0.5703125" style="221" customWidth="1"/>
    <col min="11090" max="11090" width="2.140625" style="221" customWidth="1"/>
    <col min="11091" max="11091" width="0.5703125" style="221" customWidth="1"/>
    <col min="11092" max="11092" width="2.140625" style="221" customWidth="1"/>
    <col min="11093" max="11093" width="0.5703125" style="221" customWidth="1"/>
    <col min="11094" max="11094" width="1.7109375" style="221" customWidth="1"/>
    <col min="11095"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42578125" style="221" customWidth="1"/>
    <col min="11270" max="11270" width="0.5703125" style="221" customWidth="1"/>
    <col min="11271" max="11290" width="0.710937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140625" style="221" customWidth="1"/>
    <col min="11327" max="11327" width="0.5703125" style="221" customWidth="1"/>
    <col min="11328" max="11328" width="2.140625" style="221" customWidth="1"/>
    <col min="11329" max="11329" width="0.5703125" style="221" customWidth="1"/>
    <col min="11330" max="11330" width="2.140625" style="221" customWidth="1"/>
    <col min="11331" max="11331" width="0.5703125" style="221" customWidth="1"/>
    <col min="11332" max="11332" width="2.140625" style="221" customWidth="1"/>
    <col min="11333" max="11333" width="0.5703125" style="221" customWidth="1"/>
    <col min="11334" max="11334" width="2.140625" style="221" customWidth="1"/>
    <col min="11335" max="11335" width="0.5703125" style="221" customWidth="1"/>
    <col min="11336" max="11336" width="2.140625" style="221" customWidth="1"/>
    <col min="11337" max="11337" width="0.5703125" style="221" customWidth="1"/>
    <col min="11338" max="11338" width="2.140625" style="221" customWidth="1"/>
    <col min="11339" max="11339" width="0.5703125" style="221" customWidth="1"/>
    <col min="11340" max="11340" width="2.140625" style="221" customWidth="1"/>
    <col min="11341" max="11341" width="0.5703125" style="221" customWidth="1"/>
    <col min="11342" max="11342" width="2.140625" style="221" customWidth="1"/>
    <col min="11343" max="11343" width="0.5703125" style="221" customWidth="1"/>
    <col min="11344" max="11344" width="2.140625" style="221" customWidth="1"/>
    <col min="11345" max="11345" width="0.5703125" style="221" customWidth="1"/>
    <col min="11346" max="11346" width="2.140625" style="221" customWidth="1"/>
    <col min="11347" max="11347" width="0.5703125" style="221" customWidth="1"/>
    <col min="11348" max="11348" width="2.140625" style="221" customWidth="1"/>
    <col min="11349" max="11349" width="0.5703125" style="221" customWidth="1"/>
    <col min="11350" max="11350" width="1.7109375" style="221" customWidth="1"/>
    <col min="11351"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42578125" style="221" customWidth="1"/>
    <col min="11526" max="11526" width="0.5703125" style="221" customWidth="1"/>
    <col min="11527" max="11546" width="0.710937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140625" style="221" customWidth="1"/>
    <col min="11583" max="11583" width="0.5703125" style="221" customWidth="1"/>
    <col min="11584" max="11584" width="2.140625" style="221" customWidth="1"/>
    <col min="11585" max="11585" width="0.5703125" style="221" customWidth="1"/>
    <col min="11586" max="11586" width="2.140625" style="221" customWidth="1"/>
    <col min="11587" max="11587" width="0.5703125" style="221" customWidth="1"/>
    <col min="11588" max="11588" width="2.140625" style="221" customWidth="1"/>
    <col min="11589" max="11589" width="0.5703125" style="221" customWidth="1"/>
    <col min="11590" max="11590" width="2.140625" style="221" customWidth="1"/>
    <col min="11591" max="11591" width="0.5703125" style="221" customWidth="1"/>
    <col min="11592" max="11592" width="2.140625" style="221" customWidth="1"/>
    <col min="11593" max="11593" width="0.5703125" style="221" customWidth="1"/>
    <col min="11594" max="11594" width="2.140625" style="221" customWidth="1"/>
    <col min="11595" max="11595" width="0.5703125" style="221" customWidth="1"/>
    <col min="11596" max="11596" width="2.140625" style="221" customWidth="1"/>
    <col min="11597" max="11597" width="0.5703125" style="221" customWidth="1"/>
    <col min="11598" max="11598" width="2.140625" style="221" customWidth="1"/>
    <col min="11599" max="11599" width="0.5703125" style="221" customWidth="1"/>
    <col min="11600" max="11600" width="2.140625" style="221" customWidth="1"/>
    <col min="11601" max="11601" width="0.5703125" style="221" customWidth="1"/>
    <col min="11602" max="11602" width="2.140625" style="221" customWidth="1"/>
    <col min="11603" max="11603" width="0.5703125" style="221" customWidth="1"/>
    <col min="11604" max="11604" width="2.140625" style="221" customWidth="1"/>
    <col min="11605" max="11605" width="0.5703125" style="221" customWidth="1"/>
    <col min="11606" max="11606" width="1.7109375" style="221" customWidth="1"/>
    <col min="11607"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42578125" style="221" customWidth="1"/>
    <col min="11782" max="11782" width="0.5703125" style="221" customWidth="1"/>
    <col min="11783" max="11802" width="0.710937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140625" style="221" customWidth="1"/>
    <col min="11839" max="11839" width="0.5703125" style="221" customWidth="1"/>
    <col min="11840" max="11840" width="2.140625" style="221" customWidth="1"/>
    <col min="11841" max="11841" width="0.5703125" style="221" customWidth="1"/>
    <col min="11842" max="11842" width="2.140625" style="221" customWidth="1"/>
    <col min="11843" max="11843" width="0.5703125" style="221" customWidth="1"/>
    <col min="11844" max="11844" width="2.140625" style="221" customWidth="1"/>
    <col min="11845" max="11845" width="0.5703125" style="221" customWidth="1"/>
    <col min="11846" max="11846" width="2.140625" style="221" customWidth="1"/>
    <col min="11847" max="11847" width="0.5703125" style="221" customWidth="1"/>
    <col min="11848" max="11848" width="2.140625" style="221" customWidth="1"/>
    <col min="11849" max="11849" width="0.5703125" style="221" customWidth="1"/>
    <col min="11850" max="11850" width="2.140625" style="221" customWidth="1"/>
    <col min="11851" max="11851" width="0.5703125" style="221" customWidth="1"/>
    <col min="11852" max="11852" width="2.140625" style="221" customWidth="1"/>
    <col min="11853" max="11853" width="0.5703125" style="221" customWidth="1"/>
    <col min="11854" max="11854" width="2.140625" style="221" customWidth="1"/>
    <col min="11855" max="11855" width="0.5703125" style="221" customWidth="1"/>
    <col min="11856" max="11856" width="2.140625" style="221" customWidth="1"/>
    <col min="11857" max="11857" width="0.5703125" style="221" customWidth="1"/>
    <col min="11858" max="11858" width="2.140625" style="221" customWidth="1"/>
    <col min="11859" max="11859" width="0.5703125" style="221" customWidth="1"/>
    <col min="11860" max="11860" width="2.140625" style="221" customWidth="1"/>
    <col min="11861" max="11861" width="0.5703125" style="221" customWidth="1"/>
    <col min="11862" max="11862" width="1.7109375" style="221" customWidth="1"/>
    <col min="11863"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42578125" style="221" customWidth="1"/>
    <col min="12038" max="12038" width="0.5703125" style="221" customWidth="1"/>
    <col min="12039" max="12058" width="0.710937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140625" style="221" customWidth="1"/>
    <col min="12095" max="12095" width="0.5703125" style="221" customWidth="1"/>
    <col min="12096" max="12096" width="2.140625" style="221" customWidth="1"/>
    <col min="12097" max="12097" width="0.5703125" style="221" customWidth="1"/>
    <col min="12098" max="12098" width="2.140625" style="221" customWidth="1"/>
    <col min="12099" max="12099" width="0.5703125" style="221" customWidth="1"/>
    <col min="12100" max="12100" width="2.140625" style="221" customWidth="1"/>
    <col min="12101" max="12101" width="0.5703125" style="221" customWidth="1"/>
    <col min="12102" max="12102" width="2.140625" style="221" customWidth="1"/>
    <col min="12103" max="12103" width="0.5703125" style="221" customWidth="1"/>
    <col min="12104" max="12104" width="2.140625" style="221" customWidth="1"/>
    <col min="12105" max="12105" width="0.5703125" style="221" customWidth="1"/>
    <col min="12106" max="12106" width="2.140625" style="221" customWidth="1"/>
    <col min="12107" max="12107" width="0.5703125" style="221" customWidth="1"/>
    <col min="12108" max="12108" width="2.140625" style="221" customWidth="1"/>
    <col min="12109" max="12109" width="0.5703125" style="221" customWidth="1"/>
    <col min="12110" max="12110" width="2.140625" style="221" customWidth="1"/>
    <col min="12111" max="12111" width="0.5703125" style="221" customWidth="1"/>
    <col min="12112" max="12112" width="2.140625" style="221" customWidth="1"/>
    <col min="12113" max="12113" width="0.5703125" style="221" customWidth="1"/>
    <col min="12114" max="12114" width="2.140625" style="221" customWidth="1"/>
    <col min="12115" max="12115" width="0.5703125" style="221" customWidth="1"/>
    <col min="12116" max="12116" width="2.140625" style="221" customWidth="1"/>
    <col min="12117" max="12117" width="0.5703125" style="221" customWidth="1"/>
    <col min="12118" max="12118" width="1.7109375" style="221" customWidth="1"/>
    <col min="12119"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42578125" style="221" customWidth="1"/>
    <col min="12294" max="12294" width="0.5703125" style="221" customWidth="1"/>
    <col min="12295" max="12314" width="0.710937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140625" style="221" customWidth="1"/>
    <col min="12351" max="12351" width="0.5703125" style="221" customWidth="1"/>
    <col min="12352" max="12352" width="2.140625" style="221" customWidth="1"/>
    <col min="12353" max="12353" width="0.5703125" style="221" customWidth="1"/>
    <col min="12354" max="12354" width="2.140625" style="221" customWidth="1"/>
    <col min="12355" max="12355" width="0.5703125" style="221" customWidth="1"/>
    <col min="12356" max="12356" width="2.140625" style="221" customWidth="1"/>
    <col min="12357" max="12357" width="0.5703125" style="221" customWidth="1"/>
    <col min="12358" max="12358" width="2.140625" style="221" customWidth="1"/>
    <col min="12359" max="12359" width="0.5703125" style="221" customWidth="1"/>
    <col min="12360" max="12360" width="2.140625" style="221" customWidth="1"/>
    <col min="12361" max="12361" width="0.5703125" style="221" customWidth="1"/>
    <col min="12362" max="12362" width="2.140625" style="221" customWidth="1"/>
    <col min="12363" max="12363" width="0.5703125" style="221" customWidth="1"/>
    <col min="12364" max="12364" width="2.140625" style="221" customWidth="1"/>
    <col min="12365" max="12365" width="0.5703125" style="221" customWidth="1"/>
    <col min="12366" max="12366" width="2.140625" style="221" customWidth="1"/>
    <col min="12367" max="12367" width="0.5703125" style="221" customWidth="1"/>
    <col min="12368" max="12368" width="2.140625" style="221" customWidth="1"/>
    <col min="12369" max="12369" width="0.5703125" style="221" customWidth="1"/>
    <col min="12370" max="12370" width="2.140625" style="221" customWidth="1"/>
    <col min="12371" max="12371" width="0.5703125" style="221" customWidth="1"/>
    <col min="12372" max="12372" width="2.140625" style="221" customWidth="1"/>
    <col min="12373" max="12373" width="0.5703125" style="221" customWidth="1"/>
    <col min="12374" max="12374" width="1.7109375" style="221" customWidth="1"/>
    <col min="12375"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42578125" style="221" customWidth="1"/>
    <col min="12550" max="12550" width="0.5703125" style="221" customWidth="1"/>
    <col min="12551" max="12570" width="0.710937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140625" style="221" customWidth="1"/>
    <col min="12607" max="12607" width="0.5703125" style="221" customWidth="1"/>
    <col min="12608" max="12608" width="2.140625" style="221" customWidth="1"/>
    <col min="12609" max="12609" width="0.5703125" style="221" customWidth="1"/>
    <col min="12610" max="12610" width="2.140625" style="221" customWidth="1"/>
    <col min="12611" max="12611" width="0.5703125" style="221" customWidth="1"/>
    <col min="12612" max="12612" width="2.140625" style="221" customWidth="1"/>
    <col min="12613" max="12613" width="0.5703125" style="221" customWidth="1"/>
    <col min="12614" max="12614" width="2.140625" style="221" customWidth="1"/>
    <col min="12615" max="12615" width="0.5703125" style="221" customWidth="1"/>
    <col min="12616" max="12616" width="2.140625" style="221" customWidth="1"/>
    <col min="12617" max="12617" width="0.5703125" style="221" customWidth="1"/>
    <col min="12618" max="12618" width="2.140625" style="221" customWidth="1"/>
    <col min="12619" max="12619" width="0.5703125" style="221" customWidth="1"/>
    <col min="12620" max="12620" width="2.140625" style="221" customWidth="1"/>
    <col min="12621" max="12621" width="0.5703125" style="221" customWidth="1"/>
    <col min="12622" max="12622" width="2.140625" style="221" customWidth="1"/>
    <col min="12623" max="12623" width="0.5703125" style="221" customWidth="1"/>
    <col min="12624" max="12624" width="2.140625" style="221" customWidth="1"/>
    <col min="12625" max="12625" width="0.5703125" style="221" customWidth="1"/>
    <col min="12626" max="12626" width="2.140625" style="221" customWidth="1"/>
    <col min="12627" max="12627" width="0.5703125" style="221" customWidth="1"/>
    <col min="12628" max="12628" width="2.140625" style="221" customWidth="1"/>
    <col min="12629" max="12629" width="0.5703125" style="221" customWidth="1"/>
    <col min="12630" max="12630" width="1.7109375" style="221" customWidth="1"/>
    <col min="12631"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42578125" style="221" customWidth="1"/>
    <col min="12806" max="12806" width="0.5703125" style="221" customWidth="1"/>
    <col min="12807" max="12826" width="0.710937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140625" style="221" customWidth="1"/>
    <col min="12863" max="12863" width="0.5703125" style="221" customWidth="1"/>
    <col min="12864" max="12864" width="2.140625" style="221" customWidth="1"/>
    <col min="12865" max="12865" width="0.5703125" style="221" customWidth="1"/>
    <col min="12866" max="12866" width="2.140625" style="221" customWidth="1"/>
    <col min="12867" max="12867" width="0.5703125" style="221" customWidth="1"/>
    <col min="12868" max="12868" width="2.140625" style="221" customWidth="1"/>
    <col min="12869" max="12869" width="0.5703125" style="221" customWidth="1"/>
    <col min="12870" max="12870" width="2.140625" style="221" customWidth="1"/>
    <col min="12871" max="12871" width="0.5703125" style="221" customWidth="1"/>
    <col min="12872" max="12872" width="2.140625" style="221" customWidth="1"/>
    <col min="12873" max="12873" width="0.5703125" style="221" customWidth="1"/>
    <col min="12874" max="12874" width="2.140625" style="221" customWidth="1"/>
    <col min="12875" max="12875" width="0.5703125" style="221" customWidth="1"/>
    <col min="12876" max="12876" width="2.140625" style="221" customWidth="1"/>
    <col min="12877" max="12877" width="0.5703125" style="221" customWidth="1"/>
    <col min="12878" max="12878" width="2.140625" style="221" customWidth="1"/>
    <col min="12879" max="12879" width="0.5703125" style="221" customWidth="1"/>
    <col min="12880" max="12880" width="2.140625" style="221" customWidth="1"/>
    <col min="12881" max="12881" width="0.5703125" style="221" customWidth="1"/>
    <col min="12882" max="12882" width="2.140625" style="221" customWidth="1"/>
    <col min="12883" max="12883" width="0.5703125" style="221" customWidth="1"/>
    <col min="12884" max="12884" width="2.140625" style="221" customWidth="1"/>
    <col min="12885" max="12885" width="0.5703125" style="221" customWidth="1"/>
    <col min="12886" max="12886" width="1.7109375" style="221" customWidth="1"/>
    <col min="12887"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42578125" style="221" customWidth="1"/>
    <col min="13062" max="13062" width="0.5703125" style="221" customWidth="1"/>
    <col min="13063" max="13082" width="0.710937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140625" style="221" customWidth="1"/>
    <col min="13119" max="13119" width="0.5703125" style="221" customWidth="1"/>
    <col min="13120" max="13120" width="2.140625" style="221" customWidth="1"/>
    <col min="13121" max="13121" width="0.5703125" style="221" customWidth="1"/>
    <col min="13122" max="13122" width="2.140625" style="221" customWidth="1"/>
    <col min="13123" max="13123" width="0.5703125" style="221" customWidth="1"/>
    <col min="13124" max="13124" width="2.140625" style="221" customWidth="1"/>
    <col min="13125" max="13125" width="0.5703125" style="221" customWidth="1"/>
    <col min="13126" max="13126" width="2.140625" style="221" customWidth="1"/>
    <col min="13127" max="13127" width="0.5703125" style="221" customWidth="1"/>
    <col min="13128" max="13128" width="2.140625" style="221" customWidth="1"/>
    <col min="13129" max="13129" width="0.5703125" style="221" customWidth="1"/>
    <col min="13130" max="13130" width="2.140625" style="221" customWidth="1"/>
    <col min="13131" max="13131" width="0.5703125" style="221" customWidth="1"/>
    <col min="13132" max="13132" width="2.140625" style="221" customWidth="1"/>
    <col min="13133" max="13133" width="0.5703125" style="221" customWidth="1"/>
    <col min="13134" max="13134" width="2.140625" style="221" customWidth="1"/>
    <col min="13135" max="13135" width="0.5703125" style="221" customWidth="1"/>
    <col min="13136" max="13136" width="2.140625" style="221" customWidth="1"/>
    <col min="13137" max="13137" width="0.5703125" style="221" customWidth="1"/>
    <col min="13138" max="13138" width="2.140625" style="221" customWidth="1"/>
    <col min="13139" max="13139" width="0.5703125" style="221" customWidth="1"/>
    <col min="13140" max="13140" width="2.140625" style="221" customWidth="1"/>
    <col min="13141" max="13141" width="0.5703125" style="221" customWidth="1"/>
    <col min="13142" max="13142" width="1.7109375" style="221" customWidth="1"/>
    <col min="13143"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42578125" style="221" customWidth="1"/>
    <col min="13318" max="13318" width="0.5703125" style="221" customWidth="1"/>
    <col min="13319" max="13338" width="0.710937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140625" style="221" customWidth="1"/>
    <col min="13375" max="13375" width="0.5703125" style="221" customWidth="1"/>
    <col min="13376" max="13376" width="2.140625" style="221" customWidth="1"/>
    <col min="13377" max="13377" width="0.5703125" style="221" customWidth="1"/>
    <col min="13378" max="13378" width="2.140625" style="221" customWidth="1"/>
    <col min="13379" max="13379" width="0.5703125" style="221" customWidth="1"/>
    <col min="13380" max="13380" width="2.140625" style="221" customWidth="1"/>
    <col min="13381" max="13381" width="0.5703125" style="221" customWidth="1"/>
    <col min="13382" max="13382" width="2.140625" style="221" customWidth="1"/>
    <col min="13383" max="13383" width="0.5703125" style="221" customWidth="1"/>
    <col min="13384" max="13384" width="2.140625" style="221" customWidth="1"/>
    <col min="13385" max="13385" width="0.5703125" style="221" customWidth="1"/>
    <col min="13386" max="13386" width="2.140625" style="221" customWidth="1"/>
    <col min="13387" max="13387" width="0.5703125" style="221" customWidth="1"/>
    <col min="13388" max="13388" width="2.140625" style="221" customWidth="1"/>
    <col min="13389" max="13389" width="0.5703125" style="221" customWidth="1"/>
    <col min="13390" max="13390" width="2.140625" style="221" customWidth="1"/>
    <col min="13391" max="13391" width="0.5703125" style="221" customWidth="1"/>
    <col min="13392" max="13392" width="2.140625" style="221" customWidth="1"/>
    <col min="13393" max="13393" width="0.5703125" style="221" customWidth="1"/>
    <col min="13394" max="13394" width="2.140625" style="221" customWidth="1"/>
    <col min="13395" max="13395" width="0.5703125" style="221" customWidth="1"/>
    <col min="13396" max="13396" width="2.140625" style="221" customWidth="1"/>
    <col min="13397" max="13397" width="0.5703125" style="221" customWidth="1"/>
    <col min="13398" max="13398" width="1.7109375" style="221" customWidth="1"/>
    <col min="13399"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42578125" style="221" customWidth="1"/>
    <col min="13574" max="13574" width="0.5703125" style="221" customWidth="1"/>
    <col min="13575" max="13594" width="0.710937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140625" style="221" customWidth="1"/>
    <col min="13631" max="13631" width="0.5703125" style="221" customWidth="1"/>
    <col min="13632" max="13632" width="2.140625" style="221" customWidth="1"/>
    <col min="13633" max="13633" width="0.5703125" style="221" customWidth="1"/>
    <col min="13634" max="13634" width="2.140625" style="221" customWidth="1"/>
    <col min="13635" max="13635" width="0.5703125" style="221" customWidth="1"/>
    <col min="13636" max="13636" width="2.140625" style="221" customWidth="1"/>
    <col min="13637" max="13637" width="0.5703125" style="221" customWidth="1"/>
    <col min="13638" max="13638" width="2.140625" style="221" customWidth="1"/>
    <col min="13639" max="13639" width="0.5703125" style="221" customWidth="1"/>
    <col min="13640" max="13640" width="2.140625" style="221" customWidth="1"/>
    <col min="13641" max="13641" width="0.5703125" style="221" customWidth="1"/>
    <col min="13642" max="13642" width="2.140625" style="221" customWidth="1"/>
    <col min="13643" max="13643" width="0.5703125" style="221" customWidth="1"/>
    <col min="13644" max="13644" width="2.140625" style="221" customWidth="1"/>
    <col min="13645" max="13645" width="0.5703125" style="221" customWidth="1"/>
    <col min="13646" max="13646" width="2.140625" style="221" customWidth="1"/>
    <col min="13647" max="13647" width="0.5703125" style="221" customWidth="1"/>
    <col min="13648" max="13648" width="2.140625" style="221" customWidth="1"/>
    <col min="13649" max="13649" width="0.5703125" style="221" customWidth="1"/>
    <col min="13650" max="13650" width="2.140625" style="221" customWidth="1"/>
    <col min="13651" max="13651" width="0.5703125" style="221" customWidth="1"/>
    <col min="13652" max="13652" width="2.140625" style="221" customWidth="1"/>
    <col min="13653" max="13653" width="0.5703125" style="221" customWidth="1"/>
    <col min="13654" max="13654" width="1.7109375" style="221" customWidth="1"/>
    <col min="13655"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42578125" style="221" customWidth="1"/>
    <col min="13830" max="13830" width="0.5703125" style="221" customWidth="1"/>
    <col min="13831" max="13850" width="0.710937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140625" style="221" customWidth="1"/>
    <col min="13887" max="13887" width="0.5703125" style="221" customWidth="1"/>
    <col min="13888" max="13888" width="2.140625" style="221" customWidth="1"/>
    <col min="13889" max="13889" width="0.5703125" style="221" customWidth="1"/>
    <col min="13890" max="13890" width="2.140625" style="221" customWidth="1"/>
    <col min="13891" max="13891" width="0.5703125" style="221" customWidth="1"/>
    <col min="13892" max="13892" width="2.140625" style="221" customWidth="1"/>
    <col min="13893" max="13893" width="0.5703125" style="221" customWidth="1"/>
    <col min="13894" max="13894" width="2.140625" style="221" customWidth="1"/>
    <col min="13895" max="13895" width="0.5703125" style="221" customWidth="1"/>
    <col min="13896" max="13896" width="2.140625" style="221" customWidth="1"/>
    <col min="13897" max="13897" width="0.5703125" style="221" customWidth="1"/>
    <col min="13898" max="13898" width="2.140625" style="221" customWidth="1"/>
    <col min="13899" max="13899" width="0.5703125" style="221" customWidth="1"/>
    <col min="13900" max="13900" width="2.140625" style="221" customWidth="1"/>
    <col min="13901" max="13901" width="0.5703125" style="221" customWidth="1"/>
    <col min="13902" max="13902" width="2.140625" style="221" customWidth="1"/>
    <col min="13903" max="13903" width="0.5703125" style="221" customWidth="1"/>
    <col min="13904" max="13904" width="2.140625" style="221" customWidth="1"/>
    <col min="13905" max="13905" width="0.5703125" style="221" customWidth="1"/>
    <col min="13906" max="13906" width="2.140625" style="221" customWidth="1"/>
    <col min="13907" max="13907" width="0.5703125" style="221" customWidth="1"/>
    <col min="13908" max="13908" width="2.140625" style="221" customWidth="1"/>
    <col min="13909" max="13909" width="0.5703125" style="221" customWidth="1"/>
    <col min="13910" max="13910" width="1.7109375" style="221" customWidth="1"/>
    <col min="13911"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42578125" style="221" customWidth="1"/>
    <col min="14086" max="14086" width="0.5703125" style="221" customWidth="1"/>
    <col min="14087" max="14106" width="0.710937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140625" style="221" customWidth="1"/>
    <col min="14143" max="14143" width="0.5703125" style="221" customWidth="1"/>
    <col min="14144" max="14144" width="2.140625" style="221" customWidth="1"/>
    <col min="14145" max="14145" width="0.5703125" style="221" customWidth="1"/>
    <col min="14146" max="14146" width="2.140625" style="221" customWidth="1"/>
    <col min="14147" max="14147" width="0.5703125" style="221" customWidth="1"/>
    <col min="14148" max="14148" width="2.140625" style="221" customWidth="1"/>
    <col min="14149" max="14149" width="0.5703125" style="221" customWidth="1"/>
    <col min="14150" max="14150" width="2.140625" style="221" customWidth="1"/>
    <col min="14151" max="14151" width="0.5703125" style="221" customWidth="1"/>
    <col min="14152" max="14152" width="2.140625" style="221" customWidth="1"/>
    <col min="14153" max="14153" width="0.5703125" style="221" customWidth="1"/>
    <col min="14154" max="14154" width="2.140625" style="221" customWidth="1"/>
    <col min="14155" max="14155" width="0.5703125" style="221" customWidth="1"/>
    <col min="14156" max="14156" width="2.140625" style="221" customWidth="1"/>
    <col min="14157" max="14157" width="0.5703125" style="221" customWidth="1"/>
    <col min="14158" max="14158" width="2.140625" style="221" customWidth="1"/>
    <col min="14159" max="14159" width="0.5703125" style="221" customWidth="1"/>
    <col min="14160" max="14160" width="2.140625" style="221" customWidth="1"/>
    <col min="14161" max="14161" width="0.5703125" style="221" customWidth="1"/>
    <col min="14162" max="14162" width="2.140625" style="221" customWidth="1"/>
    <col min="14163" max="14163" width="0.5703125" style="221" customWidth="1"/>
    <col min="14164" max="14164" width="2.140625" style="221" customWidth="1"/>
    <col min="14165" max="14165" width="0.5703125" style="221" customWidth="1"/>
    <col min="14166" max="14166" width="1.7109375" style="221" customWidth="1"/>
    <col min="14167"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42578125" style="221" customWidth="1"/>
    <col min="14342" max="14342" width="0.5703125" style="221" customWidth="1"/>
    <col min="14343" max="14362" width="0.710937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140625" style="221" customWidth="1"/>
    <col min="14399" max="14399" width="0.5703125" style="221" customWidth="1"/>
    <col min="14400" max="14400" width="2.140625" style="221" customWidth="1"/>
    <col min="14401" max="14401" width="0.5703125" style="221" customWidth="1"/>
    <col min="14402" max="14402" width="2.140625" style="221" customWidth="1"/>
    <col min="14403" max="14403" width="0.5703125" style="221" customWidth="1"/>
    <col min="14404" max="14404" width="2.140625" style="221" customWidth="1"/>
    <col min="14405" max="14405" width="0.5703125" style="221" customWidth="1"/>
    <col min="14406" max="14406" width="2.140625" style="221" customWidth="1"/>
    <col min="14407" max="14407" width="0.5703125" style="221" customWidth="1"/>
    <col min="14408" max="14408" width="2.140625" style="221" customWidth="1"/>
    <col min="14409" max="14409" width="0.5703125" style="221" customWidth="1"/>
    <col min="14410" max="14410" width="2.140625" style="221" customWidth="1"/>
    <col min="14411" max="14411" width="0.5703125" style="221" customWidth="1"/>
    <col min="14412" max="14412" width="2.140625" style="221" customWidth="1"/>
    <col min="14413" max="14413" width="0.5703125" style="221" customWidth="1"/>
    <col min="14414" max="14414" width="2.140625" style="221" customWidth="1"/>
    <col min="14415" max="14415" width="0.5703125" style="221" customWidth="1"/>
    <col min="14416" max="14416" width="2.140625" style="221" customWidth="1"/>
    <col min="14417" max="14417" width="0.5703125" style="221" customWidth="1"/>
    <col min="14418" max="14418" width="2.140625" style="221" customWidth="1"/>
    <col min="14419" max="14419" width="0.5703125" style="221" customWidth="1"/>
    <col min="14420" max="14420" width="2.140625" style="221" customWidth="1"/>
    <col min="14421" max="14421" width="0.5703125" style="221" customWidth="1"/>
    <col min="14422" max="14422" width="1.7109375" style="221" customWidth="1"/>
    <col min="14423"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42578125" style="221" customWidth="1"/>
    <col min="14598" max="14598" width="0.5703125" style="221" customWidth="1"/>
    <col min="14599" max="14618" width="0.710937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140625" style="221" customWidth="1"/>
    <col min="14655" max="14655" width="0.5703125" style="221" customWidth="1"/>
    <col min="14656" max="14656" width="2.140625" style="221" customWidth="1"/>
    <col min="14657" max="14657" width="0.5703125" style="221" customWidth="1"/>
    <col min="14658" max="14658" width="2.140625" style="221" customWidth="1"/>
    <col min="14659" max="14659" width="0.5703125" style="221" customWidth="1"/>
    <col min="14660" max="14660" width="2.140625" style="221" customWidth="1"/>
    <col min="14661" max="14661" width="0.5703125" style="221" customWidth="1"/>
    <col min="14662" max="14662" width="2.140625" style="221" customWidth="1"/>
    <col min="14663" max="14663" width="0.5703125" style="221" customWidth="1"/>
    <col min="14664" max="14664" width="2.140625" style="221" customWidth="1"/>
    <col min="14665" max="14665" width="0.5703125" style="221" customWidth="1"/>
    <col min="14666" max="14666" width="2.140625" style="221" customWidth="1"/>
    <col min="14667" max="14667" width="0.5703125" style="221" customWidth="1"/>
    <col min="14668" max="14668" width="2.140625" style="221" customWidth="1"/>
    <col min="14669" max="14669" width="0.5703125" style="221" customWidth="1"/>
    <col min="14670" max="14670" width="2.140625" style="221" customWidth="1"/>
    <col min="14671" max="14671" width="0.5703125" style="221" customWidth="1"/>
    <col min="14672" max="14672" width="2.140625" style="221" customWidth="1"/>
    <col min="14673" max="14673" width="0.5703125" style="221" customWidth="1"/>
    <col min="14674" max="14674" width="2.140625" style="221" customWidth="1"/>
    <col min="14675" max="14675" width="0.5703125" style="221" customWidth="1"/>
    <col min="14676" max="14676" width="2.140625" style="221" customWidth="1"/>
    <col min="14677" max="14677" width="0.5703125" style="221" customWidth="1"/>
    <col min="14678" max="14678" width="1.7109375" style="221" customWidth="1"/>
    <col min="14679"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42578125" style="221" customWidth="1"/>
    <col min="14854" max="14854" width="0.5703125" style="221" customWidth="1"/>
    <col min="14855" max="14874" width="0.710937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140625" style="221" customWidth="1"/>
    <col min="14911" max="14911" width="0.5703125" style="221" customWidth="1"/>
    <col min="14912" max="14912" width="2.140625" style="221" customWidth="1"/>
    <col min="14913" max="14913" width="0.5703125" style="221" customWidth="1"/>
    <col min="14914" max="14914" width="2.140625" style="221" customWidth="1"/>
    <col min="14915" max="14915" width="0.5703125" style="221" customWidth="1"/>
    <col min="14916" max="14916" width="2.140625" style="221" customWidth="1"/>
    <col min="14917" max="14917" width="0.5703125" style="221" customWidth="1"/>
    <col min="14918" max="14918" width="2.140625" style="221" customWidth="1"/>
    <col min="14919" max="14919" width="0.5703125" style="221" customWidth="1"/>
    <col min="14920" max="14920" width="2.140625" style="221" customWidth="1"/>
    <col min="14921" max="14921" width="0.5703125" style="221" customWidth="1"/>
    <col min="14922" max="14922" width="2.140625" style="221" customWidth="1"/>
    <col min="14923" max="14923" width="0.5703125" style="221" customWidth="1"/>
    <col min="14924" max="14924" width="2.140625" style="221" customWidth="1"/>
    <col min="14925" max="14925" width="0.5703125" style="221" customWidth="1"/>
    <col min="14926" max="14926" width="2.140625" style="221" customWidth="1"/>
    <col min="14927" max="14927" width="0.5703125" style="221" customWidth="1"/>
    <col min="14928" max="14928" width="2.140625" style="221" customWidth="1"/>
    <col min="14929" max="14929" width="0.5703125" style="221" customWidth="1"/>
    <col min="14930" max="14930" width="2.140625" style="221" customWidth="1"/>
    <col min="14931" max="14931" width="0.5703125" style="221" customWidth="1"/>
    <col min="14932" max="14932" width="2.140625" style="221" customWidth="1"/>
    <col min="14933" max="14933" width="0.5703125" style="221" customWidth="1"/>
    <col min="14934" max="14934" width="1.7109375" style="221" customWidth="1"/>
    <col min="14935"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42578125" style="221" customWidth="1"/>
    <col min="15110" max="15110" width="0.5703125" style="221" customWidth="1"/>
    <col min="15111" max="15130" width="0.710937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140625" style="221" customWidth="1"/>
    <col min="15167" max="15167" width="0.5703125" style="221" customWidth="1"/>
    <col min="15168" max="15168" width="2.140625" style="221" customWidth="1"/>
    <col min="15169" max="15169" width="0.5703125" style="221" customWidth="1"/>
    <col min="15170" max="15170" width="2.140625" style="221" customWidth="1"/>
    <col min="15171" max="15171" width="0.5703125" style="221" customWidth="1"/>
    <col min="15172" max="15172" width="2.140625" style="221" customWidth="1"/>
    <col min="15173" max="15173" width="0.5703125" style="221" customWidth="1"/>
    <col min="15174" max="15174" width="2.140625" style="221" customWidth="1"/>
    <col min="15175" max="15175" width="0.5703125" style="221" customWidth="1"/>
    <col min="15176" max="15176" width="2.140625" style="221" customWidth="1"/>
    <col min="15177" max="15177" width="0.5703125" style="221" customWidth="1"/>
    <col min="15178" max="15178" width="2.140625" style="221" customWidth="1"/>
    <col min="15179" max="15179" width="0.5703125" style="221" customWidth="1"/>
    <col min="15180" max="15180" width="2.140625" style="221" customWidth="1"/>
    <col min="15181" max="15181" width="0.5703125" style="221" customWidth="1"/>
    <col min="15182" max="15182" width="2.140625" style="221" customWidth="1"/>
    <col min="15183" max="15183" width="0.5703125" style="221" customWidth="1"/>
    <col min="15184" max="15184" width="2.140625" style="221" customWidth="1"/>
    <col min="15185" max="15185" width="0.5703125" style="221" customWidth="1"/>
    <col min="15186" max="15186" width="2.140625" style="221" customWidth="1"/>
    <col min="15187" max="15187" width="0.5703125" style="221" customWidth="1"/>
    <col min="15188" max="15188" width="2.140625" style="221" customWidth="1"/>
    <col min="15189" max="15189" width="0.5703125" style="221" customWidth="1"/>
    <col min="15190" max="15190" width="1.7109375" style="221" customWidth="1"/>
    <col min="15191"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42578125" style="221" customWidth="1"/>
    <col min="15366" max="15366" width="0.5703125" style="221" customWidth="1"/>
    <col min="15367" max="15386" width="0.710937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140625" style="221" customWidth="1"/>
    <col min="15423" max="15423" width="0.5703125" style="221" customWidth="1"/>
    <col min="15424" max="15424" width="2.140625" style="221" customWidth="1"/>
    <col min="15425" max="15425" width="0.5703125" style="221" customWidth="1"/>
    <col min="15426" max="15426" width="2.140625" style="221" customWidth="1"/>
    <col min="15427" max="15427" width="0.5703125" style="221" customWidth="1"/>
    <col min="15428" max="15428" width="2.140625" style="221" customWidth="1"/>
    <col min="15429" max="15429" width="0.5703125" style="221" customWidth="1"/>
    <col min="15430" max="15430" width="2.140625" style="221" customWidth="1"/>
    <col min="15431" max="15431" width="0.5703125" style="221" customWidth="1"/>
    <col min="15432" max="15432" width="2.140625" style="221" customWidth="1"/>
    <col min="15433" max="15433" width="0.5703125" style="221" customWidth="1"/>
    <col min="15434" max="15434" width="2.140625" style="221" customWidth="1"/>
    <col min="15435" max="15435" width="0.5703125" style="221" customWidth="1"/>
    <col min="15436" max="15436" width="2.140625" style="221" customWidth="1"/>
    <col min="15437" max="15437" width="0.5703125" style="221" customWidth="1"/>
    <col min="15438" max="15438" width="2.140625" style="221" customWidth="1"/>
    <col min="15439" max="15439" width="0.5703125" style="221" customWidth="1"/>
    <col min="15440" max="15440" width="2.140625" style="221" customWidth="1"/>
    <col min="15441" max="15441" width="0.5703125" style="221" customWidth="1"/>
    <col min="15442" max="15442" width="2.140625" style="221" customWidth="1"/>
    <col min="15443" max="15443" width="0.5703125" style="221" customWidth="1"/>
    <col min="15444" max="15444" width="2.140625" style="221" customWidth="1"/>
    <col min="15445" max="15445" width="0.5703125" style="221" customWidth="1"/>
    <col min="15446" max="15446" width="1.7109375" style="221" customWidth="1"/>
    <col min="15447"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42578125" style="221" customWidth="1"/>
    <col min="15622" max="15622" width="0.5703125" style="221" customWidth="1"/>
    <col min="15623" max="15642" width="0.710937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140625" style="221" customWidth="1"/>
    <col min="15679" max="15679" width="0.5703125" style="221" customWidth="1"/>
    <col min="15680" max="15680" width="2.140625" style="221" customWidth="1"/>
    <col min="15681" max="15681" width="0.5703125" style="221" customWidth="1"/>
    <col min="15682" max="15682" width="2.140625" style="221" customWidth="1"/>
    <col min="15683" max="15683" width="0.5703125" style="221" customWidth="1"/>
    <col min="15684" max="15684" width="2.140625" style="221" customWidth="1"/>
    <col min="15685" max="15685" width="0.5703125" style="221" customWidth="1"/>
    <col min="15686" max="15686" width="2.140625" style="221" customWidth="1"/>
    <col min="15687" max="15687" width="0.5703125" style="221" customWidth="1"/>
    <col min="15688" max="15688" width="2.140625" style="221" customWidth="1"/>
    <col min="15689" max="15689" width="0.5703125" style="221" customWidth="1"/>
    <col min="15690" max="15690" width="2.140625" style="221" customWidth="1"/>
    <col min="15691" max="15691" width="0.5703125" style="221" customWidth="1"/>
    <col min="15692" max="15692" width="2.140625" style="221" customWidth="1"/>
    <col min="15693" max="15693" width="0.5703125" style="221" customWidth="1"/>
    <col min="15694" max="15694" width="2.140625" style="221" customWidth="1"/>
    <col min="15695" max="15695" width="0.5703125" style="221" customWidth="1"/>
    <col min="15696" max="15696" width="2.140625" style="221" customWidth="1"/>
    <col min="15697" max="15697" width="0.5703125" style="221" customWidth="1"/>
    <col min="15698" max="15698" width="2.140625" style="221" customWidth="1"/>
    <col min="15699" max="15699" width="0.5703125" style="221" customWidth="1"/>
    <col min="15700" max="15700" width="2.140625" style="221" customWidth="1"/>
    <col min="15701" max="15701" width="0.5703125" style="221" customWidth="1"/>
    <col min="15702" max="15702" width="1.7109375" style="221" customWidth="1"/>
    <col min="15703"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42578125" style="221" customWidth="1"/>
    <col min="15878" max="15878" width="0.5703125" style="221" customWidth="1"/>
    <col min="15879" max="15898" width="0.710937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140625" style="221" customWidth="1"/>
    <col min="15935" max="15935" width="0.5703125" style="221" customWidth="1"/>
    <col min="15936" max="15936" width="2.140625" style="221" customWidth="1"/>
    <col min="15937" max="15937" width="0.5703125" style="221" customWidth="1"/>
    <col min="15938" max="15938" width="2.140625" style="221" customWidth="1"/>
    <col min="15939" max="15939" width="0.5703125" style="221" customWidth="1"/>
    <col min="15940" max="15940" width="2.140625" style="221" customWidth="1"/>
    <col min="15941" max="15941" width="0.5703125" style="221" customWidth="1"/>
    <col min="15942" max="15942" width="2.140625" style="221" customWidth="1"/>
    <col min="15943" max="15943" width="0.5703125" style="221" customWidth="1"/>
    <col min="15944" max="15944" width="2.140625" style="221" customWidth="1"/>
    <col min="15945" max="15945" width="0.5703125" style="221" customWidth="1"/>
    <col min="15946" max="15946" width="2.140625" style="221" customWidth="1"/>
    <col min="15947" max="15947" width="0.5703125" style="221" customWidth="1"/>
    <col min="15948" max="15948" width="2.140625" style="221" customWidth="1"/>
    <col min="15949" max="15949" width="0.5703125" style="221" customWidth="1"/>
    <col min="15950" max="15950" width="2.140625" style="221" customWidth="1"/>
    <col min="15951" max="15951" width="0.5703125" style="221" customWidth="1"/>
    <col min="15952" max="15952" width="2.140625" style="221" customWidth="1"/>
    <col min="15953" max="15953" width="0.5703125" style="221" customWidth="1"/>
    <col min="15954" max="15954" width="2.140625" style="221" customWidth="1"/>
    <col min="15955" max="15955" width="0.5703125" style="221" customWidth="1"/>
    <col min="15956" max="15956" width="2.140625" style="221" customWidth="1"/>
    <col min="15957" max="15957" width="0.5703125" style="221" customWidth="1"/>
    <col min="15958" max="15958" width="1.7109375" style="221" customWidth="1"/>
    <col min="15959"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42578125" style="221" customWidth="1"/>
    <col min="16134" max="16134" width="0.5703125" style="221" customWidth="1"/>
    <col min="16135" max="16154" width="0.710937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140625" style="221" customWidth="1"/>
    <col min="16191" max="16191" width="0.5703125" style="221" customWidth="1"/>
    <col min="16192" max="16192" width="2.140625" style="221" customWidth="1"/>
    <col min="16193" max="16193" width="0.5703125" style="221" customWidth="1"/>
    <col min="16194" max="16194" width="2.140625" style="221" customWidth="1"/>
    <col min="16195" max="16195" width="0.5703125" style="221" customWidth="1"/>
    <col min="16196" max="16196" width="2.140625" style="221" customWidth="1"/>
    <col min="16197" max="16197" width="0.5703125" style="221" customWidth="1"/>
    <col min="16198" max="16198" width="2.140625" style="221" customWidth="1"/>
    <col min="16199" max="16199" width="0.5703125" style="221" customWidth="1"/>
    <col min="16200" max="16200" width="2.140625" style="221" customWidth="1"/>
    <col min="16201" max="16201" width="0.5703125" style="221" customWidth="1"/>
    <col min="16202" max="16202" width="2.140625" style="221" customWidth="1"/>
    <col min="16203" max="16203" width="0.5703125" style="221" customWidth="1"/>
    <col min="16204" max="16204" width="2.140625" style="221" customWidth="1"/>
    <col min="16205" max="16205" width="0.5703125" style="221" customWidth="1"/>
    <col min="16206" max="16206" width="2.140625" style="221" customWidth="1"/>
    <col min="16207" max="16207" width="0.5703125" style="221" customWidth="1"/>
    <col min="16208" max="16208" width="2.140625" style="221" customWidth="1"/>
    <col min="16209" max="16209" width="0.5703125" style="221" customWidth="1"/>
    <col min="16210" max="16210" width="2.140625" style="221" customWidth="1"/>
    <col min="16211" max="16211" width="0.5703125" style="221" customWidth="1"/>
    <col min="16212" max="16212" width="2.140625" style="221" customWidth="1"/>
    <col min="16213" max="16213" width="0.5703125" style="221" customWidth="1"/>
    <col min="16214" max="16214" width="1.7109375" style="221" customWidth="1"/>
    <col min="16215" max="16384" width="9.140625" style="221"/>
  </cols>
  <sheetData>
    <row r="1" spans="1:88" s="97" customFormat="1" ht="14.25" customHeight="1" thickBot="1">
      <c r="F1" s="98" t="s">
        <v>1554</v>
      </c>
      <c r="G1" s="353"/>
      <c r="CJ1" s="221"/>
    </row>
    <row r="2" spans="1:88" ht="7.5" customHeight="1" thickTop="1">
      <c r="A2" s="220"/>
      <c r="B2" s="220"/>
      <c r="D2" s="220"/>
      <c r="E2" s="222"/>
      <c r="F2" s="220"/>
      <c r="G2" s="223"/>
      <c r="H2" s="912" t="str">
        <f>Index!C409</f>
        <v>Súvaha Úč POD 1 - 01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7"/>
      <c r="BT2" s="928"/>
      <c r="BU2" s="928"/>
      <c r="BV2" s="928"/>
      <c r="BW2" s="928"/>
      <c r="BX2" s="928"/>
      <c r="BY2" s="928"/>
      <c r="BZ2" s="928"/>
      <c r="CA2" s="928"/>
      <c r="CB2" s="928"/>
      <c r="CC2" s="928"/>
      <c r="CD2" s="928"/>
      <c r="CE2" s="220"/>
      <c r="CF2" s="220"/>
      <c r="CG2" s="220"/>
      <c r="CH2" s="220"/>
      <c r="CI2" s="220"/>
    </row>
    <row r="3" spans="1:88" ht="3.75" customHeight="1" thickBot="1">
      <c r="A3" s="220"/>
      <c r="B3" s="220"/>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227"/>
      <c r="BT3" s="928"/>
      <c r="BU3" s="928"/>
      <c r="BV3" s="928"/>
      <c r="BW3" s="928"/>
      <c r="BX3" s="928"/>
      <c r="BY3" s="928"/>
      <c r="BZ3" s="928"/>
      <c r="CA3" s="928"/>
      <c r="CB3" s="928"/>
      <c r="CC3" s="928"/>
      <c r="CD3" s="928"/>
      <c r="CE3" s="220"/>
      <c r="CF3" s="220"/>
      <c r="CG3" s="220"/>
      <c r="CH3" s="220"/>
      <c r="CI3" s="220"/>
    </row>
    <row r="4" spans="1:88" ht="16.5" customHeight="1" thickTop="1">
      <c r="A4" s="220"/>
      <c r="B4" s="220"/>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139" t="str">
        <f>'Závierka titulka'!$K$27</f>
        <v>2</v>
      </c>
      <c r="BM4" s="231"/>
      <c r="BN4" s="139" t="str">
        <f>'Závierka titulka'!$M$27</f>
        <v>9</v>
      </c>
      <c r="BO4" s="136"/>
      <c r="BP4" s="139" t="str">
        <f>'Závierka titulka'!$O$27</f>
        <v>9</v>
      </c>
      <c r="BQ4" s="136"/>
      <c r="BR4" s="139" t="str">
        <f>'Závierka titulka'!$Q$27</f>
        <v>1</v>
      </c>
      <c r="BS4" s="230"/>
      <c r="BT4" s="928"/>
      <c r="BU4" s="928"/>
      <c r="BV4" s="928"/>
      <c r="BW4" s="928"/>
      <c r="BX4" s="928"/>
      <c r="BY4" s="928"/>
      <c r="BZ4" s="928"/>
      <c r="CA4" s="928"/>
      <c r="CB4" s="928"/>
      <c r="CC4" s="928"/>
      <c r="CD4" s="928"/>
      <c r="CE4" s="220"/>
      <c r="CF4" s="232"/>
      <c r="CG4" s="233"/>
      <c r="CH4" s="220"/>
      <c r="CI4" s="220"/>
    </row>
    <row r="5" spans="1:88" ht="3" customHeight="1">
      <c r="A5" s="220"/>
      <c r="B5" s="220"/>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4"/>
      <c r="BM5" s="237"/>
      <c r="BN5" s="234"/>
      <c r="BO5" s="234"/>
      <c r="BP5" s="234"/>
      <c r="BQ5" s="234"/>
      <c r="BR5" s="234"/>
      <c r="BS5" s="235"/>
      <c r="BT5" s="928"/>
      <c r="BU5" s="928"/>
      <c r="BV5" s="928"/>
      <c r="BW5" s="928"/>
      <c r="BX5" s="928"/>
      <c r="BY5" s="928"/>
      <c r="BZ5" s="928"/>
      <c r="CA5" s="928"/>
      <c r="CB5" s="928"/>
      <c r="CC5" s="928"/>
      <c r="CD5" s="928"/>
      <c r="CE5" s="220"/>
      <c r="CF5" s="220"/>
      <c r="CG5" s="238"/>
      <c r="CH5" s="220"/>
      <c r="CI5" s="220"/>
    </row>
    <row r="6" spans="1:88" ht="4.5" customHeight="1" thickBot="1">
      <c r="A6" s="220"/>
      <c r="B6" s="220"/>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2"/>
      <c r="BX6" s="242"/>
      <c r="BY6" s="242"/>
      <c r="BZ6" s="242"/>
      <c r="CA6" s="242"/>
      <c r="CB6" s="242"/>
      <c r="CC6" s="242"/>
      <c r="CD6" s="242"/>
      <c r="CE6" s="242"/>
      <c r="CF6" s="242"/>
      <c r="CG6" s="242"/>
      <c r="CH6" s="220"/>
      <c r="CI6" s="220"/>
    </row>
    <row r="7" spans="1:88" ht="12.75" customHeight="1" thickBot="1">
      <c r="A7" s="220"/>
      <c r="B7" s="220"/>
      <c r="C7" s="224"/>
      <c r="D7" s="224"/>
      <c r="E7" s="941" t="str">
        <f>Index!C410</f>
        <v>Ozna-čenie</v>
      </c>
      <c r="F7" s="942"/>
      <c r="G7" s="362"/>
      <c r="H7" s="368"/>
      <c r="I7" s="368"/>
      <c r="J7" s="368"/>
      <c r="K7" s="368"/>
      <c r="L7" s="368"/>
      <c r="M7" s="368"/>
      <c r="N7" s="368"/>
      <c r="O7" s="368"/>
      <c r="P7" s="368"/>
      <c r="Q7" s="368"/>
      <c r="R7" s="368"/>
      <c r="S7" s="368"/>
      <c r="T7" s="368"/>
      <c r="U7" s="368"/>
      <c r="V7" s="368"/>
      <c r="W7" s="281"/>
      <c r="X7" s="281"/>
      <c r="Y7" s="281"/>
      <c r="Z7" s="282"/>
      <c r="AA7" s="281"/>
      <c r="AB7" s="281"/>
      <c r="AC7" s="282"/>
      <c r="AD7" s="944" t="str">
        <f>Index!C414</f>
        <v>Bežné účtovné obdobie</v>
      </c>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896" t="str">
        <f>Index!C415</f>
        <v>Bezprostredne predchádzajúce účtovné obdobie</v>
      </c>
      <c r="BS7" s="896"/>
      <c r="BT7" s="896"/>
      <c r="BU7" s="896"/>
      <c r="BV7" s="896"/>
      <c r="BW7" s="896"/>
      <c r="BX7" s="896"/>
      <c r="BY7" s="896"/>
      <c r="BZ7" s="896"/>
      <c r="CA7" s="896"/>
      <c r="CB7" s="896"/>
      <c r="CC7" s="896"/>
      <c r="CD7" s="896"/>
      <c r="CE7" s="896"/>
      <c r="CF7" s="896"/>
      <c r="CG7" s="896"/>
      <c r="CH7" s="220"/>
    </row>
    <row r="8" spans="1:88" ht="5.0999999999999996" customHeight="1" thickBot="1">
      <c r="A8" s="220"/>
      <c r="B8" s="878"/>
      <c r="C8" s="878"/>
      <c r="D8" s="878"/>
      <c r="E8" s="943"/>
      <c r="F8" s="885"/>
      <c r="G8" s="898" t="str">
        <f>Index!C411</f>
        <v>STRANA AKTÍV</v>
      </c>
      <c r="H8" s="898"/>
      <c r="I8" s="898"/>
      <c r="J8" s="898"/>
      <c r="K8" s="898"/>
      <c r="L8" s="898"/>
      <c r="M8" s="898"/>
      <c r="N8" s="898"/>
      <c r="O8" s="898"/>
      <c r="P8" s="898"/>
      <c r="Q8" s="898"/>
      <c r="R8" s="898"/>
      <c r="S8" s="898"/>
      <c r="T8" s="898"/>
      <c r="U8" s="898"/>
      <c r="V8" s="898"/>
      <c r="W8" s="898"/>
      <c r="X8" s="898"/>
      <c r="Y8" s="898"/>
      <c r="Z8" s="898"/>
      <c r="AA8" s="354"/>
      <c r="AB8" s="354"/>
      <c r="AC8" s="283"/>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896"/>
      <c r="BS8" s="896"/>
      <c r="BT8" s="896"/>
      <c r="BU8" s="896"/>
      <c r="BV8" s="896"/>
      <c r="BW8" s="896"/>
      <c r="BX8" s="896"/>
      <c r="BY8" s="896"/>
      <c r="BZ8" s="896"/>
      <c r="CA8" s="896"/>
      <c r="CB8" s="896"/>
      <c r="CC8" s="896"/>
      <c r="CD8" s="896"/>
      <c r="CE8" s="896"/>
      <c r="CF8" s="896"/>
      <c r="CG8" s="896"/>
    </row>
    <row r="9" spans="1:88" ht="6.95" customHeight="1" thickBot="1">
      <c r="A9" s="220"/>
      <c r="B9" s="900"/>
      <c r="C9" s="900"/>
      <c r="D9" s="878"/>
      <c r="E9" s="943"/>
      <c r="F9" s="885"/>
      <c r="G9" s="898"/>
      <c r="H9" s="898"/>
      <c r="I9" s="898"/>
      <c r="J9" s="898"/>
      <c r="K9" s="898"/>
      <c r="L9" s="898"/>
      <c r="M9" s="898"/>
      <c r="N9" s="898"/>
      <c r="O9" s="898"/>
      <c r="P9" s="898"/>
      <c r="Q9" s="898"/>
      <c r="R9" s="898"/>
      <c r="S9" s="898"/>
      <c r="T9" s="898"/>
      <c r="U9" s="898"/>
      <c r="V9" s="898"/>
      <c r="W9" s="898"/>
      <c r="X9" s="898"/>
      <c r="Y9" s="898"/>
      <c r="Z9" s="898"/>
      <c r="AA9" s="945" t="str">
        <f>Index!C412</f>
        <v>Číslo</v>
      </c>
      <c r="AB9" s="945"/>
      <c r="AC9" s="945"/>
      <c r="AD9" s="903" t="s">
        <v>1536</v>
      </c>
      <c r="AE9" s="903"/>
      <c r="AF9" s="903"/>
      <c r="AG9" s="905" t="str">
        <f>Index!C416</f>
        <v>Brutto - časť 1</v>
      </c>
      <c r="AH9" s="905"/>
      <c r="AI9" s="905"/>
      <c r="AJ9" s="905"/>
      <c r="AK9" s="905"/>
      <c r="AL9" s="905"/>
      <c r="AM9" s="905"/>
      <c r="AN9" s="905"/>
      <c r="AO9" s="905"/>
      <c r="AP9" s="905"/>
      <c r="AQ9" s="905"/>
      <c r="AR9" s="905"/>
      <c r="AS9" s="905"/>
      <c r="AT9" s="905"/>
      <c r="AU9" s="905"/>
      <c r="AV9" s="905"/>
      <c r="AW9" s="905"/>
      <c r="AX9" s="905"/>
      <c r="AY9" s="905"/>
      <c r="AZ9" s="905"/>
      <c r="BA9" s="905" t="str">
        <f>Index!C417</f>
        <v>Netto 2</v>
      </c>
      <c r="BB9" s="905"/>
      <c r="BC9" s="905"/>
      <c r="BD9" s="905"/>
      <c r="BE9" s="905"/>
      <c r="BF9" s="905"/>
      <c r="BG9" s="905"/>
      <c r="BH9" s="905"/>
      <c r="BI9" s="905"/>
      <c r="BJ9" s="905"/>
      <c r="BK9" s="905"/>
      <c r="BL9" s="905"/>
      <c r="BM9" s="905"/>
      <c r="BN9" s="905"/>
      <c r="BO9" s="905"/>
      <c r="BP9" s="905"/>
      <c r="BQ9" s="905"/>
      <c r="BR9" s="896"/>
      <c r="BS9" s="896"/>
      <c r="BT9" s="896"/>
      <c r="BU9" s="896"/>
      <c r="BV9" s="896"/>
      <c r="BW9" s="896"/>
      <c r="BX9" s="896"/>
      <c r="BY9" s="896"/>
      <c r="BZ9" s="896"/>
      <c r="CA9" s="896"/>
      <c r="CB9" s="896"/>
      <c r="CC9" s="896"/>
      <c r="CD9" s="896"/>
      <c r="CE9" s="896"/>
      <c r="CF9" s="896"/>
      <c r="CG9" s="896"/>
      <c r="CH9" s="878"/>
    </row>
    <row r="10" spans="1:88" ht="6.95" customHeight="1">
      <c r="A10" s="220"/>
      <c r="B10" s="900"/>
      <c r="C10" s="900"/>
      <c r="D10" s="878"/>
      <c r="E10" s="943"/>
      <c r="F10" s="885"/>
      <c r="G10" s="248"/>
      <c r="H10" s="229"/>
      <c r="I10" s="229"/>
      <c r="J10" s="229"/>
      <c r="K10" s="229"/>
      <c r="L10" s="229"/>
      <c r="M10" s="229"/>
      <c r="N10" s="229"/>
      <c r="O10" s="229"/>
      <c r="P10" s="229"/>
      <c r="Q10" s="229"/>
      <c r="R10" s="229"/>
      <c r="S10" s="229"/>
      <c r="T10" s="229"/>
      <c r="U10" s="229"/>
      <c r="V10" s="229"/>
      <c r="W10" s="229"/>
      <c r="X10" s="229"/>
      <c r="Y10" s="229"/>
      <c r="Z10" s="249"/>
      <c r="AA10" s="940" t="str">
        <f>Index!C413</f>
        <v xml:space="preserve"> riadku</v>
      </c>
      <c r="AB10" s="940"/>
      <c r="AC10" s="940"/>
      <c r="AD10" s="903"/>
      <c r="AE10" s="903"/>
      <c r="AF10" s="903"/>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896"/>
      <c r="BS10" s="896"/>
      <c r="BT10" s="896"/>
      <c r="BU10" s="896"/>
      <c r="BV10" s="896"/>
      <c r="BW10" s="896"/>
      <c r="BX10" s="896"/>
      <c r="BY10" s="896"/>
      <c r="BZ10" s="896"/>
      <c r="CA10" s="896"/>
      <c r="CB10" s="896"/>
      <c r="CC10" s="896"/>
      <c r="CD10" s="896"/>
      <c r="CE10" s="896"/>
      <c r="CF10" s="896"/>
      <c r="CG10" s="896"/>
      <c r="CH10" s="878"/>
    </row>
    <row r="11" spans="1:88" s="250" customFormat="1" ht="15" customHeight="1">
      <c r="A11" s="220"/>
      <c r="B11" s="900"/>
      <c r="C11" s="900"/>
      <c r="D11" s="878"/>
      <c r="E11" s="908" t="s">
        <v>491</v>
      </c>
      <c r="F11" s="908"/>
      <c r="G11" s="909" t="s">
        <v>492</v>
      </c>
      <c r="H11" s="909"/>
      <c r="I11" s="909"/>
      <c r="J11" s="909"/>
      <c r="K11" s="909"/>
      <c r="L11" s="909"/>
      <c r="M11" s="909"/>
      <c r="N11" s="909"/>
      <c r="O11" s="909"/>
      <c r="P11" s="909"/>
      <c r="Q11" s="909"/>
      <c r="R11" s="909"/>
      <c r="S11" s="909"/>
      <c r="T11" s="909"/>
      <c r="U11" s="909"/>
      <c r="V11" s="909"/>
      <c r="W11" s="909"/>
      <c r="X11" s="909"/>
      <c r="Y11" s="909"/>
      <c r="Z11" s="909"/>
      <c r="AA11" s="845" t="s">
        <v>493</v>
      </c>
      <c r="AB11" s="845"/>
      <c r="AC11" s="845"/>
      <c r="AD11" s="903"/>
      <c r="AE11" s="903"/>
      <c r="AF11" s="903"/>
      <c r="AG11" s="905" t="str">
        <f>Index!C418</f>
        <v>Korekcia - časť 2</v>
      </c>
      <c r="AH11" s="905"/>
      <c r="AI11" s="905"/>
      <c r="AJ11" s="905"/>
      <c r="AK11" s="905"/>
      <c r="AL11" s="905"/>
      <c r="AM11" s="905"/>
      <c r="AN11" s="905"/>
      <c r="AO11" s="905"/>
      <c r="AP11" s="905"/>
      <c r="AQ11" s="905"/>
      <c r="AR11" s="905"/>
      <c r="AS11" s="905"/>
      <c r="AT11" s="905"/>
      <c r="AU11" s="905"/>
      <c r="AV11" s="905"/>
      <c r="AW11" s="905"/>
      <c r="AX11" s="905"/>
      <c r="AY11" s="905"/>
      <c r="AZ11" s="905"/>
      <c r="BA11" s="902"/>
      <c r="BB11" s="902"/>
      <c r="BC11" s="902"/>
      <c r="BD11" s="902"/>
      <c r="BE11" s="902"/>
      <c r="BF11" s="902"/>
      <c r="BG11" s="902"/>
      <c r="BH11" s="902"/>
      <c r="BI11" s="902"/>
      <c r="BJ11" s="902"/>
      <c r="BK11" s="902"/>
      <c r="BL11" s="902"/>
      <c r="BM11" s="902"/>
      <c r="BN11" s="902"/>
      <c r="BO11" s="902"/>
      <c r="BP11" s="902"/>
      <c r="BQ11" s="902"/>
      <c r="BR11" s="910" t="str">
        <f>Index!C419</f>
        <v>Netto   3</v>
      </c>
      <c r="BS11" s="910"/>
      <c r="BT11" s="910"/>
      <c r="BU11" s="910"/>
      <c r="BV11" s="910"/>
      <c r="BW11" s="910"/>
      <c r="BX11" s="910"/>
      <c r="BY11" s="910"/>
      <c r="BZ11" s="910"/>
      <c r="CA11" s="910"/>
      <c r="CB11" s="910"/>
      <c r="CC11" s="910"/>
      <c r="CD11" s="910"/>
      <c r="CE11" s="910"/>
      <c r="CF11" s="910"/>
      <c r="CG11" s="910"/>
      <c r="CH11" s="878"/>
    </row>
    <row r="12" spans="1:88" s="250" customFormat="1" ht="3" customHeight="1">
      <c r="A12" s="220"/>
      <c r="B12" s="900"/>
      <c r="C12" s="900"/>
      <c r="D12" s="878"/>
      <c r="E12" s="877" t="s">
        <v>1544</v>
      </c>
      <c r="F12" s="877"/>
      <c r="G12" s="862"/>
      <c r="H12" s="864" t="str">
        <f>Index!C66</f>
        <v>Pestovateľské celky trvalých porastov (025) - /085, 092A/</v>
      </c>
      <c r="I12" s="864"/>
      <c r="J12" s="864"/>
      <c r="K12" s="864"/>
      <c r="L12" s="864"/>
      <c r="M12" s="864"/>
      <c r="N12" s="864"/>
      <c r="O12" s="864"/>
      <c r="P12" s="864"/>
      <c r="Q12" s="864"/>
      <c r="R12" s="864"/>
      <c r="S12" s="864"/>
      <c r="T12" s="864"/>
      <c r="U12" s="864"/>
      <c r="V12" s="864"/>
      <c r="W12" s="864"/>
      <c r="X12" s="864"/>
      <c r="Y12" s="864"/>
      <c r="Z12" s="864"/>
      <c r="AA12" s="866" t="s">
        <v>1555</v>
      </c>
      <c r="AB12" s="866"/>
      <c r="AC12" s="866"/>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4"/>
      <c r="BB12" s="844"/>
      <c r="BC12" s="844"/>
      <c r="BD12" s="844"/>
      <c r="BE12" s="844"/>
      <c r="BF12" s="844"/>
      <c r="BG12" s="844"/>
      <c r="BH12" s="844"/>
      <c r="BI12" s="844"/>
      <c r="BJ12" s="844"/>
      <c r="BK12" s="844"/>
      <c r="BL12" s="844"/>
      <c r="BM12" s="844"/>
      <c r="BN12" s="844"/>
      <c r="BO12" s="844"/>
      <c r="BP12" s="844"/>
      <c r="BQ12" s="844"/>
      <c r="BR12" s="251"/>
      <c r="BS12" s="251"/>
      <c r="BT12" s="251"/>
      <c r="BU12" s="251"/>
      <c r="BV12" s="251"/>
      <c r="BW12" s="252"/>
      <c r="BX12" s="251"/>
      <c r="BY12" s="251"/>
      <c r="BZ12" s="251"/>
      <c r="CA12" s="251"/>
      <c r="CB12" s="251"/>
      <c r="CC12" s="251"/>
      <c r="CD12" s="251"/>
      <c r="CE12" s="251"/>
      <c r="CF12" s="251"/>
      <c r="CG12" s="284"/>
      <c r="CH12" s="878"/>
    </row>
    <row r="13" spans="1:88" s="250" customFormat="1" ht="3" customHeight="1">
      <c r="A13" s="220"/>
      <c r="B13" s="900"/>
      <c r="C13" s="900"/>
      <c r="D13" s="878"/>
      <c r="E13" s="877"/>
      <c r="F13" s="877"/>
      <c r="G13" s="862"/>
      <c r="H13" s="864"/>
      <c r="I13" s="864"/>
      <c r="J13" s="864"/>
      <c r="K13" s="864"/>
      <c r="L13" s="864"/>
      <c r="M13" s="864"/>
      <c r="N13" s="864"/>
      <c r="O13" s="864"/>
      <c r="P13" s="864"/>
      <c r="Q13" s="864"/>
      <c r="R13" s="864"/>
      <c r="S13" s="864"/>
      <c r="T13" s="864"/>
      <c r="U13" s="864"/>
      <c r="V13" s="864"/>
      <c r="W13" s="864"/>
      <c r="X13" s="864"/>
      <c r="Y13" s="864"/>
      <c r="Z13" s="864"/>
      <c r="AA13" s="866"/>
      <c r="AB13" s="866"/>
      <c r="AC13" s="866"/>
      <c r="AD13" s="826"/>
      <c r="AE13" s="820"/>
      <c r="AF13" s="820"/>
      <c r="AG13" s="820"/>
      <c r="AH13" s="435"/>
      <c r="AI13" s="821"/>
      <c r="AJ13" s="821"/>
      <c r="AK13" s="821"/>
      <c r="AL13" s="821"/>
      <c r="AM13" s="821"/>
      <c r="AN13" s="818"/>
      <c r="AO13" s="822"/>
      <c r="AP13" s="822"/>
      <c r="AQ13" s="822"/>
      <c r="AR13" s="822"/>
      <c r="AS13" s="822"/>
      <c r="AT13" s="818"/>
      <c r="AU13" s="822"/>
      <c r="AV13" s="822"/>
      <c r="AW13" s="822"/>
      <c r="AX13" s="822"/>
      <c r="AY13" s="822"/>
      <c r="AZ13" s="827"/>
      <c r="BA13" s="826"/>
      <c r="BB13" s="820"/>
      <c r="BC13" s="820"/>
      <c r="BD13" s="820"/>
      <c r="BE13" s="435"/>
      <c r="BF13" s="821"/>
      <c r="BG13" s="821"/>
      <c r="BH13" s="821"/>
      <c r="BI13" s="821"/>
      <c r="BJ13" s="821"/>
      <c r="BK13" s="818"/>
      <c r="BL13" s="822"/>
      <c r="BM13" s="822"/>
      <c r="BN13" s="822"/>
      <c r="BO13" s="822"/>
      <c r="BP13" s="822"/>
      <c r="BQ13" s="818"/>
      <c r="BR13" s="822"/>
      <c r="BS13" s="822"/>
      <c r="BT13" s="822"/>
      <c r="BU13" s="822"/>
      <c r="BV13" s="822"/>
      <c r="BW13" s="441"/>
      <c r="BX13" s="442"/>
      <c r="BY13" s="442"/>
      <c r="BZ13" s="442"/>
      <c r="CA13" s="442"/>
      <c r="CB13" s="442"/>
      <c r="CC13" s="442"/>
      <c r="CD13" s="442"/>
      <c r="CE13" s="442"/>
      <c r="CF13" s="442"/>
      <c r="CG13" s="285"/>
      <c r="CH13" s="878"/>
    </row>
    <row r="14" spans="1:88" ht="15" customHeight="1">
      <c r="A14" s="220"/>
      <c r="B14" s="900"/>
      <c r="C14" s="900"/>
      <c r="D14" s="878"/>
      <c r="E14" s="877"/>
      <c r="F14" s="877"/>
      <c r="G14" s="862"/>
      <c r="H14" s="864"/>
      <c r="I14" s="864"/>
      <c r="J14" s="864"/>
      <c r="K14" s="864"/>
      <c r="L14" s="864"/>
      <c r="M14" s="864"/>
      <c r="N14" s="864"/>
      <c r="O14" s="864"/>
      <c r="P14" s="864"/>
      <c r="Q14" s="864"/>
      <c r="R14" s="864"/>
      <c r="S14" s="864"/>
      <c r="T14" s="864"/>
      <c r="U14" s="864"/>
      <c r="V14" s="864"/>
      <c r="W14" s="864"/>
      <c r="X14" s="864"/>
      <c r="Y14" s="864"/>
      <c r="Z14" s="864"/>
      <c r="AA14" s="866"/>
      <c r="AB14" s="866"/>
      <c r="AC14" s="866"/>
      <c r="AD14" s="826"/>
      <c r="AE14" s="432" t="str">
        <f>IF(LEN(VLOOKUP(AA12,suvaha!$D$8:$H$27,2,FALSE))&lt;11,"",LEFT(RIGHT(VLOOKUP(AA12,suvaha!$D$8:$H$27,2,FALSE),11),1))</f>
        <v/>
      </c>
      <c r="AF14" s="255"/>
      <c r="AG14" s="432" t="str">
        <f>IF(LEN(VLOOKUP(AA12,suvaha!$D$8:$H$27,2,FALSE))&lt;10,"",LEFT(RIGHT(VLOOKUP(AA12,suvaha!$D$8:$H$27,2,FALSE),10),1))</f>
        <v/>
      </c>
      <c r="AH14" s="434"/>
      <c r="AI14" s="432" t="str">
        <f>IF(LEN(VLOOKUP(AA12,suvaha!$D$8:$H$27,2,FALSE))&lt;9,"",LEFT(RIGHT(VLOOKUP(AA12,suvaha!$D$8:$H$27,2,FALSE),9),1))</f>
        <v/>
      </c>
      <c r="AJ14" s="255"/>
      <c r="AK14" s="432" t="str">
        <f>IF(LEN(VLOOKUP(AA12,suvaha!$D$8:$H$27,2,FALSE))&lt;8,"",LEFT(RIGHT(VLOOKUP(AA12,suvaha!$D$8:$H$27,2,FALSE),8),1))</f>
        <v/>
      </c>
      <c r="AL14" s="434"/>
      <c r="AM14" s="432" t="str">
        <f>IF(LEN(VLOOKUP(AA12,suvaha!$D$8:$H$27,2,FALSE))&lt;7,"",LEFT(RIGHT(VLOOKUP(AA12,suvaha!$D$8:$H$27,2,FALSE),7),1))</f>
        <v/>
      </c>
      <c r="AN14" s="818"/>
      <c r="AO14" s="432" t="str">
        <f>IF(LEN(VLOOKUP(AA12,suvaha!$D$8:$H$27,2,FALSE))&lt;6,"",LEFT(RIGHT(VLOOKUP(AA12,suvaha!$D$8:$H$27,2,FALSE),6),1))</f>
        <v/>
      </c>
      <c r="AP14" s="434"/>
      <c r="AQ14" s="432" t="str">
        <f>IF(LEN(VLOOKUP(AA12,suvaha!$D$8:$H$27,2,FALSE))&lt;5,"",LEFT(RIGHT(VLOOKUP(AA12,suvaha!$D$8:$H$27,2,FALSE),5),1))</f>
        <v/>
      </c>
      <c r="AR14" s="434"/>
      <c r="AS14" s="432" t="str">
        <f>IF(LEN(VLOOKUP(AA12,suvaha!$D$8:$H$27,2,FALSE))&lt;4,"",LEFT(RIGHT(VLOOKUP(AA12,suvaha!$D$8:$H$27,2,FALSE),4),1))</f>
        <v/>
      </c>
      <c r="AT14" s="818"/>
      <c r="AU14" s="432" t="str">
        <f>IF(LEN(VLOOKUP(AA12,suvaha!$D$8:$H$27,2,FALSE))&lt;3,"",LEFT(RIGHT(VLOOKUP(AA12,suvaha!$D$8:$H$27,2,FALSE),3),1))</f>
        <v/>
      </c>
      <c r="AV14" s="434"/>
      <c r="AW14" s="432" t="str">
        <f>IF(LEN(VLOOKUP(AA12,suvaha!$D$8:$H$27,2,FALSE))&lt;2,"",LEFT(RIGHT(VLOOKUP(AA12,suvaha!$D$8:$H$27,2,FALSE),2),1))</f>
        <v/>
      </c>
      <c r="AX14" s="434"/>
      <c r="AY14" s="432" t="str">
        <f>IF(VLOOKUP(AA12,suvaha!$D$8:$H$27,2,FALSE)=0,"",IF(LEN(VLOOKUP(AA12,suvaha!$D$8:$H$27,2,FALSE))&lt;1,"",LEFT(RIGHT(VLOOKUP(AA12,suvaha!$D$8:$H$27,2,FALSE),1),1)))</f>
        <v/>
      </c>
      <c r="AZ14" s="827"/>
      <c r="BA14" s="826"/>
      <c r="BB14" s="432" t="str">
        <f>IF(LEN(VLOOKUP(AA12,suvaha!$D$8:$H$27,4,FALSE))&lt;11,"",LEFT(RIGHT(VLOOKUP(AA12,suvaha!$D$8:$H$27,4,FALSE),11),1))</f>
        <v/>
      </c>
      <c r="BC14" s="255"/>
      <c r="BD14" s="432" t="str">
        <f>IF(LEN(VLOOKUP(AA12,suvaha!$D$8:$H$27,4,FALSE))&lt;10,"",LEFT(RIGHT(VLOOKUP(AA12,suvaha!$D$8:$H$27,4,FALSE),10),1))</f>
        <v/>
      </c>
      <c r="BE14" s="434"/>
      <c r="BF14" s="432" t="str">
        <f>IF(LEN(VLOOKUP(AA12,suvaha!$D$8:$H$27,4,FALSE))&lt;9,"",LEFT(RIGHT(VLOOKUP(AA12,suvaha!$D$8:$H$27,4,FALSE),9),1))</f>
        <v/>
      </c>
      <c r="BG14" s="255"/>
      <c r="BH14" s="432" t="str">
        <f>IF(LEN(VLOOKUP(AA12,suvaha!$D$8:$H$27,4,FALSE))&lt;8,"",LEFT(RIGHT(VLOOKUP(AA12,suvaha!$D$8:$H$27,4,FALSE),8),1))</f>
        <v/>
      </c>
      <c r="BI14" s="434"/>
      <c r="BJ14" s="432" t="str">
        <f>IF(LEN(VLOOKUP(AA12,suvaha!$D$8:$H$27,4,FALSE))&lt;7,"",LEFT(RIGHT(VLOOKUP(AA12,suvaha!$D$8:$H$27,4,FALSE),7),1))</f>
        <v/>
      </c>
      <c r="BK14" s="818"/>
      <c r="BL14" s="432" t="str">
        <f>IF(LEN(VLOOKUP(AA12,suvaha!$D$8:$H$27,4,FALSE))&lt;6,"",LEFT(RIGHT(VLOOKUP(AA12,suvaha!$D$8:$H$27,4,FALSE),6),1))</f>
        <v/>
      </c>
      <c r="BM14" s="434"/>
      <c r="BN14" s="432" t="str">
        <f>IF(LEN(VLOOKUP(AA12,suvaha!$D$8:$H$27,4,FALSE))&lt;5,"",LEFT(RIGHT(VLOOKUP(AA12,suvaha!$D$8:$H$27,4,FALSE),5),1))</f>
        <v/>
      </c>
      <c r="BO14" s="434"/>
      <c r="BP14" s="432" t="str">
        <f>IF(LEN(VLOOKUP(AA12,suvaha!$D$8:$H$27,4,FALSE))&lt;4,"",LEFT(RIGHT(VLOOKUP(AA12,suvaha!$D$8:$H$27,4,FALSE),4),1))</f>
        <v/>
      </c>
      <c r="BQ14" s="818"/>
      <c r="BR14" s="432" t="str">
        <f>IF(LEN(VLOOKUP(AA12,suvaha!$D$8:$H$27,4,FALSE))&lt;3,"",LEFT(RIGHT(VLOOKUP(AA12,suvaha!$D$8:$H$27,4,FALSE),3),1))</f>
        <v/>
      </c>
      <c r="BS14" s="434"/>
      <c r="BT14" s="432" t="str">
        <f>IF(LEN(VLOOKUP(AA12,suvaha!$D$8:$H$27,4,FALSE))&lt;2,"",LEFT(RIGHT(VLOOKUP(AA12,suvaha!$D$8:$H$27,4,FALSE),2),1))</f>
        <v/>
      </c>
      <c r="BU14" s="434"/>
      <c r="BV14" s="432" t="str">
        <f>IF(VLOOKUP(AA12,suvaha!$D$8:$H$27,4,FALSE)=0,"",IF(LEN(VLOOKUP(AA12,suvaha!$D$8:$H$27,4,FALSE))&lt;1,"",LEFT(RIGHT(VLOOKUP(AA12,suvaha!$D$8:$H$27,4,FALSE),1),1)))</f>
        <v/>
      </c>
      <c r="BW14" s="441"/>
      <c r="BX14" s="442"/>
      <c r="BY14" s="442"/>
      <c r="BZ14" s="442"/>
      <c r="CA14" s="442"/>
      <c r="CB14" s="442"/>
      <c r="CC14" s="442"/>
      <c r="CD14" s="442"/>
      <c r="CE14" s="442"/>
      <c r="CF14" s="442"/>
      <c r="CG14" s="285"/>
      <c r="CH14" s="878"/>
    </row>
    <row r="15" spans="1:88" ht="3" customHeight="1">
      <c r="A15" s="220"/>
      <c r="B15" s="900"/>
      <c r="C15" s="900"/>
      <c r="D15" s="878"/>
      <c r="E15" s="877"/>
      <c r="F15" s="877"/>
      <c r="G15" s="862"/>
      <c r="H15" s="864"/>
      <c r="I15" s="864"/>
      <c r="J15" s="864"/>
      <c r="K15" s="864"/>
      <c r="L15" s="864"/>
      <c r="M15" s="864"/>
      <c r="N15" s="864"/>
      <c r="O15" s="864"/>
      <c r="P15" s="864"/>
      <c r="Q15" s="864"/>
      <c r="R15" s="864"/>
      <c r="S15" s="864"/>
      <c r="T15" s="864"/>
      <c r="U15" s="864"/>
      <c r="V15" s="864"/>
      <c r="W15" s="864"/>
      <c r="X15" s="864"/>
      <c r="Y15" s="864"/>
      <c r="Z15" s="864"/>
      <c r="AA15" s="866"/>
      <c r="AB15" s="866"/>
      <c r="AC15" s="866"/>
      <c r="AD15" s="845"/>
      <c r="AE15" s="845"/>
      <c r="AF15" s="845"/>
      <c r="AG15" s="845"/>
      <c r="AH15" s="845"/>
      <c r="AI15" s="845"/>
      <c r="AJ15" s="845"/>
      <c r="AK15" s="845"/>
      <c r="AL15" s="845"/>
      <c r="AM15" s="845"/>
      <c r="AN15" s="845"/>
      <c r="AO15" s="845"/>
      <c r="AP15" s="845"/>
      <c r="AQ15" s="845"/>
      <c r="AR15" s="845"/>
      <c r="AS15" s="845"/>
      <c r="AT15" s="845"/>
      <c r="AU15" s="845"/>
      <c r="AV15" s="845"/>
      <c r="AW15" s="845"/>
      <c r="AX15" s="845"/>
      <c r="AY15" s="845"/>
      <c r="AZ15" s="845"/>
      <c r="BA15" s="846"/>
      <c r="BB15" s="846"/>
      <c r="BC15" s="846"/>
      <c r="BD15" s="846"/>
      <c r="BE15" s="846"/>
      <c r="BF15" s="846"/>
      <c r="BG15" s="846"/>
      <c r="BH15" s="846"/>
      <c r="BI15" s="846"/>
      <c r="BJ15" s="846"/>
      <c r="BK15" s="846"/>
      <c r="BL15" s="846"/>
      <c r="BM15" s="846"/>
      <c r="BN15" s="846"/>
      <c r="BO15" s="846"/>
      <c r="BP15" s="846"/>
      <c r="BQ15" s="846"/>
      <c r="BR15" s="310"/>
      <c r="BS15" s="310"/>
      <c r="BT15" s="310"/>
      <c r="BU15" s="310"/>
      <c r="BV15" s="310"/>
      <c r="BW15" s="443"/>
      <c r="BX15" s="310"/>
      <c r="BY15" s="310"/>
      <c r="BZ15" s="310"/>
      <c r="CA15" s="310"/>
      <c r="CB15" s="310"/>
      <c r="CC15" s="310"/>
      <c r="CD15" s="310"/>
      <c r="CE15" s="310"/>
      <c r="CF15" s="310"/>
      <c r="CG15" s="286"/>
      <c r="CH15" s="878"/>
    </row>
    <row r="16" spans="1:88" ht="3" customHeight="1">
      <c r="A16" s="220"/>
      <c r="B16" s="900"/>
      <c r="C16" s="900"/>
      <c r="D16" s="878"/>
      <c r="E16" s="877"/>
      <c r="F16" s="877"/>
      <c r="G16" s="862"/>
      <c r="H16" s="864"/>
      <c r="I16" s="864"/>
      <c r="J16" s="864"/>
      <c r="K16" s="864"/>
      <c r="L16" s="864"/>
      <c r="M16" s="864"/>
      <c r="N16" s="864"/>
      <c r="O16" s="864"/>
      <c r="P16" s="864"/>
      <c r="Q16" s="864"/>
      <c r="R16" s="864"/>
      <c r="S16" s="864"/>
      <c r="T16" s="864"/>
      <c r="U16" s="864"/>
      <c r="V16" s="864"/>
      <c r="W16" s="864"/>
      <c r="X16" s="864"/>
      <c r="Y16" s="864"/>
      <c r="Z16" s="864"/>
      <c r="AA16" s="866"/>
      <c r="AB16" s="866"/>
      <c r="AC16" s="866"/>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447"/>
      <c r="BB16" s="304"/>
      <c r="BC16" s="304"/>
      <c r="BD16" s="304"/>
      <c r="BE16" s="304"/>
      <c r="BF16" s="304"/>
      <c r="BG16" s="304"/>
      <c r="BH16" s="304"/>
      <c r="BI16" s="304"/>
      <c r="BJ16" s="446"/>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284"/>
      <c r="CH16" s="878"/>
    </row>
    <row r="17" spans="1:86" ht="3" customHeight="1">
      <c r="A17" s="220"/>
      <c r="B17" s="900"/>
      <c r="C17" s="900"/>
      <c r="D17" s="878"/>
      <c r="E17" s="877"/>
      <c r="F17" s="877"/>
      <c r="G17" s="862"/>
      <c r="H17" s="864"/>
      <c r="I17" s="864"/>
      <c r="J17" s="864"/>
      <c r="K17" s="864"/>
      <c r="L17" s="864"/>
      <c r="M17" s="864"/>
      <c r="N17" s="864"/>
      <c r="O17" s="864"/>
      <c r="P17" s="864"/>
      <c r="Q17" s="864"/>
      <c r="R17" s="864"/>
      <c r="S17" s="864"/>
      <c r="T17" s="864"/>
      <c r="U17" s="864"/>
      <c r="V17" s="864"/>
      <c r="W17" s="864"/>
      <c r="X17" s="864"/>
      <c r="Y17" s="864"/>
      <c r="Z17" s="864"/>
      <c r="AA17" s="866"/>
      <c r="AB17" s="866"/>
      <c r="AC17" s="866"/>
      <c r="AD17" s="826"/>
      <c r="AE17" s="820"/>
      <c r="AF17" s="820"/>
      <c r="AG17" s="820"/>
      <c r="AH17" s="435"/>
      <c r="AI17" s="821"/>
      <c r="AJ17" s="821"/>
      <c r="AK17" s="821"/>
      <c r="AL17" s="821"/>
      <c r="AM17" s="821"/>
      <c r="AN17" s="818" t="s">
        <v>965</v>
      </c>
      <c r="AO17" s="822"/>
      <c r="AP17" s="822"/>
      <c r="AQ17" s="822"/>
      <c r="AR17" s="822"/>
      <c r="AS17" s="822"/>
      <c r="AT17" s="818" t="s">
        <v>965</v>
      </c>
      <c r="AU17" s="822"/>
      <c r="AV17" s="822"/>
      <c r="AW17" s="822"/>
      <c r="AX17" s="822"/>
      <c r="AY17" s="822"/>
      <c r="AZ17" s="827"/>
      <c r="BA17" s="448"/>
      <c r="BB17" s="442"/>
      <c r="BC17" s="442"/>
      <c r="BD17" s="442"/>
      <c r="BE17" s="442"/>
      <c r="BF17" s="442"/>
      <c r="BG17" s="442"/>
      <c r="BH17" s="442"/>
      <c r="BI17" s="442"/>
      <c r="BJ17" s="441"/>
      <c r="BK17" s="442"/>
      <c r="BL17" s="820"/>
      <c r="BM17" s="820"/>
      <c r="BN17" s="820"/>
      <c r="BO17" s="435"/>
      <c r="BP17" s="821"/>
      <c r="BQ17" s="821"/>
      <c r="BR17" s="821"/>
      <c r="BS17" s="821"/>
      <c r="BT17" s="821"/>
      <c r="BU17" s="818"/>
      <c r="BV17" s="822"/>
      <c r="BW17" s="822"/>
      <c r="BX17" s="822"/>
      <c r="BY17" s="822"/>
      <c r="BZ17" s="822"/>
      <c r="CA17" s="818"/>
      <c r="CB17" s="822"/>
      <c r="CC17" s="822"/>
      <c r="CD17" s="822"/>
      <c r="CE17" s="822"/>
      <c r="CF17" s="822"/>
      <c r="CG17" s="287"/>
      <c r="CH17" s="878"/>
    </row>
    <row r="18" spans="1:86" ht="15" customHeight="1">
      <c r="A18" s="220"/>
      <c r="B18" s="900"/>
      <c r="C18" s="900"/>
      <c r="D18" s="878"/>
      <c r="E18" s="877"/>
      <c r="F18" s="877"/>
      <c r="G18" s="862"/>
      <c r="H18" s="864"/>
      <c r="I18" s="864"/>
      <c r="J18" s="864"/>
      <c r="K18" s="864"/>
      <c r="L18" s="864"/>
      <c r="M18" s="864"/>
      <c r="N18" s="864"/>
      <c r="O18" s="864"/>
      <c r="P18" s="864"/>
      <c r="Q18" s="864"/>
      <c r="R18" s="864"/>
      <c r="S18" s="864"/>
      <c r="T18" s="864"/>
      <c r="U18" s="864"/>
      <c r="V18" s="864"/>
      <c r="W18" s="864"/>
      <c r="X18" s="864"/>
      <c r="Y18" s="864"/>
      <c r="Z18" s="864"/>
      <c r="AA18" s="866"/>
      <c r="AB18" s="866"/>
      <c r="AC18" s="866"/>
      <c r="AD18" s="826"/>
      <c r="AE18" s="432" t="str">
        <f>IF(LEN(VLOOKUP(AA12,suvaha!$D$8:$H$27,3,FALSE))&lt;11,"",LEFT(RIGHT(VLOOKUP(AA12,suvaha!$D$8:$H$27,3,FALSE),11),1))</f>
        <v/>
      </c>
      <c r="AF18" s="255" t="s">
        <v>965</v>
      </c>
      <c r="AG18" s="432" t="str">
        <f>IF(LEN(VLOOKUP(AA12,suvaha!$D$8:$H$27,3,FALSE))&lt;10,"",LEFT(RIGHT(VLOOKUP(AA12,suvaha!$D$8:$H$27,3,FALSE),10),1))</f>
        <v/>
      </c>
      <c r="AH18" s="434" t="s">
        <v>965</v>
      </c>
      <c r="AI18" s="432" t="str">
        <f>IF(LEN(VLOOKUP(AA12,suvaha!$D$8:$H$27,3,FALSE))&lt;9,"",LEFT(RIGHT(VLOOKUP(AA12,suvaha!$D$8:$H$27,3,FALSE),9),1))</f>
        <v/>
      </c>
      <c r="AJ18" s="255" t="s">
        <v>965</v>
      </c>
      <c r="AK18" s="432" t="str">
        <f>IF(LEN(VLOOKUP(AA12,suvaha!$D$8:$F$27,3,FALSE))&lt;8,"",LEFT(RIGHT(VLOOKUP(AA12,suvaha!$D$8:$F$27,3,FALSE),8),1))</f>
        <v/>
      </c>
      <c r="AL18" s="434" t="s">
        <v>965</v>
      </c>
      <c r="AM18" s="432" t="str">
        <f>IF(LEN(VLOOKUP(AA12,suvaha!$D$8:$H$27,3,FALSE))&lt;7,"",LEFT(RIGHT(VLOOKUP(AA12,suvaha!$D$8:$H$27,3,FALSE),7),1))</f>
        <v/>
      </c>
      <c r="AN18" s="818"/>
      <c r="AO18" s="432" t="str">
        <f>IF(LEN(VLOOKUP(AA12,suvaha!$D$8:$H$27,3,FALSE))&lt;6,"",LEFT(RIGHT(VLOOKUP(AA12,suvaha!$D$8:$H$27,3,FALSE),6),1))</f>
        <v/>
      </c>
      <c r="AP18" s="434" t="s">
        <v>965</v>
      </c>
      <c r="AQ18" s="432" t="str">
        <f>IF(LEN(VLOOKUP(AA12,suvaha!$D$8:$H$27,3,FALSE))&lt;5,"",LEFT(RIGHT(VLOOKUP(AA12,suvaha!$D$8:$H$27,3,FALSE),5),1))</f>
        <v/>
      </c>
      <c r="AR18" s="434" t="s">
        <v>965</v>
      </c>
      <c r="AS18" s="432" t="str">
        <f>IF(LEN(VLOOKUP(AA12,suvaha!$D$8:$H$27,3,FALSE))&lt;4,"",LEFT(RIGHT(VLOOKUP(AA12,suvaha!$D$8:$H$27,3,FALSE),4),1))</f>
        <v/>
      </c>
      <c r="AT18" s="818"/>
      <c r="AU18" s="432" t="str">
        <f>IF(LEN(VLOOKUP(AA12,suvaha!$D$8:$H$27,3,FALSE))&lt;3,"",LEFT(RIGHT(VLOOKUP(AA12,suvaha!$D$8:$H$27,3,FALSE),3),1))</f>
        <v/>
      </c>
      <c r="AV18" s="434" t="s">
        <v>965</v>
      </c>
      <c r="AW18" s="432" t="str">
        <f>IF(LEN(VLOOKUP(AA12,suvaha!$D$8:$H$27,3,FALSE))&lt;2,"",LEFT(RIGHT(VLOOKUP(AA12,suvaha!$D$8:$H$27,3,FALSE),2),1))</f>
        <v/>
      </c>
      <c r="AX18" s="434" t="s">
        <v>965</v>
      </c>
      <c r="AY18" s="432" t="str">
        <f>IF(VLOOKUP(AA12,suvaha!$D$8:$H$27,3,FALSE)=0,"",IF(LEN(VLOOKUP(AA12,suvaha!$D$8:$H$27,3,FALSE))&lt;1,"",LEFT(RIGHT(VLOOKUP(AA12,suvaha!$D$8:$H$27,3,FALSE),1),1)))</f>
        <v/>
      </c>
      <c r="AZ18" s="827"/>
      <c r="BA18" s="448"/>
      <c r="BB18" s="442"/>
      <c r="BC18" s="442"/>
      <c r="BD18" s="442"/>
      <c r="BE18" s="442"/>
      <c r="BF18" s="442"/>
      <c r="BG18" s="442"/>
      <c r="BH18" s="442"/>
      <c r="BI18" s="442"/>
      <c r="BJ18" s="441"/>
      <c r="BK18" s="442"/>
      <c r="BL18" s="432" t="str">
        <f>IF(LEN(VLOOKUP(AA12,suvaha!$D$8:$H$27,5,FALSE))&lt;11,"",LEFT(RIGHT(VLOOKUP(AA12,suvaha!$D$8:$H$27,5,FALSE),11),1))</f>
        <v/>
      </c>
      <c r="BM18" s="255" t="s">
        <v>965</v>
      </c>
      <c r="BN18" s="432" t="str">
        <f>IF(LEN(VLOOKUP(AA12,suvaha!$D$8:$H$27,5,FALSE))&lt;10,"",LEFT(RIGHT(VLOOKUP(AA12,suvaha!$D$8:$H$27,5,FALSE),10),1))</f>
        <v/>
      </c>
      <c r="BO18" s="434" t="s">
        <v>965</v>
      </c>
      <c r="BP18" s="432" t="str">
        <f>IF(LEN(VLOOKUP(AA12,suvaha!$D$8:$H$27,5,FALSE))&lt;9,"",LEFT(RIGHT(VLOOKUP(AA12,suvaha!$D$8:$H$27,5,FALSE),9),1))</f>
        <v/>
      </c>
      <c r="BQ18" s="255" t="s">
        <v>965</v>
      </c>
      <c r="BR18" s="432" t="str">
        <f>IF(LEN(VLOOKUP(AA12,suvaha!$D$8:$H$27,5,FALSE))&lt;8,"",LEFT(RIGHT(VLOOKUP(AA12,suvaha!$D$8:$H$27,5,FALSE),8),1))</f>
        <v/>
      </c>
      <c r="BS18" s="434" t="s">
        <v>965</v>
      </c>
      <c r="BT18" s="432" t="str">
        <f>IF(LEN(VLOOKUP(AA12,suvaha!$D$8:$H$27,5,FALSE))&lt;7,"",LEFT(RIGHT(VLOOKUP(AA12,suvaha!$D$8:$H$27,5,FALSE),7),1))</f>
        <v/>
      </c>
      <c r="BU18" s="818" t="s">
        <v>965</v>
      </c>
      <c r="BV18" s="432" t="str">
        <f>IF(LEN(VLOOKUP(AA12,suvaha!$D$8:$H$27,5,FALSE))&lt;6,"",LEFT(RIGHT(VLOOKUP(AA12,suvaha!$D$8:$H$27,5,FALSE),6),1))</f>
        <v/>
      </c>
      <c r="BW18" s="434" t="s">
        <v>965</v>
      </c>
      <c r="BX18" s="432" t="str">
        <f>IF(LEN(VLOOKUP(AA12,suvaha!$D$8:$H$27,5,FALSE))&lt;5,"",LEFT(RIGHT(VLOOKUP(AA12,suvaha!$D$8:$H$27,5,FALSE),5),1))</f>
        <v/>
      </c>
      <c r="BY18" s="434" t="s">
        <v>965</v>
      </c>
      <c r="BZ18" s="432" t="str">
        <f>IF(LEN(VLOOKUP(AA12,suvaha!$D$8:$H$27,5,FALSE))&lt;4,"",LEFT(RIGHT(VLOOKUP(AA12,suvaha!$D$8:$H$27,5,FALSE),4),1))</f>
        <v/>
      </c>
      <c r="CA18" s="818" t="s">
        <v>965</v>
      </c>
      <c r="CB18" s="432" t="str">
        <f>IF(LEN(VLOOKUP(AA12,suvaha!$D$8:$H$27,5,FALSE))&lt;3,"",LEFT(RIGHT(VLOOKUP(AA12,suvaha!$D$8:$H$27,5,FALSE),3),1))</f>
        <v/>
      </c>
      <c r="CC18" s="434" t="s">
        <v>965</v>
      </c>
      <c r="CD18" s="432" t="str">
        <f>IF(LEN(VLOOKUP(AA12,suvaha!$D$8:$H$27,5,FALSE))&lt;2,"",LEFT(RIGHT(VLOOKUP(AA12,suvaha!$D$8:$H$27,5,FALSE),2),1))</f>
        <v/>
      </c>
      <c r="CE18" s="434" t="s">
        <v>1540</v>
      </c>
      <c r="CF18" s="432" t="str">
        <f>IF(VLOOKUP(AA12,suvaha!$D$8:$H$27,5,FALSE)=0,"",IF(LEN(VLOOKUP(AA12,suvaha!$D$8:$H$27,5,FALSE))&lt;1,"",LEFT(RIGHT(VLOOKUP(AA12,suvaha!$D$8:$H$27,5,FALSE),1),1)))</f>
        <v/>
      </c>
      <c r="CG18" s="287"/>
      <c r="CH18" s="878"/>
    </row>
    <row r="19" spans="1:86" ht="3" customHeight="1">
      <c r="A19" s="220"/>
      <c r="B19" s="900"/>
      <c r="C19" s="900"/>
      <c r="D19" s="878"/>
      <c r="E19" s="877"/>
      <c r="F19" s="877"/>
      <c r="G19" s="862"/>
      <c r="H19" s="864"/>
      <c r="I19" s="864"/>
      <c r="J19" s="864"/>
      <c r="K19" s="864"/>
      <c r="L19" s="864"/>
      <c r="M19" s="864"/>
      <c r="N19" s="864"/>
      <c r="O19" s="864"/>
      <c r="P19" s="864"/>
      <c r="Q19" s="864"/>
      <c r="R19" s="864"/>
      <c r="S19" s="864"/>
      <c r="T19" s="864"/>
      <c r="U19" s="864"/>
      <c r="V19" s="864"/>
      <c r="W19" s="864"/>
      <c r="X19" s="864"/>
      <c r="Y19" s="864"/>
      <c r="Z19" s="864"/>
      <c r="AA19" s="866"/>
      <c r="AB19" s="866"/>
      <c r="AC19" s="866"/>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449"/>
      <c r="BB19" s="310"/>
      <c r="BC19" s="310"/>
      <c r="BD19" s="310"/>
      <c r="BE19" s="310"/>
      <c r="BF19" s="310"/>
      <c r="BG19" s="310"/>
      <c r="BH19" s="310"/>
      <c r="BI19" s="310"/>
      <c r="BJ19" s="443"/>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286"/>
      <c r="CH19" s="878"/>
    </row>
    <row r="20" spans="1:86" s="250" customFormat="1" ht="3" customHeight="1">
      <c r="A20" s="220"/>
      <c r="B20" s="900"/>
      <c r="C20" s="900"/>
      <c r="D20" s="878"/>
      <c r="E20" s="877" t="s">
        <v>1545</v>
      </c>
      <c r="F20" s="877"/>
      <c r="G20" s="862"/>
      <c r="H20" s="864" t="str">
        <f>Index!C67</f>
        <v>Základné stádo a ťažné zvieratá (026) - /086, 092A/</v>
      </c>
      <c r="I20" s="864"/>
      <c r="J20" s="864"/>
      <c r="K20" s="864"/>
      <c r="L20" s="864"/>
      <c r="M20" s="864"/>
      <c r="N20" s="864"/>
      <c r="O20" s="864"/>
      <c r="P20" s="864"/>
      <c r="Q20" s="864"/>
      <c r="R20" s="864"/>
      <c r="S20" s="864"/>
      <c r="T20" s="864"/>
      <c r="U20" s="864"/>
      <c r="V20" s="864"/>
      <c r="W20" s="864"/>
      <c r="X20" s="864"/>
      <c r="Y20" s="864"/>
      <c r="Z20" s="864"/>
      <c r="AA20" s="866" t="s">
        <v>1556</v>
      </c>
      <c r="AB20" s="866"/>
      <c r="AC20" s="866"/>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67"/>
      <c r="BB20" s="867"/>
      <c r="BC20" s="867"/>
      <c r="BD20" s="867"/>
      <c r="BE20" s="867"/>
      <c r="BF20" s="867"/>
      <c r="BG20" s="867"/>
      <c r="BH20" s="867"/>
      <c r="BI20" s="867"/>
      <c r="BJ20" s="867"/>
      <c r="BK20" s="867"/>
      <c r="BL20" s="867"/>
      <c r="BM20" s="867"/>
      <c r="BN20" s="867"/>
      <c r="BO20" s="867"/>
      <c r="BP20" s="867"/>
      <c r="BQ20" s="867"/>
      <c r="BR20" s="304"/>
      <c r="BS20" s="304"/>
      <c r="BT20" s="304"/>
      <c r="BU20" s="304"/>
      <c r="BV20" s="304"/>
      <c r="BW20" s="446"/>
      <c r="BX20" s="304"/>
      <c r="BY20" s="304"/>
      <c r="BZ20" s="304"/>
      <c r="CA20" s="304"/>
      <c r="CB20" s="304"/>
      <c r="CC20" s="304"/>
      <c r="CD20" s="304"/>
      <c r="CE20" s="304"/>
      <c r="CF20" s="304"/>
      <c r="CG20" s="284"/>
      <c r="CH20" s="878"/>
    </row>
    <row r="21" spans="1:86" s="250" customFormat="1" ht="3" customHeight="1">
      <c r="A21" s="220"/>
      <c r="B21" s="900"/>
      <c r="C21" s="900"/>
      <c r="D21" s="878"/>
      <c r="E21" s="877"/>
      <c r="F21" s="877"/>
      <c r="G21" s="862"/>
      <c r="H21" s="864"/>
      <c r="I21" s="864"/>
      <c r="J21" s="864"/>
      <c r="K21" s="864"/>
      <c r="L21" s="864"/>
      <c r="M21" s="864"/>
      <c r="N21" s="864"/>
      <c r="O21" s="864"/>
      <c r="P21" s="864"/>
      <c r="Q21" s="864"/>
      <c r="R21" s="864"/>
      <c r="S21" s="864"/>
      <c r="T21" s="864"/>
      <c r="U21" s="864"/>
      <c r="V21" s="864"/>
      <c r="W21" s="864"/>
      <c r="X21" s="864"/>
      <c r="Y21" s="864"/>
      <c r="Z21" s="864"/>
      <c r="AA21" s="866"/>
      <c r="AB21" s="866"/>
      <c r="AC21" s="866"/>
      <c r="AD21" s="826"/>
      <c r="AE21" s="820"/>
      <c r="AF21" s="820"/>
      <c r="AG21" s="820"/>
      <c r="AH21" s="435"/>
      <c r="AI21" s="821"/>
      <c r="AJ21" s="821"/>
      <c r="AK21" s="821"/>
      <c r="AL21" s="821"/>
      <c r="AM21" s="821"/>
      <c r="AN21" s="818"/>
      <c r="AO21" s="822"/>
      <c r="AP21" s="822"/>
      <c r="AQ21" s="822"/>
      <c r="AR21" s="822"/>
      <c r="AS21" s="822"/>
      <c r="AT21" s="818"/>
      <c r="AU21" s="822"/>
      <c r="AV21" s="822"/>
      <c r="AW21" s="822"/>
      <c r="AX21" s="822"/>
      <c r="AY21" s="822"/>
      <c r="AZ21" s="827"/>
      <c r="BA21" s="826"/>
      <c r="BB21" s="820"/>
      <c r="BC21" s="820"/>
      <c r="BD21" s="820"/>
      <c r="BE21" s="435"/>
      <c r="BF21" s="821"/>
      <c r="BG21" s="821"/>
      <c r="BH21" s="821"/>
      <c r="BI21" s="821"/>
      <c r="BJ21" s="821"/>
      <c r="BK21" s="818"/>
      <c r="BL21" s="822"/>
      <c r="BM21" s="822"/>
      <c r="BN21" s="822"/>
      <c r="BO21" s="822"/>
      <c r="BP21" s="822"/>
      <c r="BQ21" s="818"/>
      <c r="BR21" s="822"/>
      <c r="BS21" s="822"/>
      <c r="BT21" s="822"/>
      <c r="BU21" s="822"/>
      <c r="BV21" s="822"/>
      <c r="BW21" s="441"/>
      <c r="BX21" s="442"/>
      <c r="BY21" s="442"/>
      <c r="BZ21" s="442"/>
      <c r="CA21" s="442"/>
      <c r="CB21" s="442"/>
      <c r="CC21" s="442"/>
      <c r="CD21" s="442"/>
      <c r="CE21" s="442"/>
      <c r="CF21" s="442"/>
      <c r="CG21" s="285"/>
      <c r="CH21" s="878"/>
    </row>
    <row r="22" spans="1:86" ht="15" customHeight="1">
      <c r="A22" s="220"/>
      <c r="B22" s="879"/>
      <c r="C22" s="879"/>
      <c r="D22" s="879"/>
      <c r="E22" s="877"/>
      <c r="F22" s="877"/>
      <c r="G22" s="862"/>
      <c r="H22" s="864"/>
      <c r="I22" s="864"/>
      <c r="J22" s="864"/>
      <c r="K22" s="864"/>
      <c r="L22" s="864"/>
      <c r="M22" s="864"/>
      <c r="N22" s="864"/>
      <c r="O22" s="864"/>
      <c r="P22" s="864"/>
      <c r="Q22" s="864"/>
      <c r="R22" s="864"/>
      <c r="S22" s="864"/>
      <c r="T22" s="864"/>
      <c r="U22" s="864"/>
      <c r="V22" s="864"/>
      <c r="W22" s="864"/>
      <c r="X22" s="864"/>
      <c r="Y22" s="864"/>
      <c r="Z22" s="864"/>
      <c r="AA22" s="866"/>
      <c r="AB22" s="866"/>
      <c r="AC22" s="866"/>
      <c r="AD22" s="826"/>
      <c r="AE22" s="432" t="str">
        <f>IF(LEN(VLOOKUP(AA20,suvaha!$D$8:$H$27,2,FALSE))&lt;11,"",LEFT(RIGHT(VLOOKUP(AA20,suvaha!$D$8:$H$27,2,FALSE),11),1))</f>
        <v/>
      </c>
      <c r="AF22" s="255"/>
      <c r="AG22" s="432" t="str">
        <f>IF(LEN(VLOOKUP(AA20,suvaha!$D$8:$H$27,2,FALSE))&lt;10,"",LEFT(RIGHT(VLOOKUP(AA20,suvaha!$D$8:$H$27,2,FALSE),10),1))</f>
        <v/>
      </c>
      <c r="AH22" s="434"/>
      <c r="AI22" s="432" t="str">
        <f>IF(LEN(VLOOKUP(AA20,suvaha!$D$8:$H$27,2,FALSE))&lt;9,"",LEFT(RIGHT(VLOOKUP(AA20,suvaha!$D$8:$H$27,2,FALSE),9),1))</f>
        <v/>
      </c>
      <c r="AJ22" s="255"/>
      <c r="AK22" s="432" t="str">
        <f>IF(LEN(VLOOKUP(AA20,suvaha!$D$8:$H$27,2,FALSE))&lt;8,"",LEFT(RIGHT(VLOOKUP(AA20,suvaha!$D$8:$H$27,2,FALSE),8),1))</f>
        <v/>
      </c>
      <c r="AL22" s="434"/>
      <c r="AM22" s="432" t="str">
        <f>IF(LEN(VLOOKUP(AA20,suvaha!$D$8:$H$27,2,FALSE))&lt;7,"",LEFT(RIGHT(VLOOKUP(AA20,suvaha!$D$8:$H$27,2,FALSE),7),1))</f>
        <v/>
      </c>
      <c r="AN22" s="818"/>
      <c r="AO22" s="432" t="str">
        <f>IF(LEN(VLOOKUP(AA20,suvaha!$D$8:$H$27,2,FALSE))&lt;6,"",LEFT(RIGHT(VLOOKUP(AA20,suvaha!$D$8:$H$27,2,FALSE),6),1))</f>
        <v/>
      </c>
      <c r="AP22" s="434"/>
      <c r="AQ22" s="432" t="str">
        <f>IF(LEN(VLOOKUP(AA20,suvaha!$D$8:$H$27,2,FALSE))&lt;5,"",LEFT(RIGHT(VLOOKUP(AA20,suvaha!$D$8:$H$27,2,FALSE),5),1))</f>
        <v/>
      </c>
      <c r="AR22" s="434"/>
      <c r="AS22" s="432" t="str">
        <f>IF(LEN(VLOOKUP(AA20,suvaha!$D$8:$H$27,2,FALSE))&lt;4,"",LEFT(RIGHT(VLOOKUP(AA20,suvaha!$D$8:$H$27,2,FALSE),4),1))</f>
        <v/>
      </c>
      <c r="AT22" s="818"/>
      <c r="AU22" s="432" t="str">
        <f>IF(LEN(VLOOKUP(AA20,suvaha!$D$8:$H$27,2,FALSE))&lt;3,"",LEFT(RIGHT(VLOOKUP(AA20,suvaha!$D$8:$H$27,2,FALSE),3),1))</f>
        <v/>
      </c>
      <c r="AV22" s="434"/>
      <c r="AW22" s="432" t="str">
        <f>IF(LEN(VLOOKUP(AA20,suvaha!$D$8:$H$27,2,FALSE))&lt;2,"",LEFT(RIGHT(VLOOKUP(AA20,suvaha!$D$8:$H$27,2,FALSE),2),1))</f>
        <v/>
      </c>
      <c r="AX22" s="434"/>
      <c r="AY22" s="432" t="str">
        <f>IF(VLOOKUP(AA20,suvaha!$D$8:$H$27,2,FALSE)=0,"",IF(LEN(VLOOKUP(AA20,suvaha!$D$8:$H$27,2,FALSE))&lt;1,"",LEFT(RIGHT(VLOOKUP(AA20,suvaha!$D$8:$H$27,2,FALSE),1),1)))</f>
        <v/>
      </c>
      <c r="AZ22" s="827"/>
      <c r="BA22" s="826"/>
      <c r="BB22" s="432" t="str">
        <f>IF(LEN(VLOOKUP(AA20,suvaha!$D$8:$H$27,4,FALSE))&lt;11,"",LEFT(RIGHT(VLOOKUP(AA20,suvaha!$D$8:$H$27,4,FALSE),11),1))</f>
        <v/>
      </c>
      <c r="BC22" s="255"/>
      <c r="BD22" s="432" t="str">
        <f>IF(LEN(VLOOKUP(AA20,suvaha!$D$8:$H$27,4,FALSE))&lt;10,"",LEFT(RIGHT(VLOOKUP(AA20,suvaha!$D$8:$H$27,4,FALSE),10),1))</f>
        <v/>
      </c>
      <c r="BE22" s="434"/>
      <c r="BF22" s="432" t="str">
        <f>IF(LEN(VLOOKUP(AA20,suvaha!$D$8:$H$27,4,FALSE))&lt;9,"",LEFT(RIGHT(VLOOKUP(AA20,suvaha!$D$8:$H$27,4,FALSE),9),1))</f>
        <v/>
      </c>
      <c r="BG22" s="255"/>
      <c r="BH22" s="432" t="str">
        <f>IF(LEN(VLOOKUP(AA20,suvaha!$D$8:$H$27,4,FALSE))&lt;8,"",LEFT(RIGHT(VLOOKUP(AA20,suvaha!$D$8:$H$27,4,FALSE),8),1))</f>
        <v/>
      </c>
      <c r="BI22" s="434"/>
      <c r="BJ22" s="432" t="str">
        <f>IF(LEN(VLOOKUP(AA20,suvaha!$D$8:$H$27,4,FALSE))&lt;7,"",LEFT(RIGHT(VLOOKUP(AA20,suvaha!$D$8:$H$27,4,FALSE),7),1))</f>
        <v/>
      </c>
      <c r="BK22" s="818"/>
      <c r="BL22" s="432" t="str">
        <f>IF(LEN(VLOOKUP(AA20,suvaha!$D$8:$H$27,4,FALSE))&lt;6,"",LEFT(RIGHT(VLOOKUP(AA20,suvaha!$D$8:$H$27,4,FALSE),6),1))</f>
        <v/>
      </c>
      <c r="BM22" s="434"/>
      <c r="BN22" s="432" t="str">
        <f>IF(LEN(VLOOKUP(AA20,suvaha!$D$8:$H$27,4,FALSE))&lt;5,"",LEFT(RIGHT(VLOOKUP(AA20,suvaha!$D$8:$H$27,4,FALSE),5),1))</f>
        <v/>
      </c>
      <c r="BO22" s="434"/>
      <c r="BP22" s="432" t="str">
        <f>IF(LEN(VLOOKUP(AA20,suvaha!$D$8:$H$27,4,FALSE))&lt;4,"",LEFT(RIGHT(VLOOKUP(AA20,suvaha!$D$8:$H$27,4,FALSE),4),1))</f>
        <v/>
      </c>
      <c r="BQ22" s="818"/>
      <c r="BR22" s="432" t="str">
        <f>IF(LEN(VLOOKUP(AA20,suvaha!$D$8:$H$27,4,FALSE))&lt;3,"",LEFT(RIGHT(VLOOKUP(AA20,suvaha!$D$8:$H$27,4,FALSE),3),1))</f>
        <v/>
      </c>
      <c r="BS22" s="434"/>
      <c r="BT22" s="432" t="str">
        <f>IF(LEN(VLOOKUP(AA20,suvaha!$D$8:$H$27,4,FALSE))&lt;2,"",LEFT(RIGHT(VLOOKUP(AA20,suvaha!$D$8:$H$27,4,FALSE),2),1))</f>
        <v/>
      </c>
      <c r="BU22" s="434"/>
      <c r="BV22" s="432" t="str">
        <f>IF(VLOOKUP(AA20,suvaha!$D$8:$H$27,4,FALSE)=0,"",IF(LEN(VLOOKUP(AA20,suvaha!$D$8:$H$27,4,FALSE))&lt;1,"",LEFT(RIGHT(VLOOKUP(AA20,suvaha!$D$8:$H$27,4,FALSE),1),1)))</f>
        <v/>
      </c>
      <c r="BW22" s="441"/>
      <c r="BX22" s="442"/>
      <c r="BY22" s="442"/>
      <c r="BZ22" s="442"/>
      <c r="CA22" s="442"/>
      <c r="CB22" s="442"/>
      <c r="CC22" s="442"/>
      <c r="CD22" s="442"/>
      <c r="CE22" s="442"/>
      <c r="CF22" s="442"/>
      <c r="CG22" s="285"/>
      <c r="CH22" s="878"/>
    </row>
    <row r="23" spans="1:86" ht="3" customHeight="1">
      <c r="A23" s="220"/>
      <c r="B23" s="879"/>
      <c r="C23" s="879"/>
      <c r="D23" s="879"/>
      <c r="E23" s="877"/>
      <c r="F23" s="877"/>
      <c r="G23" s="862"/>
      <c r="H23" s="864"/>
      <c r="I23" s="864"/>
      <c r="J23" s="864"/>
      <c r="K23" s="864"/>
      <c r="L23" s="864"/>
      <c r="M23" s="864"/>
      <c r="N23" s="864"/>
      <c r="O23" s="864"/>
      <c r="P23" s="864"/>
      <c r="Q23" s="864"/>
      <c r="R23" s="864"/>
      <c r="S23" s="864"/>
      <c r="T23" s="864"/>
      <c r="U23" s="864"/>
      <c r="V23" s="864"/>
      <c r="W23" s="864"/>
      <c r="X23" s="864"/>
      <c r="Y23" s="864"/>
      <c r="Z23" s="864"/>
      <c r="AA23" s="866"/>
      <c r="AB23" s="866"/>
      <c r="AC23" s="866"/>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6"/>
      <c r="BB23" s="846"/>
      <c r="BC23" s="846"/>
      <c r="BD23" s="846"/>
      <c r="BE23" s="846"/>
      <c r="BF23" s="846"/>
      <c r="BG23" s="846"/>
      <c r="BH23" s="846"/>
      <c r="BI23" s="846"/>
      <c r="BJ23" s="846"/>
      <c r="BK23" s="846"/>
      <c r="BL23" s="846"/>
      <c r="BM23" s="846"/>
      <c r="BN23" s="846"/>
      <c r="BO23" s="846"/>
      <c r="BP23" s="846"/>
      <c r="BQ23" s="846"/>
      <c r="BR23" s="310"/>
      <c r="BS23" s="310"/>
      <c r="BT23" s="310"/>
      <c r="BU23" s="310"/>
      <c r="BV23" s="310"/>
      <c r="BW23" s="443"/>
      <c r="BX23" s="310"/>
      <c r="BY23" s="310"/>
      <c r="BZ23" s="310"/>
      <c r="CA23" s="310"/>
      <c r="CB23" s="310"/>
      <c r="CC23" s="310"/>
      <c r="CD23" s="310"/>
      <c r="CE23" s="310"/>
      <c r="CF23" s="310"/>
      <c r="CG23" s="286"/>
      <c r="CH23" s="878"/>
    </row>
    <row r="24" spans="1:86" ht="3" customHeight="1">
      <c r="A24" s="220"/>
      <c r="B24" s="879"/>
      <c r="C24" s="879"/>
      <c r="D24" s="879"/>
      <c r="E24" s="877"/>
      <c r="F24" s="877"/>
      <c r="G24" s="862"/>
      <c r="H24" s="864"/>
      <c r="I24" s="864"/>
      <c r="J24" s="864"/>
      <c r="K24" s="864"/>
      <c r="L24" s="864"/>
      <c r="M24" s="864"/>
      <c r="N24" s="864"/>
      <c r="O24" s="864"/>
      <c r="P24" s="864"/>
      <c r="Q24" s="864"/>
      <c r="R24" s="864"/>
      <c r="S24" s="864"/>
      <c r="T24" s="864"/>
      <c r="U24" s="864"/>
      <c r="V24" s="864"/>
      <c r="W24" s="864"/>
      <c r="X24" s="864"/>
      <c r="Y24" s="864"/>
      <c r="Z24" s="864"/>
      <c r="AA24" s="866"/>
      <c r="AB24" s="866"/>
      <c r="AC24" s="866"/>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447"/>
      <c r="BB24" s="304"/>
      <c r="BC24" s="304"/>
      <c r="BD24" s="304"/>
      <c r="BE24" s="304"/>
      <c r="BF24" s="304"/>
      <c r="BG24" s="304"/>
      <c r="BH24" s="304"/>
      <c r="BI24" s="304"/>
      <c r="BJ24" s="446"/>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284"/>
      <c r="CH24" s="878"/>
    </row>
    <row r="25" spans="1:86" ht="3" customHeight="1">
      <c r="A25" s="220"/>
      <c r="B25" s="879"/>
      <c r="C25" s="879"/>
      <c r="D25" s="879"/>
      <c r="E25" s="877"/>
      <c r="F25" s="877"/>
      <c r="G25" s="862"/>
      <c r="H25" s="864"/>
      <c r="I25" s="864"/>
      <c r="J25" s="864"/>
      <c r="K25" s="864"/>
      <c r="L25" s="864"/>
      <c r="M25" s="864"/>
      <c r="N25" s="864"/>
      <c r="O25" s="864"/>
      <c r="P25" s="864"/>
      <c r="Q25" s="864"/>
      <c r="R25" s="864"/>
      <c r="S25" s="864"/>
      <c r="T25" s="864"/>
      <c r="U25" s="864"/>
      <c r="V25" s="864"/>
      <c r="W25" s="864"/>
      <c r="X25" s="864"/>
      <c r="Y25" s="864"/>
      <c r="Z25" s="864"/>
      <c r="AA25" s="866"/>
      <c r="AB25" s="866"/>
      <c r="AC25" s="866"/>
      <c r="AD25" s="826"/>
      <c r="AE25" s="820"/>
      <c r="AF25" s="820"/>
      <c r="AG25" s="820"/>
      <c r="AH25" s="435"/>
      <c r="AI25" s="821"/>
      <c r="AJ25" s="821"/>
      <c r="AK25" s="821"/>
      <c r="AL25" s="821"/>
      <c r="AM25" s="821"/>
      <c r="AN25" s="818" t="s">
        <v>965</v>
      </c>
      <c r="AO25" s="822"/>
      <c r="AP25" s="822"/>
      <c r="AQ25" s="822"/>
      <c r="AR25" s="822"/>
      <c r="AS25" s="822"/>
      <c r="AT25" s="818" t="s">
        <v>965</v>
      </c>
      <c r="AU25" s="822"/>
      <c r="AV25" s="822"/>
      <c r="AW25" s="822"/>
      <c r="AX25" s="822"/>
      <c r="AY25" s="822"/>
      <c r="AZ25" s="827"/>
      <c r="BA25" s="448"/>
      <c r="BB25" s="442"/>
      <c r="BC25" s="442"/>
      <c r="BD25" s="442"/>
      <c r="BE25" s="442"/>
      <c r="BF25" s="442"/>
      <c r="BG25" s="442"/>
      <c r="BH25" s="442"/>
      <c r="BI25" s="442"/>
      <c r="BJ25" s="441"/>
      <c r="BK25" s="442"/>
      <c r="BL25" s="820"/>
      <c r="BM25" s="820"/>
      <c r="BN25" s="820"/>
      <c r="BO25" s="435"/>
      <c r="BP25" s="821"/>
      <c r="BQ25" s="821"/>
      <c r="BR25" s="821"/>
      <c r="BS25" s="821"/>
      <c r="BT25" s="821"/>
      <c r="BU25" s="818"/>
      <c r="BV25" s="822"/>
      <c r="BW25" s="822"/>
      <c r="BX25" s="822"/>
      <c r="BY25" s="822"/>
      <c r="BZ25" s="822"/>
      <c r="CA25" s="818"/>
      <c r="CB25" s="822"/>
      <c r="CC25" s="822"/>
      <c r="CD25" s="822"/>
      <c r="CE25" s="822"/>
      <c r="CF25" s="822"/>
      <c r="CG25" s="287"/>
      <c r="CH25" s="878"/>
    </row>
    <row r="26" spans="1:86" ht="15" customHeight="1">
      <c r="A26" s="220"/>
      <c r="B26" s="879"/>
      <c r="C26" s="879"/>
      <c r="D26" s="879"/>
      <c r="E26" s="877"/>
      <c r="F26" s="877"/>
      <c r="G26" s="862"/>
      <c r="H26" s="864"/>
      <c r="I26" s="864"/>
      <c r="J26" s="864"/>
      <c r="K26" s="864"/>
      <c r="L26" s="864"/>
      <c r="M26" s="864"/>
      <c r="N26" s="864"/>
      <c r="O26" s="864"/>
      <c r="P26" s="864"/>
      <c r="Q26" s="864"/>
      <c r="R26" s="864"/>
      <c r="S26" s="864"/>
      <c r="T26" s="864"/>
      <c r="U26" s="864"/>
      <c r="V26" s="864"/>
      <c r="W26" s="864"/>
      <c r="X26" s="864"/>
      <c r="Y26" s="864"/>
      <c r="Z26" s="864"/>
      <c r="AA26" s="866"/>
      <c r="AB26" s="866"/>
      <c r="AC26" s="866"/>
      <c r="AD26" s="826"/>
      <c r="AE26" s="432" t="str">
        <f>IF(LEN(VLOOKUP(AA20,suvaha!$D$8:$H$27,3,FALSE))&lt;11,"",LEFT(RIGHT(VLOOKUP(AA20,suvaha!$D$8:$H$27,3,FALSE),11),1))</f>
        <v/>
      </c>
      <c r="AF26" s="255" t="s">
        <v>965</v>
      </c>
      <c r="AG26" s="432" t="str">
        <f>IF(LEN(VLOOKUP(AA20,suvaha!$D$8:$H$27,3,FALSE))&lt;10,"",LEFT(RIGHT(VLOOKUP(AA20,suvaha!$D$8:$H$27,3,FALSE),10),1))</f>
        <v/>
      </c>
      <c r="AH26" s="434" t="s">
        <v>965</v>
      </c>
      <c r="AI26" s="432" t="str">
        <f>IF(LEN(VLOOKUP(AA20,suvaha!$D$8:$H$27,3,FALSE))&lt;9,"",LEFT(RIGHT(VLOOKUP(AA20,suvaha!$D$8:$H$27,3,FALSE),9),1))</f>
        <v/>
      </c>
      <c r="AJ26" s="255" t="s">
        <v>965</v>
      </c>
      <c r="AK26" s="432" t="str">
        <f>IF(LEN(VLOOKUP(AA20,suvaha!$D$8:$F$27,3,FALSE))&lt;8,"",LEFT(RIGHT(VLOOKUP(AA20,suvaha!$D$8:$F$27,3,FALSE),8),1))</f>
        <v/>
      </c>
      <c r="AL26" s="434" t="s">
        <v>965</v>
      </c>
      <c r="AM26" s="432" t="str">
        <f>IF(LEN(VLOOKUP(AA20,suvaha!$D$8:$H$27,3,FALSE))&lt;7,"",LEFT(RIGHT(VLOOKUP(AA20,suvaha!$D$8:$H$27,3,FALSE),7),1))</f>
        <v/>
      </c>
      <c r="AN26" s="818"/>
      <c r="AO26" s="432" t="str">
        <f>IF(LEN(VLOOKUP(AA20,suvaha!$D$8:$H$27,3,FALSE))&lt;6,"",LEFT(RIGHT(VLOOKUP(AA20,suvaha!$D$8:$H$27,3,FALSE),6),1))</f>
        <v/>
      </c>
      <c r="AP26" s="434" t="s">
        <v>965</v>
      </c>
      <c r="AQ26" s="432" t="str">
        <f>IF(LEN(VLOOKUP(AA20,suvaha!$D$8:$H$27,3,FALSE))&lt;5,"",LEFT(RIGHT(VLOOKUP(AA20,suvaha!$D$8:$H$27,3,FALSE),5),1))</f>
        <v/>
      </c>
      <c r="AR26" s="434" t="s">
        <v>965</v>
      </c>
      <c r="AS26" s="432" t="str">
        <f>IF(LEN(VLOOKUP(AA20,suvaha!$D$8:$H$27,3,FALSE))&lt;4,"",LEFT(RIGHT(VLOOKUP(AA20,suvaha!$D$8:$H$27,3,FALSE),4),1))</f>
        <v/>
      </c>
      <c r="AT26" s="818"/>
      <c r="AU26" s="432" t="str">
        <f>IF(LEN(VLOOKUP(AA20,suvaha!$D$8:$H$27,3,FALSE))&lt;3,"",LEFT(RIGHT(VLOOKUP(AA20,suvaha!$D$8:$H$27,3,FALSE),3),1))</f>
        <v/>
      </c>
      <c r="AV26" s="434" t="s">
        <v>965</v>
      </c>
      <c r="AW26" s="432" t="str">
        <f>IF(LEN(VLOOKUP(AA20,suvaha!$D$8:$H$27,3,FALSE))&lt;2,"",LEFT(RIGHT(VLOOKUP(AA20,suvaha!$D$8:$H$27,3,FALSE),2),1))</f>
        <v/>
      </c>
      <c r="AX26" s="434" t="s">
        <v>965</v>
      </c>
      <c r="AY26" s="432" t="str">
        <f>IF(VLOOKUP(AA20,suvaha!$D$8:$H$27,3,FALSE)=0,"",IF(LEN(VLOOKUP(AA20,suvaha!$D$8:$H$27,3,FALSE))&lt;1,"",LEFT(RIGHT(VLOOKUP(AA20,suvaha!$D$8:$H$27,3,FALSE),1),1)))</f>
        <v/>
      </c>
      <c r="AZ26" s="827"/>
      <c r="BA26" s="448"/>
      <c r="BB26" s="442"/>
      <c r="BC26" s="442"/>
      <c r="BD26" s="442"/>
      <c r="BE26" s="442"/>
      <c r="BF26" s="442"/>
      <c r="BG26" s="442"/>
      <c r="BH26" s="442"/>
      <c r="BI26" s="442"/>
      <c r="BJ26" s="441"/>
      <c r="BK26" s="442"/>
      <c r="BL26" s="432" t="str">
        <f>IF(LEN(VLOOKUP(AA20,suvaha!$D$8:$H$27,5,FALSE))&lt;11,"",LEFT(RIGHT(VLOOKUP(AA20,suvaha!$D$8:$H$27,5,FALSE),11),1))</f>
        <v/>
      </c>
      <c r="BM26" s="255" t="s">
        <v>965</v>
      </c>
      <c r="BN26" s="432" t="str">
        <f>IF(LEN(VLOOKUP(AA20,suvaha!$D$8:$H$27,5,FALSE))&lt;10,"",LEFT(RIGHT(VLOOKUP(AA20,suvaha!$D$8:$H$27,5,FALSE),10),1))</f>
        <v/>
      </c>
      <c r="BO26" s="434" t="s">
        <v>965</v>
      </c>
      <c r="BP26" s="432" t="str">
        <f>IF(LEN(VLOOKUP(AA20,suvaha!$D$8:$H$27,5,FALSE))&lt;9,"",LEFT(RIGHT(VLOOKUP(AA20,suvaha!$D$8:$H$27,5,FALSE),9),1))</f>
        <v/>
      </c>
      <c r="BQ26" s="255" t="s">
        <v>965</v>
      </c>
      <c r="BR26" s="432" t="str">
        <f>IF(LEN(VLOOKUP(AA20,suvaha!$D$8:$H$27,5,FALSE))&lt;8,"",LEFT(RIGHT(VLOOKUP(AA20,suvaha!$D$8:$H$27,5,FALSE),8),1))</f>
        <v/>
      </c>
      <c r="BS26" s="434" t="s">
        <v>965</v>
      </c>
      <c r="BT26" s="432" t="str">
        <f>IF(LEN(VLOOKUP(AA20,suvaha!$D$8:$H$27,5,FALSE))&lt;7,"",LEFT(RIGHT(VLOOKUP(AA20,suvaha!$D$8:$H$27,5,FALSE),7),1))</f>
        <v/>
      </c>
      <c r="BU26" s="818" t="s">
        <v>965</v>
      </c>
      <c r="BV26" s="432" t="str">
        <f>IF(LEN(VLOOKUP(AA20,suvaha!$D$8:$H$27,5,FALSE))&lt;6,"",LEFT(RIGHT(VLOOKUP(AA20,suvaha!$D$8:$H$27,5,FALSE),6),1))</f>
        <v/>
      </c>
      <c r="BW26" s="434" t="s">
        <v>965</v>
      </c>
      <c r="BX26" s="432" t="str">
        <f>IF(LEN(VLOOKUP(AA20,suvaha!$D$8:$H$27,5,FALSE))&lt;5,"",LEFT(RIGHT(VLOOKUP(AA20,suvaha!$D$8:$H$27,5,FALSE),5),1))</f>
        <v/>
      </c>
      <c r="BY26" s="434" t="s">
        <v>965</v>
      </c>
      <c r="BZ26" s="432" t="str">
        <f>IF(LEN(VLOOKUP(AA20,suvaha!$D$8:$H$27,5,FALSE))&lt;4,"",LEFT(RIGHT(VLOOKUP(AA20,suvaha!$D$8:$H$27,5,FALSE),4),1))</f>
        <v/>
      </c>
      <c r="CA26" s="818" t="s">
        <v>965</v>
      </c>
      <c r="CB26" s="432" t="str">
        <f>IF(LEN(VLOOKUP(AA20,suvaha!$D$8:$H$27,5,FALSE))&lt;3,"",LEFT(RIGHT(VLOOKUP(AA20,suvaha!$D$8:$H$27,5,FALSE),3),1))</f>
        <v/>
      </c>
      <c r="CC26" s="434" t="s">
        <v>965</v>
      </c>
      <c r="CD26" s="432" t="str">
        <f>IF(LEN(VLOOKUP(AA20,suvaha!$D$8:$H$27,5,FALSE))&lt;2,"",LEFT(RIGHT(VLOOKUP(AA20,suvaha!$D$8:$H$27,5,FALSE),2),1))</f>
        <v/>
      </c>
      <c r="CE26" s="434" t="s">
        <v>1540</v>
      </c>
      <c r="CF26" s="432" t="str">
        <f>IF(VLOOKUP(AA20,suvaha!$D$8:$H$27,5,FALSE)=0,"",IF(LEN(VLOOKUP(AA20,suvaha!$D$8:$H$27,5,FALSE))&lt;1,"",LEFT(RIGHT(VLOOKUP(AA20,suvaha!$D$8:$H$27,5,FALSE),1),1)))</f>
        <v/>
      </c>
      <c r="CG26" s="287"/>
      <c r="CH26" s="878"/>
    </row>
    <row r="27" spans="1:86" ht="3" customHeight="1">
      <c r="A27" s="220"/>
      <c r="B27" s="879"/>
      <c r="C27" s="879"/>
      <c r="D27" s="879"/>
      <c r="E27" s="877"/>
      <c r="F27" s="877"/>
      <c r="G27" s="862"/>
      <c r="H27" s="864"/>
      <c r="I27" s="864"/>
      <c r="J27" s="864"/>
      <c r="K27" s="864"/>
      <c r="L27" s="864"/>
      <c r="M27" s="864"/>
      <c r="N27" s="864"/>
      <c r="O27" s="864"/>
      <c r="P27" s="864"/>
      <c r="Q27" s="864"/>
      <c r="R27" s="864"/>
      <c r="S27" s="864"/>
      <c r="T27" s="864"/>
      <c r="U27" s="864"/>
      <c r="V27" s="864"/>
      <c r="W27" s="864"/>
      <c r="X27" s="864"/>
      <c r="Y27" s="864"/>
      <c r="Z27" s="864"/>
      <c r="AA27" s="866"/>
      <c r="AB27" s="866"/>
      <c r="AC27" s="866"/>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449"/>
      <c r="BB27" s="310"/>
      <c r="BC27" s="310"/>
      <c r="BD27" s="310"/>
      <c r="BE27" s="310"/>
      <c r="BF27" s="310"/>
      <c r="BG27" s="310"/>
      <c r="BH27" s="310"/>
      <c r="BI27" s="310"/>
      <c r="BJ27" s="443"/>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286"/>
      <c r="CH27" s="878"/>
    </row>
    <row r="28" spans="1:86" s="250" customFormat="1" ht="3" customHeight="1">
      <c r="A28" s="220"/>
      <c r="B28" s="879"/>
      <c r="C28" s="879"/>
      <c r="D28" s="879"/>
      <c r="E28" s="877" t="s">
        <v>1546</v>
      </c>
      <c r="F28" s="877"/>
      <c r="G28" s="862"/>
      <c r="H28" s="864" t="str">
        <f>Index!C68</f>
        <v>Ostatný dlhodobý hmotný majetok (029, 02X, 032) - /089, 08X, 092A/</v>
      </c>
      <c r="I28" s="864"/>
      <c r="J28" s="864"/>
      <c r="K28" s="864"/>
      <c r="L28" s="864"/>
      <c r="M28" s="864"/>
      <c r="N28" s="864"/>
      <c r="O28" s="864"/>
      <c r="P28" s="864"/>
      <c r="Q28" s="864"/>
      <c r="R28" s="864"/>
      <c r="S28" s="864"/>
      <c r="T28" s="864"/>
      <c r="U28" s="864"/>
      <c r="V28" s="864"/>
      <c r="W28" s="864"/>
      <c r="X28" s="864"/>
      <c r="Y28" s="864"/>
      <c r="Z28" s="864"/>
      <c r="AA28" s="866" t="s">
        <v>1557</v>
      </c>
      <c r="AB28" s="866"/>
      <c r="AC28" s="866"/>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67"/>
      <c r="BB28" s="867"/>
      <c r="BC28" s="867"/>
      <c r="BD28" s="867"/>
      <c r="BE28" s="867"/>
      <c r="BF28" s="867"/>
      <c r="BG28" s="867"/>
      <c r="BH28" s="867"/>
      <c r="BI28" s="867"/>
      <c r="BJ28" s="867"/>
      <c r="BK28" s="867"/>
      <c r="BL28" s="867"/>
      <c r="BM28" s="867"/>
      <c r="BN28" s="867"/>
      <c r="BO28" s="867"/>
      <c r="BP28" s="867"/>
      <c r="BQ28" s="867"/>
      <c r="BR28" s="304"/>
      <c r="BS28" s="304"/>
      <c r="BT28" s="304"/>
      <c r="BU28" s="304"/>
      <c r="BV28" s="304"/>
      <c r="BW28" s="446"/>
      <c r="BX28" s="304"/>
      <c r="BY28" s="304"/>
      <c r="BZ28" s="304"/>
      <c r="CA28" s="304"/>
      <c r="CB28" s="304"/>
      <c r="CC28" s="304"/>
      <c r="CD28" s="304"/>
      <c r="CE28" s="304"/>
      <c r="CF28" s="304"/>
      <c r="CG28" s="284"/>
      <c r="CH28" s="878"/>
    </row>
    <row r="29" spans="1:86" s="250" customFormat="1" ht="3" customHeight="1">
      <c r="A29" s="220"/>
      <c r="B29" s="879"/>
      <c r="C29" s="879"/>
      <c r="D29" s="879"/>
      <c r="E29" s="877"/>
      <c r="F29" s="877"/>
      <c r="G29" s="862"/>
      <c r="H29" s="864"/>
      <c r="I29" s="864"/>
      <c r="J29" s="864"/>
      <c r="K29" s="864"/>
      <c r="L29" s="864"/>
      <c r="M29" s="864"/>
      <c r="N29" s="864"/>
      <c r="O29" s="864"/>
      <c r="P29" s="864"/>
      <c r="Q29" s="864"/>
      <c r="R29" s="864"/>
      <c r="S29" s="864"/>
      <c r="T29" s="864"/>
      <c r="U29" s="864"/>
      <c r="V29" s="864"/>
      <c r="W29" s="864"/>
      <c r="X29" s="864"/>
      <c r="Y29" s="864"/>
      <c r="Z29" s="864"/>
      <c r="AA29" s="866"/>
      <c r="AB29" s="866"/>
      <c r="AC29" s="866"/>
      <c r="AD29" s="826"/>
      <c r="AE29" s="820"/>
      <c r="AF29" s="820"/>
      <c r="AG29" s="820"/>
      <c r="AH29" s="435"/>
      <c r="AI29" s="821"/>
      <c r="AJ29" s="821"/>
      <c r="AK29" s="821"/>
      <c r="AL29" s="821"/>
      <c r="AM29" s="821"/>
      <c r="AN29" s="818"/>
      <c r="AO29" s="822"/>
      <c r="AP29" s="822"/>
      <c r="AQ29" s="822"/>
      <c r="AR29" s="822"/>
      <c r="AS29" s="822"/>
      <c r="AT29" s="818"/>
      <c r="AU29" s="822"/>
      <c r="AV29" s="822"/>
      <c r="AW29" s="822"/>
      <c r="AX29" s="822"/>
      <c r="AY29" s="822"/>
      <c r="AZ29" s="827"/>
      <c r="BA29" s="826"/>
      <c r="BB29" s="820"/>
      <c r="BC29" s="820"/>
      <c r="BD29" s="820"/>
      <c r="BE29" s="435"/>
      <c r="BF29" s="821"/>
      <c r="BG29" s="821"/>
      <c r="BH29" s="821"/>
      <c r="BI29" s="821"/>
      <c r="BJ29" s="821"/>
      <c r="BK29" s="818"/>
      <c r="BL29" s="822"/>
      <c r="BM29" s="822"/>
      <c r="BN29" s="822"/>
      <c r="BO29" s="822"/>
      <c r="BP29" s="822"/>
      <c r="BQ29" s="818"/>
      <c r="BR29" s="822"/>
      <c r="BS29" s="822"/>
      <c r="BT29" s="822"/>
      <c r="BU29" s="822"/>
      <c r="BV29" s="822"/>
      <c r="BW29" s="441"/>
      <c r="BX29" s="442"/>
      <c r="BY29" s="442"/>
      <c r="BZ29" s="442"/>
      <c r="CA29" s="442"/>
      <c r="CB29" s="442"/>
      <c r="CC29" s="442"/>
      <c r="CD29" s="442"/>
      <c r="CE29" s="442"/>
      <c r="CF29" s="442"/>
      <c r="CG29" s="285"/>
      <c r="CH29" s="878"/>
    </row>
    <row r="30" spans="1:86" ht="15" customHeight="1">
      <c r="A30" s="220"/>
      <c r="B30" s="879"/>
      <c r="C30" s="879"/>
      <c r="D30" s="879"/>
      <c r="E30" s="877"/>
      <c r="F30" s="877"/>
      <c r="G30" s="862"/>
      <c r="H30" s="864"/>
      <c r="I30" s="864"/>
      <c r="J30" s="864"/>
      <c r="K30" s="864"/>
      <c r="L30" s="864"/>
      <c r="M30" s="864"/>
      <c r="N30" s="864"/>
      <c r="O30" s="864"/>
      <c r="P30" s="864"/>
      <c r="Q30" s="864"/>
      <c r="R30" s="864"/>
      <c r="S30" s="864"/>
      <c r="T30" s="864"/>
      <c r="U30" s="864"/>
      <c r="V30" s="864"/>
      <c r="W30" s="864"/>
      <c r="X30" s="864"/>
      <c r="Y30" s="864"/>
      <c r="Z30" s="864"/>
      <c r="AA30" s="866"/>
      <c r="AB30" s="866"/>
      <c r="AC30" s="866"/>
      <c r="AD30" s="826"/>
      <c r="AE30" s="432" t="str">
        <f>IF(LEN(VLOOKUP(AA28,suvaha!$D$8:$H$27,2,FALSE))&lt;11,"",LEFT(RIGHT(VLOOKUP(AA28,suvaha!$D$8:$H$27,2,FALSE),11),1))</f>
        <v/>
      </c>
      <c r="AF30" s="255"/>
      <c r="AG30" s="432" t="str">
        <f>IF(LEN(VLOOKUP(AA28,suvaha!$D$8:$H$27,2,FALSE))&lt;10,"",LEFT(RIGHT(VLOOKUP(AA28,suvaha!$D$8:$H$27,2,FALSE),10),1))</f>
        <v/>
      </c>
      <c r="AH30" s="434"/>
      <c r="AI30" s="432" t="str">
        <f>IF(LEN(VLOOKUP(AA28,suvaha!$D$8:$H$27,2,FALSE))&lt;9,"",LEFT(RIGHT(VLOOKUP(AA28,suvaha!$D$8:$H$27,2,FALSE),9),1))</f>
        <v/>
      </c>
      <c r="AJ30" s="255"/>
      <c r="AK30" s="432" t="str">
        <f>IF(LEN(VLOOKUP(AA28,suvaha!$D$8:$H$27,2,FALSE))&lt;8,"",LEFT(RIGHT(VLOOKUP(AA28,suvaha!$D$8:$H$27,2,FALSE),8),1))</f>
        <v/>
      </c>
      <c r="AL30" s="434"/>
      <c r="AM30" s="432" t="str">
        <f>IF(LEN(VLOOKUP(AA28,suvaha!$D$8:$H$27,2,FALSE))&lt;7,"",LEFT(RIGHT(VLOOKUP(AA28,suvaha!$D$8:$H$27,2,FALSE),7),1))</f>
        <v/>
      </c>
      <c r="AN30" s="818"/>
      <c r="AO30" s="432" t="str">
        <f>IF(LEN(VLOOKUP(AA28,suvaha!$D$8:$H$27,2,FALSE))&lt;6,"",LEFT(RIGHT(VLOOKUP(AA28,suvaha!$D$8:$H$27,2,FALSE),6),1))</f>
        <v/>
      </c>
      <c r="AP30" s="434"/>
      <c r="AQ30" s="432" t="str">
        <f>IF(LEN(VLOOKUP(AA28,suvaha!$D$8:$H$27,2,FALSE))&lt;5,"",LEFT(RIGHT(VLOOKUP(AA28,suvaha!$D$8:$H$27,2,FALSE),5),1))</f>
        <v/>
      </c>
      <c r="AR30" s="434"/>
      <c r="AS30" s="432" t="str">
        <f>IF(LEN(VLOOKUP(AA28,suvaha!$D$8:$H$27,2,FALSE))&lt;4,"",LEFT(RIGHT(VLOOKUP(AA28,suvaha!$D$8:$H$27,2,FALSE),4),1))</f>
        <v/>
      </c>
      <c r="AT30" s="818"/>
      <c r="AU30" s="432" t="str">
        <f>IF(LEN(VLOOKUP(AA28,suvaha!$D$8:$H$27,2,FALSE))&lt;3,"",LEFT(RIGHT(VLOOKUP(AA28,suvaha!$D$8:$H$27,2,FALSE),3),1))</f>
        <v/>
      </c>
      <c r="AV30" s="434"/>
      <c r="AW30" s="432" t="str">
        <f>IF(LEN(VLOOKUP(AA28,suvaha!$D$8:$H$27,2,FALSE))&lt;2,"",LEFT(RIGHT(VLOOKUP(AA28,suvaha!$D$8:$H$27,2,FALSE),2),1))</f>
        <v/>
      </c>
      <c r="AX30" s="434"/>
      <c r="AY30" s="432" t="str">
        <f>IF(VLOOKUP(AA28,suvaha!$D$8:$H$27,2,FALSE)=0,"",IF(LEN(VLOOKUP(AA28,suvaha!$D$8:$H$27,2,FALSE))&lt;1,"",LEFT(RIGHT(VLOOKUP(AA28,suvaha!$D$8:$H$27,2,FALSE),1),1)))</f>
        <v/>
      </c>
      <c r="AZ30" s="827"/>
      <c r="BA30" s="826"/>
      <c r="BB30" s="432" t="str">
        <f>IF(LEN(VLOOKUP(AA28,suvaha!$D$8:$H$27,4,FALSE))&lt;11,"",LEFT(RIGHT(VLOOKUP(AA28,suvaha!$D$8:$H$27,4,FALSE),11),1))</f>
        <v/>
      </c>
      <c r="BC30" s="255"/>
      <c r="BD30" s="432" t="str">
        <f>IF(LEN(VLOOKUP(AA28,suvaha!$D$8:$H$27,4,FALSE))&lt;10,"",LEFT(RIGHT(VLOOKUP(AA28,suvaha!$D$8:$H$27,4,FALSE),10),1))</f>
        <v/>
      </c>
      <c r="BE30" s="434"/>
      <c r="BF30" s="432" t="str">
        <f>IF(LEN(VLOOKUP(AA28,suvaha!$D$8:$H$27,4,FALSE))&lt;9,"",LEFT(RIGHT(VLOOKUP(AA28,suvaha!$D$8:$H$27,4,FALSE),9),1))</f>
        <v/>
      </c>
      <c r="BG30" s="255"/>
      <c r="BH30" s="432" t="str">
        <f>IF(LEN(VLOOKUP(AA28,suvaha!$D$8:$H$27,4,FALSE))&lt;8,"",LEFT(RIGHT(VLOOKUP(AA28,suvaha!$D$8:$H$27,4,FALSE),8),1))</f>
        <v/>
      </c>
      <c r="BI30" s="434"/>
      <c r="BJ30" s="432" t="str">
        <f>IF(LEN(VLOOKUP(AA28,suvaha!$D$8:$H$27,4,FALSE))&lt;7,"",LEFT(RIGHT(VLOOKUP(AA28,suvaha!$D$8:$H$27,4,FALSE),7),1))</f>
        <v/>
      </c>
      <c r="BK30" s="818"/>
      <c r="BL30" s="432" t="str">
        <f>IF(LEN(VLOOKUP(AA28,suvaha!$D$8:$H$27,4,FALSE))&lt;6,"",LEFT(RIGHT(VLOOKUP(AA28,suvaha!$D$8:$H$27,4,FALSE),6),1))</f>
        <v/>
      </c>
      <c r="BM30" s="434"/>
      <c r="BN30" s="432" t="str">
        <f>IF(LEN(VLOOKUP(AA28,suvaha!$D$8:$H$27,4,FALSE))&lt;5,"",LEFT(RIGHT(VLOOKUP(AA28,suvaha!$D$8:$H$27,4,FALSE),5),1))</f>
        <v/>
      </c>
      <c r="BO30" s="434"/>
      <c r="BP30" s="432" t="str">
        <f>IF(LEN(VLOOKUP(AA28,suvaha!$D$8:$H$27,4,FALSE))&lt;4,"",LEFT(RIGHT(VLOOKUP(AA28,suvaha!$D$8:$H$27,4,FALSE),4),1))</f>
        <v/>
      </c>
      <c r="BQ30" s="818"/>
      <c r="BR30" s="432" t="str">
        <f>IF(LEN(VLOOKUP(AA28,suvaha!$D$8:$H$27,4,FALSE))&lt;3,"",LEFT(RIGHT(VLOOKUP(AA28,suvaha!$D$8:$H$27,4,FALSE),3),1))</f>
        <v/>
      </c>
      <c r="BS30" s="434"/>
      <c r="BT30" s="432" t="str">
        <f>IF(LEN(VLOOKUP(AA28,suvaha!$D$8:$H$27,4,FALSE))&lt;2,"",LEFT(RIGHT(VLOOKUP(AA28,suvaha!$D$8:$H$27,4,FALSE),2),1))</f>
        <v/>
      </c>
      <c r="BU30" s="434"/>
      <c r="BV30" s="432" t="str">
        <f>IF(VLOOKUP(AA28,suvaha!$D$8:$H$27,4,FALSE)=0,"",IF(LEN(VLOOKUP(AA28,suvaha!$D$8:$H$27,4,FALSE))&lt;1,"",LEFT(RIGHT(VLOOKUP(AA28,suvaha!$D$8:$H$27,4,FALSE),1),1)))</f>
        <v/>
      </c>
      <c r="BW30" s="441"/>
      <c r="BX30" s="442"/>
      <c r="BY30" s="442"/>
      <c r="BZ30" s="442"/>
      <c r="CA30" s="442"/>
      <c r="CB30" s="442"/>
      <c r="CC30" s="442"/>
      <c r="CD30" s="442"/>
      <c r="CE30" s="442"/>
      <c r="CF30" s="442"/>
      <c r="CG30" s="285"/>
      <c r="CH30" s="878"/>
    </row>
    <row r="31" spans="1:86" ht="3" customHeight="1">
      <c r="A31" s="220"/>
      <c r="B31" s="879"/>
      <c r="C31" s="879"/>
      <c r="D31" s="879"/>
      <c r="E31" s="877"/>
      <c r="F31" s="877"/>
      <c r="G31" s="862"/>
      <c r="H31" s="864"/>
      <c r="I31" s="864"/>
      <c r="J31" s="864"/>
      <c r="K31" s="864"/>
      <c r="L31" s="864"/>
      <c r="M31" s="864"/>
      <c r="N31" s="864"/>
      <c r="O31" s="864"/>
      <c r="P31" s="864"/>
      <c r="Q31" s="864"/>
      <c r="R31" s="864"/>
      <c r="S31" s="864"/>
      <c r="T31" s="864"/>
      <c r="U31" s="864"/>
      <c r="V31" s="864"/>
      <c r="W31" s="864"/>
      <c r="X31" s="864"/>
      <c r="Y31" s="864"/>
      <c r="Z31" s="864"/>
      <c r="AA31" s="866"/>
      <c r="AB31" s="866"/>
      <c r="AC31" s="866"/>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6"/>
      <c r="BB31" s="846"/>
      <c r="BC31" s="846"/>
      <c r="BD31" s="846"/>
      <c r="BE31" s="846"/>
      <c r="BF31" s="846"/>
      <c r="BG31" s="846"/>
      <c r="BH31" s="846"/>
      <c r="BI31" s="846"/>
      <c r="BJ31" s="846"/>
      <c r="BK31" s="846"/>
      <c r="BL31" s="846"/>
      <c r="BM31" s="846"/>
      <c r="BN31" s="846"/>
      <c r="BO31" s="846"/>
      <c r="BP31" s="846"/>
      <c r="BQ31" s="846"/>
      <c r="BR31" s="310"/>
      <c r="BS31" s="310"/>
      <c r="BT31" s="310"/>
      <c r="BU31" s="310"/>
      <c r="BV31" s="310"/>
      <c r="BW31" s="443"/>
      <c r="BX31" s="310"/>
      <c r="BY31" s="310"/>
      <c r="BZ31" s="310"/>
      <c r="CA31" s="310"/>
      <c r="CB31" s="310"/>
      <c r="CC31" s="310"/>
      <c r="CD31" s="310"/>
      <c r="CE31" s="310"/>
      <c r="CF31" s="310"/>
      <c r="CG31" s="286"/>
      <c r="CH31" s="220"/>
    </row>
    <row r="32" spans="1:86" ht="3" customHeight="1">
      <c r="A32" s="220"/>
      <c r="B32" s="879"/>
      <c r="C32" s="879"/>
      <c r="D32" s="879"/>
      <c r="E32" s="877"/>
      <c r="F32" s="877"/>
      <c r="G32" s="862"/>
      <c r="H32" s="864"/>
      <c r="I32" s="864"/>
      <c r="J32" s="864"/>
      <c r="K32" s="864"/>
      <c r="L32" s="864"/>
      <c r="M32" s="864"/>
      <c r="N32" s="864"/>
      <c r="O32" s="864"/>
      <c r="P32" s="864"/>
      <c r="Q32" s="864"/>
      <c r="R32" s="864"/>
      <c r="S32" s="864"/>
      <c r="T32" s="864"/>
      <c r="U32" s="864"/>
      <c r="V32" s="864"/>
      <c r="W32" s="864"/>
      <c r="X32" s="864"/>
      <c r="Y32" s="864"/>
      <c r="Z32" s="864"/>
      <c r="AA32" s="866"/>
      <c r="AB32" s="866"/>
      <c r="AC32" s="866"/>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447"/>
      <c r="BB32" s="304"/>
      <c r="BC32" s="304"/>
      <c r="BD32" s="304"/>
      <c r="BE32" s="304"/>
      <c r="BF32" s="304"/>
      <c r="BG32" s="304"/>
      <c r="BH32" s="304"/>
      <c r="BI32" s="304"/>
      <c r="BJ32" s="446"/>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284"/>
      <c r="CH32" s="220"/>
    </row>
    <row r="33" spans="1:86" ht="3" customHeight="1">
      <c r="A33" s="220"/>
      <c r="B33" s="879"/>
      <c r="C33" s="879"/>
      <c r="D33" s="879"/>
      <c r="E33" s="877"/>
      <c r="F33" s="877"/>
      <c r="G33" s="862"/>
      <c r="H33" s="864"/>
      <c r="I33" s="864"/>
      <c r="J33" s="864"/>
      <c r="K33" s="864"/>
      <c r="L33" s="864"/>
      <c r="M33" s="864"/>
      <c r="N33" s="864"/>
      <c r="O33" s="864"/>
      <c r="P33" s="864"/>
      <c r="Q33" s="864"/>
      <c r="R33" s="864"/>
      <c r="S33" s="864"/>
      <c r="T33" s="864"/>
      <c r="U33" s="864"/>
      <c r="V33" s="864"/>
      <c r="W33" s="864"/>
      <c r="X33" s="864"/>
      <c r="Y33" s="864"/>
      <c r="Z33" s="864"/>
      <c r="AA33" s="866"/>
      <c r="AB33" s="866"/>
      <c r="AC33" s="866"/>
      <c r="AD33" s="826"/>
      <c r="AE33" s="820"/>
      <c r="AF33" s="820"/>
      <c r="AG33" s="820"/>
      <c r="AH33" s="435"/>
      <c r="AI33" s="821"/>
      <c r="AJ33" s="821"/>
      <c r="AK33" s="821"/>
      <c r="AL33" s="821"/>
      <c r="AM33" s="821"/>
      <c r="AN33" s="818" t="s">
        <v>965</v>
      </c>
      <c r="AO33" s="822"/>
      <c r="AP33" s="822"/>
      <c r="AQ33" s="822"/>
      <c r="AR33" s="822"/>
      <c r="AS33" s="822"/>
      <c r="AT33" s="818" t="s">
        <v>965</v>
      </c>
      <c r="AU33" s="822"/>
      <c r="AV33" s="822"/>
      <c r="AW33" s="822"/>
      <c r="AX33" s="822"/>
      <c r="AY33" s="822"/>
      <c r="AZ33" s="827"/>
      <c r="BA33" s="448"/>
      <c r="BB33" s="442"/>
      <c r="BC33" s="442"/>
      <c r="BD33" s="442"/>
      <c r="BE33" s="442"/>
      <c r="BF33" s="442"/>
      <c r="BG33" s="442"/>
      <c r="BH33" s="442"/>
      <c r="BI33" s="442"/>
      <c r="BJ33" s="441"/>
      <c r="BK33" s="442"/>
      <c r="BL33" s="820"/>
      <c r="BM33" s="820"/>
      <c r="BN33" s="820"/>
      <c r="BO33" s="435"/>
      <c r="BP33" s="821"/>
      <c r="BQ33" s="821"/>
      <c r="BR33" s="821"/>
      <c r="BS33" s="821"/>
      <c r="BT33" s="821"/>
      <c r="BU33" s="818"/>
      <c r="BV33" s="822"/>
      <c r="BW33" s="822"/>
      <c r="BX33" s="822"/>
      <c r="BY33" s="822"/>
      <c r="BZ33" s="822"/>
      <c r="CA33" s="818"/>
      <c r="CB33" s="822"/>
      <c r="CC33" s="822"/>
      <c r="CD33" s="822"/>
      <c r="CE33" s="822"/>
      <c r="CF33" s="822"/>
      <c r="CG33" s="287"/>
      <c r="CH33" s="220"/>
    </row>
    <row r="34" spans="1:86" ht="15" customHeight="1">
      <c r="A34" s="220"/>
      <c r="B34" s="879"/>
      <c r="C34" s="879"/>
      <c r="D34" s="879"/>
      <c r="E34" s="877"/>
      <c r="F34" s="877"/>
      <c r="G34" s="862"/>
      <c r="H34" s="864"/>
      <c r="I34" s="864"/>
      <c r="J34" s="864"/>
      <c r="K34" s="864"/>
      <c r="L34" s="864"/>
      <c r="M34" s="864"/>
      <c r="N34" s="864"/>
      <c r="O34" s="864"/>
      <c r="P34" s="864"/>
      <c r="Q34" s="864"/>
      <c r="R34" s="864"/>
      <c r="S34" s="864"/>
      <c r="T34" s="864"/>
      <c r="U34" s="864"/>
      <c r="V34" s="864"/>
      <c r="W34" s="864"/>
      <c r="X34" s="864"/>
      <c r="Y34" s="864"/>
      <c r="Z34" s="864"/>
      <c r="AA34" s="866"/>
      <c r="AB34" s="866"/>
      <c r="AC34" s="866"/>
      <c r="AD34" s="826"/>
      <c r="AE34" s="432" t="str">
        <f>IF(LEN(VLOOKUP(AA28,suvaha!$D$8:$H$27,3,FALSE))&lt;11,"",LEFT(RIGHT(VLOOKUP(AA28,suvaha!$D$8:$H$27,3,FALSE),11),1))</f>
        <v/>
      </c>
      <c r="AF34" s="255" t="s">
        <v>965</v>
      </c>
      <c r="AG34" s="432" t="str">
        <f>IF(LEN(VLOOKUP(AA28,suvaha!$D$8:$H$27,3,FALSE))&lt;10,"",LEFT(RIGHT(VLOOKUP(AA28,suvaha!$D$8:$H$27,3,FALSE),10),1))</f>
        <v/>
      </c>
      <c r="AH34" s="434" t="s">
        <v>965</v>
      </c>
      <c r="AI34" s="432" t="str">
        <f>IF(LEN(VLOOKUP(AA28,suvaha!$D$8:$H$27,3,FALSE))&lt;9,"",LEFT(RIGHT(VLOOKUP(AA28,suvaha!$D$8:$H$27,3,FALSE),9),1))</f>
        <v/>
      </c>
      <c r="AJ34" s="255" t="s">
        <v>965</v>
      </c>
      <c r="AK34" s="432" t="str">
        <f>IF(LEN(VLOOKUP(AA28,suvaha!$D$8:$F$27,3,FALSE))&lt;8,"",LEFT(RIGHT(VLOOKUP(AA28,suvaha!$D$8:$F$27,3,FALSE),8),1))</f>
        <v/>
      </c>
      <c r="AL34" s="434" t="s">
        <v>965</v>
      </c>
      <c r="AM34" s="432" t="str">
        <f>IF(LEN(VLOOKUP(AA28,suvaha!$D$8:$H$27,3,FALSE))&lt;7,"",LEFT(RIGHT(VLOOKUP(AA28,suvaha!$D$8:$H$27,3,FALSE),7),1))</f>
        <v/>
      </c>
      <c r="AN34" s="818"/>
      <c r="AO34" s="432" t="str">
        <f>IF(LEN(VLOOKUP(AA28,suvaha!$D$8:$H$27,3,FALSE))&lt;6,"",LEFT(RIGHT(VLOOKUP(AA28,suvaha!$D$8:$H$27,3,FALSE),6),1))</f>
        <v/>
      </c>
      <c r="AP34" s="434" t="s">
        <v>965</v>
      </c>
      <c r="AQ34" s="432" t="str">
        <f>IF(LEN(VLOOKUP(AA28,suvaha!$D$8:$H$27,3,FALSE))&lt;5,"",LEFT(RIGHT(VLOOKUP(AA28,suvaha!$D$8:$H$27,3,FALSE),5),1))</f>
        <v/>
      </c>
      <c r="AR34" s="434" t="s">
        <v>965</v>
      </c>
      <c r="AS34" s="432" t="str">
        <f>IF(LEN(VLOOKUP(AA28,suvaha!$D$8:$H$27,3,FALSE))&lt;4,"",LEFT(RIGHT(VLOOKUP(AA28,suvaha!$D$8:$H$27,3,FALSE),4),1))</f>
        <v/>
      </c>
      <c r="AT34" s="818"/>
      <c r="AU34" s="432" t="str">
        <f>IF(LEN(VLOOKUP(AA28,suvaha!$D$8:$H$27,3,FALSE))&lt;3,"",LEFT(RIGHT(VLOOKUP(AA28,suvaha!$D$8:$H$27,3,FALSE),3),1))</f>
        <v/>
      </c>
      <c r="AV34" s="434" t="s">
        <v>965</v>
      </c>
      <c r="AW34" s="432" t="str">
        <f>IF(LEN(VLOOKUP(AA28,suvaha!$D$8:$H$27,3,FALSE))&lt;2,"",LEFT(RIGHT(VLOOKUP(AA28,suvaha!$D$8:$H$27,3,FALSE),2),1))</f>
        <v/>
      </c>
      <c r="AX34" s="434" t="s">
        <v>965</v>
      </c>
      <c r="AY34" s="432" t="str">
        <f>IF(VLOOKUP(AA28,suvaha!$D$8:$H$27,3,FALSE)=0,"",IF(LEN(VLOOKUP(AA28,suvaha!$D$8:$H$27,3,FALSE))&lt;1,"",LEFT(RIGHT(VLOOKUP(AA28,suvaha!$D$8:$H$27,3,FALSE),1),1)))</f>
        <v/>
      </c>
      <c r="AZ34" s="827"/>
      <c r="BA34" s="448"/>
      <c r="BB34" s="442"/>
      <c r="BC34" s="442"/>
      <c r="BD34" s="442"/>
      <c r="BE34" s="442"/>
      <c r="BF34" s="442"/>
      <c r="BG34" s="442"/>
      <c r="BH34" s="442"/>
      <c r="BI34" s="442"/>
      <c r="BJ34" s="441"/>
      <c r="BK34" s="442"/>
      <c r="BL34" s="432" t="str">
        <f>IF(LEN(VLOOKUP(AA28,suvaha!$D$8:$H$27,5,FALSE))&lt;11,"",LEFT(RIGHT(VLOOKUP(AA28,suvaha!$D$8:$H$27,5,FALSE),11),1))</f>
        <v/>
      </c>
      <c r="BM34" s="255" t="s">
        <v>965</v>
      </c>
      <c r="BN34" s="432" t="str">
        <f>IF(LEN(VLOOKUP(AA28,suvaha!$D$8:$H$27,5,FALSE))&lt;10,"",LEFT(RIGHT(VLOOKUP(AA28,suvaha!$D$8:$H$27,5,FALSE),10),1))</f>
        <v/>
      </c>
      <c r="BO34" s="434" t="s">
        <v>965</v>
      </c>
      <c r="BP34" s="432" t="str">
        <f>IF(LEN(VLOOKUP(AA28,suvaha!$D$8:$H$27,5,FALSE))&lt;9,"",LEFT(RIGHT(VLOOKUP(AA28,suvaha!$D$8:$H$27,5,FALSE),9),1))</f>
        <v/>
      </c>
      <c r="BQ34" s="255" t="s">
        <v>965</v>
      </c>
      <c r="BR34" s="432" t="str">
        <f>IF(LEN(VLOOKUP(AA28,suvaha!$D$8:$H$27,5,FALSE))&lt;8,"",LEFT(RIGHT(VLOOKUP(AA28,suvaha!$D$8:$H$27,5,FALSE),8),1))</f>
        <v/>
      </c>
      <c r="BS34" s="434" t="s">
        <v>965</v>
      </c>
      <c r="BT34" s="432" t="str">
        <f>IF(LEN(VLOOKUP(AA28,suvaha!$D$8:$H$27,5,FALSE))&lt;7,"",LEFT(RIGHT(VLOOKUP(AA28,suvaha!$D$8:$H$27,5,FALSE),7),1))</f>
        <v/>
      </c>
      <c r="BU34" s="818" t="s">
        <v>965</v>
      </c>
      <c r="BV34" s="432" t="str">
        <f>IF(LEN(VLOOKUP(AA28,suvaha!$D$8:$H$27,5,FALSE))&lt;6,"",LEFT(RIGHT(VLOOKUP(AA28,suvaha!$D$8:$H$27,5,FALSE),6),1))</f>
        <v/>
      </c>
      <c r="BW34" s="434" t="s">
        <v>965</v>
      </c>
      <c r="BX34" s="432" t="str">
        <f>IF(LEN(VLOOKUP(AA28,suvaha!$D$8:$H$27,5,FALSE))&lt;5,"",LEFT(RIGHT(VLOOKUP(AA28,suvaha!$D$8:$H$27,5,FALSE),5),1))</f>
        <v/>
      </c>
      <c r="BY34" s="434" t="s">
        <v>965</v>
      </c>
      <c r="BZ34" s="432" t="str">
        <f>IF(LEN(VLOOKUP(AA28,suvaha!$D$8:$H$27,5,FALSE))&lt;4,"",LEFT(RIGHT(VLOOKUP(AA28,suvaha!$D$8:$H$27,5,FALSE),4),1))</f>
        <v/>
      </c>
      <c r="CA34" s="818" t="s">
        <v>965</v>
      </c>
      <c r="CB34" s="432" t="str">
        <f>IF(LEN(VLOOKUP(AA28,suvaha!$D$8:$H$27,5,FALSE))&lt;3,"",LEFT(RIGHT(VLOOKUP(AA28,suvaha!$D$8:$H$27,5,FALSE),3),1))</f>
        <v/>
      </c>
      <c r="CC34" s="434" t="s">
        <v>965</v>
      </c>
      <c r="CD34" s="432" t="str">
        <f>IF(LEN(VLOOKUP(AA28,suvaha!$D$8:$H$27,5,FALSE))&lt;2,"",LEFT(RIGHT(VLOOKUP(AA28,suvaha!$D$8:$H$27,5,FALSE),2),1))</f>
        <v/>
      </c>
      <c r="CE34" s="434" t="s">
        <v>1540</v>
      </c>
      <c r="CF34" s="432" t="str">
        <f>IF(VLOOKUP(AA28,suvaha!$D$8:$H$27,5,FALSE)=0,"",IF(LEN(VLOOKUP(AA28,suvaha!$D$8:$H$27,5,FALSE))&lt;1,"",LEFT(RIGHT(VLOOKUP(AA28,suvaha!$D$8:$H$27,5,FALSE),1),1)))</f>
        <v/>
      </c>
      <c r="CG34" s="287"/>
      <c r="CH34" s="220"/>
    </row>
    <row r="35" spans="1:86" ht="3" customHeight="1">
      <c r="A35" s="220"/>
      <c r="B35" s="879"/>
      <c r="C35" s="879"/>
      <c r="D35" s="879"/>
      <c r="E35" s="877"/>
      <c r="F35" s="877"/>
      <c r="G35" s="862"/>
      <c r="H35" s="864"/>
      <c r="I35" s="864"/>
      <c r="J35" s="864"/>
      <c r="K35" s="864"/>
      <c r="L35" s="864"/>
      <c r="M35" s="864"/>
      <c r="N35" s="864"/>
      <c r="O35" s="864"/>
      <c r="P35" s="864"/>
      <c r="Q35" s="864"/>
      <c r="R35" s="864"/>
      <c r="S35" s="864"/>
      <c r="T35" s="864"/>
      <c r="U35" s="864"/>
      <c r="V35" s="864"/>
      <c r="W35" s="864"/>
      <c r="X35" s="864"/>
      <c r="Y35" s="864"/>
      <c r="Z35" s="864"/>
      <c r="AA35" s="866"/>
      <c r="AB35" s="866"/>
      <c r="AC35" s="866"/>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449"/>
      <c r="BB35" s="310"/>
      <c r="BC35" s="310"/>
      <c r="BD35" s="310"/>
      <c r="BE35" s="310"/>
      <c r="BF35" s="310"/>
      <c r="BG35" s="310"/>
      <c r="BH35" s="310"/>
      <c r="BI35" s="310"/>
      <c r="BJ35" s="443"/>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286"/>
    </row>
    <row r="36" spans="1:86" s="250" customFormat="1" ht="3" customHeight="1">
      <c r="A36" s="220"/>
      <c r="B36" s="879"/>
      <c r="C36" s="879"/>
      <c r="D36" s="879"/>
      <c r="E36" s="877" t="s">
        <v>1547</v>
      </c>
      <c r="F36" s="877"/>
      <c r="G36" s="862"/>
      <c r="H36" s="864" t="str">
        <f>Index!C69</f>
        <v>Obstarávaný dlhodobý hmotný majetok (042) - 094</v>
      </c>
      <c r="I36" s="864"/>
      <c r="J36" s="864"/>
      <c r="K36" s="864"/>
      <c r="L36" s="864"/>
      <c r="M36" s="864"/>
      <c r="N36" s="864"/>
      <c r="O36" s="864"/>
      <c r="P36" s="864"/>
      <c r="Q36" s="864"/>
      <c r="R36" s="864"/>
      <c r="S36" s="864"/>
      <c r="T36" s="864"/>
      <c r="U36" s="864"/>
      <c r="V36" s="864"/>
      <c r="W36" s="864"/>
      <c r="X36" s="864"/>
      <c r="Y36" s="864"/>
      <c r="Z36" s="864"/>
      <c r="AA36" s="866" t="s">
        <v>1558</v>
      </c>
      <c r="AB36" s="866"/>
      <c r="AC36" s="866"/>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67"/>
      <c r="BB36" s="867"/>
      <c r="BC36" s="867"/>
      <c r="BD36" s="867"/>
      <c r="BE36" s="867"/>
      <c r="BF36" s="867"/>
      <c r="BG36" s="867"/>
      <c r="BH36" s="867"/>
      <c r="BI36" s="867"/>
      <c r="BJ36" s="867"/>
      <c r="BK36" s="867"/>
      <c r="BL36" s="867"/>
      <c r="BM36" s="867"/>
      <c r="BN36" s="867"/>
      <c r="BO36" s="867"/>
      <c r="BP36" s="867"/>
      <c r="BQ36" s="867"/>
      <c r="BR36" s="304"/>
      <c r="BS36" s="304"/>
      <c r="BT36" s="304"/>
      <c r="BU36" s="304"/>
      <c r="BV36" s="304"/>
      <c r="BW36" s="446"/>
      <c r="BX36" s="304"/>
      <c r="BY36" s="304"/>
      <c r="BZ36" s="304"/>
      <c r="CA36" s="304"/>
      <c r="CB36" s="304"/>
      <c r="CC36" s="304"/>
      <c r="CD36" s="304"/>
      <c r="CE36" s="304"/>
      <c r="CF36" s="304"/>
      <c r="CG36" s="284"/>
    </row>
    <row r="37" spans="1:86" s="250" customFormat="1" ht="3" customHeight="1">
      <c r="A37" s="220"/>
      <c r="B37" s="879"/>
      <c r="C37" s="879"/>
      <c r="D37" s="879"/>
      <c r="E37" s="877"/>
      <c r="F37" s="877"/>
      <c r="G37" s="862"/>
      <c r="H37" s="864"/>
      <c r="I37" s="864"/>
      <c r="J37" s="864"/>
      <c r="K37" s="864"/>
      <c r="L37" s="864"/>
      <c r="M37" s="864"/>
      <c r="N37" s="864"/>
      <c r="O37" s="864"/>
      <c r="P37" s="864"/>
      <c r="Q37" s="864"/>
      <c r="R37" s="864"/>
      <c r="S37" s="864"/>
      <c r="T37" s="864"/>
      <c r="U37" s="864"/>
      <c r="V37" s="864"/>
      <c r="W37" s="864"/>
      <c r="X37" s="864"/>
      <c r="Y37" s="864"/>
      <c r="Z37" s="864"/>
      <c r="AA37" s="866"/>
      <c r="AB37" s="866"/>
      <c r="AC37" s="866"/>
      <c r="AD37" s="826"/>
      <c r="AE37" s="820"/>
      <c r="AF37" s="820"/>
      <c r="AG37" s="820"/>
      <c r="AH37" s="435"/>
      <c r="AI37" s="821"/>
      <c r="AJ37" s="821"/>
      <c r="AK37" s="821"/>
      <c r="AL37" s="821"/>
      <c r="AM37" s="821"/>
      <c r="AN37" s="818"/>
      <c r="AO37" s="822"/>
      <c r="AP37" s="822"/>
      <c r="AQ37" s="822"/>
      <c r="AR37" s="822"/>
      <c r="AS37" s="822"/>
      <c r="AT37" s="818"/>
      <c r="AU37" s="822"/>
      <c r="AV37" s="822"/>
      <c r="AW37" s="822"/>
      <c r="AX37" s="822"/>
      <c r="AY37" s="822"/>
      <c r="AZ37" s="827"/>
      <c r="BA37" s="826"/>
      <c r="BB37" s="820"/>
      <c r="BC37" s="820"/>
      <c r="BD37" s="820"/>
      <c r="BE37" s="435"/>
      <c r="BF37" s="821"/>
      <c r="BG37" s="821"/>
      <c r="BH37" s="821"/>
      <c r="BI37" s="821"/>
      <c r="BJ37" s="821"/>
      <c r="BK37" s="818"/>
      <c r="BL37" s="822"/>
      <c r="BM37" s="822"/>
      <c r="BN37" s="822"/>
      <c r="BO37" s="822"/>
      <c r="BP37" s="822"/>
      <c r="BQ37" s="818"/>
      <c r="BR37" s="822"/>
      <c r="BS37" s="822"/>
      <c r="BT37" s="822"/>
      <c r="BU37" s="822"/>
      <c r="BV37" s="822"/>
      <c r="BW37" s="441"/>
      <c r="BX37" s="442"/>
      <c r="BY37" s="442"/>
      <c r="BZ37" s="442"/>
      <c r="CA37" s="442"/>
      <c r="CB37" s="442"/>
      <c r="CC37" s="442"/>
      <c r="CD37" s="442"/>
      <c r="CE37" s="442"/>
      <c r="CF37" s="442"/>
      <c r="CG37" s="285"/>
    </row>
    <row r="38" spans="1:86" ht="15" customHeight="1">
      <c r="A38" s="220"/>
      <c r="B38" s="879"/>
      <c r="C38" s="879"/>
      <c r="D38" s="879"/>
      <c r="E38" s="877"/>
      <c r="F38" s="877"/>
      <c r="G38" s="862"/>
      <c r="H38" s="864"/>
      <c r="I38" s="864"/>
      <c r="J38" s="864"/>
      <c r="K38" s="864"/>
      <c r="L38" s="864"/>
      <c r="M38" s="864"/>
      <c r="N38" s="864"/>
      <c r="O38" s="864"/>
      <c r="P38" s="864"/>
      <c r="Q38" s="864"/>
      <c r="R38" s="864"/>
      <c r="S38" s="864"/>
      <c r="T38" s="864"/>
      <c r="U38" s="864"/>
      <c r="V38" s="864"/>
      <c r="W38" s="864"/>
      <c r="X38" s="864"/>
      <c r="Y38" s="864"/>
      <c r="Z38" s="864"/>
      <c r="AA38" s="866"/>
      <c r="AB38" s="866"/>
      <c r="AC38" s="866"/>
      <c r="AD38" s="826"/>
      <c r="AE38" s="432" t="str">
        <f>IF(LEN(VLOOKUP(AA36,suvaha!$D$8:$H$27,2,FALSE))&lt;11,"",LEFT(RIGHT(VLOOKUP(AA36,suvaha!$D$8:$H$27,2,FALSE),11),1))</f>
        <v/>
      </c>
      <c r="AF38" s="255"/>
      <c r="AG38" s="432" t="str">
        <f>IF(LEN(VLOOKUP(AA36,suvaha!$D$8:$H$27,2,FALSE))&lt;10,"",LEFT(RIGHT(VLOOKUP(AA36,suvaha!$D$8:$H$27,2,FALSE),10),1))</f>
        <v/>
      </c>
      <c r="AH38" s="434"/>
      <c r="AI38" s="432" t="str">
        <f>IF(LEN(VLOOKUP(AA36,suvaha!$D$8:$H$27,2,FALSE))&lt;9,"",LEFT(RIGHT(VLOOKUP(AA36,suvaha!$D$8:$H$27,2,FALSE),9),1))</f>
        <v/>
      </c>
      <c r="AJ38" s="255"/>
      <c r="AK38" s="432" t="str">
        <f>IF(LEN(VLOOKUP(AA36,suvaha!$D$8:$H$27,2,FALSE))&lt;8,"",LEFT(RIGHT(VLOOKUP(AA36,suvaha!$D$8:$H$27,2,FALSE),8),1))</f>
        <v/>
      </c>
      <c r="AL38" s="434"/>
      <c r="AM38" s="432" t="str">
        <f>IF(LEN(VLOOKUP(AA36,suvaha!$D$8:$H$27,2,FALSE))&lt;7,"",LEFT(RIGHT(VLOOKUP(AA36,suvaha!$D$8:$H$27,2,FALSE),7),1))</f>
        <v/>
      </c>
      <c r="AN38" s="818"/>
      <c r="AO38" s="432" t="str">
        <f>IF(LEN(VLOOKUP(AA36,suvaha!$D$8:$H$27,2,FALSE))&lt;6,"",LEFT(RIGHT(VLOOKUP(AA36,suvaha!$D$8:$H$27,2,FALSE),6),1))</f>
        <v/>
      </c>
      <c r="AP38" s="434"/>
      <c r="AQ38" s="432" t="str">
        <f>IF(LEN(VLOOKUP(AA36,suvaha!$D$8:$H$27,2,FALSE))&lt;5,"",LEFT(RIGHT(VLOOKUP(AA36,suvaha!$D$8:$H$27,2,FALSE),5),1))</f>
        <v/>
      </c>
      <c r="AR38" s="434"/>
      <c r="AS38" s="432" t="str">
        <f>IF(LEN(VLOOKUP(AA36,suvaha!$D$8:$H$27,2,FALSE))&lt;4,"",LEFT(RIGHT(VLOOKUP(AA36,suvaha!$D$8:$H$27,2,FALSE),4),1))</f>
        <v/>
      </c>
      <c r="AT38" s="818"/>
      <c r="AU38" s="432" t="str">
        <f>IF(LEN(VLOOKUP(AA36,suvaha!$D$8:$H$27,2,FALSE))&lt;3,"",LEFT(RIGHT(VLOOKUP(AA36,suvaha!$D$8:$H$27,2,FALSE),3),1))</f>
        <v/>
      </c>
      <c r="AV38" s="434"/>
      <c r="AW38" s="432" t="str">
        <f>IF(LEN(VLOOKUP(AA36,suvaha!$D$8:$H$27,2,FALSE))&lt;2,"",LEFT(RIGHT(VLOOKUP(AA36,suvaha!$D$8:$H$27,2,FALSE),2),1))</f>
        <v/>
      </c>
      <c r="AX38" s="434"/>
      <c r="AY38" s="432" t="str">
        <f>IF(VLOOKUP(AA36,suvaha!$D$8:$H$27,2,FALSE)=0,"",IF(LEN(VLOOKUP(AA36,suvaha!$D$8:$H$27,2,FALSE))&lt;1,"",LEFT(RIGHT(VLOOKUP(AA36,suvaha!$D$8:$H$27,2,FALSE),1),1)))</f>
        <v/>
      </c>
      <c r="AZ38" s="827"/>
      <c r="BA38" s="826"/>
      <c r="BB38" s="432" t="str">
        <f>IF(LEN(VLOOKUP(AA36,suvaha!$D$8:$H$27,4,FALSE))&lt;11,"",LEFT(RIGHT(VLOOKUP(AA36,suvaha!$D$8:$H$27,4,FALSE),11),1))</f>
        <v/>
      </c>
      <c r="BC38" s="255"/>
      <c r="BD38" s="432" t="str">
        <f>IF(LEN(VLOOKUP(AA36,suvaha!$D$8:$H$27,4,FALSE))&lt;10,"",LEFT(RIGHT(VLOOKUP(AA36,suvaha!$D$8:$H$27,4,FALSE),10),1))</f>
        <v/>
      </c>
      <c r="BE38" s="434"/>
      <c r="BF38" s="432" t="str">
        <f>IF(LEN(VLOOKUP(AA36,suvaha!$D$8:$H$27,4,FALSE))&lt;9,"",LEFT(RIGHT(VLOOKUP(AA36,suvaha!$D$8:$H$27,4,FALSE),9),1))</f>
        <v/>
      </c>
      <c r="BG38" s="255"/>
      <c r="BH38" s="432" t="str">
        <f>IF(LEN(VLOOKUP(AA36,suvaha!$D$8:$H$27,4,FALSE))&lt;8,"",LEFT(RIGHT(VLOOKUP(AA36,suvaha!$D$8:$H$27,4,FALSE),8),1))</f>
        <v/>
      </c>
      <c r="BI38" s="434"/>
      <c r="BJ38" s="432" t="str">
        <f>IF(LEN(VLOOKUP(AA36,suvaha!$D$8:$H$27,4,FALSE))&lt;7,"",LEFT(RIGHT(VLOOKUP(AA36,suvaha!$D$8:$H$27,4,FALSE),7),1))</f>
        <v/>
      </c>
      <c r="BK38" s="818"/>
      <c r="BL38" s="432" t="str">
        <f>IF(LEN(VLOOKUP(AA36,suvaha!$D$8:$H$27,4,FALSE))&lt;6,"",LEFT(RIGHT(VLOOKUP(AA36,suvaha!$D$8:$H$27,4,FALSE),6),1))</f>
        <v/>
      </c>
      <c r="BM38" s="434"/>
      <c r="BN38" s="432" t="str">
        <f>IF(LEN(VLOOKUP(AA36,suvaha!$D$8:$H$27,4,FALSE))&lt;5,"",LEFT(RIGHT(VLOOKUP(AA36,suvaha!$D$8:$H$27,4,FALSE),5),1))</f>
        <v/>
      </c>
      <c r="BO38" s="434"/>
      <c r="BP38" s="432" t="str">
        <f>IF(LEN(VLOOKUP(AA36,suvaha!$D$8:$H$27,4,FALSE))&lt;4,"",LEFT(RIGHT(VLOOKUP(AA36,suvaha!$D$8:$H$27,4,FALSE),4),1))</f>
        <v/>
      </c>
      <c r="BQ38" s="818"/>
      <c r="BR38" s="432" t="str">
        <f>IF(LEN(VLOOKUP(AA36,suvaha!$D$8:$H$27,4,FALSE))&lt;3,"",LEFT(RIGHT(VLOOKUP(AA36,suvaha!$D$8:$H$27,4,FALSE),3),1))</f>
        <v/>
      </c>
      <c r="BS38" s="434"/>
      <c r="BT38" s="432" t="str">
        <f>IF(LEN(VLOOKUP(AA36,suvaha!$D$8:$H$27,4,FALSE))&lt;2,"",LEFT(RIGHT(VLOOKUP(AA36,suvaha!$D$8:$H$27,4,FALSE),2),1))</f>
        <v/>
      </c>
      <c r="BU38" s="434"/>
      <c r="BV38" s="432" t="str">
        <f>IF(VLOOKUP(AA36,suvaha!$D$8:$H$27,4,FALSE)=0,"",IF(LEN(VLOOKUP(AA36,suvaha!$D$8:$H$27,4,FALSE))&lt;1,"",LEFT(RIGHT(VLOOKUP(AA36,suvaha!$D$8:$H$27,4,FALSE),1),1)))</f>
        <v/>
      </c>
      <c r="BW38" s="441"/>
      <c r="BX38" s="442"/>
      <c r="BY38" s="442"/>
      <c r="BZ38" s="442"/>
      <c r="CA38" s="442"/>
      <c r="CB38" s="442"/>
      <c r="CC38" s="442"/>
      <c r="CD38" s="442"/>
      <c r="CE38" s="442"/>
      <c r="CF38" s="442"/>
      <c r="CG38" s="285"/>
    </row>
    <row r="39" spans="1:86" ht="3" customHeight="1">
      <c r="A39" s="220"/>
      <c r="B39" s="879"/>
      <c r="C39" s="879"/>
      <c r="D39" s="879"/>
      <c r="E39" s="877"/>
      <c r="F39" s="877"/>
      <c r="G39" s="862"/>
      <c r="H39" s="864"/>
      <c r="I39" s="864"/>
      <c r="J39" s="864"/>
      <c r="K39" s="864"/>
      <c r="L39" s="864"/>
      <c r="M39" s="864"/>
      <c r="N39" s="864"/>
      <c r="O39" s="864"/>
      <c r="P39" s="864"/>
      <c r="Q39" s="864"/>
      <c r="R39" s="864"/>
      <c r="S39" s="864"/>
      <c r="T39" s="864"/>
      <c r="U39" s="864"/>
      <c r="V39" s="864"/>
      <c r="W39" s="864"/>
      <c r="X39" s="864"/>
      <c r="Y39" s="864"/>
      <c r="Z39" s="864"/>
      <c r="AA39" s="866"/>
      <c r="AB39" s="866"/>
      <c r="AC39" s="866"/>
      <c r="AD39" s="845"/>
      <c r="AE39" s="845"/>
      <c r="AF39" s="845"/>
      <c r="AG39" s="845"/>
      <c r="AH39" s="845"/>
      <c r="AI39" s="845"/>
      <c r="AJ39" s="845"/>
      <c r="AK39" s="845"/>
      <c r="AL39" s="845"/>
      <c r="AM39" s="845"/>
      <c r="AN39" s="845"/>
      <c r="AO39" s="845"/>
      <c r="AP39" s="845"/>
      <c r="AQ39" s="845"/>
      <c r="AR39" s="845"/>
      <c r="AS39" s="845"/>
      <c r="AT39" s="845"/>
      <c r="AU39" s="845"/>
      <c r="AV39" s="845"/>
      <c r="AW39" s="845"/>
      <c r="AX39" s="845"/>
      <c r="AY39" s="845"/>
      <c r="AZ39" s="845"/>
      <c r="BA39" s="846"/>
      <c r="BB39" s="846"/>
      <c r="BC39" s="846"/>
      <c r="BD39" s="846"/>
      <c r="BE39" s="846"/>
      <c r="BF39" s="846"/>
      <c r="BG39" s="846"/>
      <c r="BH39" s="846"/>
      <c r="BI39" s="846"/>
      <c r="BJ39" s="846"/>
      <c r="BK39" s="846"/>
      <c r="BL39" s="846"/>
      <c r="BM39" s="846"/>
      <c r="BN39" s="846"/>
      <c r="BO39" s="846"/>
      <c r="BP39" s="846"/>
      <c r="BQ39" s="846"/>
      <c r="BR39" s="310"/>
      <c r="BS39" s="310"/>
      <c r="BT39" s="310"/>
      <c r="BU39" s="310"/>
      <c r="BV39" s="310"/>
      <c r="BW39" s="443"/>
      <c r="BX39" s="310"/>
      <c r="BY39" s="310"/>
      <c r="BZ39" s="310"/>
      <c r="CA39" s="310"/>
      <c r="CB39" s="310"/>
      <c r="CC39" s="310"/>
      <c r="CD39" s="310"/>
      <c r="CE39" s="310"/>
      <c r="CF39" s="310"/>
      <c r="CG39" s="286"/>
    </row>
    <row r="40" spans="1:86" ht="3" customHeight="1">
      <c r="A40" s="220"/>
      <c r="B40" s="879"/>
      <c r="C40" s="879"/>
      <c r="D40" s="879"/>
      <c r="E40" s="877"/>
      <c r="F40" s="877"/>
      <c r="G40" s="862"/>
      <c r="H40" s="864"/>
      <c r="I40" s="864"/>
      <c r="J40" s="864"/>
      <c r="K40" s="864"/>
      <c r="L40" s="864"/>
      <c r="M40" s="864"/>
      <c r="N40" s="864"/>
      <c r="O40" s="864"/>
      <c r="P40" s="864"/>
      <c r="Q40" s="864"/>
      <c r="R40" s="864"/>
      <c r="S40" s="864"/>
      <c r="T40" s="864"/>
      <c r="U40" s="864"/>
      <c r="V40" s="864"/>
      <c r="W40" s="864"/>
      <c r="X40" s="864"/>
      <c r="Y40" s="864"/>
      <c r="Z40" s="864"/>
      <c r="AA40" s="866"/>
      <c r="AB40" s="866"/>
      <c r="AC40" s="866"/>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447"/>
      <c r="BB40" s="304"/>
      <c r="BC40" s="304"/>
      <c r="BD40" s="304"/>
      <c r="BE40" s="304"/>
      <c r="BF40" s="304"/>
      <c r="BG40" s="304"/>
      <c r="BH40" s="304"/>
      <c r="BI40" s="304"/>
      <c r="BJ40" s="446"/>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284"/>
    </row>
    <row r="41" spans="1:86" ht="3" customHeight="1">
      <c r="A41" s="220"/>
      <c r="B41" s="879"/>
      <c r="C41" s="879"/>
      <c r="D41" s="879"/>
      <c r="E41" s="877"/>
      <c r="F41" s="877"/>
      <c r="G41" s="862"/>
      <c r="H41" s="864"/>
      <c r="I41" s="864"/>
      <c r="J41" s="864"/>
      <c r="K41" s="864"/>
      <c r="L41" s="864"/>
      <c r="M41" s="864"/>
      <c r="N41" s="864"/>
      <c r="O41" s="864"/>
      <c r="P41" s="864"/>
      <c r="Q41" s="864"/>
      <c r="R41" s="864"/>
      <c r="S41" s="864"/>
      <c r="T41" s="864"/>
      <c r="U41" s="864"/>
      <c r="V41" s="864"/>
      <c r="W41" s="864"/>
      <c r="X41" s="864"/>
      <c r="Y41" s="864"/>
      <c r="Z41" s="864"/>
      <c r="AA41" s="866"/>
      <c r="AB41" s="866"/>
      <c r="AC41" s="866"/>
      <c r="AD41" s="826"/>
      <c r="AE41" s="820"/>
      <c r="AF41" s="820"/>
      <c r="AG41" s="820"/>
      <c r="AH41" s="435"/>
      <c r="AI41" s="821"/>
      <c r="AJ41" s="821"/>
      <c r="AK41" s="821"/>
      <c r="AL41" s="821"/>
      <c r="AM41" s="821"/>
      <c r="AN41" s="818" t="s">
        <v>965</v>
      </c>
      <c r="AO41" s="822"/>
      <c r="AP41" s="822"/>
      <c r="AQ41" s="822"/>
      <c r="AR41" s="822"/>
      <c r="AS41" s="822"/>
      <c r="AT41" s="818" t="s">
        <v>965</v>
      </c>
      <c r="AU41" s="822"/>
      <c r="AV41" s="822"/>
      <c r="AW41" s="822"/>
      <c r="AX41" s="822"/>
      <c r="AY41" s="822"/>
      <c r="AZ41" s="827"/>
      <c r="BA41" s="448"/>
      <c r="BB41" s="442"/>
      <c r="BC41" s="442"/>
      <c r="BD41" s="442"/>
      <c r="BE41" s="442"/>
      <c r="BF41" s="442"/>
      <c r="BG41" s="442"/>
      <c r="BH41" s="442"/>
      <c r="BI41" s="442"/>
      <c r="BJ41" s="441"/>
      <c r="BK41" s="442"/>
      <c r="BL41" s="820"/>
      <c r="BM41" s="820"/>
      <c r="BN41" s="820"/>
      <c r="BO41" s="435"/>
      <c r="BP41" s="821"/>
      <c r="BQ41" s="821"/>
      <c r="BR41" s="821"/>
      <c r="BS41" s="821"/>
      <c r="BT41" s="821"/>
      <c r="BU41" s="818"/>
      <c r="BV41" s="822"/>
      <c r="BW41" s="822"/>
      <c r="BX41" s="822"/>
      <c r="BY41" s="822"/>
      <c r="BZ41" s="822"/>
      <c r="CA41" s="818"/>
      <c r="CB41" s="822"/>
      <c r="CC41" s="822"/>
      <c r="CD41" s="822"/>
      <c r="CE41" s="822"/>
      <c r="CF41" s="822"/>
      <c r="CG41" s="287"/>
    </row>
    <row r="42" spans="1:86" ht="15" customHeight="1">
      <c r="A42" s="220"/>
      <c r="B42" s="879"/>
      <c r="C42" s="879"/>
      <c r="D42" s="879"/>
      <c r="E42" s="877"/>
      <c r="F42" s="877"/>
      <c r="G42" s="862"/>
      <c r="H42" s="864"/>
      <c r="I42" s="864"/>
      <c r="J42" s="864"/>
      <c r="K42" s="864"/>
      <c r="L42" s="864"/>
      <c r="M42" s="864"/>
      <c r="N42" s="864"/>
      <c r="O42" s="864"/>
      <c r="P42" s="864"/>
      <c r="Q42" s="864"/>
      <c r="R42" s="864"/>
      <c r="S42" s="864"/>
      <c r="T42" s="864"/>
      <c r="U42" s="864"/>
      <c r="V42" s="864"/>
      <c r="W42" s="864"/>
      <c r="X42" s="864"/>
      <c r="Y42" s="864"/>
      <c r="Z42" s="864"/>
      <c r="AA42" s="866"/>
      <c r="AB42" s="866"/>
      <c r="AC42" s="866"/>
      <c r="AD42" s="826"/>
      <c r="AE42" s="432" t="str">
        <f>IF(LEN(VLOOKUP(AA36,suvaha!$D$8:$H$27,3,FALSE))&lt;11,"",LEFT(RIGHT(VLOOKUP(AA36,suvaha!$D$8:$H$27,3,FALSE),11),1))</f>
        <v/>
      </c>
      <c r="AF42" s="255" t="s">
        <v>965</v>
      </c>
      <c r="AG42" s="432" t="str">
        <f>IF(LEN(VLOOKUP(AA36,suvaha!$D$8:$H$27,3,FALSE))&lt;10,"",LEFT(RIGHT(VLOOKUP(AA36,suvaha!$D$8:$H$27,3,FALSE),10),1))</f>
        <v/>
      </c>
      <c r="AH42" s="434" t="s">
        <v>965</v>
      </c>
      <c r="AI42" s="432" t="str">
        <f>IF(LEN(VLOOKUP(AA36,suvaha!$D$8:$H$27,3,FALSE))&lt;9,"",LEFT(RIGHT(VLOOKUP(AA36,suvaha!$D$8:$H$27,3,FALSE),9),1))</f>
        <v/>
      </c>
      <c r="AJ42" s="255" t="s">
        <v>965</v>
      </c>
      <c r="AK42" s="432" t="str">
        <f>IF(LEN(VLOOKUP(AA36,suvaha!$D$8:$F$27,3,FALSE))&lt;8,"",LEFT(RIGHT(VLOOKUP(AA36,suvaha!$D$8:$F$27,3,FALSE),8),1))</f>
        <v/>
      </c>
      <c r="AL42" s="434" t="s">
        <v>965</v>
      </c>
      <c r="AM42" s="432" t="str">
        <f>IF(LEN(VLOOKUP(AA36,suvaha!$D$8:$H$27,3,FALSE))&lt;7,"",LEFT(RIGHT(VLOOKUP(AA36,suvaha!$D$8:$H$27,3,FALSE),7),1))</f>
        <v/>
      </c>
      <c r="AN42" s="818"/>
      <c r="AO42" s="432" t="str">
        <f>IF(LEN(VLOOKUP(AA36,suvaha!$D$8:$H$27,3,FALSE))&lt;6,"",LEFT(RIGHT(VLOOKUP(AA36,suvaha!$D$8:$H$27,3,FALSE),6),1))</f>
        <v/>
      </c>
      <c r="AP42" s="434" t="s">
        <v>965</v>
      </c>
      <c r="AQ42" s="432" t="str">
        <f>IF(LEN(VLOOKUP(AA36,suvaha!$D$8:$H$27,3,FALSE))&lt;5,"",LEFT(RIGHT(VLOOKUP(AA36,suvaha!$D$8:$H$27,3,FALSE),5),1))</f>
        <v/>
      </c>
      <c r="AR42" s="434" t="s">
        <v>965</v>
      </c>
      <c r="AS42" s="432" t="str">
        <f>IF(LEN(VLOOKUP(AA36,suvaha!$D$8:$H$27,3,FALSE))&lt;4,"",LEFT(RIGHT(VLOOKUP(AA36,suvaha!$D$8:$H$27,3,FALSE),4),1))</f>
        <v/>
      </c>
      <c r="AT42" s="818"/>
      <c r="AU42" s="432" t="str">
        <f>IF(LEN(VLOOKUP(AA36,suvaha!$D$8:$H$27,3,FALSE))&lt;3,"",LEFT(RIGHT(VLOOKUP(AA36,suvaha!$D$8:$H$27,3,FALSE),3),1))</f>
        <v/>
      </c>
      <c r="AV42" s="434" t="s">
        <v>965</v>
      </c>
      <c r="AW42" s="432" t="str">
        <f>IF(LEN(VLOOKUP(AA36,suvaha!$D$8:$H$27,3,FALSE))&lt;2,"",LEFT(RIGHT(VLOOKUP(AA36,suvaha!$D$8:$H$27,3,FALSE),2),1))</f>
        <v/>
      </c>
      <c r="AX42" s="434" t="s">
        <v>965</v>
      </c>
      <c r="AY42" s="432" t="str">
        <f>IF(VLOOKUP(AA36,suvaha!$D$8:$H$27,3,FALSE)=0,"",IF(LEN(VLOOKUP(AA36,suvaha!$D$8:$H$27,3,FALSE))&lt;1,"",LEFT(RIGHT(VLOOKUP(AA36,suvaha!$D$8:$H$27,3,FALSE),1),1)))</f>
        <v/>
      </c>
      <c r="AZ42" s="827"/>
      <c r="BA42" s="448"/>
      <c r="BB42" s="442"/>
      <c r="BC42" s="442"/>
      <c r="BD42" s="442"/>
      <c r="BE42" s="442"/>
      <c r="BF42" s="442"/>
      <c r="BG42" s="442"/>
      <c r="BH42" s="442"/>
      <c r="BI42" s="442"/>
      <c r="BJ42" s="441"/>
      <c r="BK42" s="442"/>
      <c r="BL42" s="432" t="str">
        <f>IF(LEN(VLOOKUP(AA36,suvaha!$D$8:$H$27,5,FALSE))&lt;11,"",LEFT(RIGHT(VLOOKUP(AA36,suvaha!$D$8:$H$27,5,FALSE),11),1))</f>
        <v/>
      </c>
      <c r="BM42" s="255" t="s">
        <v>965</v>
      </c>
      <c r="BN42" s="432" t="str">
        <f>IF(LEN(VLOOKUP(AA36,suvaha!$D$8:$H$27,5,FALSE))&lt;10,"",LEFT(RIGHT(VLOOKUP(AA36,suvaha!$D$8:$H$27,5,FALSE),10),1))</f>
        <v/>
      </c>
      <c r="BO42" s="434" t="s">
        <v>965</v>
      </c>
      <c r="BP42" s="432" t="str">
        <f>IF(LEN(VLOOKUP(AA36,suvaha!$D$8:$H$27,5,FALSE))&lt;9,"",LEFT(RIGHT(VLOOKUP(AA36,suvaha!$D$8:$H$27,5,FALSE),9),1))</f>
        <v/>
      </c>
      <c r="BQ42" s="255" t="s">
        <v>965</v>
      </c>
      <c r="BR42" s="432" t="str">
        <f>IF(LEN(VLOOKUP(AA36,suvaha!$D$8:$H$27,5,FALSE))&lt;8,"",LEFT(RIGHT(VLOOKUP(AA36,suvaha!$D$8:$H$27,5,FALSE),8),1))</f>
        <v/>
      </c>
      <c r="BS42" s="434" t="s">
        <v>965</v>
      </c>
      <c r="BT42" s="432" t="str">
        <f>IF(LEN(VLOOKUP(AA36,suvaha!$D$8:$H$27,5,FALSE))&lt;7,"",LEFT(RIGHT(VLOOKUP(AA36,suvaha!$D$8:$H$27,5,FALSE),7),1))</f>
        <v/>
      </c>
      <c r="BU42" s="818" t="s">
        <v>965</v>
      </c>
      <c r="BV42" s="432" t="str">
        <f>IF(LEN(VLOOKUP(AA36,suvaha!$D$8:$H$27,5,FALSE))&lt;6,"",LEFT(RIGHT(VLOOKUP(AA36,suvaha!$D$8:$H$27,5,FALSE),6),1))</f>
        <v/>
      </c>
      <c r="BW42" s="434" t="s">
        <v>965</v>
      </c>
      <c r="BX42" s="432" t="str">
        <f>IF(LEN(VLOOKUP(AA36,suvaha!$D$8:$H$27,5,FALSE))&lt;5,"",LEFT(RIGHT(VLOOKUP(AA36,suvaha!$D$8:$H$27,5,FALSE),5),1))</f>
        <v/>
      </c>
      <c r="BY42" s="434" t="s">
        <v>965</v>
      </c>
      <c r="BZ42" s="432" t="str">
        <f>IF(LEN(VLOOKUP(AA36,suvaha!$D$8:$H$27,5,FALSE))&lt;4,"",LEFT(RIGHT(VLOOKUP(AA36,suvaha!$D$8:$H$27,5,FALSE),4),1))</f>
        <v/>
      </c>
      <c r="CA42" s="818" t="s">
        <v>965</v>
      </c>
      <c r="CB42" s="432" t="str">
        <f>IF(LEN(VLOOKUP(AA36,suvaha!$D$8:$H$27,5,FALSE))&lt;3,"",LEFT(RIGHT(VLOOKUP(AA36,suvaha!$D$8:$H$27,5,FALSE),3),1))</f>
        <v/>
      </c>
      <c r="CC42" s="434" t="s">
        <v>965</v>
      </c>
      <c r="CD42" s="432" t="str">
        <f>IF(LEN(VLOOKUP(AA36,suvaha!$D$8:$H$27,5,FALSE))&lt;2,"",LEFT(RIGHT(VLOOKUP(AA36,suvaha!$D$8:$H$27,5,FALSE),2),1))</f>
        <v/>
      </c>
      <c r="CE42" s="434" t="s">
        <v>1540</v>
      </c>
      <c r="CF42" s="432" t="str">
        <f>IF(VLOOKUP(AA36,suvaha!$D$8:$H$27,5,FALSE)=0,"",IF(LEN(VLOOKUP(AA36,suvaha!$D$8:$H$27,5,FALSE))&lt;1,"",LEFT(RIGHT(VLOOKUP(AA36,suvaha!$D$8:$H$27,5,FALSE),1),1)))</f>
        <v/>
      </c>
      <c r="CG42" s="287"/>
    </row>
    <row r="43" spans="1:86" s="250" customFormat="1" ht="3" customHeight="1">
      <c r="A43" s="220"/>
      <c r="B43" s="879"/>
      <c r="C43" s="879"/>
      <c r="D43" s="879"/>
      <c r="E43" s="877"/>
      <c r="F43" s="877"/>
      <c r="G43" s="862"/>
      <c r="H43" s="864"/>
      <c r="I43" s="864"/>
      <c r="J43" s="864"/>
      <c r="K43" s="864"/>
      <c r="L43" s="864"/>
      <c r="M43" s="864"/>
      <c r="N43" s="864"/>
      <c r="O43" s="864"/>
      <c r="P43" s="864"/>
      <c r="Q43" s="864"/>
      <c r="R43" s="864"/>
      <c r="S43" s="864"/>
      <c r="T43" s="864"/>
      <c r="U43" s="864"/>
      <c r="V43" s="864"/>
      <c r="W43" s="864"/>
      <c r="X43" s="864"/>
      <c r="Y43" s="864"/>
      <c r="Z43" s="864"/>
      <c r="AA43" s="866"/>
      <c r="AB43" s="866"/>
      <c r="AC43" s="866"/>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449"/>
      <c r="BB43" s="310"/>
      <c r="BC43" s="310"/>
      <c r="BD43" s="310"/>
      <c r="BE43" s="310"/>
      <c r="BF43" s="310"/>
      <c r="BG43" s="310"/>
      <c r="BH43" s="310"/>
      <c r="BI43" s="310"/>
      <c r="BJ43" s="443"/>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286"/>
    </row>
    <row r="44" spans="1:86" s="250" customFormat="1" ht="3" customHeight="1">
      <c r="A44" s="220"/>
      <c r="B44" s="879"/>
      <c r="C44" s="879"/>
      <c r="D44" s="879"/>
      <c r="E44" s="877" t="s">
        <v>1559</v>
      </c>
      <c r="F44" s="877"/>
      <c r="G44" s="862"/>
      <c r="H44" s="864" t="str">
        <f>Index!C70</f>
        <v>Poskytnuté preddavky na dlhodobý hmotný majetok (052) - /095A/</v>
      </c>
      <c r="I44" s="864"/>
      <c r="J44" s="864"/>
      <c r="K44" s="864"/>
      <c r="L44" s="864"/>
      <c r="M44" s="864"/>
      <c r="N44" s="864"/>
      <c r="O44" s="864"/>
      <c r="P44" s="864"/>
      <c r="Q44" s="864"/>
      <c r="R44" s="864"/>
      <c r="S44" s="864"/>
      <c r="T44" s="864"/>
      <c r="U44" s="864"/>
      <c r="V44" s="864"/>
      <c r="W44" s="864"/>
      <c r="X44" s="864"/>
      <c r="Y44" s="864"/>
      <c r="Z44" s="864"/>
      <c r="AA44" s="866" t="s">
        <v>1560</v>
      </c>
      <c r="AB44" s="866"/>
      <c r="AC44" s="866"/>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67"/>
      <c r="BB44" s="867"/>
      <c r="BC44" s="867"/>
      <c r="BD44" s="867"/>
      <c r="BE44" s="867"/>
      <c r="BF44" s="867"/>
      <c r="BG44" s="867"/>
      <c r="BH44" s="867"/>
      <c r="BI44" s="867"/>
      <c r="BJ44" s="867"/>
      <c r="BK44" s="867"/>
      <c r="BL44" s="867"/>
      <c r="BM44" s="867"/>
      <c r="BN44" s="867"/>
      <c r="BO44" s="867"/>
      <c r="BP44" s="867"/>
      <c r="BQ44" s="867"/>
      <c r="BR44" s="304"/>
      <c r="BS44" s="304"/>
      <c r="BT44" s="304"/>
      <c r="BU44" s="304"/>
      <c r="BV44" s="304"/>
      <c r="BW44" s="446"/>
      <c r="BX44" s="304"/>
      <c r="BY44" s="304"/>
      <c r="BZ44" s="304"/>
      <c r="CA44" s="304"/>
      <c r="CB44" s="304"/>
      <c r="CC44" s="304"/>
      <c r="CD44" s="304"/>
      <c r="CE44" s="304"/>
      <c r="CF44" s="304"/>
      <c r="CG44" s="284"/>
    </row>
    <row r="45" spans="1:86" s="250" customFormat="1" ht="3" customHeight="1">
      <c r="A45" s="220"/>
      <c r="B45" s="879"/>
      <c r="C45" s="879"/>
      <c r="D45" s="879"/>
      <c r="E45" s="877"/>
      <c r="F45" s="877"/>
      <c r="G45" s="862"/>
      <c r="H45" s="864"/>
      <c r="I45" s="864"/>
      <c r="J45" s="864"/>
      <c r="K45" s="864"/>
      <c r="L45" s="864"/>
      <c r="M45" s="864"/>
      <c r="N45" s="864"/>
      <c r="O45" s="864"/>
      <c r="P45" s="864"/>
      <c r="Q45" s="864"/>
      <c r="R45" s="864"/>
      <c r="S45" s="864"/>
      <c r="T45" s="864"/>
      <c r="U45" s="864"/>
      <c r="V45" s="864"/>
      <c r="W45" s="864"/>
      <c r="X45" s="864"/>
      <c r="Y45" s="864"/>
      <c r="Z45" s="864"/>
      <c r="AA45" s="866"/>
      <c r="AB45" s="866"/>
      <c r="AC45" s="866"/>
      <c r="AD45" s="826"/>
      <c r="AE45" s="820"/>
      <c r="AF45" s="820"/>
      <c r="AG45" s="820"/>
      <c r="AH45" s="435"/>
      <c r="AI45" s="821"/>
      <c r="AJ45" s="821"/>
      <c r="AK45" s="821"/>
      <c r="AL45" s="821"/>
      <c r="AM45" s="821"/>
      <c r="AN45" s="818"/>
      <c r="AO45" s="822"/>
      <c r="AP45" s="822"/>
      <c r="AQ45" s="822"/>
      <c r="AR45" s="822"/>
      <c r="AS45" s="822"/>
      <c r="AT45" s="818"/>
      <c r="AU45" s="822"/>
      <c r="AV45" s="822"/>
      <c r="AW45" s="822"/>
      <c r="AX45" s="822"/>
      <c r="AY45" s="822"/>
      <c r="AZ45" s="827"/>
      <c r="BA45" s="826"/>
      <c r="BB45" s="820"/>
      <c r="BC45" s="820"/>
      <c r="BD45" s="820"/>
      <c r="BE45" s="435"/>
      <c r="BF45" s="821"/>
      <c r="BG45" s="821"/>
      <c r="BH45" s="821"/>
      <c r="BI45" s="821"/>
      <c r="BJ45" s="821"/>
      <c r="BK45" s="818"/>
      <c r="BL45" s="822"/>
      <c r="BM45" s="822"/>
      <c r="BN45" s="822"/>
      <c r="BO45" s="822"/>
      <c r="BP45" s="822"/>
      <c r="BQ45" s="818"/>
      <c r="BR45" s="822"/>
      <c r="BS45" s="822"/>
      <c r="BT45" s="822"/>
      <c r="BU45" s="822"/>
      <c r="BV45" s="822"/>
      <c r="BW45" s="441"/>
      <c r="BX45" s="442"/>
      <c r="BY45" s="442"/>
      <c r="BZ45" s="442"/>
      <c r="CA45" s="442"/>
      <c r="CB45" s="442"/>
      <c r="CC45" s="442"/>
      <c r="CD45" s="442"/>
      <c r="CE45" s="442"/>
      <c r="CF45" s="442"/>
      <c r="CG45" s="285"/>
    </row>
    <row r="46" spans="1:86" ht="15" customHeight="1">
      <c r="A46" s="220"/>
      <c r="B46" s="879"/>
      <c r="C46" s="879"/>
      <c r="D46" s="879"/>
      <c r="E46" s="877"/>
      <c r="F46" s="877"/>
      <c r="G46" s="862"/>
      <c r="H46" s="864"/>
      <c r="I46" s="864"/>
      <c r="J46" s="864"/>
      <c r="K46" s="864"/>
      <c r="L46" s="864"/>
      <c r="M46" s="864"/>
      <c r="N46" s="864"/>
      <c r="O46" s="864"/>
      <c r="P46" s="864"/>
      <c r="Q46" s="864"/>
      <c r="R46" s="864"/>
      <c r="S46" s="864"/>
      <c r="T46" s="864"/>
      <c r="U46" s="864"/>
      <c r="V46" s="864"/>
      <c r="W46" s="864"/>
      <c r="X46" s="864"/>
      <c r="Y46" s="864"/>
      <c r="Z46" s="864"/>
      <c r="AA46" s="866"/>
      <c r="AB46" s="866"/>
      <c r="AC46" s="866"/>
      <c r="AD46" s="826"/>
      <c r="AE46" s="432" t="str">
        <f>IF(LEN(VLOOKUP(AA44,suvaha!$D$8:$H$27,2,FALSE))&lt;11,"",LEFT(RIGHT(VLOOKUP(AA44,suvaha!$D$8:$H$27,2,FALSE),11),1))</f>
        <v/>
      </c>
      <c r="AF46" s="255"/>
      <c r="AG46" s="432" t="str">
        <f>IF(LEN(VLOOKUP(AA44,suvaha!$D$8:$H$27,2,FALSE))&lt;10,"",LEFT(RIGHT(VLOOKUP(AA44,suvaha!$D$8:$H$27,2,FALSE),10),1))</f>
        <v/>
      </c>
      <c r="AH46" s="434"/>
      <c r="AI46" s="432" t="str">
        <f>IF(LEN(VLOOKUP(AA44,suvaha!$D$8:$H$27,2,FALSE))&lt;9,"",LEFT(RIGHT(VLOOKUP(AA44,suvaha!$D$8:$H$27,2,FALSE),9),1))</f>
        <v/>
      </c>
      <c r="AJ46" s="255"/>
      <c r="AK46" s="432" t="str">
        <f>IF(LEN(VLOOKUP(AA44,suvaha!$D$8:$H$27,2,FALSE))&lt;8,"",LEFT(RIGHT(VLOOKUP(AA44,suvaha!$D$8:$H$27,2,FALSE),8),1))</f>
        <v/>
      </c>
      <c r="AL46" s="434"/>
      <c r="AM46" s="432" t="str">
        <f>IF(LEN(VLOOKUP(AA44,suvaha!$D$8:$H$27,2,FALSE))&lt;7,"",LEFT(RIGHT(VLOOKUP(AA44,suvaha!$D$8:$H$27,2,FALSE),7),1))</f>
        <v/>
      </c>
      <c r="AN46" s="818"/>
      <c r="AO46" s="432" t="str">
        <f>IF(LEN(VLOOKUP(AA44,suvaha!$D$8:$H$27,2,FALSE))&lt;6,"",LEFT(RIGHT(VLOOKUP(AA44,suvaha!$D$8:$H$27,2,FALSE),6),1))</f>
        <v/>
      </c>
      <c r="AP46" s="434"/>
      <c r="AQ46" s="432" t="str">
        <f>IF(LEN(VLOOKUP(AA44,suvaha!$D$8:$H$27,2,FALSE))&lt;5,"",LEFT(RIGHT(VLOOKUP(AA44,suvaha!$D$8:$H$27,2,FALSE),5),1))</f>
        <v/>
      </c>
      <c r="AR46" s="434"/>
      <c r="AS46" s="432" t="str">
        <f>IF(LEN(VLOOKUP(AA44,suvaha!$D$8:$H$27,2,FALSE))&lt;4,"",LEFT(RIGHT(VLOOKUP(AA44,suvaha!$D$8:$H$27,2,FALSE),4),1))</f>
        <v/>
      </c>
      <c r="AT46" s="818"/>
      <c r="AU46" s="432" t="str">
        <f>IF(LEN(VLOOKUP(AA44,suvaha!$D$8:$H$27,2,FALSE))&lt;3,"",LEFT(RIGHT(VLOOKUP(AA44,suvaha!$D$8:$H$27,2,FALSE),3),1))</f>
        <v/>
      </c>
      <c r="AV46" s="434"/>
      <c r="AW46" s="432" t="str">
        <f>IF(LEN(VLOOKUP(AA44,suvaha!$D$8:$H$27,2,FALSE))&lt;2,"",LEFT(RIGHT(VLOOKUP(AA44,suvaha!$D$8:$H$27,2,FALSE),2),1))</f>
        <v/>
      </c>
      <c r="AX46" s="434"/>
      <c r="AY46" s="432" t="str">
        <f>IF(VLOOKUP(AA44,suvaha!$D$8:$H$27,2,FALSE)=0,"",IF(LEN(VLOOKUP(AA44,suvaha!$D$8:$H$27,2,FALSE))&lt;1,"",LEFT(RIGHT(VLOOKUP(AA44,suvaha!$D$8:$H$27,2,FALSE),1),1)))</f>
        <v/>
      </c>
      <c r="AZ46" s="827"/>
      <c r="BA46" s="826"/>
      <c r="BB46" s="432" t="str">
        <f>IF(LEN(VLOOKUP(AA44,suvaha!$D$8:$H$27,4,FALSE))&lt;11,"",LEFT(RIGHT(VLOOKUP(AA44,suvaha!$D$8:$H$27,4,FALSE),11),1))</f>
        <v/>
      </c>
      <c r="BC46" s="255"/>
      <c r="BD46" s="432" t="str">
        <f>IF(LEN(VLOOKUP(AA44,suvaha!$D$8:$H$27,4,FALSE))&lt;10,"",LEFT(RIGHT(VLOOKUP(AA44,suvaha!$D$8:$H$27,4,FALSE),10),1))</f>
        <v/>
      </c>
      <c r="BE46" s="434"/>
      <c r="BF46" s="432" t="str">
        <f>IF(LEN(VLOOKUP(AA44,suvaha!$D$8:$H$27,4,FALSE))&lt;9,"",LEFT(RIGHT(VLOOKUP(AA44,suvaha!$D$8:$H$27,4,FALSE),9),1))</f>
        <v/>
      </c>
      <c r="BG46" s="255"/>
      <c r="BH46" s="432" t="str">
        <f>IF(LEN(VLOOKUP(AA44,suvaha!$D$8:$H$27,4,FALSE))&lt;8,"",LEFT(RIGHT(VLOOKUP(AA44,suvaha!$D$8:$H$27,4,FALSE),8),1))</f>
        <v/>
      </c>
      <c r="BI46" s="434"/>
      <c r="BJ46" s="432" t="str">
        <f>IF(LEN(VLOOKUP(AA44,suvaha!$D$8:$H$27,4,FALSE))&lt;7,"",LEFT(RIGHT(VLOOKUP(AA44,suvaha!$D$8:$H$27,4,FALSE),7),1))</f>
        <v/>
      </c>
      <c r="BK46" s="818"/>
      <c r="BL46" s="432" t="str">
        <f>IF(LEN(VLOOKUP(AA44,suvaha!$D$8:$H$27,4,FALSE))&lt;6,"",LEFT(RIGHT(VLOOKUP(AA44,suvaha!$D$8:$H$27,4,FALSE),6),1))</f>
        <v/>
      </c>
      <c r="BM46" s="434"/>
      <c r="BN46" s="432" t="str">
        <f>IF(LEN(VLOOKUP(AA44,suvaha!$D$8:$H$27,4,FALSE))&lt;5,"",LEFT(RIGHT(VLOOKUP(AA44,suvaha!$D$8:$H$27,4,FALSE),5),1))</f>
        <v/>
      </c>
      <c r="BO46" s="434"/>
      <c r="BP46" s="432" t="str">
        <f>IF(LEN(VLOOKUP(AA44,suvaha!$D$8:$H$27,4,FALSE))&lt;4,"",LEFT(RIGHT(VLOOKUP(AA44,suvaha!$D$8:$H$27,4,FALSE),4),1))</f>
        <v/>
      </c>
      <c r="BQ46" s="818"/>
      <c r="BR46" s="432" t="str">
        <f>IF(LEN(VLOOKUP(AA44,suvaha!$D$8:$H$27,4,FALSE))&lt;3,"",LEFT(RIGHT(VLOOKUP(AA44,suvaha!$D$8:$H$27,4,FALSE),3),1))</f>
        <v/>
      </c>
      <c r="BS46" s="434"/>
      <c r="BT46" s="432" t="str">
        <f>IF(LEN(VLOOKUP(AA44,suvaha!$D$8:$H$27,4,FALSE))&lt;2,"",LEFT(RIGHT(VLOOKUP(AA44,suvaha!$D$8:$H$27,4,FALSE),2),1))</f>
        <v/>
      </c>
      <c r="BU46" s="434"/>
      <c r="BV46" s="432" t="str">
        <f>IF(VLOOKUP(AA44,suvaha!$D$8:$H$27,4,FALSE)=0,"",IF(LEN(VLOOKUP(AA44,suvaha!$D$8:$H$27,4,FALSE))&lt;1,"",LEFT(RIGHT(VLOOKUP(AA44,suvaha!$D$8:$H$27,4,FALSE),1),1)))</f>
        <v/>
      </c>
      <c r="BW46" s="441"/>
      <c r="BX46" s="442"/>
      <c r="BY46" s="442"/>
      <c r="BZ46" s="442"/>
      <c r="CA46" s="442"/>
      <c r="CB46" s="442"/>
      <c r="CC46" s="442"/>
      <c r="CD46" s="442"/>
      <c r="CE46" s="442"/>
      <c r="CF46" s="442"/>
      <c r="CG46" s="285"/>
    </row>
    <row r="47" spans="1:86" ht="3" customHeight="1">
      <c r="A47" s="220"/>
      <c r="B47" s="879"/>
      <c r="C47" s="879"/>
      <c r="D47" s="879"/>
      <c r="E47" s="877"/>
      <c r="F47" s="877"/>
      <c r="G47" s="862"/>
      <c r="H47" s="864"/>
      <c r="I47" s="864"/>
      <c r="J47" s="864"/>
      <c r="K47" s="864"/>
      <c r="L47" s="864"/>
      <c r="M47" s="864"/>
      <c r="N47" s="864"/>
      <c r="O47" s="864"/>
      <c r="P47" s="864"/>
      <c r="Q47" s="864"/>
      <c r="R47" s="864"/>
      <c r="S47" s="864"/>
      <c r="T47" s="864"/>
      <c r="U47" s="864"/>
      <c r="V47" s="864"/>
      <c r="W47" s="864"/>
      <c r="X47" s="864"/>
      <c r="Y47" s="864"/>
      <c r="Z47" s="864"/>
      <c r="AA47" s="866"/>
      <c r="AB47" s="866"/>
      <c r="AC47" s="866"/>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6"/>
      <c r="BB47" s="846"/>
      <c r="BC47" s="846"/>
      <c r="BD47" s="846"/>
      <c r="BE47" s="846"/>
      <c r="BF47" s="846"/>
      <c r="BG47" s="846"/>
      <c r="BH47" s="846"/>
      <c r="BI47" s="846"/>
      <c r="BJ47" s="846"/>
      <c r="BK47" s="846"/>
      <c r="BL47" s="846"/>
      <c r="BM47" s="846"/>
      <c r="BN47" s="846"/>
      <c r="BO47" s="846"/>
      <c r="BP47" s="846"/>
      <c r="BQ47" s="846"/>
      <c r="BR47" s="310"/>
      <c r="BS47" s="310"/>
      <c r="BT47" s="310"/>
      <c r="BU47" s="310"/>
      <c r="BV47" s="310"/>
      <c r="BW47" s="443"/>
      <c r="BX47" s="310"/>
      <c r="BY47" s="310"/>
      <c r="BZ47" s="310"/>
      <c r="CA47" s="310"/>
      <c r="CB47" s="310"/>
      <c r="CC47" s="310"/>
      <c r="CD47" s="310"/>
      <c r="CE47" s="310"/>
      <c r="CF47" s="310"/>
      <c r="CG47" s="286"/>
    </row>
    <row r="48" spans="1:86" ht="3" customHeight="1">
      <c r="A48" s="220"/>
      <c r="B48" s="879"/>
      <c r="C48" s="879"/>
      <c r="D48" s="879"/>
      <c r="E48" s="877"/>
      <c r="F48" s="877"/>
      <c r="G48" s="862"/>
      <c r="H48" s="864"/>
      <c r="I48" s="864"/>
      <c r="J48" s="864"/>
      <c r="K48" s="864"/>
      <c r="L48" s="864"/>
      <c r="M48" s="864"/>
      <c r="N48" s="864"/>
      <c r="O48" s="864"/>
      <c r="P48" s="864"/>
      <c r="Q48" s="864"/>
      <c r="R48" s="864"/>
      <c r="S48" s="864"/>
      <c r="T48" s="864"/>
      <c r="U48" s="864"/>
      <c r="V48" s="864"/>
      <c r="W48" s="864"/>
      <c r="X48" s="864"/>
      <c r="Y48" s="864"/>
      <c r="Z48" s="864"/>
      <c r="AA48" s="866"/>
      <c r="AB48" s="866"/>
      <c r="AC48" s="866"/>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447"/>
      <c r="BB48" s="304"/>
      <c r="BC48" s="304"/>
      <c r="BD48" s="304"/>
      <c r="BE48" s="304"/>
      <c r="BF48" s="304"/>
      <c r="BG48" s="304"/>
      <c r="BH48" s="304"/>
      <c r="BI48" s="304"/>
      <c r="BJ48" s="446"/>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284"/>
    </row>
    <row r="49" spans="1:85" ht="3" customHeight="1">
      <c r="A49" s="220"/>
      <c r="B49" s="879"/>
      <c r="C49" s="879"/>
      <c r="D49" s="879"/>
      <c r="E49" s="877"/>
      <c r="F49" s="877"/>
      <c r="G49" s="862"/>
      <c r="H49" s="864"/>
      <c r="I49" s="864"/>
      <c r="J49" s="864"/>
      <c r="K49" s="864"/>
      <c r="L49" s="864"/>
      <c r="M49" s="864"/>
      <c r="N49" s="864"/>
      <c r="O49" s="864"/>
      <c r="P49" s="864"/>
      <c r="Q49" s="864"/>
      <c r="R49" s="864"/>
      <c r="S49" s="864"/>
      <c r="T49" s="864"/>
      <c r="U49" s="864"/>
      <c r="V49" s="864"/>
      <c r="W49" s="864"/>
      <c r="X49" s="864"/>
      <c r="Y49" s="864"/>
      <c r="Z49" s="864"/>
      <c r="AA49" s="866"/>
      <c r="AB49" s="866"/>
      <c r="AC49" s="866"/>
      <c r="AD49" s="826"/>
      <c r="AE49" s="820"/>
      <c r="AF49" s="820"/>
      <c r="AG49" s="820"/>
      <c r="AH49" s="435"/>
      <c r="AI49" s="821"/>
      <c r="AJ49" s="821"/>
      <c r="AK49" s="821"/>
      <c r="AL49" s="821"/>
      <c r="AM49" s="821"/>
      <c r="AN49" s="818" t="s">
        <v>965</v>
      </c>
      <c r="AO49" s="822"/>
      <c r="AP49" s="822"/>
      <c r="AQ49" s="822"/>
      <c r="AR49" s="822"/>
      <c r="AS49" s="822"/>
      <c r="AT49" s="818" t="s">
        <v>965</v>
      </c>
      <c r="AU49" s="822"/>
      <c r="AV49" s="822"/>
      <c r="AW49" s="822"/>
      <c r="AX49" s="822"/>
      <c r="AY49" s="822"/>
      <c r="AZ49" s="827"/>
      <c r="BA49" s="448"/>
      <c r="BB49" s="442"/>
      <c r="BC49" s="442"/>
      <c r="BD49" s="442"/>
      <c r="BE49" s="442"/>
      <c r="BF49" s="442"/>
      <c r="BG49" s="442"/>
      <c r="BH49" s="442"/>
      <c r="BI49" s="442"/>
      <c r="BJ49" s="441"/>
      <c r="BK49" s="442"/>
      <c r="BL49" s="820"/>
      <c r="BM49" s="820"/>
      <c r="BN49" s="820"/>
      <c r="BO49" s="435"/>
      <c r="BP49" s="821"/>
      <c r="BQ49" s="821"/>
      <c r="BR49" s="821"/>
      <c r="BS49" s="821"/>
      <c r="BT49" s="821"/>
      <c r="BU49" s="818"/>
      <c r="BV49" s="822"/>
      <c r="BW49" s="822"/>
      <c r="BX49" s="822"/>
      <c r="BY49" s="822"/>
      <c r="BZ49" s="822"/>
      <c r="CA49" s="818"/>
      <c r="CB49" s="822"/>
      <c r="CC49" s="822"/>
      <c r="CD49" s="822"/>
      <c r="CE49" s="822"/>
      <c r="CF49" s="822"/>
      <c r="CG49" s="287"/>
    </row>
    <row r="50" spans="1:85" ht="15" customHeight="1">
      <c r="A50" s="220"/>
      <c r="B50" s="879"/>
      <c r="C50" s="879"/>
      <c r="D50" s="879"/>
      <c r="E50" s="877"/>
      <c r="F50" s="877"/>
      <c r="G50" s="862"/>
      <c r="H50" s="864"/>
      <c r="I50" s="864"/>
      <c r="J50" s="864"/>
      <c r="K50" s="864"/>
      <c r="L50" s="864"/>
      <c r="M50" s="864"/>
      <c r="N50" s="864"/>
      <c r="O50" s="864"/>
      <c r="P50" s="864"/>
      <c r="Q50" s="864"/>
      <c r="R50" s="864"/>
      <c r="S50" s="864"/>
      <c r="T50" s="864"/>
      <c r="U50" s="864"/>
      <c r="V50" s="864"/>
      <c r="W50" s="864"/>
      <c r="X50" s="864"/>
      <c r="Y50" s="864"/>
      <c r="Z50" s="864"/>
      <c r="AA50" s="866"/>
      <c r="AB50" s="866"/>
      <c r="AC50" s="866"/>
      <c r="AD50" s="826"/>
      <c r="AE50" s="432" t="str">
        <f>IF(LEN(VLOOKUP(AA44,suvaha!$D$8:$H$27,3,FALSE))&lt;11,"",LEFT(RIGHT(VLOOKUP(AA44,suvaha!$D$8:$H$27,3,FALSE),11),1))</f>
        <v/>
      </c>
      <c r="AF50" s="255" t="s">
        <v>965</v>
      </c>
      <c r="AG50" s="432" t="str">
        <f>IF(LEN(VLOOKUP(AA44,suvaha!$D$8:$H$27,3,FALSE))&lt;10,"",LEFT(RIGHT(VLOOKUP(AA44,suvaha!$D$8:$H$27,3,FALSE),10),1))</f>
        <v/>
      </c>
      <c r="AH50" s="434" t="s">
        <v>965</v>
      </c>
      <c r="AI50" s="432" t="str">
        <f>IF(LEN(VLOOKUP(AA44,suvaha!$D$8:$H$27,3,FALSE))&lt;9,"",LEFT(RIGHT(VLOOKUP(AA44,suvaha!$D$8:$H$27,3,FALSE),9),1))</f>
        <v/>
      </c>
      <c r="AJ50" s="255" t="s">
        <v>965</v>
      </c>
      <c r="AK50" s="432" t="str">
        <f>IF(LEN(VLOOKUP(AA44,suvaha!$D$8:$F$27,3,FALSE))&lt;8,"",LEFT(RIGHT(VLOOKUP(AA44,suvaha!$D$8:$F$27,3,FALSE),8),1))</f>
        <v/>
      </c>
      <c r="AL50" s="434" t="s">
        <v>965</v>
      </c>
      <c r="AM50" s="432" t="str">
        <f>IF(LEN(VLOOKUP(AA44,suvaha!$D$8:$H$27,3,FALSE))&lt;7,"",LEFT(RIGHT(VLOOKUP(AA44,suvaha!$D$8:$H$27,3,FALSE),7),1))</f>
        <v/>
      </c>
      <c r="AN50" s="818"/>
      <c r="AO50" s="432" t="str">
        <f>IF(LEN(VLOOKUP(AA44,suvaha!$D$8:$H$27,3,FALSE))&lt;6,"",LEFT(RIGHT(VLOOKUP(AA44,suvaha!$D$8:$H$27,3,FALSE),6),1))</f>
        <v/>
      </c>
      <c r="AP50" s="434" t="s">
        <v>965</v>
      </c>
      <c r="AQ50" s="432" t="str">
        <f>IF(LEN(VLOOKUP(AA44,suvaha!$D$8:$H$27,3,FALSE))&lt;5,"",LEFT(RIGHT(VLOOKUP(AA44,suvaha!$D$8:$H$27,3,FALSE),5),1))</f>
        <v/>
      </c>
      <c r="AR50" s="434" t="s">
        <v>965</v>
      </c>
      <c r="AS50" s="432" t="str">
        <f>IF(LEN(VLOOKUP(AA44,suvaha!$D$8:$H$27,3,FALSE))&lt;4,"",LEFT(RIGHT(VLOOKUP(AA44,suvaha!$D$8:$H$27,3,FALSE),4),1))</f>
        <v/>
      </c>
      <c r="AT50" s="818"/>
      <c r="AU50" s="432" t="str">
        <f>IF(LEN(VLOOKUP(AA44,suvaha!$D$8:$H$27,3,FALSE))&lt;3,"",LEFT(RIGHT(VLOOKUP(AA44,suvaha!$D$8:$H$27,3,FALSE),3),1))</f>
        <v/>
      </c>
      <c r="AV50" s="434" t="s">
        <v>965</v>
      </c>
      <c r="AW50" s="432" t="str">
        <f>IF(LEN(VLOOKUP(AA44,suvaha!$D$8:$H$27,3,FALSE))&lt;2,"",LEFT(RIGHT(VLOOKUP(AA44,suvaha!$D$8:$H$27,3,FALSE),2),1))</f>
        <v/>
      </c>
      <c r="AX50" s="434" t="s">
        <v>965</v>
      </c>
      <c r="AY50" s="432" t="str">
        <f>IF(VLOOKUP(AA44,suvaha!$D$8:$H$27,3,FALSE)=0,"",IF(LEN(VLOOKUP(AA44,suvaha!$D$8:$H$27,3,FALSE))&lt;1,"",LEFT(RIGHT(VLOOKUP(AA44,suvaha!$D$8:$H$27,3,FALSE),1),1)))</f>
        <v/>
      </c>
      <c r="AZ50" s="827"/>
      <c r="BA50" s="448"/>
      <c r="BB50" s="442"/>
      <c r="BC50" s="442"/>
      <c r="BD50" s="442"/>
      <c r="BE50" s="442"/>
      <c r="BF50" s="442"/>
      <c r="BG50" s="442"/>
      <c r="BH50" s="442"/>
      <c r="BI50" s="442"/>
      <c r="BJ50" s="441"/>
      <c r="BK50" s="442"/>
      <c r="BL50" s="432" t="str">
        <f>IF(LEN(VLOOKUP(AA44,suvaha!$D$8:$H$27,5,FALSE))&lt;11,"",LEFT(RIGHT(VLOOKUP(AA44,suvaha!$D$8:$H$27,5,FALSE),11),1))</f>
        <v/>
      </c>
      <c r="BM50" s="255" t="s">
        <v>965</v>
      </c>
      <c r="BN50" s="432" t="str">
        <f>IF(LEN(VLOOKUP(AA44,suvaha!$D$8:$H$27,5,FALSE))&lt;10,"",LEFT(RIGHT(VLOOKUP(AA44,suvaha!$D$8:$H$27,5,FALSE),10),1))</f>
        <v/>
      </c>
      <c r="BO50" s="434" t="s">
        <v>965</v>
      </c>
      <c r="BP50" s="432" t="str">
        <f>IF(LEN(VLOOKUP(AA44,suvaha!$D$8:$H$27,5,FALSE))&lt;9,"",LEFT(RIGHT(VLOOKUP(AA44,suvaha!$D$8:$H$27,5,FALSE),9),1))</f>
        <v/>
      </c>
      <c r="BQ50" s="255" t="s">
        <v>965</v>
      </c>
      <c r="BR50" s="432" t="str">
        <f>IF(LEN(VLOOKUP(AA44,suvaha!$D$8:$H$27,5,FALSE))&lt;8,"",LEFT(RIGHT(VLOOKUP(AA44,suvaha!$D$8:$H$27,5,FALSE),8),1))</f>
        <v/>
      </c>
      <c r="BS50" s="434" t="s">
        <v>965</v>
      </c>
      <c r="BT50" s="432" t="str">
        <f>IF(LEN(VLOOKUP(AA44,suvaha!$D$8:$H$27,5,FALSE))&lt;7,"",LEFT(RIGHT(VLOOKUP(AA44,suvaha!$D$8:$H$27,5,FALSE),7),1))</f>
        <v/>
      </c>
      <c r="BU50" s="818" t="s">
        <v>965</v>
      </c>
      <c r="BV50" s="432" t="str">
        <f>IF(LEN(VLOOKUP(AA44,suvaha!$D$8:$H$27,5,FALSE))&lt;6,"",LEFT(RIGHT(VLOOKUP(AA44,suvaha!$D$8:$H$27,5,FALSE),6),1))</f>
        <v/>
      </c>
      <c r="BW50" s="434" t="s">
        <v>965</v>
      </c>
      <c r="BX50" s="432" t="str">
        <f>IF(LEN(VLOOKUP(AA44,suvaha!$D$8:$H$27,5,FALSE))&lt;5,"",LEFT(RIGHT(VLOOKUP(AA44,suvaha!$D$8:$H$27,5,FALSE),5),1))</f>
        <v/>
      </c>
      <c r="BY50" s="434" t="s">
        <v>965</v>
      </c>
      <c r="BZ50" s="432" t="str">
        <f>IF(LEN(VLOOKUP(AA44,suvaha!$D$8:$H$27,5,FALSE))&lt;4,"",LEFT(RIGHT(VLOOKUP(AA44,suvaha!$D$8:$H$27,5,FALSE),4),1))</f>
        <v/>
      </c>
      <c r="CA50" s="818" t="s">
        <v>965</v>
      </c>
      <c r="CB50" s="432" t="str">
        <f>IF(LEN(VLOOKUP(AA44,suvaha!$D$8:$H$27,5,FALSE))&lt;3,"",LEFT(RIGHT(VLOOKUP(AA44,suvaha!$D$8:$H$27,5,FALSE),3),1))</f>
        <v/>
      </c>
      <c r="CC50" s="434" t="s">
        <v>965</v>
      </c>
      <c r="CD50" s="432" t="str">
        <f>IF(LEN(VLOOKUP(AA44,suvaha!$D$8:$H$27,5,FALSE))&lt;2,"",LEFT(RIGHT(VLOOKUP(AA44,suvaha!$D$8:$H$27,5,FALSE),2),1))</f>
        <v/>
      </c>
      <c r="CE50" s="434" t="s">
        <v>1540</v>
      </c>
      <c r="CF50" s="432" t="str">
        <f>IF(VLOOKUP(AA44,suvaha!$D$8:$H$27,5,FALSE)=0,"",IF(LEN(VLOOKUP(AA44,suvaha!$D$8:$H$27,5,FALSE))&lt;1,"",LEFT(RIGHT(VLOOKUP(AA44,suvaha!$D$8:$H$27,5,FALSE),1),1)))</f>
        <v/>
      </c>
      <c r="CG50" s="287"/>
    </row>
    <row r="51" spans="1:85" ht="3" customHeight="1">
      <c r="A51" s="220"/>
      <c r="B51" s="879"/>
      <c r="C51" s="879"/>
      <c r="D51" s="879"/>
      <c r="E51" s="877"/>
      <c r="F51" s="877"/>
      <c r="G51" s="862"/>
      <c r="H51" s="864"/>
      <c r="I51" s="864"/>
      <c r="J51" s="864"/>
      <c r="K51" s="864"/>
      <c r="L51" s="864"/>
      <c r="M51" s="864"/>
      <c r="N51" s="864"/>
      <c r="O51" s="864"/>
      <c r="P51" s="864"/>
      <c r="Q51" s="864"/>
      <c r="R51" s="864"/>
      <c r="S51" s="864"/>
      <c r="T51" s="864"/>
      <c r="U51" s="864"/>
      <c r="V51" s="864"/>
      <c r="W51" s="864"/>
      <c r="X51" s="864"/>
      <c r="Y51" s="864"/>
      <c r="Z51" s="864"/>
      <c r="AA51" s="866"/>
      <c r="AB51" s="866"/>
      <c r="AC51" s="866"/>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449"/>
      <c r="BB51" s="310"/>
      <c r="BC51" s="310"/>
      <c r="BD51" s="310"/>
      <c r="BE51" s="310"/>
      <c r="BF51" s="310"/>
      <c r="BG51" s="310"/>
      <c r="BH51" s="310"/>
      <c r="BI51" s="310"/>
      <c r="BJ51" s="443"/>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286"/>
    </row>
    <row r="52" spans="1:85" s="250" customFormat="1" ht="3" customHeight="1">
      <c r="A52" s="220"/>
      <c r="B52" s="879"/>
      <c r="C52" s="879"/>
      <c r="D52" s="879"/>
      <c r="E52" s="877" t="s">
        <v>1561</v>
      </c>
      <c r="F52" s="877"/>
      <c r="G52" s="862"/>
      <c r="H52" s="864" t="str">
        <f>Index!C71</f>
        <v>Opravná položka k nadobudnutému majetku (+/- 097) +/- 098</v>
      </c>
      <c r="I52" s="864"/>
      <c r="J52" s="864"/>
      <c r="K52" s="864"/>
      <c r="L52" s="864"/>
      <c r="M52" s="864"/>
      <c r="N52" s="864"/>
      <c r="O52" s="864"/>
      <c r="P52" s="864"/>
      <c r="Q52" s="864"/>
      <c r="R52" s="864"/>
      <c r="S52" s="864"/>
      <c r="T52" s="864"/>
      <c r="U52" s="864"/>
      <c r="V52" s="864"/>
      <c r="W52" s="864"/>
      <c r="X52" s="864"/>
      <c r="Y52" s="864"/>
      <c r="Z52" s="864"/>
      <c r="AA52" s="866" t="s">
        <v>1562</v>
      </c>
      <c r="AB52" s="866"/>
      <c r="AC52" s="866"/>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67"/>
      <c r="BB52" s="867"/>
      <c r="BC52" s="867"/>
      <c r="BD52" s="867"/>
      <c r="BE52" s="867"/>
      <c r="BF52" s="867"/>
      <c r="BG52" s="867"/>
      <c r="BH52" s="867"/>
      <c r="BI52" s="867"/>
      <c r="BJ52" s="867"/>
      <c r="BK52" s="867"/>
      <c r="BL52" s="867"/>
      <c r="BM52" s="867"/>
      <c r="BN52" s="867"/>
      <c r="BO52" s="867"/>
      <c r="BP52" s="867"/>
      <c r="BQ52" s="867"/>
      <c r="BR52" s="304"/>
      <c r="BS52" s="304"/>
      <c r="BT52" s="304"/>
      <c r="BU52" s="304"/>
      <c r="BV52" s="304"/>
      <c r="BW52" s="446"/>
      <c r="BX52" s="304"/>
      <c r="BY52" s="304"/>
      <c r="BZ52" s="304"/>
      <c r="CA52" s="304"/>
      <c r="CB52" s="304"/>
      <c r="CC52" s="304"/>
      <c r="CD52" s="304"/>
      <c r="CE52" s="304"/>
      <c r="CF52" s="304"/>
      <c r="CG52" s="284"/>
    </row>
    <row r="53" spans="1:85" s="250" customFormat="1" ht="3" customHeight="1">
      <c r="A53" s="220"/>
      <c r="B53" s="879"/>
      <c r="C53" s="879"/>
      <c r="D53" s="879"/>
      <c r="E53" s="877"/>
      <c r="F53" s="877"/>
      <c r="G53" s="862"/>
      <c r="H53" s="864"/>
      <c r="I53" s="864"/>
      <c r="J53" s="864"/>
      <c r="K53" s="864"/>
      <c r="L53" s="864"/>
      <c r="M53" s="864"/>
      <c r="N53" s="864"/>
      <c r="O53" s="864"/>
      <c r="P53" s="864"/>
      <c r="Q53" s="864"/>
      <c r="R53" s="864"/>
      <c r="S53" s="864"/>
      <c r="T53" s="864"/>
      <c r="U53" s="864"/>
      <c r="V53" s="864"/>
      <c r="W53" s="864"/>
      <c r="X53" s="864"/>
      <c r="Y53" s="864"/>
      <c r="Z53" s="864"/>
      <c r="AA53" s="866"/>
      <c r="AB53" s="866"/>
      <c r="AC53" s="866"/>
      <c r="AD53" s="826"/>
      <c r="AE53" s="820"/>
      <c r="AF53" s="820"/>
      <c r="AG53" s="820"/>
      <c r="AH53" s="435"/>
      <c r="AI53" s="821"/>
      <c r="AJ53" s="821"/>
      <c r="AK53" s="821"/>
      <c r="AL53" s="821"/>
      <c r="AM53" s="821"/>
      <c r="AN53" s="818"/>
      <c r="AO53" s="822"/>
      <c r="AP53" s="822"/>
      <c r="AQ53" s="822"/>
      <c r="AR53" s="822"/>
      <c r="AS53" s="822"/>
      <c r="AT53" s="818"/>
      <c r="AU53" s="822"/>
      <c r="AV53" s="822"/>
      <c r="AW53" s="822"/>
      <c r="AX53" s="822"/>
      <c r="AY53" s="822"/>
      <c r="AZ53" s="827"/>
      <c r="BA53" s="826"/>
      <c r="BB53" s="820"/>
      <c r="BC53" s="820"/>
      <c r="BD53" s="820"/>
      <c r="BE53" s="435"/>
      <c r="BF53" s="821"/>
      <c r="BG53" s="821"/>
      <c r="BH53" s="821"/>
      <c r="BI53" s="821"/>
      <c r="BJ53" s="821"/>
      <c r="BK53" s="818"/>
      <c r="BL53" s="822"/>
      <c r="BM53" s="822"/>
      <c r="BN53" s="822"/>
      <c r="BO53" s="822"/>
      <c r="BP53" s="822"/>
      <c r="BQ53" s="818"/>
      <c r="BR53" s="822"/>
      <c r="BS53" s="822"/>
      <c r="BT53" s="822"/>
      <c r="BU53" s="822"/>
      <c r="BV53" s="822"/>
      <c r="BW53" s="441"/>
      <c r="BX53" s="442"/>
      <c r="BY53" s="442"/>
      <c r="BZ53" s="442"/>
      <c r="CA53" s="442"/>
      <c r="CB53" s="442"/>
      <c r="CC53" s="442"/>
      <c r="CD53" s="442"/>
      <c r="CE53" s="442"/>
      <c r="CF53" s="442"/>
      <c r="CG53" s="285"/>
    </row>
    <row r="54" spans="1:85" ht="15" customHeight="1">
      <c r="A54" s="220"/>
      <c r="B54" s="879"/>
      <c r="C54" s="879"/>
      <c r="D54" s="879"/>
      <c r="E54" s="877"/>
      <c r="F54" s="877"/>
      <c r="G54" s="862"/>
      <c r="H54" s="864"/>
      <c r="I54" s="864"/>
      <c r="J54" s="864"/>
      <c r="K54" s="864"/>
      <c r="L54" s="864"/>
      <c r="M54" s="864"/>
      <c r="N54" s="864"/>
      <c r="O54" s="864"/>
      <c r="P54" s="864"/>
      <c r="Q54" s="864"/>
      <c r="R54" s="864"/>
      <c r="S54" s="864"/>
      <c r="T54" s="864"/>
      <c r="U54" s="864"/>
      <c r="V54" s="864"/>
      <c r="W54" s="864"/>
      <c r="X54" s="864"/>
      <c r="Y54" s="864"/>
      <c r="Z54" s="864"/>
      <c r="AA54" s="866"/>
      <c r="AB54" s="866"/>
      <c r="AC54" s="866"/>
      <c r="AD54" s="826"/>
      <c r="AE54" s="432" t="str">
        <f>IF(LEN(VLOOKUP(AA52,suvaha!$D$8:$H$27,2,FALSE))&lt;11,"",LEFT(RIGHT(VLOOKUP(AA52,suvaha!$D$8:$H$27,2,FALSE),11),1))</f>
        <v/>
      </c>
      <c r="AF54" s="255"/>
      <c r="AG54" s="432" t="str">
        <f>IF(LEN(VLOOKUP(AA52,suvaha!$D$8:$H$27,2,FALSE))&lt;10,"",LEFT(RIGHT(VLOOKUP(AA52,suvaha!$D$8:$H$27,2,FALSE),10),1))</f>
        <v/>
      </c>
      <c r="AH54" s="434"/>
      <c r="AI54" s="432" t="str">
        <f>IF(LEN(VLOOKUP(AA52,suvaha!$D$8:$H$27,2,FALSE))&lt;9,"",LEFT(RIGHT(VLOOKUP(AA52,suvaha!$D$8:$H$27,2,FALSE),9),1))</f>
        <v/>
      </c>
      <c r="AJ54" s="255"/>
      <c r="AK54" s="432" t="str">
        <f>IF(LEN(VLOOKUP(AA52,suvaha!$D$8:$H$27,2,FALSE))&lt;8,"",LEFT(RIGHT(VLOOKUP(AA52,suvaha!$D$8:$H$27,2,FALSE),8),1))</f>
        <v/>
      </c>
      <c r="AL54" s="434"/>
      <c r="AM54" s="432" t="str">
        <f>IF(LEN(VLOOKUP(AA52,suvaha!$D$8:$H$27,2,FALSE))&lt;7,"",LEFT(RIGHT(VLOOKUP(AA52,suvaha!$D$8:$H$27,2,FALSE),7),1))</f>
        <v/>
      </c>
      <c r="AN54" s="818"/>
      <c r="AO54" s="432" t="str">
        <f>IF(LEN(VLOOKUP(AA52,suvaha!$D$8:$H$27,2,FALSE))&lt;6,"",LEFT(RIGHT(VLOOKUP(AA52,suvaha!$D$8:$H$27,2,FALSE),6),1))</f>
        <v/>
      </c>
      <c r="AP54" s="434"/>
      <c r="AQ54" s="432" t="str">
        <f>IF(LEN(VLOOKUP(AA52,suvaha!$D$8:$H$27,2,FALSE))&lt;5,"",LEFT(RIGHT(VLOOKUP(AA52,suvaha!$D$8:$H$27,2,FALSE),5),1))</f>
        <v/>
      </c>
      <c r="AR54" s="434"/>
      <c r="AS54" s="432" t="str">
        <f>IF(LEN(VLOOKUP(AA52,suvaha!$D$8:$H$27,2,FALSE))&lt;4,"",LEFT(RIGHT(VLOOKUP(AA52,suvaha!$D$8:$H$27,2,FALSE),4),1))</f>
        <v/>
      </c>
      <c r="AT54" s="818"/>
      <c r="AU54" s="432" t="str">
        <f>IF(LEN(VLOOKUP(AA52,suvaha!$D$8:$H$27,2,FALSE))&lt;3,"",LEFT(RIGHT(VLOOKUP(AA52,suvaha!$D$8:$H$27,2,FALSE),3),1))</f>
        <v/>
      </c>
      <c r="AV54" s="434"/>
      <c r="AW54" s="432" t="str">
        <f>IF(LEN(VLOOKUP(AA52,suvaha!$D$8:$H$27,2,FALSE))&lt;2,"",LEFT(RIGHT(VLOOKUP(AA52,suvaha!$D$8:$H$27,2,FALSE),2),1))</f>
        <v/>
      </c>
      <c r="AX54" s="434"/>
      <c r="AY54" s="432" t="str">
        <f>IF(VLOOKUP(AA52,suvaha!$D$8:$H$27,2,FALSE)=0,"",IF(LEN(VLOOKUP(AA52,suvaha!$D$8:$H$27,2,FALSE))&lt;1,"",LEFT(RIGHT(VLOOKUP(AA52,suvaha!$D$8:$H$27,2,FALSE),1),1)))</f>
        <v/>
      </c>
      <c r="AZ54" s="827"/>
      <c r="BA54" s="826"/>
      <c r="BB54" s="432" t="str">
        <f>IF(LEN(VLOOKUP(AA52,suvaha!$D$8:$H$27,4,FALSE))&lt;11,"",LEFT(RIGHT(VLOOKUP(AA52,suvaha!$D$8:$H$27,4,FALSE),11),1))</f>
        <v/>
      </c>
      <c r="BC54" s="255"/>
      <c r="BD54" s="432" t="str">
        <f>IF(LEN(VLOOKUP(AA52,suvaha!$D$8:$H$27,4,FALSE))&lt;10,"",LEFT(RIGHT(VLOOKUP(AA52,suvaha!$D$8:$H$27,4,FALSE),10),1))</f>
        <v/>
      </c>
      <c r="BE54" s="434"/>
      <c r="BF54" s="432" t="str">
        <f>IF(LEN(VLOOKUP(AA52,suvaha!$D$8:$H$27,4,FALSE))&lt;9,"",LEFT(RIGHT(VLOOKUP(AA52,suvaha!$D$8:$H$27,4,FALSE),9),1))</f>
        <v/>
      </c>
      <c r="BG54" s="255"/>
      <c r="BH54" s="432" t="str">
        <f>IF(LEN(VLOOKUP(AA52,suvaha!$D$8:$H$27,4,FALSE))&lt;8,"",LEFT(RIGHT(VLOOKUP(AA52,suvaha!$D$8:$H$27,4,FALSE),8),1))</f>
        <v/>
      </c>
      <c r="BI54" s="434"/>
      <c r="BJ54" s="432" t="str">
        <f>IF(LEN(VLOOKUP(AA52,suvaha!$D$8:$H$27,4,FALSE))&lt;7,"",LEFT(RIGHT(VLOOKUP(AA52,suvaha!$D$8:$H$27,4,FALSE),7),1))</f>
        <v/>
      </c>
      <c r="BK54" s="818"/>
      <c r="BL54" s="432" t="str">
        <f>IF(LEN(VLOOKUP(AA52,suvaha!$D$8:$H$27,4,FALSE))&lt;6,"",LEFT(RIGHT(VLOOKUP(AA52,suvaha!$D$8:$H$27,4,FALSE),6),1))</f>
        <v/>
      </c>
      <c r="BM54" s="434"/>
      <c r="BN54" s="432" t="str">
        <f>IF(LEN(VLOOKUP(AA52,suvaha!$D$8:$H$27,4,FALSE))&lt;5,"",LEFT(RIGHT(VLOOKUP(AA52,suvaha!$D$8:$H$27,4,FALSE),5),1))</f>
        <v/>
      </c>
      <c r="BO54" s="434"/>
      <c r="BP54" s="432" t="str">
        <f>IF(LEN(VLOOKUP(AA52,suvaha!$D$8:$H$27,4,FALSE))&lt;4,"",LEFT(RIGHT(VLOOKUP(AA52,suvaha!$D$8:$H$27,4,FALSE),4),1))</f>
        <v/>
      </c>
      <c r="BQ54" s="818"/>
      <c r="BR54" s="432" t="str">
        <f>IF(LEN(VLOOKUP(AA52,suvaha!$D$8:$H$27,4,FALSE))&lt;3,"",LEFT(RIGHT(VLOOKUP(AA52,suvaha!$D$8:$H$27,4,FALSE),3),1))</f>
        <v/>
      </c>
      <c r="BS54" s="434"/>
      <c r="BT54" s="432" t="str">
        <f>IF(LEN(VLOOKUP(AA52,suvaha!$D$8:$H$27,4,FALSE))&lt;2,"",LEFT(RIGHT(VLOOKUP(AA52,suvaha!$D$8:$H$27,4,FALSE),2),1))</f>
        <v/>
      </c>
      <c r="BU54" s="434"/>
      <c r="BV54" s="432" t="str">
        <f>IF(VLOOKUP(AA52,suvaha!$D$8:$H$27,4,FALSE)=0,"",IF(LEN(VLOOKUP(AA52,suvaha!$D$8:$H$27,4,FALSE))&lt;1,"",LEFT(RIGHT(VLOOKUP(AA52,suvaha!$D$8:$H$27,4,FALSE),1),1)))</f>
        <v/>
      </c>
      <c r="BW54" s="441"/>
      <c r="BX54" s="442"/>
      <c r="BY54" s="442"/>
      <c r="BZ54" s="442"/>
      <c r="CA54" s="442"/>
      <c r="CB54" s="442"/>
      <c r="CC54" s="442"/>
      <c r="CD54" s="442"/>
      <c r="CE54" s="442"/>
      <c r="CF54" s="442"/>
      <c r="CG54" s="285"/>
    </row>
    <row r="55" spans="1:85" ht="3" customHeight="1">
      <c r="A55" s="220"/>
      <c r="B55" s="879"/>
      <c r="C55" s="879"/>
      <c r="D55" s="879"/>
      <c r="E55" s="877"/>
      <c r="F55" s="877"/>
      <c r="G55" s="862"/>
      <c r="H55" s="864"/>
      <c r="I55" s="864"/>
      <c r="J55" s="864"/>
      <c r="K55" s="864"/>
      <c r="L55" s="864"/>
      <c r="M55" s="864"/>
      <c r="N55" s="864"/>
      <c r="O55" s="864"/>
      <c r="P55" s="864"/>
      <c r="Q55" s="864"/>
      <c r="R55" s="864"/>
      <c r="S55" s="864"/>
      <c r="T55" s="864"/>
      <c r="U55" s="864"/>
      <c r="V55" s="864"/>
      <c r="W55" s="864"/>
      <c r="X55" s="864"/>
      <c r="Y55" s="864"/>
      <c r="Z55" s="864"/>
      <c r="AA55" s="866"/>
      <c r="AB55" s="866"/>
      <c r="AC55" s="866"/>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6"/>
      <c r="BB55" s="846"/>
      <c r="BC55" s="846"/>
      <c r="BD55" s="846"/>
      <c r="BE55" s="846"/>
      <c r="BF55" s="846"/>
      <c r="BG55" s="846"/>
      <c r="BH55" s="846"/>
      <c r="BI55" s="846"/>
      <c r="BJ55" s="846"/>
      <c r="BK55" s="846"/>
      <c r="BL55" s="846"/>
      <c r="BM55" s="846"/>
      <c r="BN55" s="846"/>
      <c r="BO55" s="846"/>
      <c r="BP55" s="846"/>
      <c r="BQ55" s="846"/>
      <c r="BR55" s="310"/>
      <c r="BS55" s="310"/>
      <c r="BT55" s="310"/>
      <c r="BU55" s="310"/>
      <c r="BV55" s="310"/>
      <c r="BW55" s="443"/>
      <c r="BX55" s="310"/>
      <c r="BY55" s="310"/>
      <c r="BZ55" s="310"/>
      <c r="CA55" s="310"/>
      <c r="CB55" s="310"/>
      <c r="CC55" s="310"/>
      <c r="CD55" s="310"/>
      <c r="CE55" s="310"/>
      <c r="CF55" s="310"/>
      <c r="CG55" s="286"/>
    </row>
    <row r="56" spans="1:85" ht="3" customHeight="1">
      <c r="A56" s="220"/>
      <c r="B56" s="879"/>
      <c r="C56" s="879"/>
      <c r="D56" s="879"/>
      <c r="E56" s="877"/>
      <c r="F56" s="877"/>
      <c r="G56" s="862"/>
      <c r="H56" s="864"/>
      <c r="I56" s="864"/>
      <c r="J56" s="864"/>
      <c r="K56" s="864"/>
      <c r="L56" s="864"/>
      <c r="M56" s="864"/>
      <c r="N56" s="864"/>
      <c r="O56" s="864"/>
      <c r="P56" s="864"/>
      <c r="Q56" s="864"/>
      <c r="R56" s="864"/>
      <c r="S56" s="864"/>
      <c r="T56" s="864"/>
      <c r="U56" s="864"/>
      <c r="V56" s="864"/>
      <c r="W56" s="864"/>
      <c r="X56" s="864"/>
      <c r="Y56" s="864"/>
      <c r="Z56" s="864"/>
      <c r="AA56" s="866"/>
      <c r="AB56" s="866"/>
      <c r="AC56" s="866"/>
      <c r="AD56" s="825"/>
      <c r="AE56" s="825"/>
      <c r="AF56" s="825"/>
      <c r="AG56" s="825"/>
      <c r="AH56" s="825"/>
      <c r="AI56" s="825"/>
      <c r="AJ56" s="825"/>
      <c r="AK56" s="825"/>
      <c r="AL56" s="825"/>
      <c r="AM56" s="825"/>
      <c r="AN56" s="825"/>
      <c r="AO56" s="825"/>
      <c r="AP56" s="825"/>
      <c r="AQ56" s="825"/>
      <c r="AR56" s="825"/>
      <c r="AS56" s="825"/>
      <c r="AT56" s="825"/>
      <c r="AU56" s="825"/>
      <c r="AV56" s="825"/>
      <c r="AW56" s="825"/>
      <c r="AX56" s="825"/>
      <c r="AY56" s="825"/>
      <c r="AZ56" s="825"/>
      <c r="BA56" s="447"/>
      <c r="BB56" s="304"/>
      <c r="BC56" s="304"/>
      <c r="BD56" s="304"/>
      <c r="BE56" s="304"/>
      <c r="BF56" s="304"/>
      <c r="BG56" s="304"/>
      <c r="BH56" s="304"/>
      <c r="BI56" s="304"/>
      <c r="BJ56" s="446"/>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284"/>
    </row>
    <row r="57" spans="1:85" ht="3" customHeight="1">
      <c r="A57" s="220"/>
      <c r="B57" s="879"/>
      <c r="C57" s="879"/>
      <c r="D57" s="879"/>
      <c r="E57" s="877"/>
      <c r="F57" s="877"/>
      <c r="G57" s="862"/>
      <c r="H57" s="864"/>
      <c r="I57" s="864"/>
      <c r="J57" s="864"/>
      <c r="K57" s="864"/>
      <c r="L57" s="864"/>
      <c r="M57" s="864"/>
      <c r="N57" s="864"/>
      <c r="O57" s="864"/>
      <c r="P57" s="864"/>
      <c r="Q57" s="864"/>
      <c r="R57" s="864"/>
      <c r="S57" s="864"/>
      <c r="T57" s="864"/>
      <c r="U57" s="864"/>
      <c r="V57" s="864"/>
      <c r="W57" s="864"/>
      <c r="X57" s="864"/>
      <c r="Y57" s="864"/>
      <c r="Z57" s="864"/>
      <c r="AA57" s="866"/>
      <c r="AB57" s="866"/>
      <c r="AC57" s="866"/>
      <c r="AD57" s="826"/>
      <c r="AE57" s="820"/>
      <c r="AF57" s="820"/>
      <c r="AG57" s="820"/>
      <c r="AH57" s="435"/>
      <c r="AI57" s="821"/>
      <c r="AJ57" s="821"/>
      <c r="AK57" s="821"/>
      <c r="AL57" s="821"/>
      <c r="AM57" s="821"/>
      <c r="AN57" s="818" t="s">
        <v>965</v>
      </c>
      <c r="AO57" s="822"/>
      <c r="AP57" s="822"/>
      <c r="AQ57" s="822"/>
      <c r="AR57" s="822"/>
      <c r="AS57" s="822"/>
      <c r="AT57" s="818" t="s">
        <v>965</v>
      </c>
      <c r="AU57" s="822"/>
      <c r="AV57" s="822"/>
      <c r="AW57" s="822"/>
      <c r="AX57" s="822"/>
      <c r="AY57" s="822"/>
      <c r="AZ57" s="827"/>
      <c r="BA57" s="448"/>
      <c r="BB57" s="442"/>
      <c r="BC57" s="442"/>
      <c r="BD57" s="442"/>
      <c r="BE57" s="442"/>
      <c r="BF57" s="442"/>
      <c r="BG57" s="442"/>
      <c r="BH57" s="442"/>
      <c r="BI57" s="442"/>
      <c r="BJ57" s="441"/>
      <c r="BK57" s="442"/>
      <c r="BL57" s="820"/>
      <c r="BM57" s="820"/>
      <c r="BN57" s="820"/>
      <c r="BO57" s="435"/>
      <c r="BP57" s="821"/>
      <c r="BQ57" s="821"/>
      <c r="BR57" s="821"/>
      <c r="BS57" s="821"/>
      <c r="BT57" s="821"/>
      <c r="BU57" s="818"/>
      <c r="BV57" s="822"/>
      <c r="BW57" s="822"/>
      <c r="BX57" s="822"/>
      <c r="BY57" s="822"/>
      <c r="BZ57" s="822"/>
      <c r="CA57" s="818"/>
      <c r="CB57" s="822"/>
      <c r="CC57" s="822"/>
      <c r="CD57" s="822"/>
      <c r="CE57" s="822"/>
      <c r="CF57" s="822"/>
      <c r="CG57" s="287"/>
    </row>
    <row r="58" spans="1:85" ht="15" customHeight="1">
      <c r="A58" s="220"/>
      <c r="B58" s="879"/>
      <c r="C58" s="879"/>
      <c r="D58" s="879"/>
      <c r="E58" s="877"/>
      <c r="F58" s="877"/>
      <c r="G58" s="862"/>
      <c r="H58" s="864"/>
      <c r="I58" s="864"/>
      <c r="J58" s="864"/>
      <c r="K58" s="864"/>
      <c r="L58" s="864"/>
      <c r="M58" s="864"/>
      <c r="N58" s="864"/>
      <c r="O58" s="864"/>
      <c r="P58" s="864"/>
      <c r="Q58" s="864"/>
      <c r="R58" s="864"/>
      <c r="S58" s="864"/>
      <c r="T58" s="864"/>
      <c r="U58" s="864"/>
      <c r="V58" s="864"/>
      <c r="W58" s="864"/>
      <c r="X58" s="864"/>
      <c r="Y58" s="864"/>
      <c r="Z58" s="864"/>
      <c r="AA58" s="866"/>
      <c r="AB58" s="866"/>
      <c r="AC58" s="866"/>
      <c r="AD58" s="826"/>
      <c r="AE58" s="432" t="str">
        <f>IF(LEN(VLOOKUP(AA52,suvaha!$D$8:$H$27,3,FALSE))&lt;11,"",LEFT(RIGHT(VLOOKUP(AA52,suvaha!$D$8:$H$27,3,FALSE),11),1))</f>
        <v/>
      </c>
      <c r="AF58" s="255" t="s">
        <v>965</v>
      </c>
      <c r="AG58" s="432" t="str">
        <f>IF(LEN(VLOOKUP(AA52,suvaha!$D$8:$H$27,3,FALSE))&lt;10,"",LEFT(RIGHT(VLOOKUP(AA52,suvaha!$D$8:$H$27,3,FALSE),10),1))</f>
        <v/>
      </c>
      <c r="AH58" s="434" t="s">
        <v>965</v>
      </c>
      <c r="AI58" s="432" t="str">
        <f>IF(LEN(VLOOKUP(AA52,suvaha!$D$8:$H$27,3,FALSE))&lt;9,"",LEFT(RIGHT(VLOOKUP(AA52,suvaha!$D$8:$H$27,3,FALSE),9),1))</f>
        <v/>
      </c>
      <c r="AJ58" s="255" t="s">
        <v>965</v>
      </c>
      <c r="AK58" s="432" t="str">
        <f>IF(LEN(VLOOKUP(AA52,suvaha!$D$8:$F$27,3,FALSE))&lt;8,"",LEFT(RIGHT(VLOOKUP(AA52,suvaha!$D$8:$F$27,3,FALSE),8),1))</f>
        <v/>
      </c>
      <c r="AL58" s="434" t="s">
        <v>965</v>
      </c>
      <c r="AM58" s="432" t="str">
        <f>IF(LEN(VLOOKUP(AA52,suvaha!$D$8:$H$27,3,FALSE))&lt;7,"",LEFT(RIGHT(VLOOKUP(AA52,suvaha!$D$8:$H$27,3,FALSE),7),1))</f>
        <v/>
      </c>
      <c r="AN58" s="818"/>
      <c r="AO58" s="432" t="str">
        <f>IF(LEN(VLOOKUP(AA52,suvaha!$D$8:$H$27,3,FALSE))&lt;6,"",LEFT(RIGHT(VLOOKUP(AA52,suvaha!$D$8:$H$27,3,FALSE),6),1))</f>
        <v/>
      </c>
      <c r="AP58" s="434" t="s">
        <v>965</v>
      </c>
      <c r="AQ58" s="432" t="str">
        <f>IF(LEN(VLOOKUP(AA52,suvaha!$D$8:$H$27,3,FALSE))&lt;5,"",LEFT(RIGHT(VLOOKUP(AA52,suvaha!$D$8:$H$27,3,FALSE),5),1))</f>
        <v/>
      </c>
      <c r="AR58" s="434" t="s">
        <v>965</v>
      </c>
      <c r="AS58" s="432" t="str">
        <f>IF(LEN(VLOOKUP(AA52,suvaha!$D$8:$H$27,3,FALSE))&lt;4,"",LEFT(RIGHT(VLOOKUP(AA52,suvaha!$D$8:$H$27,3,FALSE),4),1))</f>
        <v/>
      </c>
      <c r="AT58" s="818"/>
      <c r="AU58" s="432" t="str">
        <f>IF(LEN(VLOOKUP(AA52,suvaha!$D$8:$H$27,3,FALSE))&lt;3,"",LEFT(RIGHT(VLOOKUP(AA52,suvaha!$D$8:$H$27,3,FALSE),3),1))</f>
        <v/>
      </c>
      <c r="AV58" s="434" t="s">
        <v>965</v>
      </c>
      <c r="AW58" s="432" t="str">
        <f>IF(LEN(VLOOKUP(AA52,suvaha!$D$8:$H$27,3,FALSE))&lt;2,"",LEFT(RIGHT(VLOOKUP(AA52,suvaha!$D$8:$H$27,3,FALSE),2),1))</f>
        <v/>
      </c>
      <c r="AX58" s="434" t="s">
        <v>965</v>
      </c>
      <c r="AY58" s="432" t="str">
        <f>IF(VLOOKUP(AA52,suvaha!$D$8:$H$27,3,FALSE)=0,"",IF(LEN(VLOOKUP(AA52,suvaha!$D$8:$H$27,3,FALSE))&lt;1,"",LEFT(RIGHT(VLOOKUP(AA52,suvaha!$D$8:$H$27,3,FALSE),1),1)))</f>
        <v/>
      </c>
      <c r="AZ58" s="827"/>
      <c r="BA58" s="448"/>
      <c r="BB58" s="442"/>
      <c r="BC58" s="442"/>
      <c r="BD58" s="442"/>
      <c r="BE58" s="442"/>
      <c r="BF58" s="442"/>
      <c r="BG58" s="442"/>
      <c r="BH58" s="442"/>
      <c r="BI58" s="442"/>
      <c r="BJ58" s="441"/>
      <c r="BK58" s="442"/>
      <c r="BL58" s="432" t="str">
        <f>IF(LEN(VLOOKUP(AA52,suvaha!$D$8:$H$27,5,FALSE))&lt;11,"",LEFT(RIGHT(VLOOKUP(AA52,suvaha!$D$8:$H$27,5,FALSE),11),1))</f>
        <v/>
      </c>
      <c r="BM58" s="255" t="s">
        <v>965</v>
      </c>
      <c r="BN58" s="432" t="str">
        <f>IF(LEN(VLOOKUP(AA52,suvaha!$D$8:$H$27,5,FALSE))&lt;10,"",LEFT(RIGHT(VLOOKUP(AA52,suvaha!$D$8:$H$27,5,FALSE),10),1))</f>
        <v/>
      </c>
      <c r="BO58" s="434" t="s">
        <v>965</v>
      </c>
      <c r="BP58" s="432" t="str">
        <f>IF(LEN(VLOOKUP(AA52,suvaha!$D$8:$H$27,5,FALSE))&lt;9,"",LEFT(RIGHT(VLOOKUP(AA52,suvaha!$D$8:$H$27,5,FALSE),9),1))</f>
        <v/>
      </c>
      <c r="BQ58" s="255" t="s">
        <v>965</v>
      </c>
      <c r="BR58" s="432" t="str">
        <f>IF(LEN(VLOOKUP(AA52,suvaha!$D$8:$H$27,5,FALSE))&lt;8,"",LEFT(RIGHT(VLOOKUP(AA52,suvaha!$D$8:$H$27,5,FALSE),8),1))</f>
        <v/>
      </c>
      <c r="BS58" s="434" t="s">
        <v>965</v>
      </c>
      <c r="BT58" s="432" t="str">
        <f>IF(LEN(VLOOKUP(AA52,suvaha!$D$8:$H$27,5,FALSE))&lt;7,"",LEFT(RIGHT(VLOOKUP(AA52,suvaha!$D$8:$H$27,5,FALSE),7),1))</f>
        <v/>
      </c>
      <c r="BU58" s="818" t="s">
        <v>965</v>
      </c>
      <c r="BV58" s="432" t="str">
        <f>IF(LEN(VLOOKUP(AA52,suvaha!$D$8:$H$27,5,FALSE))&lt;6,"",LEFT(RIGHT(VLOOKUP(AA52,suvaha!$D$8:$H$27,5,FALSE),6),1))</f>
        <v/>
      </c>
      <c r="BW58" s="434" t="s">
        <v>965</v>
      </c>
      <c r="BX58" s="432" t="str">
        <f>IF(LEN(VLOOKUP(AA52,suvaha!$D$8:$H$27,5,FALSE))&lt;5,"",LEFT(RIGHT(VLOOKUP(AA52,suvaha!$D$8:$H$27,5,FALSE),5),1))</f>
        <v/>
      </c>
      <c r="BY58" s="434" t="s">
        <v>965</v>
      </c>
      <c r="BZ58" s="432" t="str">
        <f>IF(LEN(VLOOKUP(AA52,suvaha!$D$8:$H$27,5,FALSE))&lt;4,"",LEFT(RIGHT(VLOOKUP(AA52,suvaha!$D$8:$H$27,5,FALSE),4),1))</f>
        <v/>
      </c>
      <c r="CA58" s="818" t="s">
        <v>965</v>
      </c>
      <c r="CB58" s="432" t="str">
        <f>IF(LEN(VLOOKUP(AA52,suvaha!$D$8:$H$27,5,FALSE))&lt;3,"",LEFT(RIGHT(VLOOKUP(AA52,suvaha!$D$8:$H$27,5,FALSE),3),1))</f>
        <v/>
      </c>
      <c r="CC58" s="434" t="s">
        <v>965</v>
      </c>
      <c r="CD58" s="432" t="str">
        <f>IF(LEN(VLOOKUP(AA52,suvaha!$D$8:$H$27,5,FALSE))&lt;2,"",LEFT(RIGHT(VLOOKUP(AA52,suvaha!$D$8:$H$27,5,FALSE),2),1))</f>
        <v/>
      </c>
      <c r="CE58" s="434" t="s">
        <v>1540</v>
      </c>
      <c r="CF58" s="432" t="str">
        <f>IF(VLOOKUP(AA52,suvaha!$D$8:$H$27,5,FALSE)=0,"",IF(LEN(VLOOKUP(AA52,suvaha!$D$8:$H$27,5,FALSE))&lt;1,"",LEFT(RIGHT(VLOOKUP(AA52,suvaha!$D$8:$H$27,5,FALSE),1),1)))</f>
        <v/>
      </c>
      <c r="CG58" s="287"/>
    </row>
    <row r="59" spans="1:85" ht="3" customHeight="1">
      <c r="A59" s="220"/>
      <c r="B59" s="879"/>
      <c r="C59" s="879"/>
      <c r="D59" s="879"/>
      <c r="E59" s="877"/>
      <c r="F59" s="877"/>
      <c r="G59" s="862"/>
      <c r="H59" s="864"/>
      <c r="I59" s="864"/>
      <c r="J59" s="864"/>
      <c r="K59" s="864"/>
      <c r="L59" s="864"/>
      <c r="M59" s="864"/>
      <c r="N59" s="864"/>
      <c r="O59" s="864"/>
      <c r="P59" s="864"/>
      <c r="Q59" s="864"/>
      <c r="R59" s="864"/>
      <c r="S59" s="864"/>
      <c r="T59" s="864"/>
      <c r="U59" s="864"/>
      <c r="V59" s="864"/>
      <c r="W59" s="864"/>
      <c r="X59" s="864"/>
      <c r="Y59" s="864"/>
      <c r="Z59" s="864"/>
      <c r="AA59" s="866"/>
      <c r="AB59" s="866"/>
      <c r="AC59" s="866"/>
      <c r="AD59" s="848"/>
      <c r="AE59" s="848"/>
      <c r="AF59" s="848"/>
      <c r="AG59" s="848"/>
      <c r="AH59" s="848"/>
      <c r="AI59" s="848"/>
      <c r="AJ59" s="848"/>
      <c r="AK59" s="848"/>
      <c r="AL59" s="848"/>
      <c r="AM59" s="848"/>
      <c r="AN59" s="848"/>
      <c r="AO59" s="848"/>
      <c r="AP59" s="848"/>
      <c r="AQ59" s="848"/>
      <c r="AR59" s="848"/>
      <c r="AS59" s="848"/>
      <c r="AT59" s="848"/>
      <c r="AU59" s="848"/>
      <c r="AV59" s="848"/>
      <c r="AW59" s="848"/>
      <c r="AX59" s="848"/>
      <c r="AY59" s="848"/>
      <c r="AZ59" s="848"/>
      <c r="BA59" s="261"/>
      <c r="BB59" s="256"/>
      <c r="BC59" s="256"/>
      <c r="BD59" s="256"/>
      <c r="BE59" s="256"/>
      <c r="BF59" s="256"/>
      <c r="BG59" s="256"/>
      <c r="BH59" s="256"/>
      <c r="BI59" s="256"/>
      <c r="BJ59" s="257"/>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86"/>
    </row>
    <row r="60" spans="1:85" s="250" customFormat="1" ht="3" customHeight="1">
      <c r="A60" s="220"/>
      <c r="B60" s="879"/>
      <c r="C60" s="879"/>
      <c r="D60" s="879"/>
      <c r="E60" s="939" t="s">
        <v>527</v>
      </c>
      <c r="F60" s="939"/>
      <c r="G60" s="862"/>
      <c r="H60" s="874" t="str">
        <f>Index!C72</f>
        <v>Dlhodobý finančný majetok súčet (r. 22 až r. 32)</v>
      </c>
      <c r="I60" s="874"/>
      <c r="J60" s="874"/>
      <c r="K60" s="874"/>
      <c r="L60" s="874"/>
      <c r="M60" s="874"/>
      <c r="N60" s="874"/>
      <c r="O60" s="874"/>
      <c r="P60" s="874"/>
      <c r="Q60" s="874"/>
      <c r="R60" s="874"/>
      <c r="S60" s="874"/>
      <c r="T60" s="874"/>
      <c r="U60" s="874"/>
      <c r="V60" s="874"/>
      <c r="W60" s="874"/>
      <c r="X60" s="874"/>
      <c r="Y60" s="874"/>
      <c r="Z60" s="874"/>
      <c r="AA60" s="875" t="s">
        <v>1563</v>
      </c>
      <c r="AB60" s="875"/>
      <c r="AC60" s="875"/>
      <c r="AD60" s="843"/>
      <c r="AE60" s="843"/>
      <c r="AF60" s="843"/>
      <c r="AG60" s="843"/>
      <c r="AH60" s="843"/>
      <c r="AI60" s="843"/>
      <c r="AJ60" s="843"/>
      <c r="AK60" s="843"/>
      <c r="AL60" s="843"/>
      <c r="AM60" s="843"/>
      <c r="AN60" s="843"/>
      <c r="AO60" s="843"/>
      <c r="AP60" s="843"/>
      <c r="AQ60" s="843"/>
      <c r="AR60" s="843"/>
      <c r="AS60" s="843"/>
      <c r="AT60" s="843"/>
      <c r="AU60" s="843"/>
      <c r="AV60" s="843"/>
      <c r="AW60" s="843"/>
      <c r="AX60" s="843"/>
      <c r="AY60" s="843"/>
      <c r="AZ60" s="843"/>
      <c r="BA60" s="844"/>
      <c r="BB60" s="844"/>
      <c r="BC60" s="844"/>
      <c r="BD60" s="844"/>
      <c r="BE60" s="844"/>
      <c r="BF60" s="844"/>
      <c r="BG60" s="844"/>
      <c r="BH60" s="844"/>
      <c r="BI60" s="844"/>
      <c r="BJ60" s="844"/>
      <c r="BK60" s="844"/>
      <c r="BL60" s="844"/>
      <c r="BM60" s="844"/>
      <c r="BN60" s="844"/>
      <c r="BO60" s="844"/>
      <c r="BP60" s="844"/>
      <c r="BQ60" s="844"/>
      <c r="BR60" s="251"/>
      <c r="BS60" s="251"/>
      <c r="BT60" s="251"/>
      <c r="BU60" s="251"/>
      <c r="BV60" s="251"/>
      <c r="BW60" s="252"/>
      <c r="BX60" s="251"/>
      <c r="BY60" s="251"/>
      <c r="BZ60" s="251"/>
      <c r="CA60" s="251"/>
      <c r="CB60" s="251"/>
      <c r="CC60" s="251"/>
      <c r="CD60" s="251"/>
      <c r="CE60" s="251"/>
      <c r="CF60" s="251"/>
      <c r="CG60" s="284"/>
    </row>
    <row r="61" spans="1:85" s="250" customFormat="1" ht="3" customHeight="1">
      <c r="A61" s="220"/>
      <c r="B61" s="879"/>
      <c r="C61" s="879"/>
      <c r="D61" s="879"/>
      <c r="E61" s="939"/>
      <c r="F61" s="939"/>
      <c r="G61" s="862"/>
      <c r="H61" s="874"/>
      <c r="I61" s="874"/>
      <c r="J61" s="874"/>
      <c r="K61" s="874"/>
      <c r="L61" s="874"/>
      <c r="M61" s="874"/>
      <c r="N61" s="874"/>
      <c r="O61" s="874"/>
      <c r="P61" s="874"/>
      <c r="Q61" s="874"/>
      <c r="R61" s="874"/>
      <c r="S61" s="874"/>
      <c r="T61" s="874"/>
      <c r="U61" s="874"/>
      <c r="V61" s="874"/>
      <c r="W61" s="874"/>
      <c r="X61" s="874"/>
      <c r="Y61" s="874"/>
      <c r="Z61" s="874"/>
      <c r="AA61" s="875"/>
      <c r="AB61" s="875"/>
      <c r="AC61" s="875"/>
      <c r="AD61" s="826"/>
      <c r="AE61" s="820"/>
      <c r="AF61" s="820"/>
      <c r="AG61" s="820"/>
      <c r="AH61" s="435"/>
      <c r="AI61" s="821"/>
      <c r="AJ61" s="821"/>
      <c r="AK61" s="821"/>
      <c r="AL61" s="821"/>
      <c r="AM61" s="821"/>
      <c r="AN61" s="818"/>
      <c r="AO61" s="822"/>
      <c r="AP61" s="822"/>
      <c r="AQ61" s="822"/>
      <c r="AR61" s="822"/>
      <c r="AS61" s="822"/>
      <c r="AT61" s="818"/>
      <c r="AU61" s="822"/>
      <c r="AV61" s="822"/>
      <c r="AW61" s="822"/>
      <c r="AX61" s="822"/>
      <c r="AY61" s="822"/>
      <c r="AZ61" s="827"/>
      <c r="BA61" s="826"/>
      <c r="BB61" s="820"/>
      <c r="BC61" s="820"/>
      <c r="BD61" s="820"/>
      <c r="BE61" s="435"/>
      <c r="BF61" s="821"/>
      <c r="BG61" s="821"/>
      <c r="BH61" s="821"/>
      <c r="BI61" s="821"/>
      <c r="BJ61" s="821"/>
      <c r="BK61" s="818"/>
      <c r="BL61" s="822"/>
      <c r="BM61" s="822"/>
      <c r="BN61" s="822"/>
      <c r="BO61" s="822"/>
      <c r="BP61" s="822"/>
      <c r="BQ61" s="818"/>
      <c r="BR61" s="822"/>
      <c r="BS61" s="822"/>
      <c r="BT61" s="822"/>
      <c r="BU61" s="822"/>
      <c r="BV61" s="822"/>
      <c r="BW61" s="441"/>
      <c r="BX61" s="442"/>
      <c r="BY61" s="442"/>
      <c r="BZ61" s="442"/>
      <c r="CA61" s="442"/>
      <c r="CB61" s="442"/>
      <c r="CC61" s="442"/>
      <c r="CD61" s="442"/>
      <c r="CE61" s="442"/>
      <c r="CF61" s="442"/>
      <c r="CG61" s="285"/>
    </row>
    <row r="62" spans="1:85" ht="15" customHeight="1">
      <c r="A62" s="220"/>
      <c r="B62" s="879"/>
      <c r="C62" s="879"/>
      <c r="D62" s="879"/>
      <c r="E62" s="939"/>
      <c r="F62" s="939"/>
      <c r="G62" s="862"/>
      <c r="H62" s="874"/>
      <c r="I62" s="874"/>
      <c r="J62" s="874"/>
      <c r="K62" s="874"/>
      <c r="L62" s="874"/>
      <c r="M62" s="874"/>
      <c r="N62" s="874"/>
      <c r="O62" s="874"/>
      <c r="P62" s="874"/>
      <c r="Q62" s="874"/>
      <c r="R62" s="874"/>
      <c r="S62" s="874"/>
      <c r="T62" s="874"/>
      <c r="U62" s="874"/>
      <c r="V62" s="874"/>
      <c r="W62" s="874"/>
      <c r="X62" s="874"/>
      <c r="Y62" s="874"/>
      <c r="Z62" s="874"/>
      <c r="AA62" s="875"/>
      <c r="AB62" s="875"/>
      <c r="AC62" s="875"/>
      <c r="AD62" s="826"/>
      <c r="AE62" s="432" t="str">
        <f>IF(LEN(VLOOKUP(AA60,suvaha!$D$8:$H$158,2,FALSE))&lt;11,"",LEFT(RIGHT(VLOOKUP(AA60,suvaha!$D$8:$H$158,2,FALSE),11),1))</f>
        <v>4</v>
      </c>
      <c r="AF62" s="255"/>
      <c r="AG62" s="432" t="str">
        <f>IF(LEN(VLOOKUP(AA60,suvaha!$D$8:$H$158,2,FALSE))&lt;10,"",LEFT(RIGHT(VLOOKUP(AA60,suvaha!$D$8:$H$158,2,FALSE),10),1))</f>
        <v>0</v>
      </c>
      <c r="AH62" s="434"/>
      <c r="AI62" s="432" t="str">
        <f>IF(LEN(VLOOKUP(AA60,suvaha!$D$8:$H$158,2,FALSE))&lt;9,"",LEFT(RIGHT(VLOOKUP(AA60,suvaha!$D$8:$H$158,2,FALSE),9),1))</f>
        <v>6</v>
      </c>
      <c r="AJ62" s="255"/>
      <c r="AK62" s="432" t="str">
        <f>IF(LEN(VLOOKUP(AA60,suvaha!$D$8:$H$158,2,FALSE))&lt;8,"",LEFT(RIGHT(VLOOKUP(AA60,suvaha!$D$8:$H$158,2,FALSE),8),1))</f>
        <v>7</v>
      </c>
      <c r="AL62" s="434"/>
      <c r="AM62" s="432" t="str">
        <f>IF(LEN(VLOOKUP(AA60,suvaha!$D$8:$H$158,2,FALSE))&lt;7,"",LEFT(RIGHT(VLOOKUP(AA60,suvaha!$D$8:$H$158,2,FALSE),7),1))</f>
        <v>6</v>
      </c>
      <c r="AN62" s="818"/>
      <c r="AO62" s="432" t="str">
        <f>IF(LEN(VLOOKUP(AA60,suvaha!$D$8:$H$158,2,FALSE))&lt;6,"",LEFT(RIGHT(VLOOKUP(AA60,suvaha!$D$8:$H$158,2,FALSE),6),1))</f>
        <v>2</v>
      </c>
      <c r="AP62" s="434"/>
      <c r="AQ62" s="432" t="str">
        <f>IF(LEN(VLOOKUP(AA60,suvaha!$D$8:$H$158,2,FALSE))&lt;5,"",LEFT(RIGHT(VLOOKUP(AA60,suvaha!$D$8:$H$158,2,FALSE),5),1))</f>
        <v>4</v>
      </c>
      <c r="AR62" s="434"/>
      <c r="AS62" s="432" t="str">
        <f>IF(LEN(VLOOKUP(AA60,suvaha!$D$8:$H$158,2,FALSE))&lt;4,"",LEFT(RIGHT(VLOOKUP(AA60,suvaha!$D$8:$H$158,2,FALSE),4),1))</f>
        <v>1</v>
      </c>
      <c r="AT62" s="818"/>
      <c r="AU62" s="432" t="str">
        <f>IF(LEN(VLOOKUP(AA60,suvaha!$D$8:$H$158,2,FALSE))&lt;3,"",LEFT(RIGHT(VLOOKUP(AA60,suvaha!$D$8:$H$158,2,FALSE),3),1))</f>
        <v>,</v>
      </c>
      <c r="AV62" s="434"/>
      <c r="AW62" s="432" t="str">
        <f>IF(LEN(VLOOKUP(AA60,suvaha!$D$8:$H$158,2,FALSE))&lt;2,"",LEFT(RIGHT(VLOOKUP(AA60,suvaha!$D$8:$H$158,2,FALSE),2),1))</f>
        <v>5</v>
      </c>
      <c r="AX62" s="434"/>
      <c r="AY62" s="432" t="str">
        <f>IF(VLOOKUP(AA60,suvaha!$D$8:$H$85,2,FALSE)=0,"",IF(LEN(VLOOKUP(AA60,suvaha!$D$8:$H$158,2,FALSE))&lt;1,"",LEFT(RIGHT(VLOOKUP(AA60,suvaha!$D$8:$H$158,2,FALSE),1),1)))</f>
        <v>3</v>
      </c>
      <c r="AZ62" s="827"/>
      <c r="BA62" s="826"/>
      <c r="BB62" s="432" t="str">
        <f>IF(LEN(VLOOKUP(AA60,suvaha!$D$8:$H$158,4,FALSE))&lt;11,"",LEFT(RIGHT(VLOOKUP(AA60,suvaha!$D$8:$H$158,4,FALSE),11),1))</f>
        <v>4</v>
      </c>
      <c r="BC62" s="255"/>
      <c r="BD62" s="432" t="str">
        <f>IF(LEN(VLOOKUP(AA60,suvaha!$D$8:$H$158,4,FALSE))&lt;10,"",LEFT(RIGHT(VLOOKUP(AA60,suvaha!$D$8:$H$158,4,FALSE),10),1))</f>
        <v>0</v>
      </c>
      <c r="BE62" s="434"/>
      <c r="BF62" s="432" t="str">
        <f>IF(LEN(VLOOKUP(AA60,suvaha!$D$8:$H$158,4,FALSE))&lt;9,"",LEFT(RIGHT(VLOOKUP(AA60,suvaha!$D$8:$H$158,4,FALSE),9),1))</f>
        <v>6</v>
      </c>
      <c r="BG62" s="255"/>
      <c r="BH62" s="432" t="str">
        <f>IF(LEN(VLOOKUP(AA60,suvaha!$D$8:$H$158,4,FALSE))&lt;8,"",LEFT(RIGHT(VLOOKUP(AA60,suvaha!$D$8:$H$158,4,FALSE),8),1))</f>
        <v>7</v>
      </c>
      <c r="BI62" s="434"/>
      <c r="BJ62" s="432" t="str">
        <f>IF(LEN(VLOOKUP(AA60,suvaha!$D$8:$H$158,4,FALSE))&lt;7,"",LEFT(RIGHT(VLOOKUP(AA60,suvaha!$D$8:$H$158,4,FALSE),7),1))</f>
        <v>6</v>
      </c>
      <c r="BK62" s="818"/>
      <c r="BL62" s="432" t="str">
        <f>IF(LEN(VLOOKUP(AA60,suvaha!$D$8:$H$158,4,FALSE))&lt;6,"",LEFT(RIGHT(VLOOKUP(AA60,suvaha!$D$8:$H$158,4,FALSE),6),1))</f>
        <v>2</v>
      </c>
      <c r="BM62" s="434"/>
      <c r="BN62" s="432" t="str">
        <f>IF(LEN(VLOOKUP(AA60,suvaha!$D$8:$H$158,4,FALSE))&lt;5,"",LEFT(RIGHT(VLOOKUP(AA60,suvaha!$D$8:$H$158,4,FALSE),5),1))</f>
        <v>4</v>
      </c>
      <c r="BO62" s="434"/>
      <c r="BP62" s="432" t="str">
        <f>IF(LEN(VLOOKUP(AA60,suvaha!$D$8:$H$158,4,FALSE))&lt;4,"",LEFT(RIGHT(VLOOKUP(AA60,suvaha!$D$8:$H$158,4,FALSE),4),1))</f>
        <v>1</v>
      </c>
      <c r="BQ62" s="818"/>
      <c r="BR62" s="432" t="str">
        <f>IF(LEN(VLOOKUP(AA60,suvaha!$D$8:$H$158,4,FALSE))&lt;3,"",LEFT(RIGHT(VLOOKUP(AA60,suvaha!$D$8:$H$158,4,FALSE),3),1))</f>
        <v>,</v>
      </c>
      <c r="BS62" s="434"/>
      <c r="BT62" s="432" t="str">
        <f>IF(LEN(VLOOKUP(AA60,suvaha!$D$8:$H$158,4,FALSE))&lt;2,"",LEFT(RIGHT(VLOOKUP(AA60,suvaha!$D$8:$H$158,4,FALSE),2),1))</f>
        <v>5</v>
      </c>
      <c r="BU62" s="434"/>
      <c r="BV62" s="432" t="str">
        <f>IF(VLOOKUP(AA60,suvaha!$D$8:$H$85,4,FALSE)=0,"",IF(LEN(VLOOKUP(AA60,suvaha!$D$8:$H$158,4,FALSE))&lt;1,"",LEFT(RIGHT(VLOOKUP(AA60,suvaha!$D$8:$H$158,4,FALSE),1),1)))</f>
        <v>3</v>
      </c>
      <c r="BW62" s="441"/>
      <c r="BX62" s="442"/>
      <c r="BY62" s="442"/>
      <c r="BZ62" s="442"/>
      <c r="CA62" s="442"/>
      <c r="CB62" s="442"/>
      <c r="CC62" s="442"/>
      <c r="CD62" s="442"/>
      <c r="CE62" s="442"/>
      <c r="CF62" s="442"/>
      <c r="CG62" s="285"/>
    </row>
    <row r="63" spans="1:85" ht="3" customHeight="1">
      <c r="A63" s="220"/>
      <c r="B63" s="879"/>
      <c r="C63" s="879"/>
      <c r="D63" s="879"/>
      <c r="E63" s="939"/>
      <c r="F63" s="939"/>
      <c r="G63" s="862"/>
      <c r="H63" s="874"/>
      <c r="I63" s="874"/>
      <c r="J63" s="874"/>
      <c r="K63" s="874"/>
      <c r="L63" s="874"/>
      <c r="M63" s="874"/>
      <c r="N63" s="874"/>
      <c r="O63" s="874"/>
      <c r="P63" s="874"/>
      <c r="Q63" s="874"/>
      <c r="R63" s="874"/>
      <c r="S63" s="874"/>
      <c r="T63" s="874"/>
      <c r="U63" s="874"/>
      <c r="V63" s="874"/>
      <c r="W63" s="874"/>
      <c r="X63" s="874"/>
      <c r="Y63" s="874"/>
      <c r="Z63" s="874"/>
      <c r="AA63" s="875"/>
      <c r="AB63" s="875"/>
      <c r="AC63" s="875"/>
      <c r="AD63" s="845"/>
      <c r="AE63" s="845"/>
      <c r="AF63" s="845"/>
      <c r="AG63" s="845"/>
      <c r="AH63" s="845"/>
      <c r="AI63" s="845"/>
      <c r="AJ63" s="845"/>
      <c r="AK63" s="845"/>
      <c r="AL63" s="845"/>
      <c r="AM63" s="845"/>
      <c r="AN63" s="845"/>
      <c r="AO63" s="845"/>
      <c r="AP63" s="845"/>
      <c r="AQ63" s="845"/>
      <c r="AR63" s="845"/>
      <c r="AS63" s="845"/>
      <c r="AT63" s="845"/>
      <c r="AU63" s="845"/>
      <c r="AV63" s="845"/>
      <c r="AW63" s="845"/>
      <c r="AX63" s="845"/>
      <c r="AY63" s="845"/>
      <c r="AZ63" s="845"/>
      <c r="BA63" s="846"/>
      <c r="BB63" s="846"/>
      <c r="BC63" s="846"/>
      <c r="BD63" s="846"/>
      <c r="BE63" s="846"/>
      <c r="BF63" s="846"/>
      <c r="BG63" s="846"/>
      <c r="BH63" s="846"/>
      <c r="BI63" s="846"/>
      <c r="BJ63" s="846"/>
      <c r="BK63" s="846"/>
      <c r="BL63" s="846"/>
      <c r="BM63" s="846"/>
      <c r="BN63" s="846"/>
      <c r="BO63" s="846"/>
      <c r="BP63" s="846"/>
      <c r="BQ63" s="846"/>
      <c r="BR63" s="310"/>
      <c r="BS63" s="310"/>
      <c r="BT63" s="310"/>
      <c r="BU63" s="310"/>
      <c r="BV63" s="310"/>
      <c r="BW63" s="443"/>
      <c r="BX63" s="310"/>
      <c r="BY63" s="310"/>
      <c r="BZ63" s="310"/>
      <c r="CA63" s="310"/>
      <c r="CB63" s="310"/>
      <c r="CC63" s="310"/>
      <c r="CD63" s="310"/>
      <c r="CE63" s="310"/>
      <c r="CF63" s="310"/>
      <c r="CG63" s="286"/>
    </row>
    <row r="64" spans="1:85" ht="3" customHeight="1">
      <c r="A64" s="220"/>
      <c r="B64" s="879"/>
      <c r="C64" s="879"/>
      <c r="D64" s="879"/>
      <c r="E64" s="939"/>
      <c r="F64" s="939"/>
      <c r="G64" s="862"/>
      <c r="H64" s="874"/>
      <c r="I64" s="874"/>
      <c r="J64" s="874"/>
      <c r="K64" s="874"/>
      <c r="L64" s="874"/>
      <c r="M64" s="874"/>
      <c r="N64" s="874"/>
      <c r="O64" s="874"/>
      <c r="P64" s="874"/>
      <c r="Q64" s="874"/>
      <c r="R64" s="874"/>
      <c r="S64" s="874"/>
      <c r="T64" s="874"/>
      <c r="U64" s="874"/>
      <c r="V64" s="874"/>
      <c r="W64" s="874"/>
      <c r="X64" s="874"/>
      <c r="Y64" s="874"/>
      <c r="Z64" s="874"/>
      <c r="AA64" s="875"/>
      <c r="AB64" s="875"/>
      <c r="AC64" s="875"/>
      <c r="AD64" s="825"/>
      <c r="AE64" s="825"/>
      <c r="AF64" s="825"/>
      <c r="AG64" s="825"/>
      <c r="AH64" s="825"/>
      <c r="AI64" s="825"/>
      <c r="AJ64" s="825"/>
      <c r="AK64" s="825"/>
      <c r="AL64" s="825"/>
      <c r="AM64" s="825"/>
      <c r="AN64" s="825"/>
      <c r="AO64" s="825"/>
      <c r="AP64" s="825"/>
      <c r="AQ64" s="825"/>
      <c r="AR64" s="825"/>
      <c r="AS64" s="825"/>
      <c r="AT64" s="825"/>
      <c r="AU64" s="825"/>
      <c r="AV64" s="825"/>
      <c r="AW64" s="825"/>
      <c r="AX64" s="825"/>
      <c r="AY64" s="825"/>
      <c r="AZ64" s="825"/>
      <c r="BA64" s="447"/>
      <c r="BB64" s="304"/>
      <c r="BC64" s="304"/>
      <c r="BD64" s="304"/>
      <c r="BE64" s="304"/>
      <c r="BF64" s="304"/>
      <c r="BG64" s="304"/>
      <c r="BH64" s="304"/>
      <c r="BI64" s="304"/>
      <c r="BJ64" s="446"/>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284"/>
    </row>
    <row r="65" spans="1:85" ht="3" customHeight="1">
      <c r="A65" s="220"/>
      <c r="B65" s="879"/>
      <c r="C65" s="879"/>
      <c r="D65" s="879"/>
      <c r="E65" s="939"/>
      <c r="F65" s="939"/>
      <c r="G65" s="862"/>
      <c r="H65" s="874"/>
      <c r="I65" s="874"/>
      <c r="J65" s="874"/>
      <c r="K65" s="874"/>
      <c r="L65" s="874"/>
      <c r="M65" s="874"/>
      <c r="N65" s="874"/>
      <c r="O65" s="874"/>
      <c r="P65" s="874"/>
      <c r="Q65" s="874"/>
      <c r="R65" s="874"/>
      <c r="S65" s="874"/>
      <c r="T65" s="874"/>
      <c r="U65" s="874"/>
      <c r="V65" s="874"/>
      <c r="W65" s="874"/>
      <c r="X65" s="874"/>
      <c r="Y65" s="874"/>
      <c r="Z65" s="874"/>
      <c r="AA65" s="875"/>
      <c r="AB65" s="875"/>
      <c r="AC65" s="875"/>
      <c r="AD65" s="826"/>
      <c r="AE65" s="820"/>
      <c r="AF65" s="820"/>
      <c r="AG65" s="820"/>
      <c r="AH65" s="435"/>
      <c r="AI65" s="821"/>
      <c r="AJ65" s="821"/>
      <c r="AK65" s="821"/>
      <c r="AL65" s="821"/>
      <c r="AM65" s="821"/>
      <c r="AN65" s="818"/>
      <c r="AO65" s="822"/>
      <c r="AP65" s="822"/>
      <c r="AQ65" s="822"/>
      <c r="AR65" s="822"/>
      <c r="AS65" s="822"/>
      <c r="AT65" s="818"/>
      <c r="AU65" s="822"/>
      <c r="AV65" s="822"/>
      <c r="AW65" s="822"/>
      <c r="AX65" s="822"/>
      <c r="AY65" s="822"/>
      <c r="AZ65" s="827"/>
      <c r="BA65" s="448"/>
      <c r="BB65" s="442"/>
      <c r="BC65" s="442"/>
      <c r="BD65" s="442"/>
      <c r="BE65" s="442"/>
      <c r="BF65" s="442"/>
      <c r="BG65" s="442"/>
      <c r="BH65" s="442"/>
      <c r="BI65" s="442"/>
      <c r="BJ65" s="441"/>
      <c r="BK65" s="442"/>
      <c r="BL65" s="820"/>
      <c r="BM65" s="820"/>
      <c r="BN65" s="820"/>
      <c r="BO65" s="435"/>
      <c r="BP65" s="821"/>
      <c r="BQ65" s="821"/>
      <c r="BR65" s="821"/>
      <c r="BS65" s="821"/>
      <c r="BT65" s="821"/>
      <c r="BU65" s="818"/>
      <c r="BV65" s="822"/>
      <c r="BW65" s="822"/>
      <c r="BX65" s="822"/>
      <c r="BY65" s="822"/>
      <c r="BZ65" s="822"/>
      <c r="CA65" s="818"/>
      <c r="CB65" s="822"/>
      <c r="CC65" s="822"/>
      <c r="CD65" s="822"/>
      <c r="CE65" s="822"/>
      <c r="CF65" s="822"/>
      <c r="CG65" s="287"/>
    </row>
    <row r="66" spans="1:85" ht="15" customHeight="1">
      <c r="A66" s="220"/>
      <c r="B66" s="879"/>
      <c r="C66" s="879"/>
      <c r="D66" s="879"/>
      <c r="E66" s="939"/>
      <c r="F66" s="939"/>
      <c r="G66" s="862"/>
      <c r="H66" s="874"/>
      <c r="I66" s="874"/>
      <c r="J66" s="874"/>
      <c r="K66" s="874"/>
      <c r="L66" s="874"/>
      <c r="M66" s="874"/>
      <c r="N66" s="874"/>
      <c r="O66" s="874"/>
      <c r="P66" s="874"/>
      <c r="Q66" s="874"/>
      <c r="R66" s="874"/>
      <c r="S66" s="874"/>
      <c r="T66" s="874"/>
      <c r="U66" s="874"/>
      <c r="V66" s="874"/>
      <c r="W66" s="874"/>
      <c r="X66" s="874"/>
      <c r="Y66" s="874"/>
      <c r="Z66" s="874"/>
      <c r="AA66" s="875"/>
      <c r="AB66" s="875"/>
      <c r="AC66" s="875"/>
      <c r="AD66" s="826"/>
      <c r="AE66" s="432" t="str">
        <f>IF(LEN(VLOOKUP(AA60,suvaha!$D$8:$H$158,3,FALSE))&lt;11,"",LEFT(RIGHT(VLOOKUP(AA60,suvaha!$D$8:$H$158,3,FALSE),11),1))</f>
        <v/>
      </c>
      <c r="AF66" s="255"/>
      <c r="AG66" s="432" t="str">
        <f>IF(LEN(VLOOKUP(AA60,suvaha!$D$8:$H$158,3,FALSE))&lt;10,"",LEFT(RIGHT(VLOOKUP(AA60,suvaha!$D$8:$H$158,3,FALSE),10),1))</f>
        <v/>
      </c>
      <c r="AH66" s="434"/>
      <c r="AI66" s="432" t="str">
        <f>IF(LEN(VLOOKUP(AA60,suvaha!$D$8:$H$158,3,FALSE))&lt;9,"",LEFT(RIGHT(VLOOKUP(AA60,suvaha!$D$8:$H$158,3,FALSE),9),1))</f>
        <v/>
      </c>
      <c r="AJ66" s="255"/>
      <c r="AK66" s="432" t="str">
        <f>IF(LEN(VLOOKUP(AA60,suvaha!$D$8:$H$158,3,FALSE))&lt;8,"",LEFT(RIGHT(VLOOKUP(AA60,suvaha!$D$8:$H$158,3,FALSE),8),1))</f>
        <v/>
      </c>
      <c r="AL66" s="434"/>
      <c r="AM66" s="432" t="str">
        <f>IF(LEN(VLOOKUP(AA60,suvaha!$D$8:$H$158,3,FALSE))&lt;7,"",LEFT(RIGHT(VLOOKUP(AA60,suvaha!$D$8:$H$158,3,FALSE),7),1))</f>
        <v/>
      </c>
      <c r="AN66" s="818"/>
      <c r="AO66" s="432" t="str">
        <f>IF(LEN(VLOOKUP(AA60,suvaha!$D$8:$H$158,3,FALSE))&lt;6,"",LEFT(RIGHT(VLOOKUP(AA60,suvaha!$D$8:$H$158,3,FALSE),6),1))</f>
        <v/>
      </c>
      <c r="AP66" s="434"/>
      <c r="AQ66" s="432" t="str">
        <f>IF(LEN(VLOOKUP(AA60,suvaha!$D$8:$H$158,3,FALSE))&lt;5,"",LEFT(RIGHT(VLOOKUP(AA60,suvaha!$D$8:$H$158,3,FALSE),5),1))</f>
        <v/>
      </c>
      <c r="AR66" s="434"/>
      <c r="AS66" s="432" t="str">
        <f>IF(LEN(VLOOKUP(AA60,suvaha!$D$8:$H$158,3,FALSE))&lt;4,"",LEFT(RIGHT(VLOOKUP(AA60,suvaha!$D$8:$H$158,3,FALSE),4),1))</f>
        <v/>
      </c>
      <c r="AT66" s="818"/>
      <c r="AU66" s="432" t="str">
        <f>IF(LEN(VLOOKUP(AA60,suvaha!$D$8:$H$158,3,FALSE))&lt;3,"",LEFT(RIGHT(VLOOKUP(AA60,suvaha!$D$8:$H$158,3,FALSE),3),1))</f>
        <v/>
      </c>
      <c r="AV66" s="434"/>
      <c r="AW66" s="432" t="str">
        <f>IF(LEN(VLOOKUP(AA60,suvaha!$D$8:$H$158,3,FALSE))&lt;2,"",LEFT(RIGHT(VLOOKUP(AA60,suvaha!$D$8:$H$158,3,FALSE),2),1))</f>
        <v/>
      </c>
      <c r="AX66" s="434"/>
      <c r="AY66" s="432" t="str">
        <f>IF(VLOOKUP(AA60,suvaha!$D$8:$H$85,3,FALSE)=0,"",IF(LEN(VLOOKUP(AA60,suvaha!$D$8:$H$158,3,FALSE))&lt;1,"",LEFT(RIGHT(VLOOKUP(AA60,suvaha!$D$8:$H$158,3,FALSE),1),1)))</f>
        <v/>
      </c>
      <c r="AZ66" s="827"/>
      <c r="BA66" s="448"/>
      <c r="BB66" s="442"/>
      <c r="BC66" s="442"/>
      <c r="BD66" s="442"/>
      <c r="BE66" s="442"/>
      <c r="BF66" s="442"/>
      <c r="BG66" s="442"/>
      <c r="BH66" s="442"/>
      <c r="BI66" s="442"/>
      <c r="BJ66" s="441"/>
      <c r="BK66" s="442"/>
      <c r="BL66" s="432" t="str">
        <f>IF(LEN(VLOOKUP(AA60,suvaha!$D$8:$H$158,5,FALSE))&lt;11,"",LEFT(RIGHT(VLOOKUP(AA60,suvaha!$D$8:$H$158,5,FALSE),11),1))</f>
        <v/>
      </c>
      <c r="BM66" s="255"/>
      <c r="BN66" s="432" t="str">
        <f>IF(LEN(VLOOKUP(AA60,suvaha!$D$8:$H$158,5,FALSE))&lt;10,"",LEFT(RIGHT(VLOOKUP(AA60,suvaha!$D$8:$H$158,5,FALSE),10),1))</f>
        <v/>
      </c>
      <c r="BO66" s="434"/>
      <c r="BP66" s="432" t="str">
        <f>IF(LEN(VLOOKUP(AA60,suvaha!$D$8:$H$158,5,FALSE))&lt;9,"",LEFT(RIGHT(VLOOKUP(AA60,suvaha!$D$8:$H$158,5,FALSE),9),1))</f>
        <v/>
      </c>
      <c r="BQ66" s="255"/>
      <c r="BR66" s="432" t="str">
        <f>IF(LEN(VLOOKUP(AA60,suvaha!$D$8:$H$158,5,FALSE))&lt;8,"",LEFT(RIGHT(VLOOKUP(AA60,suvaha!$D$8:$H$158,5,FALSE),8),1))</f>
        <v>1</v>
      </c>
      <c r="BS66" s="434"/>
      <c r="BT66" s="432" t="str">
        <f>IF(LEN(VLOOKUP(AA60,suvaha!$D$8:$H$158,5,FALSE))&lt;7,"",LEFT(RIGHT(VLOOKUP(AA60,suvaha!$D$8:$H$158,5,FALSE),7),1))</f>
        <v>8</v>
      </c>
      <c r="BU66" s="818"/>
      <c r="BV66" s="432" t="str">
        <f>IF(LEN(VLOOKUP(AA60,suvaha!$D$8:$H$158,5,FALSE))&lt;6,"",LEFT(RIGHT(VLOOKUP(AA60,suvaha!$D$8:$H$158,5,FALSE),6),1))</f>
        <v>7</v>
      </c>
      <c r="BW66" s="434"/>
      <c r="BX66" s="432" t="str">
        <f>IF(LEN(VLOOKUP(AA60,suvaha!$D$8:$H$158,5,FALSE))&lt;5,"",LEFT(RIGHT(VLOOKUP(AA60,suvaha!$D$8:$H$158,5,FALSE),5),1))</f>
        <v>5</v>
      </c>
      <c r="BY66" s="434"/>
      <c r="BZ66" s="432" t="str">
        <f>IF(LEN(VLOOKUP(AA60,suvaha!$D$8:$H$158,5,FALSE))&lt;4,"",LEFT(RIGHT(VLOOKUP(AA60,suvaha!$D$8:$H$158,5,FALSE),4),1))</f>
        <v>5</v>
      </c>
      <c r="CA66" s="818"/>
      <c r="CB66" s="432" t="str">
        <f>IF(LEN(VLOOKUP(AA60,suvaha!$D$8:$H$158,5,FALSE))&lt;3,"",LEFT(RIGHT(VLOOKUP(AA60,suvaha!$D$8:$H$158,5,FALSE),3),1))</f>
        <v>7</v>
      </c>
      <c r="CC66" s="434"/>
      <c r="CD66" s="432" t="str">
        <f>IF(LEN(VLOOKUP(AA60,suvaha!$D$8:$H$158,5,FALSE))&lt;2,"",LEFT(RIGHT(VLOOKUP(AA60,suvaha!$D$8:$H$158,5,FALSE),2),1))</f>
        <v>6</v>
      </c>
      <c r="CE66" s="434"/>
      <c r="CF66" s="432" t="str">
        <f>IF(VLOOKUP(AA60,suvaha!$D$8:$H$85,5,FALSE)=0,"",IF(LEN(VLOOKUP(AA60,suvaha!$D$8:$H$158,5,FALSE))&lt;1,"",LEFT(RIGHT(VLOOKUP(AA60,suvaha!$D$8:$H$158,5,FALSE),1),1)))</f>
        <v>0</v>
      </c>
      <c r="CG66" s="287"/>
    </row>
    <row r="67" spans="1:85" ht="3" customHeight="1">
      <c r="A67" s="220"/>
      <c r="B67" s="879"/>
      <c r="C67" s="879"/>
      <c r="D67" s="879"/>
      <c r="E67" s="939"/>
      <c r="F67" s="939"/>
      <c r="G67" s="862"/>
      <c r="H67" s="874"/>
      <c r="I67" s="874"/>
      <c r="J67" s="874"/>
      <c r="K67" s="874"/>
      <c r="L67" s="874"/>
      <c r="M67" s="874"/>
      <c r="N67" s="874"/>
      <c r="O67" s="874"/>
      <c r="P67" s="874"/>
      <c r="Q67" s="874"/>
      <c r="R67" s="874"/>
      <c r="S67" s="874"/>
      <c r="T67" s="874"/>
      <c r="U67" s="874"/>
      <c r="V67" s="874"/>
      <c r="W67" s="874"/>
      <c r="X67" s="874"/>
      <c r="Y67" s="874"/>
      <c r="Z67" s="874"/>
      <c r="AA67" s="875"/>
      <c r="AB67" s="875"/>
      <c r="AC67" s="875"/>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449"/>
      <c r="BB67" s="310"/>
      <c r="BC67" s="310"/>
      <c r="BD67" s="310"/>
      <c r="BE67" s="310"/>
      <c r="BF67" s="310"/>
      <c r="BG67" s="310"/>
      <c r="BH67" s="310"/>
      <c r="BI67" s="310"/>
      <c r="BJ67" s="443"/>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286"/>
    </row>
    <row r="68" spans="1:85" s="250" customFormat="1" ht="3" customHeight="1">
      <c r="A68" s="220"/>
      <c r="B68" s="879"/>
      <c r="C68" s="879"/>
      <c r="D68" s="879"/>
      <c r="E68" s="859" t="s">
        <v>528</v>
      </c>
      <c r="F68" s="859"/>
      <c r="G68" s="862"/>
      <c r="H68" s="864" t="str">
        <f>Index!C73</f>
        <v>Podielové cenné papiere a podiely v prepojených účtovných jednotkách (061A, 062A, 063A) - /096A/</v>
      </c>
      <c r="I68" s="864"/>
      <c r="J68" s="864"/>
      <c r="K68" s="864"/>
      <c r="L68" s="864"/>
      <c r="M68" s="864"/>
      <c r="N68" s="864"/>
      <c r="O68" s="864"/>
      <c r="P68" s="864"/>
      <c r="Q68" s="864"/>
      <c r="R68" s="864"/>
      <c r="S68" s="864"/>
      <c r="T68" s="864"/>
      <c r="U68" s="864"/>
      <c r="V68" s="864"/>
      <c r="W68" s="864"/>
      <c r="X68" s="864"/>
      <c r="Y68" s="864"/>
      <c r="Z68" s="864"/>
      <c r="AA68" s="866" t="s">
        <v>1564</v>
      </c>
      <c r="AB68" s="866"/>
      <c r="AC68" s="866"/>
      <c r="AD68" s="825"/>
      <c r="AE68" s="825"/>
      <c r="AF68" s="825"/>
      <c r="AG68" s="825"/>
      <c r="AH68" s="825"/>
      <c r="AI68" s="825"/>
      <c r="AJ68" s="825"/>
      <c r="AK68" s="825"/>
      <c r="AL68" s="825"/>
      <c r="AM68" s="825"/>
      <c r="AN68" s="825"/>
      <c r="AO68" s="825"/>
      <c r="AP68" s="825"/>
      <c r="AQ68" s="825"/>
      <c r="AR68" s="825"/>
      <c r="AS68" s="825"/>
      <c r="AT68" s="825"/>
      <c r="AU68" s="825"/>
      <c r="AV68" s="825"/>
      <c r="AW68" s="825"/>
      <c r="AX68" s="825"/>
      <c r="AY68" s="825"/>
      <c r="AZ68" s="825"/>
      <c r="BA68" s="867"/>
      <c r="BB68" s="867"/>
      <c r="BC68" s="867"/>
      <c r="BD68" s="867"/>
      <c r="BE68" s="867"/>
      <c r="BF68" s="867"/>
      <c r="BG68" s="867"/>
      <c r="BH68" s="867"/>
      <c r="BI68" s="867"/>
      <c r="BJ68" s="867"/>
      <c r="BK68" s="867"/>
      <c r="BL68" s="867"/>
      <c r="BM68" s="867"/>
      <c r="BN68" s="867"/>
      <c r="BO68" s="867"/>
      <c r="BP68" s="867"/>
      <c r="BQ68" s="867"/>
      <c r="BR68" s="304"/>
      <c r="BS68" s="304"/>
      <c r="BT68" s="304"/>
      <c r="BU68" s="304"/>
      <c r="BV68" s="304"/>
      <c r="BW68" s="446"/>
      <c r="BX68" s="304"/>
      <c r="BY68" s="304"/>
      <c r="BZ68" s="304"/>
      <c r="CA68" s="304"/>
      <c r="CB68" s="304"/>
      <c r="CC68" s="304"/>
      <c r="CD68" s="304"/>
      <c r="CE68" s="304"/>
      <c r="CF68" s="304"/>
      <c r="CG68" s="284"/>
    </row>
    <row r="69" spans="1:85" s="250" customFormat="1" ht="3" customHeight="1">
      <c r="A69" s="220"/>
      <c r="B69" s="879"/>
      <c r="C69" s="879"/>
      <c r="D69" s="879"/>
      <c r="E69" s="859"/>
      <c r="F69" s="859"/>
      <c r="G69" s="862"/>
      <c r="H69" s="864"/>
      <c r="I69" s="864"/>
      <c r="J69" s="864"/>
      <c r="K69" s="864"/>
      <c r="L69" s="864"/>
      <c r="M69" s="864"/>
      <c r="N69" s="864"/>
      <c r="O69" s="864"/>
      <c r="P69" s="864"/>
      <c r="Q69" s="864"/>
      <c r="R69" s="864"/>
      <c r="S69" s="864"/>
      <c r="T69" s="864"/>
      <c r="U69" s="864"/>
      <c r="V69" s="864"/>
      <c r="W69" s="864"/>
      <c r="X69" s="864"/>
      <c r="Y69" s="864"/>
      <c r="Z69" s="864"/>
      <c r="AA69" s="866"/>
      <c r="AB69" s="866"/>
      <c r="AC69" s="866"/>
      <c r="AD69" s="826"/>
      <c r="AE69" s="820"/>
      <c r="AF69" s="820"/>
      <c r="AG69" s="820"/>
      <c r="AH69" s="435"/>
      <c r="AI69" s="821"/>
      <c r="AJ69" s="821"/>
      <c r="AK69" s="821"/>
      <c r="AL69" s="821"/>
      <c r="AM69" s="821"/>
      <c r="AN69" s="818"/>
      <c r="AO69" s="822"/>
      <c r="AP69" s="822"/>
      <c r="AQ69" s="822"/>
      <c r="AR69" s="822"/>
      <c r="AS69" s="822"/>
      <c r="AT69" s="818"/>
      <c r="AU69" s="822"/>
      <c r="AV69" s="822"/>
      <c r="AW69" s="822"/>
      <c r="AX69" s="822"/>
      <c r="AY69" s="822"/>
      <c r="AZ69" s="827"/>
      <c r="BA69" s="826"/>
      <c r="BB69" s="820"/>
      <c r="BC69" s="820"/>
      <c r="BD69" s="820"/>
      <c r="BE69" s="435"/>
      <c r="BF69" s="821"/>
      <c r="BG69" s="821"/>
      <c r="BH69" s="821"/>
      <c r="BI69" s="821"/>
      <c r="BJ69" s="821"/>
      <c r="BK69" s="818"/>
      <c r="BL69" s="822"/>
      <c r="BM69" s="822"/>
      <c r="BN69" s="822"/>
      <c r="BO69" s="822"/>
      <c r="BP69" s="822"/>
      <c r="BQ69" s="818"/>
      <c r="BR69" s="822"/>
      <c r="BS69" s="822"/>
      <c r="BT69" s="822"/>
      <c r="BU69" s="822"/>
      <c r="BV69" s="822"/>
      <c r="BW69" s="441"/>
      <c r="BX69" s="442"/>
      <c r="BY69" s="442"/>
      <c r="BZ69" s="442"/>
      <c r="CA69" s="442"/>
      <c r="CB69" s="442"/>
      <c r="CC69" s="442"/>
      <c r="CD69" s="442"/>
      <c r="CE69" s="442"/>
      <c r="CF69" s="442"/>
      <c r="CG69" s="285"/>
    </row>
    <row r="70" spans="1:85" ht="15" customHeight="1">
      <c r="A70" s="220"/>
      <c r="B70" s="879"/>
      <c r="C70" s="879"/>
      <c r="D70" s="879"/>
      <c r="E70" s="859"/>
      <c r="F70" s="859"/>
      <c r="G70" s="862"/>
      <c r="H70" s="864"/>
      <c r="I70" s="864"/>
      <c r="J70" s="864"/>
      <c r="K70" s="864"/>
      <c r="L70" s="864"/>
      <c r="M70" s="864"/>
      <c r="N70" s="864"/>
      <c r="O70" s="864"/>
      <c r="P70" s="864"/>
      <c r="Q70" s="864"/>
      <c r="R70" s="864"/>
      <c r="S70" s="864"/>
      <c r="T70" s="864"/>
      <c r="U70" s="864"/>
      <c r="V70" s="864"/>
      <c r="W70" s="864"/>
      <c r="X70" s="864"/>
      <c r="Y70" s="864"/>
      <c r="Z70" s="864"/>
      <c r="AA70" s="866"/>
      <c r="AB70" s="866"/>
      <c r="AC70" s="866"/>
      <c r="AD70" s="826"/>
      <c r="AE70" s="432" t="str">
        <f>IF(LEN(VLOOKUP(AA68,suvaha!$D$8:$H$158,2,FALSE))&lt;11,"",LEFT(RIGHT(VLOOKUP(AA68,suvaha!$D$8:$H$158,2,FALSE),11),1))</f>
        <v>4</v>
      </c>
      <c r="AF70" s="255"/>
      <c r="AG70" s="432" t="str">
        <f>IF(LEN(VLOOKUP(AA68,suvaha!$D$8:$H$158,2,FALSE))&lt;10,"",LEFT(RIGHT(VLOOKUP(AA68,suvaha!$D$8:$H$158,2,FALSE),10),1))</f>
        <v>0</v>
      </c>
      <c r="AH70" s="434"/>
      <c r="AI70" s="432" t="str">
        <f>IF(LEN(VLOOKUP(AA68,suvaha!$D$8:$H$158,2,FALSE))&lt;9,"",LEFT(RIGHT(VLOOKUP(AA68,suvaha!$D$8:$H$158,2,FALSE),9),1))</f>
        <v>6</v>
      </c>
      <c r="AJ70" s="255"/>
      <c r="AK70" s="432" t="str">
        <f>IF(LEN(VLOOKUP(AA68,suvaha!$D$8:$H$158,2,FALSE))&lt;8,"",LEFT(RIGHT(VLOOKUP(AA68,suvaha!$D$8:$H$158,2,FALSE),8),1))</f>
        <v>7</v>
      </c>
      <c r="AL70" s="434"/>
      <c r="AM70" s="432" t="str">
        <f>IF(LEN(VLOOKUP(AA68,suvaha!$D$8:$H$158,2,FALSE))&lt;7,"",LEFT(RIGHT(VLOOKUP(AA68,suvaha!$D$8:$H$158,2,FALSE),7),1))</f>
        <v>6</v>
      </c>
      <c r="AN70" s="818"/>
      <c r="AO70" s="432" t="str">
        <f>IF(LEN(VLOOKUP(AA68,suvaha!$D$8:$H$158,2,FALSE))&lt;6,"",LEFT(RIGHT(VLOOKUP(AA68,suvaha!$D$8:$H$158,2,FALSE),6),1))</f>
        <v>2</v>
      </c>
      <c r="AP70" s="434"/>
      <c r="AQ70" s="432" t="str">
        <f>IF(LEN(VLOOKUP(AA68,suvaha!$D$8:$H$158,2,FALSE))&lt;5,"",LEFT(RIGHT(VLOOKUP(AA68,suvaha!$D$8:$H$158,2,FALSE),5),1))</f>
        <v>4</v>
      </c>
      <c r="AR70" s="434"/>
      <c r="AS70" s="432" t="str">
        <f>IF(LEN(VLOOKUP(AA68,suvaha!$D$8:$H$158,2,FALSE))&lt;4,"",LEFT(RIGHT(VLOOKUP(AA68,suvaha!$D$8:$H$158,2,FALSE),4),1))</f>
        <v>1</v>
      </c>
      <c r="AT70" s="818"/>
      <c r="AU70" s="432" t="str">
        <f>IF(LEN(VLOOKUP(AA68,suvaha!$D$8:$H$158,2,FALSE))&lt;3,"",LEFT(RIGHT(VLOOKUP(AA68,suvaha!$D$8:$H$158,2,FALSE),3),1))</f>
        <v>,</v>
      </c>
      <c r="AV70" s="434"/>
      <c r="AW70" s="432" t="str">
        <f>IF(LEN(VLOOKUP(AA68,suvaha!$D$8:$H$158,2,FALSE))&lt;2,"",LEFT(RIGHT(VLOOKUP(AA68,suvaha!$D$8:$H$158,2,FALSE),2),1))</f>
        <v>5</v>
      </c>
      <c r="AX70" s="434"/>
      <c r="AY70" s="432" t="str">
        <f>IF(VLOOKUP(AA68,suvaha!$D$8:$H$85,2,FALSE)=0,"",IF(LEN(VLOOKUP(AA68,suvaha!$D$8:$H$158,2,FALSE))&lt;1,"",LEFT(RIGHT(VLOOKUP(AA68,suvaha!$D$8:$H$158,2,FALSE),1),1)))</f>
        <v>3</v>
      </c>
      <c r="AZ70" s="827"/>
      <c r="BA70" s="826"/>
      <c r="BB70" s="432" t="str">
        <f>IF(LEN(VLOOKUP(AA68,suvaha!$D$8:$H$158,4,FALSE))&lt;11,"",LEFT(RIGHT(VLOOKUP(AA68,suvaha!$D$8:$H$158,4,FALSE),11),1))</f>
        <v>4</v>
      </c>
      <c r="BC70" s="255"/>
      <c r="BD70" s="432" t="str">
        <f>IF(LEN(VLOOKUP(AA68,suvaha!$D$8:$H$158,4,FALSE))&lt;10,"",LEFT(RIGHT(VLOOKUP(AA68,suvaha!$D$8:$H$158,4,FALSE),10),1))</f>
        <v>0</v>
      </c>
      <c r="BE70" s="434"/>
      <c r="BF70" s="432" t="str">
        <f>IF(LEN(VLOOKUP(AA68,suvaha!$D$8:$H$158,4,FALSE))&lt;9,"",LEFT(RIGHT(VLOOKUP(AA68,suvaha!$D$8:$H$158,4,FALSE),9),1))</f>
        <v>6</v>
      </c>
      <c r="BG70" s="255"/>
      <c r="BH70" s="432" t="str">
        <f>IF(LEN(VLOOKUP(AA68,suvaha!$D$8:$H$158,4,FALSE))&lt;8,"",LEFT(RIGHT(VLOOKUP(AA68,suvaha!$D$8:$H$158,4,FALSE),8),1))</f>
        <v>7</v>
      </c>
      <c r="BI70" s="434"/>
      <c r="BJ70" s="432" t="str">
        <f>IF(LEN(VLOOKUP(AA68,suvaha!$D$8:$H$158,4,FALSE))&lt;7,"",LEFT(RIGHT(VLOOKUP(AA68,suvaha!$D$8:$H$158,4,FALSE),7),1))</f>
        <v>6</v>
      </c>
      <c r="BK70" s="818"/>
      <c r="BL70" s="432" t="str">
        <f>IF(LEN(VLOOKUP(AA68,suvaha!$D$8:$H$158,4,FALSE))&lt;6,"",LEFT(RIGHT(VLOOKUP(AA68,suvaha!$D$8:$H$158,4,FALSE),6),1))</f>
        <v>2</v>
      </c>
      <c r="BM70" s="434"/>
      <c r="BN70" s="432" t="str">
        <f>IF(LEN(VLOOKUP(AA68,suvaha!$D$8:$H$158,4,FALSE))&lt;5,"",LEFT(RIGHT(VLOOKUP(AA68,suvaha!$D$8:$H$158,4,FALSE),5),1))</f>
        <v>4</v>
      </c>
      <c r="BO70" s="434"/>
      <c r="BP70" s="432" t="str">
        <f>IF(LEN(VLOOKUP(AA68,suvaha!$D$8:$H$158,4,FALSE))&lt;4,"",LEFT(RIGHT(VLOOKUP(AA68,suvaha!$D$8:$H$158,4,FALSE),4),1))</f>
        <v>1</v>
      </c>
      <c r="BQ70" s="818"/>
      <c r="BR70" s="432" t="str">
        <f>IF(LEN(VLOOKUP(AA68,suvaha!$D$8:$H$158,4,FALSE))&lt;3,"",LEFT(RIGHT(VLOOKUP(AA68,suvaha!$D$8:$H$158,4,FALSE),3),1))</f>
        <v>,</v>
      </c>
      <c r="BS70" s="434"/>
      <c r="BT70" s="432" t="str">
        <f>IF(LEN(VLOOKUP(AA68,suvaha!$D$8:$H$158,4,FALSE))&lt;2,"",LEFT(RIGHT(VLOOKUP(AA68,suvaha!$D$8:$H$158,4,FALSE),2),1))</f>
        <v>5</v>
      </c>
      <c r="BU70" s="434"/>
      <c r="BV70" s="432" t="str">
        <f>IF(VLOOKUP(AA68,suvaha!$D$8:$H$85,4,FALSE)=0,"",IF(LEN(VLOOKUP(AA68,suvaha!$D$8:$H$158,4,FALSE))&lt;1,"",LEFT(RIGHT(VLOOKUP(AA68,suvaha!$D$8:$H$158,4,FALSE),1),1)))</f>
        <v>3</v>
      </c>
      <c r="BW70" s="441"/>
      <c r="BX70" s="442"/>
      <c r="BY70" s="442"/>
      <c r="BZ70" s="442"/>
      <c r="CA70" s="442"/>
      <c r="CB70" s="442"/>
      <c r="CC70" s="442"/>
      <c r="CD70" s="442"/>
      <c r="CE70" s="442"/>
      <c r="CF70" s="442"/>
      <c r="CG70" s="285"/>
    </row>
    <row r="71" spans="1:85" ht="3" customHeight="1">
      <c r="A71" s="220"/>
      <c r="B71" s="879"/>
      <c r="C71" s="879"/>
      <c r="D71" s="879"/>
      <c r="E71" s="859"/>
      <c r="F71" s="859"/>
      <c r="G71" s="862"/>
      <c r="H71" s="864"/>
      <c r="I71" s="864"/>
      <c r="J71" s="864"/>
      <c r="K71" s="864"/>
      <c r="L71" s="864"/>
      <c r="M71" s="864"/>
      <c r="N71" s="864"/>
      <c r="O71" s="864"/>
      <c r="P71" s="864"/>
      <c r="Q71" s="864"/>
      <c r="R71" s="864"/>
      <c r="S71" s="864"/>
      <c r="T71" s="864"/>
      <c r="U71" s="864"/>
      <c r="V71" s="864"/>
      <c r="W71" s="864"/>
      <c r="X71" s="864"/>
      <c r="Y71" s="864"/>
      <c r="Z71" s="864"/>
      <c r="AA71" s="866"/>
      <c r="AB71" s="866"/>
      <c r="AC71" s="866"/>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6"/>
      <c r="BB71" s="846"/>
      <c r="BC71" s="846"/>
      <c r="BD71" s="846"/>
      <c r="BE71" s="846"/>
      <c r="BF71" s="846"/>
      <c r="BG71" s="846"/>
      <c r="BH71" s="846"/>
      <c r="BI71" s="846"/>
      <c r="BJ71" s="846"/>
      <c r="BK71" s="846"/>
      <c r="BL71" s="846"/>
      <c r="BM71" s="846"/>
      <c r="BN71" s="846"/>
      <c r="BO71" s="846"/>
      <c r="BP71" s="846"/>
      <c r="BQ71" s="846"/>
      <c r="BR71" s="310"/>
      <c r="BS71" s="310"/>
      <c r="BT71" s="310"/>
      <c r="BU71" s="310"/>
      <c r="BV71" s="310"/>
      <c r="BW71" s="443"/>
      <c r="BX71" s="310"/>
      <c r="BY71" s="310"/>
      <c r="BZ71" s="310"/>
      <c r="CA71" s="310"/>
      <c r="CB71" s="310"/>
      <c r="CC71" s="310"/>
      <c r="CD71" s="310"/>
      <c r="CE71" s="310"/>
      <c r="CF71" s="310"/>
      <c r="CG71" s="286"/>
    </row>
    <row r="72" spans="1:85" ht="3" customHeight="1">
      <c r="A72" s="220"/>
      <c r="B72" s="879"/>
      <c r="C72" s="879"/>
      <c r="D72" s="879"/>
      <c r="E72" s="859"/>
      <c r="F72" s="859"/>
      <c r="G72" s="862"/>
      <c r="H72" s="864"/>
      <c r="I72" s="864"/>
      <c r="J72" s="864"/>
      <c r="K72" s="864"/>
      <c r="L72" s="864"/>
      <c r="M72" s="864"/>
      <c r="N72" s="864"/>
      <c r="O72" s="864"/>
      <c r="P72" s="864"/>
      <c r="Q72" s="864"/>
      <c r="R72" s="864"/>
      <c r="S72" s="864"/>
      <c r="T72" s="864"/>
      <c r="U72" s="864"/>
      <c r="V72" s="864"/>
      <c r="W72" s="864"/>
      <c r="X72" s="864"/>
      <c r="Y72" s="864"/>
      <c r="Z72" s="864"/>
      <c r="AA72" s="866"/>
      <c r="AB72" s="866"/>
      <c r="AC72" s="866"/>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25"/>
      <c r="BA72" s="447"/>
      <c r="BB72" s="304"/>
      <c r="BC72" s="304"/>
      <c r="BD72" s="304"/>
      <c r="BE72" s="304"/>
      <c r="BF72" s="304"/>
      <c r="BG72" s="304"/>
      <c r="BH72" s="304"/>
      <c r="BI72" s="304"/>
      <c r="BJ72" s="446"/>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284"/>
    </row>
    <row r="73" spans="1:85" ht="3" customHeight="1">
      <c r="A73" s="220"/>
      <c r="B73" s="879"/>
      <c r="C73" s="879"/>
      <c r="D73" s="879"/>
      <c r="E73" s="859"/>
      <c r="F73" s="859"/>
      <c r="G73" s="862"/>
      <c r="H73" s="864"/>
      <c r="I73" s="864"/>
      <c r="J73" s="864"/>
      <c r="K73" s="864"/>
      <c r="L73" s="864"/>
      <c r="M73" s="864"/>
      <c r="N73" s="864"/>
      <c r="O73" s="864"/>
      <c r="P73" s="864"/>
      <c r="Q73" s="864"/>
      <c r="R73" s="864"/>
      <c r="S73" s="864"/>
      <c r="T73" s="864"/>
      <c r="U73" s="864"/>
      <c r="V73" s="864"/>
      <c r="W73" s="864"/>
      <c r="X73" s="864"/>
      <c r="Y73" s="864"/>
      <c r="Z73" s="864"/>
      <c r="AA73" s="866"/>
      <c r="AB73" s="866"/>
      <c r="AC73" s="866"/>
      <c r="AD73" s="826"/>
      <c r="AE73" s="820"/>
      <c r="AF73" s="820"/>
      <c r="AG73" s="820"/>
      <c r="AH73" s="435"/>
      <c r="AI73" s="821"/>
      <c r="AJ73" s="821"/>
      <c r="AK73" s="821"/>
      <c r="AL73" s="821"/>
      <c r="AM73" s="821"/>
      <c r="AN73" s="818"/>
      <c r="AO73" s="822"/>
      <c r="AP73" s="822"/>
      <c r="AQ73" s="822"/>
      <c r="AR73" s="822"/>
      <c r="AS73" s="822"/>
      <c r="AT73" s="818"/>
      <c r="AU73" s="822"/>
      <c r="AV73" s="822"/>
      <c r="AW73" s="822"/>
      <c r="AX73" s="822"/>
      <c r="AY73" s="822"/>
      <c r="AZ73" s="827"/>
      <c r="BA73" s="448"/>
      <c r="BB73" s="442"/>
      <c r="BC73" s="442"/>
      <c r="BD73" s="442"/>
      <c r="BE73" s="442"/>
      <c r="BF73" s="442"/>
      <c r="BG73" s="442"/>
      <c r="BH73" s="442"/>
      <c r="BI73" s="442"/>
      <c r="BJ73" s="441"/>
      <c r="BK73" s="442"/>
      <c r="BL73" s="820"/>
      <c r="BM73" s="820"/>
      <c r="BN73" s="820"/>
      <c r="BO73" s="435"/>
      <c r="BP73" s="821"/>
      <c r="BQ73" s="821"/>
      <c r="BR73" s="821"/>
      <c r="BS73" s="821"/>
      <c r="BT73" s="821"/>
      <c r="BU73" s="818"/>
      <c r="BV73" s="822"/>
      <c r="BW73" s="822"/>
      <c r="BX73" s="822"/>
      <c r="BY73" s="822"/>
      <c r="BZ73" s="822"/>
      <c r="CA73" s="818"/>
      <c r="CB73" s="822"/>
      <c r="CC73" s="822"/>
      <c r="CD73" s="822"/>
      <c r="CE73" s="822"/>
      <c r="CF73" s="822"/>
      <c r="CG73" s="287"/>
    </row>
    <row r="74" spans="1:85" ht="15" customHeight="1">
      <c r="A74" s="220"/>
      <c r="B74" s="879"/>
      <c r="C74" s="879"/>
      <c r="D74" s="879"/>
      <c r="E74" s="859"/>
      <c r="F74" s="859"/>
      <c r="G74" s="862"/>
      <c r="H74" s="864"/>
      <c r="I74" s="864"/>
      <c r="J74" s="864"/>
      <c r="K74" s="864"/>
      <c r="L74" s="864"/>
      <c r="M74" s="864"/>
      <c r="N74" s="864"/>
      <c r="O74" s="864"/>
      <c r="P74" s="864"/>
      <c r="Q74" s="864"/>
      <c r="R74" s="864"/>
      <c r="S74" s="864"/>
      <c r="T74" s="864"/>
      <c r="U74" s="864"/>
      <c r="V74" s="864"/>
      <c r="W74" s="864"/>
      <c r="X74" s="864"/>
      <c r="Y74" s="864"/>
      <c r="Z74" s="864"/>
      <c r="AA74" s="866"/>
      <c r="AB74" s="866"/>
      <c r="AC74" s="866"/>
      <c r="AD74" s="826"/>
      <c r="AE74" s="432" t="str">
        <f>IF(LEN(VLOOKUP(AA68,suvaha!$D$8:$H$158,3,FALSE))&lt;11,"",LEFT(RIGHT(VLOOKUP(AA68,suvaha!$D$8:$H$158,3,FALSE),11),1))</f>
        <v/>
      </c>
      <c r="AF74" s="255"/>
      <c r="AG74" s="432" t="str">
        <f>IF(LEN(VLOOKUP(AA68,suvaha!$D$8:$H$158,3,FALSE))&lt;10,"",LEFT(RIGHT(VLOOKUP(AA68,suvaha!$D$8:$H$158,3,FALSE),10),1))</f>
        <v/>
      </c>
      <c r="AH74" s="434"/>
      <c r="AI74" s="432" t="str">
        <f>IF(LEN(VLOOKUP(AA68,suvaha!$D$8:$H$158,3,FALSE))&lt;9,"",LEFT(RIGHT(VLOOKUP(AA68,suvaha!$D$8:$H$158,3,FALSE),9),1))</f>
        <v/>
      </c>
      <c r="AJ74" s="255"/>
      <c r="AK74" s="432" t="str">
        <f>IF(LEN(VLOOKUP(AA68,suvaha!$D$8:$H$158,3,FALSE))&lt;8,"",LEFT(RIGHT(VLOOKUP(AA68,suvaha!$D$8:$H$158,3,FALSE),8),1))</f>
        <v/>
      </c>
      <c r="AL74" s="434"/>
      <c r="AM74" s="432" t="str">
        <f>IF(LEN(VLOOKUP(AA68,suvaha!$D$8:$H$158,3,FALSE))&lt;7,"",LEFT(RIGHT(VLOOKUP(AA68,suvaha!$D$8:$H$158,3,FALSE),7),1))</f>
        <v/>
      </c>
      <c r="AN74" s="818"/>
      <c r="AO74" s="432" t="str">
        <f>IF(LEN(VLOOKUP(AA68,suvaha!$D$8:$H$158,3,FALSE))&lt;6,"",LEFT(RIGHT(VLOOKUP(AA68,suvaha!$D$8:$H$158,3,FALSE),6),1))</f>
        <v/>
      </c>
      <c r="AP74" s="434"/>
      <c r="AQ74" s="432" t="str">
        <f>IF(LEN(VLOOKUP(AA68,suvaha!$D$8:$H$158,3,FALSE))&lt;5,"",LEFT(RIGHT(VLOOKUP(AA68,suvaha!$D$8:$H$158,3,FALSE),5),1))</f>
        <v/>
      </c>
      <c r="AR74" s="434"/>
      <c r="AS74" s="432" t="str">
        <f>IF(LEN(VLOOKUP(AA68,suvaha!$D$8:$H$158,3,FALSE))&lt;4,"",LEFT(RIGHT(VLOOKUP(AA68,suvaha!$D$8:$H$158,3,FALSE),4),1))</f>
        <v/>
      </c>
      <c r="AT74" s="818"/>
      <c r="AU74" s="432" t="str">
        <f>IF(LEN(VLOOKUP(AA68,suvaha!$D$8:$H$158,3,FALSE))&lt;3,"",LEFT(RIGHT(VLOOKUP(AA68,suvaha!$D$8:$H$158,3,FALSE),3),1))</f>
        <v/>
      </c>
      <c r="AV74" s="434"/>
      <c r="AW74" s="432" t="str">
        <f>IF(LEN(VLOOKUP(AA68,suvaha!$D$8:$H$158,3,FALSE))&lt;2,"",LEFT(RIGHT(VLOOKUP(AA68,suvaha!$D$8:$H$158,3,FALSE),2),1))</f>
        <v/>
      </c>
      <c r="AX74" s="434"/>
      <c r="AY74" s="432" t="str">
        <f>IF(VLOOKUP(AA68,suvaha!$D$8:$H$85,3,FALSE)=0,"",IF(LEN(VLOOKUP(AA68,suvaha!$D$8:$H$158,3,FALSE))&lt;1,"",LEFT(RIGHT(VLOOKUP(AA68,suvaha!$D$8:$H$158,3,FALSE),1),1)))</f>
        <v/>
      </c>
      <c r="AZ74" s="827"/>
      <c r="BA74" s="448"/>
      <c r="BB74" s="442"/>
      <c r="BC74" s="442"/>
      <c r="BD74" s="442"/>
      <c r="BE74" s="442"/>
      <c r="BF74" s="442"/>
      <c r="BG74" s="442"/>
      <c r="BH74" s="442"/>
      <c r="BI74" s="442"/>
      <c r="BJ74" s="441"/>
      <c r="BK74" s="442"/>
      <c r="BL74" s="432" t="str">
        <f>IF(LEN(VLOOKUP(AA68,suvaha!$D$8:$H$158,5,FALSE))&lt;11,"",LEFT(RIGHT(VLOOKUP(AA68,suvaha!$D$8:$H$158,5,FALSE),11),1))</f>
        <v/>
      </c>
      <c r="BM74" s="255"/>
      <c r="BN74" s="432" t="str">
        <f>IF(LEN(VLOOKUP(AA68,suvaha!$D$8:$H$158,5,FALSE))&lt;10,"",LEFT(RIGHT(VLOOKUP(AA68,suvaha!$D$8:$H$158,5,FALSE),10),1))</f>
        <v/>
      </c>
      <c r="BO74" s="434"/>
      <c r="BP74" s="432" t="str">
        <f>IF(LEN(VLOOKUP(AA68,suvaha!$D$8:$H$158,5,FALSE))&lt;9,"",LEFT(RIGHT(VLOOKUP(AA68,suvaha!$D$8:$H$158,5,FALSE),9),1))</f>
        <v/>
      </c>
      <c r="BQ74" s="255"/>
      <c r="BR74" s="432" t="str">
        <f>IF(LEN(VLOOKUP(AA68,suvaha!$D$8:$H$158,5,FALSE))&lt;8,"",LEFT(RIGHT(VLOOKUP(AA68,suvaha!$D$8:$H$158,5,FALSE),8),1))</f>
        <v>1</v>
      </c>
      <c r="BS74" s="434"/>
      <c r="BT74" s="432" t="str">
        <f>IF(LEN(VLOOKUP(AA68,suvaha!$D$8:$H$158,5,FALSE))&lt;7,"",LEFT(RIGHT(VLOOKUP(AA68,suvaha!$D$8:$H$158,5,FALSE),7),1))</f>
        <v>8</v>
      </c>
      <c r="BU74" s="818"/>
      <c r="BV74" s="432" t="str">
        <f>IF(LEN(VLOOKUP(AA68,suvaha!$D$8:$H$158,5,FALSE))&lt;6,"",LEFT(RIGHT(VLOOKUP(AA68,suvaha!$D$8:$H$158,5,FALSE),6),1))</f>
        <v>7</v>
      </c>
      <c r="BW74" s="434"/>
      <c r="BX74" s="432" t="str">
        <f>IF(LEN(VLOOKUP(AA68,suvaha!$D$8:$H$158,5,FALSE))&lt;5,"",LEFT(RIGHT(VLOOKUP(AA68,suvaha!$D$8:$H$158,5,FALSE),5),1))</f>
        <v>5</v>
      </c>
      <c r="BY74" s="434"/>
      <c r="BZ74" s="432" t="str">
        <f>IF(LEN(VLOOKUP(AA68,suvaha!$D$8:$H$158,5,FALSE))&lt;4,"",LEFT(RIGHT(VLOOKUP(AA68,suvaha!$D$8:$H$158,5,FALSE),4),1))</f>
        <v>5</v>
      </c>
      <c r="CA74" s="818"/>
      <c r="CB74" s="432" t="str">
        <f>IF(LEN(VLOOKUP(AA68,suvaha!$D$8:$H$158,5,FALSE))&lt;3,"",LEFT(RIGHT(VLOOKUP(AA68,suvaha!$D$8:$H$158,5,FALSE),3),1))</f>
        <v>7</v>
      </c>
      <c r="CC74" s="434"/>
      <c r="CD74" s="432" t="str">
        <f>IF(LEN(VLOOKUP(AA68,suvaha!$D$8:$H$158,5,FALSE))&lt;2,"",LEFT(RIGHT(VLOOKUP(AA68,suvaha!$D$8:$H$158,5,FALSE),2),1))</f>
        <v>6</v>
      </c>
      <c r="CE74" s="434"/>
      <c r="CF74" s="432" t="str">
        <f>IF(VLOOKUP(AA68,suvaha!$D$8:$H$85,5,FALSE)=0,"",IF(LEN(VLOOKUP(AA68,suvaha!$D$8:$H$158,5,FALSE))&lt;1,"",LEFT(RIGHT(VLOOKUP(AA68,suvaha!$D$8:$H$158,5,FALSE),1),1)))</f>
        <v>0</v>
      </c>
      <c r="CG74" s="287"/>
    </row>
    <row r="75" spans="1:85">
      <c r="A75" s="220"/>
      <c r="B75" s="879"/>
      <c r="C75" s="879"/>
      <c r="D75" s="879"/>
      <c r="E75" s="859"/>
      <c r="F75" s="859"/>
      <c r="G75" s="862"/>
      <c r="H75" s="864"/>
      <c r="I75" s="864"/>
      <c r="J75" s="864"/>
      <c r="K75" s="864"/>
      <c r="L75" s="864"/>
      <c r="M75" s="864"/>
      <c r="N75" s="864"/>
      <c r="O75" s="864"/>
      <c r="P75" s="864"/>
      <c r="Q75" s="864"/>
      <c r="R75" s="864"/>
      <c r="S75" s="864"/>
      <c r="T75" s="864"/>
      <c r="U75" s="864"/>
      <c r="V75" s="864"/>
      <c r="W75" s="864"/>
      <c r="X75" s="864"/>
      <c r="Y75" s="864"/>
      <c r="Z75" s="864"/>
      <c r="AA75" s="866"/>
      <c r="AB75" s="866"/>
      <c r="AC75" s="866"/>
      <c r="AD75" s="845"/>
      <c r="AE75" s="845"/>
      <c r="AF75" s="845"/>
      <c r="AG75" s="845"/>
      <c r="AH75" s="845"/>
      <c r="AI75" s="845"/>
      <c r="AJ75" s="845"/>
      <c r="AK75" s="845"/>
      <c r="AL75" s="845"/>
      <c r="AM75" s="845"/>
      <c r="AN75" s="845"/>
      <c r="AO75" s="845"/>
      <c r="AP75" s="845"/>
      <c r="AQ75" s="845"/>
      <c r="AR75" s="845"/>
      <c r="AS75" s="845"/>
      <c r="AT75" s="845"/>
      <c r="AU75" s="845"/>
      <c r="AV75" s="845"/>
      <c r="AW75" s="845"/>
      <c r="AX75" s="845"/>
      <c r="AY75" s="845"/>
      <c r="AZ75" s="845"/>
      <c r="BA75" s="449"/>
      <c r="BB75" s="310"/>
      <c r="BC75" s="310"/>
      <c r="BD75" s="310"/>
      <c r="BE75" s="310"/>
      <c r="BF75" s="310"/>
      <c r="BG75" s="310"/>
      <c r="BH75" s="310"/>
      <c r="BI75" s="310"/>
      <c r="BJ75" s="443"/>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286"/>
    </row>
    <row r="76" spans="1:85" s="250" customFormat="1" ht="3" customHeight="1">
      <c r="A76" s="220"/>
      <c r="B76" s="879"/>
      <c r="C76" s="879"/>
      <c r="D76" s="879"/>
      <c r="E76" s="859" t="s">
        <v>1565</v>
      </c>
      <c r="F76" s="859"/>
      <c r="G76" s="862"/>
      <c r="H76" s="938" t="str">
        <f>Index!C74</f>
        <v>Podielové cenné papiere a podiely s podielovou účasťou okrem v prepojených účtovných jednotkách (062) - /096A/</v>
      </c>
      <c r="I76" s="938"/>
      <c r="J76" s="938"/>
      <c r="K76" s="938"/>
      <c r="L76" s="938"/>
      <c r="M76" s="938"/>
      <c r="N76" s="938"/>
      <c r="O76" s="938"/>
      <c r="P76" s="938"/>
      <c r="Q76" s="938"/>
      <c r="R76" s="938"/>
      <c r="S76" s="938"/>
      <c r="T76" s="938"/>
      <c r="U76" s="938"/>
      <c r="V76" s="938"/>
      <c r="W76" s="938"/>
      <c r="X76" s="938"/>
      <c r="Y76" s="938"/>
      <c r="Z76" s="938"/>
      <c r="AA76" s="866" t="s">
        <v>1566</v>
      </c>
      <c r="AB76" s="866"/>
      <c r="AC76" s="866"/>
      <c r="AD76" s="825"/>
      <c r="AE76" s="825"/>
      <c r="AF76" s="825"/>
      <c r="AG76" s="825"/>
      <c r="AH76" s="825"/>
      <c r="AI76" s="825"/>
      <c r="AJ76" s="825"/>
      <c r="AK76" s="825"/>
      <c r="AL76" s="825"/>
      <c r="AM76" s="825"/>
      <c r="AN76" s="825"/>
      <c r="AO76" s="825"/>
      <c r="AP76" s="825"/>
      <c r="AQ76" s="825"/>
      <c r="AR76" s="825"/>
      <c r="AS76" s="825"/>
      <c r="AT76" s="825"/>
      <c r="AU76" s="825"/>
      <c r="AV76" s="825"/>
      <c r="AW76" s="825"/>
      <c r="AX76" s="825"/>
      <c r="AY76" s="825"/>
      <c r="AZ76" s="825"/>
      <c r="BA76" s="867"/>
      <c r="BB76" s="867"/>
      <c r="BC76" s="867"/>
      <c r="BD76" s="867"/>
      <c r="BE76" s="867"/>
      <c r="BF76" s="867"/>
      <c r="BG76" s="867"/>
      <c r="BH76" s="867"/>
      <c r="BI76" s="867"/>
      <c r="BJ76" s="867"/>
      <c r="BK76" s="867"/>
      <c r="BL76" s="867"/>
      <c r="BM76" s="867"/>
      <c r="BN76" s="867"/>
      <c r="BO76" s="867"/>
      <c r="BP76" s="867"/>
      <c r="BQ76" s="867"/>
      <c r="BR76" s="304"/>
      <c r="BS76" s="304"/>
      <c r="BT76" s="304"/>
      <c r="BU76" s="304"/>
      <c r="BV76" s="304"/>
      <c r="BW76" s="446"/>
      <c r="BX76" s="304"/>
      <c r="BY76" s="304"/>
      <c r="BZ76" s="304"/>
      <c r="CA76" s="304"/>
      <c r="CB76" s="304"/>
      <c r="CC76" s="304"/>
      <c r="CD76" s="304"/>
      <c r="CE76" s="304"/>
      <c r="CF76" s="304"/>
      <c r="CG76" s="284"/>
    </row>
    <row r="77" spans="1:85" s="250" customFormat="1" ht="3" customHeight="1">
      <c r="A77" s="220"/>
      <c r="B77" s="879"/>
      <c r="C77" s="879"/>
      <c r="D77" s="879"/>
      <c r="E77" s="859"/>
      <c r="F77" s="859"/>
      <c r="G77" s="862"/>
      <c r="H77" s="938"/>
      <c r="I77" s="938"/>
      <c r="J77" s="938"/>
      <c r="K77" s="938"/>
      <c r="L77" s="938"/>
      <c r="M77" s="938"/>
      <c r="N77" s="938"/>
      <c r="O77" s="938"/>
      <c r="P77" s="938"/>
      <c r="Q77" s="938"/>
      <c r="R77" s="938"/>
      <c r="S77" s="938"/>
      <c r="T77" s="938"/>
      <c r="U77" s="938"/>
      <c r="V77" s="938"/>
      <c r="W77" s="938"/>
      <c r="X77" s="938"/>
      <c r="Y77" s="938"/>
      <c r="Z77" s="938"/>
      <c r="AA77" s="866"/>
      <c r="AB77" s="866"/>
      <c r="AC77" s="866"/>
      <c r="AD77" s="826"/>
      <c r="AE77" s="820"/>
      <c r="AF77" s="820"/>
      <c r="AG77" s="820"/>
      <c r="AH77" s="435"/>
      <c r="AI77" s="821"/>
      <c r="AJ77" s="821"/>
      <c r="AK77" s="821"/>
      <c r="AL77" s="821"/>
      <c r="AM77" s="821"/>
      <c r="AN77" s="818"/>
      <c r="AO77" s="822"/>
      <c r="AP77" s="822"/>
      <c r="AQ77" s="822"/>
      <c r="AR77" s="822"/>
      <c r="AS77" s="822"/>
      <c r="AT77" s="818"/>
      <c r="AU77" s="822"/>
      <c r="AV77" s="822"/>
      <c r="AW77" s="822"/>
      <c r="AX77" s="822"/>
      <c r="AY77" s="822"/>
      <c r="AZ77" s="827"/>
      <c r="BA77" s="826"/>
      <c r="BB77" s="820"/>
      <c r="BC77" s="820"/>
      <c r="BD77" s="820"/>
      <c r="BE77" s="435"/>
      <c r="BF77" s="821"/>
      <c r="BG77" s="821"/>
      <c r="BH77" s="821"/>
      <c r="BI77" s="821"/>
      <c r="BJ77" s="821"/>
      <c r="BK77" s="818"/>
      <c r="BL77" s="822"/>
      <c r="BM77" s="822"/>
      <c r="BN77" s="822"/>
      <c r="BO77" s="822"/>
      <c r="BP77" s="822"/>
      <c r="BQ77" s="818"/>
      <c r="BR77" s="822"/>
      <c r="BS77" s="822"/>
      <c r="BT77" s="822"/>
      <c r="BU77" s="822"/>
      <c r="BV77" s="822"/>
      <c r="BW77" s="441"/>
      <c r="BX77" s="442"/>
      <c r="BY77" s="442"/>
      <c r="BZ77" s="442"/>
      <c r="CA77" s="442"/>
      <c r="CB77" s="442"/>
      <c r="CC77" s="442"/>
      <c r="CD77" s="442"/>
      <c r="CE77" s="442"/>
      <c r="CF77" s="442"/>
      <c r="CG77" s="285"/>
    </row>
    <row r="78" spans="1:85" ht="15" customHeight="1">
      <c r="A78" s="220"/>
      <c r="B78" s="879"/>
      <c r="C78" s="879"/>
      <c r="D78" s="879"/>
      <c r="E78" s="859"/>
      <c r="F78" s="859"/>
      <c r="G78" s="862"/>
      <c r="H78" s="938"/>
      <c r="I78" s="938"/>
      <c r="J78" s="938"/>
      <c r="K78" s="938"/>
      <c r="L78" s="938"/>
      <c r="M78" s="938"/>
      <c r="N78" s="938"/>
      <c r="O78" s="938"/>
      <c r="P78" s="938"/>
      <c r="Q78" s="938"/>
      <c r="R78" s="938"/>
      <c r="S78" s="938"/>
      <c r="T78" s="938"/>
      <c r="U78" s="938"/>
      <c r="V78" s="938"/>
      <c r="W78" s="938"/>
      <c r="X78" s="938"/>
      <c r="Y78" s="938"/>
      <c r="Z78" s="938"/>
      <c r="AA78" s="866"/>
      <c r="AB78" s="866"/>
      <c r="AC78" s="866"/>
      <c r="AD78" s="826"/>
      <c r="AE78" s="432" t="str">
        <f>IF(LEN(VLOOKUP(AA76,suvaha!$D$8:$H$158,2,FALSE))&lt;11,"",LEFT(RIGHT(VLOOKUP(AA76,suvaha!$D$8:$H$158,2,FALSE),11),1))</f>
        <v/>
      </c>
      <c r="AF78" s="255"/>
      <c r="AG78" s="432" t="str">
        <f>IF(LEN(VLOOKUP(AA76,suvaha!$D$8:$H$158,2,FALSE))&lt;10,"",LEFT(RIGHT(VLOOKUP(AA76,suvaha!$D$8:$H$158,2,FALSE),10),1))</f>
        <v/>
      </c>
      <c r="AH78" s="434"/>
      <c r="AI78" s="432" t="str">
        <f>IF(LEN(VLOOKUP(AA76,suvaha!$D$8:$H$158,2,FALSE))&lt;9,"",LEFT(RIGHT(VLOOKUP(AA76,suvaha!$D$8:$H$158,2,FALSE),9),1))</f>
        <v/>
      </c>
      <c r="AJ78" s="255"/>
      <c r="AK78" s="432" t="str">
        <f>IF(LEN(VLOOKUP(AA76,suvaha!$D$8:$H$158,2,FALSE))&lt;8,"",LEFT(RIGHT(VLOOKUP(AA76,suvaha!$D$8:$H$158,2,FALSE),8),1))</f>
        <v/>
      </c>
      <c r="AL78" s="434"/>
      <c r="AM78" s="432" t="str">
        <f>IF(LEN(VLOOKUP(AA76,suvaha!$D$8:$H$158,2,FALSE))&lt;7,"",LEFT(RIGHT(VLOOKUP(AA76,suvaha!$D$8:$H$158,2,FALSE),7),1))</f>
        <v/>
      </c>
      <c r="AN78" s="818"/>
      <c r="AO78" s="432" t="str">
        <f>IF(LEN(VLOOKUP(AA76,suvaha!$D$8:$H$158,2,FALSE))&lt;6,"",LEFT(RIGHT(VLOOKUP(AA76,suvaha!$D$8:$H$158,2,FALSE),6),1))</f>
        <v/>
      </c>
      <c r="AP78" s="434"/>
      <c r="AQ78" s="432" t="str">
        <f>IF(LEN(VLOOKUP(AA76,suvaha!$D$8:$H$158,2,FALSE))&lt;5,"",LEFT(RIGHT(VLOOKUP(AA76,suvaha!$D$8:$H$158,2,FALSE),5),1))</f>
        <v/>
      </c>
      <c r="AR78" s="434"/>
      <c r="AS78" s="432" t="str">
        <f>IF(LEN(VLOOKUP(AA76,suvaha!$D$8:$H$158,2,FALSE))&lt;4,"",LEFT(RIGHT(VLOOKUP(AA76,suvaha!$D$8:$H$158,2,FALSE),4),1))</f>
        <v/>
      </c>
      <c r="AT78" s="818"/>
      <c r="AU78" s="432" t="str">
        <f>IF(LEN(VLOOKUP(AA76,suvaha!$D$8:$H$158,2,FALSE))&lt;3,"",LEFT(RIGHT(VLOOKUP(AA76,suvaha!$D$8:$H$158,2,FALSE),3),1))</f>
        <v/>
      </c>
      <c r="AV78" s="434"/>
      <c r="AW78" s="432" t="str">
        <f>IF(LEN(VLOOKUP(AA76,suvaha!$D$8:$H$158,2,FALSE))&lt;2,"",LEFT(RIGHT(VLOOKUP(AA76,suvaha!$D$8:$H$158,2,FALSE),2),1))</f>
        <v/>
      </c>
      <c r="AX78" s="434"/>
      <c r="AY78" s="432" t="str">
        <f>IF(VLOOKUP(AA76,suvaha!$D$8:$H$85,2,FALSE)=0,"",IF(LEN(VLOOKUP(AA76,suvaha!$D$8:$H$158,2,FALSE))&lt;1,"",LEFT(RIGHT(VLOOKUP(AA76,suvaha!$D$8:$H$158,2,FALSE),1),1)))</f>
        <v/>
      </c>
      <c r="AZ78" s="827"/>
      <c r="BA78" s="826"/>
      <c r="BB78" s="432" t="str">
        <f>IF(LEN(VLOOKUP(AA76,suvaha!$D$8:$H$158,4,FALSE))&lt;11,"",LEFT(RIGHT(VLOOKUP(AA76,suvaha!$D$8:$H$158,4,FALSE),11),1))</f>
        <v/>
      </c>
      <c r="BC78" s="255"/>
      <c r="BD78" s="432" t="str">
        <f>IF(LEN(VLOOKUP(AA76,suvaha!$D$8:$H$158,4,FALSE))&lt;10,"",LEFT(RIGHT(VLOOKUP(AA76,suvaha!$D$8:$H$158,4,FALSE),10),1))</f>
        <v/>
      </c>
      <c r="BE78" s="434"/>
      <c r="BF78" s="432" t="str">
        <f>IF(LEN(VLOOKUP(AA76,suvaha!$D$8:$H$158,4,FALSE))&lt;9,"",LEFT(RIGHT(VLOOKUP(AA76,suvaha!$D$8:$H$158,4,FALSE),9),1))</f>
        <v/>
      </c>
      <c r="BG78" s="255"/>
      <c r="BH78" s="432" t="str">
        <f>IF(LEN(VLOOKUP(AA76,suvaha!$D$8:$H$158,4,FALSE))&lt;8,"",LEFT(RIGHT(VLOOKUP(AA76,suvaha!$D$8:$H$158,4,FALSE),8),1))</f>
        <v/>
      </c>
      <c r="BI78" s="434"/>
      <c r="BJ78" s="432" t="str">
        <f>IF(LEN(VLOOKUP(AA76,suvaha!$D$8:$H$158,4,FALSE))&lt;7,"",LEFT(RIGHT(VLOOKUP(AA76,suvaha!$D$8:$H$158,4,FALSE),7),1))</f>
        <v/>
      </c>
      <c r="BK78" s="818"/>
      <c r="BL78" s="432" t="str">
        <f>IF(LEN(VLOOKUP(AA76,suvaha!$D$8:$H$158,4,FALSE))&lt;6,"",LEFT(RIGHT(VLOOKUP(AA76,suvaha!$D$8:$H$158,4,FALSE),6),1))</f>
        <v/>
      </c>
      <c r="BM78" s="434"/>
      <c r="BN78" s="432" t="str">
        <f>IF(LEN(VLOOKUP(AA76,suvaha!$D$8:$H$158,4,FALSE))&lt;5,"",LEFT(RIGHT(VLOOKUP(AA76,suvaha!$D$8:$H$158,4,FALSE),5),1))</f>
        <v/>
      </c>
      <c r="BO78" s="434"/>
      <c r="BP78" s="432" t="str">
        <f>IF(LEN(VLOOKUP(AA76,suvaha!$D$8:$H$158,4,FALSE))&lt;4,"",LEFT(RIGHT(VLOOKUP(AA76,suvaha!$D$8:$H$158,4,FALSE),4),1))</f>
        <v/>
      </c>
      <c r="BQ78" s="818"/>
      <c r="BR78" s="432" t="str">
        <f>IF(LEN(VLOOKUP(AA76,suvaha!$D$8:$H$158,4,FALSE))&lt;3,"",LEFT(RIGHT(VLOOKUP(AA76,suvaha!$D$8:$H$158,4,FALSE),3),1))</f>
        <v/>
      </c>
      <c r="BS78" s="434"/>
      <c r="BT78" s="432" t="str">
        <f>IF(LEN(VLOOKUP(AA76,suvaha!$D$8:$H$158,4,FALSE))&lt;2,"",LEFT(RIGHT(VLOOKUP(AA76,suvaha!$D$8:$H$158,4,FALSE),2),1))</f>
        <v/>
      </c>
      <c r="BU78" s="434"/>
      <c r="BV78" s="432" t="str">
        <f>IF(VLOOKUP(AA76,suvaha!$D$8:$H$85,4,FALSE)=0,"",IF(LEN(VLOOKUP(AA76,suvaha!$D$8:$H$158,4,FALSE))&lt;1,"",LEFT(RIGHT(VLOOKUP(AA76,suvaha!$D$8:$H$158,4,FALSE),1),1)))</f>
        <v/>
      </c>
      <c r="BW78" s="441"/>
      <c r="BX78" s="442"/>
      <c r="BY78" s="442"/>
      <c r="BZ78" s="442"/>
      <c r="CA78" s="442"/>
      <c r="CB78" s="442"/>
      <c r="CC78" s="442"/>
      <c r="CD78" s="442"/>
      <c r="CE78" s="442"/>
      <c r="CF78" s="442"/>
      <c r="CG78" s="285"/>
    </row>
    <row r="79" spans="1:85" ht="3" customHeight="1">
      <c r="A79" s="220"/>
      <c r="B79" s="879"/>
      <c r="C79" s="879"/>
      <c r="D79" s="879"/>
      <c r="E79" s="859"/>
      <c r="F79" s="859"/>
      <c r="G79" s="862"/>
      <c r="H79" s="938"/>
      <c r="I79" s="938"/>
      <c r="J79" s="938"/>
      <c r="K79" s="938"/>
      <c r="L79" s="938"/>
      <c r="M79" s="938"/>
      <c r="N79" s="938"/>
      <c r="O79" s="938"/>
      <c r="P79" s="938"/>
      <c r="Q79" s="938"/>
      <c r="R79" s="938"/>
      <c r="S79" s="938"/>
      <c r="T79" s="938"/>
      <c r="U79" s="938"/>
      <c r="V79" s="938"/>
      <c r="W79" s="938"/>
      <c r="X79" s="938"/>
      <c r="Y79" s="938"/>
      <c r="Z79" s="938"/>
      <c r="AA79" s="866"/>
      <c r="AB79" s="866"/>
      <c r="AC79" s="866"/>
      <c r="AD79" s="845"/>
      <c r="AE79" s="845"/>
      <c r="AF79" s="845"/>
      <c r="AG79" s="845"/>
      <c r="AH79" s="845"/>
      <c r="AI79" s="845"/>
      <c r="AJ79" s="845"/>
      <c r="AK79" s="845"/>
      <c r="AL79" s="845"/>
      <c r="AM79" s="845"/>
      <c r="AN79" s="845"/>
      <c r="AO79" s="845"/>
      <c r="AP79" s="845"/>
      <c r="AQ79" s="845"/>
      <c r="AR79" s="845"/>
      <c r="AS79" s="845"/>
      <c r="AT79" s="845"/>
      <c r="AU79" s="845"/>
      <c r="AV79" s="845"/>
      <c r="AW79" s="845"/>
      <c r="AX79" s="845"/>
      <c r="AY79" s="845"/>
      <c r="AZ79" s="845"/>
      <c r="BA79" s="846"/>
      <c r="BB79" s="846"/>
      <c r="BC79" s="846"/>
      <c r="BD79" s="846"/>
      <c r="BE79" s="846"/>
      <c r="BF79" s="846"/>
      <c r="BG79" s="846"/>
      <c r="BH79" s="846"/>
      <c r="BI79" s="846"/>
      <c r="BJ79" s="846"/>
      <c r="BK79" s="846"/>
      <c r="BL79" s="846"/>
      <c r="BM79" s="846"/>
      <c r="BN79" s="846"/>
      <c r="BO79" s="846"/>
      <c r="BP79" s="846"/>
      <c r="BQ79" s="846"/>
      <c r="BR79" s="310"/>
      <c r="BS79" s="310"/>
      <c r="BT79" s="310"/>
      <c r="BU79" s="310"/>
      <c r="BV79" s="310"/>
      <c r="BW79" s="443"/>
      <c r="BX79" s="310"/>
      <c r="BY79" s="310"/>
      <c r="BZ79" s="310"/>
      <c r="CA79" s="310"/>
      <c r="CB79" s="310"/>
      <c r="CC79" s="310"/>
      <c r="CD79" s="310"/>
      <c r="CE79" s="310"/>
      <c r="CF79" s="310"/>
      <c r="CG79" s="286"/>
    </row>
    <row r="80" spans="1:85" ht="3" customHeight="1">
      <c r="A80" s="220"/>
      <c r="B80" s="879"/>
      <c r="C80" s="879"/>
      <c r="D80" s="879"/>
      <c r="E80" s="859"/>
      <c r="F80" s="859"/>
      <c r="G80" s="862"/>
      <c r="H80" s="938"/>
      <c r="I80" s="938"/>
      <c r="J80" s="938"/>
      <c r="K80" s="938"/>
      <c r="L80" s="938"/>
      <c r="M80" s="938"/>
      <c r="N80" s="938"/>
      <c r="O80" s="938"/>
      <c r="P80" s="938"/>
      <c r="Q80" s="938"/>
      <c r="R80" s="938"/>
      <c r="S80" s="938"/>
      <c r="T80" s="938"/>
      <c r="U80" s="938"/>
      <c r="V80" s="938"/>
      <c r="W80" s="938"/>
      <c r="X80" s="938"/>
      <c r="Y80" s="938"/>
      <c r="Z80" s="938"/>
      <c r="AA80" s="866"/>
      <c r="AB80" s="866"/>
      <c r="AC80" s="866"/>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25"/>
      <c r="BA80" s="447"/>
      <c r="BB80" s="304"/>
      <c r="BC80" s="304"/>
      <c r="BD80" s="304"/>
      <c r="BE80" s="304"/>
      <c r="BF80" s="304"/>
      <c r="BG80" s="304"/>
      <c r="BH80" s="304"/>
      <c r="BI80" s="304"/>
      <c r="BJ80" s="446"/>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284"/>
    </row>
    <row r="81" spans="1:85" ht="3" customHeight="1">
      <c r="A81" s="220"/>
      <c r="B81" s="879"/>
      <c r="C81" s="879"/>
      <c r="D81" s="879"/>
      <c r="E81" s="859"/>
      <c r="F81" s="859"/>
      <c r="G81" s="862"/>
      <c r="H81" s="938"/>
      <c r="I81" s="938"/>
      <c r="J81" s="938"/>
      <c r="K81" s="938"/>
      <c r="L81" s="938"/>
      <c r="M81" s="938"/>
      <c r="N81" s="938"/>
      <c r="O81" s="938"/>
      <c r="P81" s="938"/>
      <c r="Q81" s="938"/>
      <c r="R81" s="938"/>
      <c r="S81" s="938"/>
      <c r="T81" s="938"/>
      <c r="U81" s="938"/>
      <c r="V81" s="938"/>
      <c r="W81" s="938"/>
      <c r="X81" s="938"/>
      <c r="Y81" s="938"/>
      <c r="Z81" s="938"/>
      <c r="AA81" s="866"/>
      <c r="AB81" s="866"/>
      <c r="AC81" s="866"/>
      <c r="AD81" s="826"/>
      <c r="AE81" s="820"/>
      <c r="AF81" s="820"/>
      <c r="AG81" s="820"/>
      <c r="AH81" s="435"/>
      <c r="AI81" s="821"/>
      <c r="AJ81" s="821"/>
      <c r="AK81" s="821"/>
      <c r="AL81" s="821"/>
      <c r="AM81" s="821"/>
      <c r="AN81" s="818"/>
      <c r="AO81" s="822"/>
      <c r="AP81" s="822"/>
      <c r="AQ81" s="822"/>
      <c r="AR81" s="822"/>
      <c r="AS81" s="822"/>
      <c r="AT81" s="818"/>
      <c r="AU81" s="822"/>
      <c r="AV81" s="822"/>
      <c r="AW81" s="822"/>
      <c r="AX81" s="822"/>
      <c r="AY81" s="822"/>
      <c r="AZ81" s="827"/>
      <c r="BA81" s="448"/>
      <c r="BB81" s="442"/>
      <c r="BC81" s="442"/>
      <c r="BD81" s="442"/>
      <c r="BE81" s="442"/>
      <c r="BF81" s="442"/>
      <c r="BG81" s="442"/>
      <c r="BH81" s="442"/>
      <c r="BI81" s="442"/>
      <c r="BJ81" s="441"/>
      <c r="BK81" s="442"/>
      <c r="BL81" s="820"/>
      <c r="BM81" s="820"/>
      <c r="BN81" s="820"/>
      <c r="BO81" s="435"/>
      <c r="BP81" s="821"/>
      <c r="BQ81" s="821"/>
      <c r="BR81" s="821"/>
      <c r="BS81" s="821"/>
      <c r="BT81" s="821"/>
      <c r="BU81" s="818"/>
      <c r="BV81" s="822"/>
      <c r="BW81" s="822"/>
      <c r="BX81" s="822"/>
      <c r="BY81" s="822"/>
      <c r="BZ81" s="822"/>
      <c r="CA81" s="818"/>
      <c r="CB81" s="822"/>
      <c r="CC81" s="822"/>
      <c r="CD81" s="822"/>
      <c r="CE81" s="822"/>
      <c r="CF81" s="822"/>
      <c r="CG81" s="287"/>
    </row>
    <row r="82" spans="1:85" ht="15" customHeight="1">
      <c r="A82" s="220"/>
      <c r="B82" s="879"/>
      <c r="C82" s="879"/>
      <c r="D82" s="879"/>
      <c r="E82" s="859"/>
      <c r="F82" s="859"/>
      <c r="G82" s="862"/>
      <c r="H82" s="938"/>
      <c r="I82" s="938"/>
      <c r="J82" s="938"/>
      <c r="K82" s="938"/>
      <c r="L82" s="938"/>
      <c r="M82" s="938"/>
      <c r="N82" s="938"/>
      <c r="O82" s="938"/>
      <c r="P82" s="938"/>
      <c r="Q82" s="938"/>
      <c r="R82" s="938"/>
      <c r="S82" s="938"/>
      <c r="T82" s="938"/>
      <c r="U82" s="938"/>
      <c r="V82" s="938"/>
      <c r="W82" s="938"/>
      <c r="X82" s="938"/>
      <c r="Y82" s="938"/>
      <c r="Z82" s="938"/>
      <c r="AA82" s="866"/>
      <c r="AB82" s="866"/>
      <c r="AC82" s="866"/>
      <c r="AD82" s="826"/>
      <c r="AE82" s="432" t="str">
        <f>IF(LEN(VLOOKUP(AA76,suvaha!$D$8:$H$158,3,FALSE))&lt;11,"",LEFT(RIGHT(VLOOKUP(AA76,suvaha!$D$8:$H$158,3,FALSE),11),1))</f>
        <v/>
      </c>
      <c r="AF82" s="255"/>
      <c r="AG82" s="432" t="str">
        <f>IF(LEN(VLOOKUP(AA76,suvaha!$D$8:$H$158,3,FALSE))&lt;10,"",LEFT(RIGHT(VLOOKUP(AA76,suvaha!$D$8:$H$158,3,FALSE),10),1))</f>
        <v/>
      </c>
      <c r="AH82" s="434"/>
      <c r="AI82" s="432" t="str">
        <f>IF(LEN(VLOOKUP(AA76,suvaha!$D$8:$H$158,3,FALSE))&lt;9,"",LEFT(RIGHT(VLOOKUP(AA76,suvaha!$D$8:$H$158,3,FALSE),9),1))</f>
        <v/>
      </c>
      <c r="AJ82" s="255"/>
      <c r="AK82" s="432" t="str">
        <f>IF(LEN(VLOOKUP(AA76,suvaha!$D$8:$H$158,3,FALSE))&lt;8,"",LEFT(RIGHT(VLOOKUP(AA76,suvaha!$D$8:$H$158,3,FALSE),8),1))</f>
        <v/>
      </c>
      <c r="AL82" s="434"/>
      <c r="AM82" s="432" t="str">
        <f>IF(LEN(VLOOKUP(AA76,suvaha!$D$8:$H$158,3,FALSE))&lt;7,"",LEFT(RIGHT(VLOOKUP(AA76,suvaha!$D$8:$H$158,3,FALSE),7),1))</f>
        <v/>
      </c>
      <c r="AN82" s="818"/>
      <c r="AO82" s="432" t="str">
        <f>IF(LEN(VLOOKUP(AA76,suvaha!$D$8:$H$158,3,FALSE))&lt;6,"",LEFT(RIGHT(VLOOKUP(AA76,suvaha!$D$8:$H$158,3,FALSE),6),1))</f>
        <v/>
      </c>
      <c r="AP82" s="434"/>
      <c r="AQ82" s="432" t="str">
        <f>IF(LEN(VLOOKUP(AA76,suvaha!$D$8:$H$158,3,FALSE))&lt;5,"",LEFT(RIGHT(VLOOKUP(AA76,suvaha!$D$8:$H$158,3,FALSE),5),1))</f>
        <v/>
      </c>
      <c r="AR82" s="434"/>
      <c r="AS82" s="432" t="str">
        <f>IF(LEN(VLOOKUP(AA76,suvaha!$D$8:$H$158,3,FALSE))&lt;4,"",LEFT(RIGHT(VLOOKUP(AA76,suvaha!$D$8:$H$158,3,FALSE),4),1))</f>
        <v/>
      </c>
      <c r="AT82" s="818"/>
      <c r="AU82" s="432" t="str">
        <f>IF(LEN(VLOOKUP(AA76,suvaha!$D$8:$H$158,3,FALSE))&lt;3,"",LEFT(RIGHT(VLOOKUP(AA76,suvaha!$D$8:$H$158,3,FALSE),3),1))</f>
        <v/>
      </c>
      <c r="AV82" s="434"/>
      <c r="AW82" s="432" t="str">
        <f>IF(LEN(VLOOKUP(AA76,suvaha!$D$8:$H$158,3,FALSE))&lt;2,"",LEFT(RIGHT(VLOOKUP(AA76,suvaha!$D$8:$H$158,3,FALSE),2),1))</f>
        <v/>
      </c>
      <c r="AX82" s="434"/>
      <c r="AY82" s="432" t="str">
        <f>IF(VLOOKUP(AA76,suvaha!$D$8:$H$85,3,FALSE)=0,"",IF(LEN(VLOOKUP(AA76,suvaha!$D$8:$H$158,3,FALSE))&lt;1,"",LEFT(RIGHT(VLOOKUP(AA76,suvaha!$D$8:$H$158,3,FALSE),1),1)))</f>
        <v/>
      </c>
      <c r="AZ82" s="827"/>
      <c r="BA82" s="448"/>
      <c r="BB82" s="442"/>
      <c r="BC82" s="442"/>
      <c r="BD82" s="442"/>
      <c r="BE82" s="442"/>
      <c r="BF82" s="442"/>
      <c r="BG82" s="442"/>
      <c r="BH82" s="442"/>
      <c r="BI82" s="442"/>
      <c r="BJ82" s="441"/>
      <c r="BK82" s="442"/>
      <c r="BL82" s="432" t="str">
        <f>IF(LEN(VLOOKUP(AA76,suvaha!$D$8:$H$158,5,FALSE))&lt;11,"",LEFT(RIGHT(VLOOKUP(AA76,suvaha!$D$8:$H$158,5,FALSE),11),1))</f>
        <v/>
      </c>
      <c r="BM82" s="255"/>
      <c r="BN82" s="432" t="str">
        <f>IF(LEN(VLOOKUP(AA76,suvaha!$D$8:$H$158,5,FALSE))&lt;10,"",LEFT(RIGHT(VLOOKUP(AA76,suvaha!$D$8:$H$158,5,FALSE),10),1))</f>
        <v/>
      </c>
      <c r="BO82" s="434"/>
      <c r="BP82" s="432" t="str">
        <f>IF(LEN(VLOOKUP(AA76,suvaha!$D$8:$H$158,5,FALSE))&lt;9,"",LEFT(RIGHT(VLOOKUP(AA76,suvaha!$D$8:$H$158,5,FALSE),9),1))</f>
        <v/>
      </c>
      <c r="BQ82" s="255"/>
      <c r="BR82" s="432" t="str">
        <f>IF(LEN(VLOOKUP(AA76,suvaha!$D$8:$H$158,5,FALSE))&lt;8,"",LEFT(RIGHT(VLOOKUP(AA76,suvaha!$D$8:$H$158,5,FALSE),8),1))</f>
        <v/>
      </c>
      <c r="BS82" s="434"/>
      <c r="BT82" s="432" t="str">
        <f>IF(LEN(VLOOKUP(AA76,suvaha!$D$8:$H$158,5,FALSE))&lt;7,"",LEFT(RIGHT(VLOOKUP(AA76,suvaha!$D$8:$H$158,5,FALSE),7),1))</f>
        <v/>
      </c>
      <c r="BU82" s="818"/>
      <c r="BV82" s="432" t="str">
        <f>IF(LEN(VLOOKUP(AA76,suvaha!$D$8:$H$158,5,FALSE))&lt;6,"",LEFT(RIGHT(VLOOKUP(AA76,suvaha!$D$8:$H$158,5,FALSE),6),1))</f>
        <v/>
      </c>
      <c r="BW82" s="434"/>
      <c r="BX82" s="432" t="str">
        <f>IF(LEN(VLOOKUP(AA76,suvaha!$D$8:$H$158,5,FALSE))&lt;5,"",LEFT(RIGHT(VLOOKUP(AA76,suvaha!$D$8:$H$158,5,FALSE),5),1))</f>
        <v/>
      </c>
      <c r="BY82" s="434"/>
      <c r="BZ82" s="432" t="str">
        <f>IF(LEN(VLOOKUP(AA76,suvaha!$D$8:$H$158,5,FALSE))&lt;4,"",LEFT(RIGHT(VLOOKUP(AA76,suvaha!$D$8:$H$158,5,FALSE),4),1))</f>
        <v/>
      </c>
      <c r="CA82" s="818"/>
      <c r="CB82" s="432" t="str">
        <f>IF(LEN(VLOOKUP(AA76,suvaha!$D$8:$H$158,5,FALSE))&lt;3,"",LEFT(RIGHT(VLOOKUP(AA76,suvaha!$D$8:$H$158,5,FALSE),3),1))</f>
        <v/>
      </c>
      <c r="CC82" s="434"/>
      <c r="CD82" s="432" t="str">
        <f>IF(LEN(VLOOKUP(AA76,suvaha!$D$8:$H$158,5,FALSE))&lt;2,"",LEFT(RIGHT(VLOOKUP(AA76,suvaha!$D$8:$H$158,5,FALSE),2),1))</f>
        <v/>
      </c>
      <c r="CE82" s="434"/>
      <c r="CF82" s="432" t="str">
        <f>IF(VLOOKUP(AA76,suvaha!$D$8:$H$85,5,FALSE)=0,"",IF(LEN(VLOOKUP(AA76,suvaha!$D$8:$H$158,5,FALSE))&lt;1,"",LEFT(RIGHT(VLOOKUP(AA76,suvaha!$D$8:$H$158,5,FALSE),1),1)))</f>
        <v/>
      </c>
      <c r="CG82" s="287"/>
    </row>
    <row r="83" spans="1:85" ht="3" customHeight="1">
      <c r="A83" s="220"/>
      <c r="B83" s="879"/>
      <c r="C83" s="879"/>
      <c r="D83" s="879"/>
      <c r="E83" s="859"/>
      <c r="F83" s="859"/>
      <c r="G83" s="862"/>
      <c r="H83" s="938"/>
      <c r="I83" s="938"/>
      <c r="J83" s="938"/>
      <c r="K83" s="938"/>
      <c r="L83" s="938"/>
      <c r="M83" s="938"/>
      <c r="N83" s="938"/>
      <c r="O83" s="938"/>
      <c r="P83" s="938"/>
      <c r="Q83" s="938"/>
      <c r="R83" s="938"/>
      <c r="S83" s="938"/>
      <c r="T83" s="938"/>
      <c r="U83" s="938"/>
      <c r="V83" s="938"/>
      <c r="W83" s="938"/>
      <c r="X83" s="938"/>
      <c r="Y83" s="938"/>
      <c r="Z83" s="938"/>
      <c r="AA83" s="866"/>
      <c r="AB83" s="866"/>
      <c r="AC83" s="866"/>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845"/>
      <c r="AZ83" s="845"/>
      <c r="BA83" s="449"/>
      <c r="BB83" s="310"/>
      <c r="BC83" s="310"/>
      <c r="BD83" s="310"/>
      <c r="BE83" s="310"/>
      <c r="BF83" s="310"/>
      <c r="BG83" s="310"/>
      <c r="BH83" s="310"/>
      <c r="BI83" s="310"/>
      <c r="BJ83" s="443"/>
      <c r="BK83" s="310"/>
      <c r="BL83" s="310"/>
      <c r="BM83" s="310"/>
      <c r="BN83" s="310"/>
      <c r="BO83" s="310"/>
      <c r="BP83" s="310"/>
      <c r="BQ83" s="310"/>
      <c r="BR83" s="310"/>
      <c r="BS83" s="310"/>
      <c r="BT83" s="310"/>
      <c r="BU83" s="310"/>
      <c r="BV83" s="310"/>
      <c r="BW83" s="310"/>
      <c r="BX83" s="310"/>
      <c r="BY83" s="310"/>
      <c r="BZ83" s="310"/>
      <c r="CA83" s="310"/>
      <c r="CB83" s="310"/>
      <c r="CC83" s="310"/>
      <c r="CD83" s="310"/>
      <c r="CE83" s="310"/>
      <c r="CF83" s="310"/>
      <c r="CG83" s="286"/>
    </row>
    <row r="84" spans="1:85" s="250" customFormat="1" ht="3" customHeight="1">
      <c r="A84" s="220"/>
      <c r="B84" s="879"/>
      <c r="C84" s="879"/>
      <c r="D84" s="879"/>
      <c r="E84" s="877" t="s">
        <v>1543</v>
      </c>
      <c r="F84" s="877"/>
      <c r="G84" s="862"/>
      <c r="H84" s="864" t="str">
        <f>Index!C75</f>
        <v>Ostatné realizovateľné cenné papiere a podiely (063A) - 096A</v>
      </c>
      <c r="I84" s="864"/>
      <c r="J84" s="864"/>
      <c r="K84" s="864"/>
      <c r="L84" s="864"/>
      <c r="M84" s="864"/>
      <c r="N84" s="864"/>
      <c r="O84" s="864"/>
      <c r="P84" s="864"/>
      <c r="Q84" s="864"/>
      <c r="R84" s="864"/>
      <c r="S84" s="864"/>
      <c r="T84" s="864"/>
      <c r="U84" s="864"/>
      <c r="V84" s="864"/>
      <c r="W84" s="864"/>
      <c r="X84" s="864"/>
      <c r="Y84" s="864"/>
      <c r="Z84" s="864"/>
      <c r="AA84" s="866" t="s">
        <v>1567</v>
      </c>
      <c r="AB84" s="866"/>
      <c r="AC84" s="866"/>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25"/>
      <c r="BA84" s="867"/>
      <c r="BB84" s="867"/>
      <c r="BC84" s="867"/>
      <c r="BD84" s="867"/>
      <c r="BE84" s="867"/>
      <c r="BF84" s="867"/>
      <c r="BG84" s="867"/>
      <c r="BH84" s="867"/>
      <c r="BI84" s="867"/>
      <c r="BJ84" s="867"/>
      <c r="BK84" s="867"/>
      <c r="BL84" s="867"/>
      <c r="BM84" s="867"/>
      <c r="BN84" s="867"/>
      <c r="BO84" s="867"/>
      <c r="BP84" s="867"/>
      <c r="BQ84" s="867"/>
      <c r="BR84" s="304"/>
      <c r="BS84" s="304"/>
      <c r="BT84" s="304"/>
      <c r="BU84" s="304"/>
      <c r="BV84" s="304"/>
      <c r="BW84" s="446"/>
      <c r="BX84" s="304"/>
      <c r="BY84" s="304"/>
      <c r="BZ84" s="304"/>
      <c r="CA84" s="304"/>
      <c r="CB84" s="304"/>
      <c r="CC84" s="304"/>
      <c r="CD84" s="304"/>
      <c r="CE84" s="304"/>
      <c r="CF84" s="304"/>
      <c r="CG84" s="284"/>
    </row>
    <row r="85" spans="1:85" s="250" customFormat="1" ht="3" customHeight="1">
      <c r="A85" s="220"/>
      <c r="B85" s="879"/>
      <c r="C85" s="879"/>
      <c r="D85" s="879"/>
      <c r="E85" s="877"/>
      <c r="F85" s="877"/>
      <c r="G85" s="862"/>
      <c r="H85" s="864"/>
      <c r="I85" s="864"/>
      <c r="J85" s="864"/>
      <c r="K85" s="864"/>
      <c r="L85" s="864"/>
      <c r="M85" s="864"/>
      <c r="N85" s="864"/>
      <c r="O85" s="864"/>
      <c r="P85" s="864"/>
      <c r="Q85" s="864"/>
      <c r="R85" s="864"/>
      <c r="S85" s="864"/>
      <c r="T85" s="864"/>
      <c r="U85" s="864"/>
      <c r="V85" s="864"/>
      <c r="W85" s="864"/>
      <c r="X85" s="864"/>
      <c r="Y85" s="864"/>
      <c r="Z85" s="864"/>
      <c r="AA85" s="866"/>
      <c r="AB85" s="866"/>
      <c r="AC85" s="866"/>
      <c r="AD85" s="826"/>
      <c r="AE85" s="820"/>
      <c r="AF85" s="820"/>
      <c r="AG85" s="820"/>
      <c r="AH85" s="435"/>
      <c r="AI85" s="821"/>
      <c r="AJ85" s="821"/>
      <c r="AK85" s="821"/>
      <c r="AL85" s="821"/>
      <c r="AM85" s="821"/>
      <c r="AN85" s="818"/>
      <c r="AO85" s="822"/>
      <c r="AP85" s="822"/>
      <c r="AQ85" s="822"/>
      <c r="AR85" s="822"/>
      <c r="AS85" s="822"/>
      <c r="AT85" s="818"/>
      <c r="AU85" s="822"/>
      <c r="AV85" s="822"/>
      <c r="AW85" s="822"/>
      <c r="AX85" s="822"/>
      <c r="AY85" s="822"/>
      <c r="AZ85" s="827"/>
      <c r="BA85" s="826"/>
      <c r="BB85" s="820"/>
      <c r="BC85" s="820"/>
      <c r="BD85" s="820"/>
      <c r="BE85" s="435"/>
      <c r="BF85" s="821"/>
      <c r="BG85" s="821"/>
      <c r="BH85" s="821"/>
      <c r="BI85" s="821"/>
      <c r="BJ85" s="821"/>
      <c r="BK85" s="818"/>
      <c r="BL85" s="822"/>
      <c r="BM85" s="822"/>
      <c r="BN85" s="822"/>
      <c r="BO85" s="822"/>
      <c r="BP85" s="822"/>
      <c r="BQ85" s="818"/>
      <c r="BR85" s="822"/>
      <c r="BS85" s="822"/>
      <c r="BT85" s="822"/>
      <c r="BU85" s="822"/>
      <c r="BV85" s="822"/>
      <c r="BW85" s="441"/>
      <c r="BX85" s="442"/>
      <c r="BY85" s="442"/>
      <c r="BZ85" s="442"/>
      <c r="CA85" s="442"/>
      <c r="CB85" s="442"/>
      <c r="CC85" s="442"/>
      <c r="CD85" s="442"/>
      <c r="CE85" s="442"/>
      <c r="CF85" s="442"/>
      <c r="CG85" s="285"/>
    </row>
    <row r="86" spans="1:85" ht="15" customHeight="1">
      <c r="A86" s="220"/>
      <c r="B86" s="879"/>
      <c r="C86" s="879"/>
      <c r="D86" s="879"/>
      <c r="E86" s="877"/>
      <c r="F86" s="877"/>
      <c r="G86" s="862"/>
      <c r="H86" s="864"/>
      <c r="I86" s="864"/>
      <c r="J86" s="864"/>
      <c r="K86" s="864"/>
      <c r="L86" s="864"/>
      <c r="M86" s="864"/>
      <c r="N86" s="864"/>
      <c r="O86" s="864"/>
      <c r="P86" s="864"/>
      <c r="Q86" s="864"/>
      <c r="R86" s="864"/>
      <c r="S86" s="864"/>
      <c r="T86" s="864"/>
      <c r="U86" s="864"/>
      <c r="V86" s="864"/>
      <c r="W86" s="864"/>
      <c r="X86" s="864"/>
      <c r="Y86" s="864"/>
      <c r="Z86" s="864"/>
      <c r="AA86" s="866"/>
      <c r="AB86" s="866"/>
      <c r="AC86" s="866"/>
      <c r="AD86" s="826"/>
      <c r="AE86" s="432" t="str">
        <f>IF(LEN(VLOOKUP(AA84,suvaha!$D$8:$H$158,2,FALSE))&lt;11,"",LEFT(RIGHT(VLOOKUP(AA84,suvaha!$D$8:$H$158,2,FALSE),11),1))</f>
        <v/>
      </c>
      <c r="AF86" s="255"/>
      <c r="AG86" s="432" t="str">
        <f>IF(LEN(VLOOKUP(AA84,suvaha!$D$8:$H$158,2,FALSE))&lt;10,"",LEFT(RIGHT(VLOOKUP(AA84,suvaha!$D$8:$H$158,2,FALSE),10),1))</f>
        <v/>
      </c>
      <c r="AH86" s="434"/>
      <c r="AI86" s="432" t="str">
        <f>IF(LEN(VLOOKUP(AA84,suvaha!$D$8:$H$158,2,FALSE))&lt;9,"",LEFT(RIGHT(VLOOKUP(AA84,suvaha!$D$8:$H$158,2,FALSE),9),1))</f>
        <v/>
      </c>
      <c r="AJ86" s="255"/>
      <c r="AK86" s="432" t="str">
        <f>IF(LEN(VLOOKUP(AA84,suvaha!$D$8:$H$158,2,FALSE))&lt;8,"",LEFT(RIGHT(VLOOKUP(AA84,suvaha!$D$8:$H$158,2,FALSE),8),1))</f>
        <v/>
      </c>
      <c r="AL86" s="434"/>
      <c r="AM86" s="432" t="str">
        <f>IF(LEN(VLOOKUP(AA84,suvaha!$D$8:$H$158,2,FALSE))&lt;7,"",LEFT(RIGHT(VLOOKUP(AA84,suvaha!$D$8:$H$158,2,FALSE),7),1))</f>
        <v/>
      </c>
      <c r="AN86" s="818"/>
      <c r="AO86" s="432" t="str">
        <f>IF(LEN(VLOOKUP(AA84,suvaha!$D$8:$H$158,2,FALSE))&lt;6,"",LEFT(RIGHT(VLOOKUP(AA84,suvaha!$D$8:$H$158,2,FALSE),6),1))</f>
        <v/>
      </c>
      <c r="AP86" s="434"/>
      <c r="AQ86" s="432" t="str">
        <f>IF(LEN(VLOOKUP(AA84,suvaha!$D$8:$H$158,2,FALSE))&lt;5,"",LEFT(RIGHT(VLOOKUP(AA84,suvaha!$D$8:$H$158,2,FALSE),5),1))</f>
        <v/>
      </c>
      <c r="AR86" s="434"/>
      <c r="AS86" s="432" t="str">
        <f>IF(LEN(VLOOKUP(AA84,suvaha!$D$8:$H$158,2,FALSE))&lt;4,"",LEFT(RIGHT(VLOOKUP(AA84,suvaha!$D$8:$H$158,2,FALSE),4),1))</f>
        <v/>
      </c>
      <c r="AT86" s="818"/>
      <c r="AU86" s="432" t="str">
        <f>IF(LEN(VLOOKUP(AA84,suvaha!$D$8:$H$158,2,FALSE))&lt;3,"",LEFT(RIGHT(VLOOKUP(AA84,suvaha!$D$8:$H$158,2,FALSE),3),1))</f>
        <v/>
      </c>
      <c r="AV86" s="434"/>
      <c r="AW86" s="432" t="str">
        <f>IF(LEN(VLOOKUP(AA84,suvaha!$D$8:$H$158,2,FALSE))&lt;2,"",LEFT(RIGHT(VLOOKUP(AA84,suvaha!$D$8:$H$158,2,FALSE),2),1))</f>
        <v/>
      </c>
      <c r="AX86" s="434"/>
      <c r="AY86" s="432" t="str">
        <f>IF(VLOOKUP(AA84,suvaha!$D$8:$H$85,2,FALSE)=0,"",IF(LEN(VLOOKUP(AA84,suvaha!$D$8:$H$158,2,FALSE))&lt;1,"",LEFT(RIGHT(VLOOKUP(AA84,suvaha!$D$8:$H$158,2,FALSE),1),1)))</f>
        <v/>
      </c>
      <c r="AZ86" s="827"/>
      <c r="BA86" s="826"/>
      <c r="BB86" s="432" t="str">
        <f>IF(LEN(VLOOKUP(AA84,suvaha!$D$8:$H$158,4,FALSE))&lt;11,"",LEFT(RIGHT(VLOOKUP(AA84,suvaha!$D$8:$H$158,4,FALSE),11),1))</f>
        <v/>
      </c>
      <c r="BC86" s="255"/>
      <c r="BD86" s="432" t="str">
        <f>IF(LEN(VLOOKUP(AA84,suvaha!$D$8:$H$158,4,FALSE))&lt;10,"",LEFT(RIGHT(VLOOKUP(AA84,suvaha!$D$8:$H$158,4,FALSE),10),1))</f>
        <v/>
      </c>
      <c r="BE86" s="434"/>
      <c r="BF86" s="432" t="str">
        <f>IF(LEN(VLOOKUP(AA84,suvaha!$D$8:$H$158,4,FALSE))&lt;9,"",LEFT(RIGHT(VLOOKUP(AA84,suvaha!$D$8:$H$158,4,FALSE),9),1))</f>
        <v/>
      </c>
      <c r="BG86" s="255"/>
      <c r="BH86" s="432" t="str">
        <f>IF(LEN(VLOOKUP(AA84,suvaha!$D$8:$H$158,4,FALSE))&lt;8,"",LEFT(RIGHT(VLOOKUP(AA84,suvaha!$D$8:$H$158,4,FALSE),8),1))</f>
        <v/>
      </c>
      <c r="BI86" s="434"/>
      <c r="BJ86" s="432" t="str">
        <f>IF(LEN(VLOOKUP(AA84,suvaha!$D$8:$H$158,4,FALSE))&lt;7,"",LEFT(RIGHT(VLOOKUP(AA84,suvaha!$D$8:$H$158,4,FALSE),7),1))</f>
        <v/>
      </c>
      <c r="BK86" s="818"/>
      <c r="BL86" s="432" t="str">
        <f>IF(LEN(VLOOKUP(AA84,suvaha!$D$8:$H$158,4,FALSE))&lt;6,"",LEFT(RIGHT(VLOOKUP(AA84,suvaha!$D$8:$H$158,4,FALSE),6),1))</f>
        <v/>
      </c>
      <c r="BM86" s="434"/>
      <c r="BN86" s="432" t="str">
        <f>IF(LEN(VLOOKUP(AA84,suvaha!$D$8:$H$158,4,FALSE))&lt;5,"",LEFT(RIGHT(VLOOKUP(AA84,suvaha!$D$8:$H$158,4,FALSE),5),1))</f>
        <v/>
      </c>
      <c r="BO86" s="434"/>
      <c r="BP86" s="432" t="str">
        <f>IF(LEN(VLOOKUP(AA84,suvaha!$D$8:$H$158,4,FALSE))&lt;4,"",LEFT(RIGHT(VLOOKUP(AA84,suvaha!$D$8:$H$158,4,FALSE),4),1))</f>
        <v/>
      </c>
      <c r="BQ86" s="818"/>
      <c r="BR86" s="432" t="str">
        <f>IF(LEN(VLOOKUP(AA84,suvaha!$D$8:$H$158,4,FALSE))&lt;3,"",LEFT(RIGHT(VLOOKUP(AA84,suvaha!$D$8:$H$158,4,FALSE),3),1))</f>
        <v/>
      </c>
      <c r="BS86" s="434"/>
      <c r="BT86" s="432" t="str">
        <f>IF(LEN(VLOOKUP(AA84,suvaha!$D$8:$H$158,4,FALSE))&lt;2,"",LEFT(RIGHT(VLOOKUP(AA84,suvaha!$D$8:$H$158,4,FALSE),2),1))</f>
        <v/>
      </c>
      <c r="BU86" s="434"/>
      <c r="BV86" s="432" t="str">
        <f>IF(VLOOKUP(AA84,suvaha!$D$8:$H$85,4,FALSE)=0,"",IF(LEN(VLOOKUP(AA84,suvaha!$D$8:$H$158,4,FALSE))&lt;1,"",LEFT(RIGHT(VLOOKUP(AA84,suvaha!$D$8:$H$158,4,FALSE),1),1)))</f>
        <v/>
      </c>
      <c r="BW86" s="441"/>
      <c r="BX86" s="442"/>
      <c r="BY86" s="442"/>
      <c r="BZ86" s="442"/>
      <c r="CA86" s="442"/>
      <c r="CB86" s="442"/>
      <c r="CC86" s="442"/>
      <c r="CD86" s="442"/>
      <c r="CE86" s="442"/>
      <c r="CF86" s="442"/>
      <c r="CG86" s="285"/>
    </row>
    <row r="87" spans="1:85" ht="3" customHeight="1">
      <c r="A87" s="220"/>
      <c r="B87" s="879"/>
      <c r="C87" s="879"/>
      <c r="D87" s="879"/>
      <c r="E87" s="877"/>
      <c r="F87" s="877"/>
      <c r="G87" s="862"/>
      <c r="H87" s="864"/>
      <c r="I87" s="864"/>
      <c r="J87" s="864"/>
      <c r="K87" s="864"/>
      <c r="L87" s="864"/>
      <c r="M87" s="864"/>
      <c r="N87" s="864"/>
      <c r="O87" s="864"/>
      <c r="P87" s="864"/>
      <c r="Q87" s="864"/>
      <c r="R87" s="864"/>
      <c r="S87" s="864"/>
      <c r="T87" s="864"/>
      <c r="U87" s="864"/>
      <c r="V87" s="864"/>
      <c r="W87" s="864"/>
      <c r="X87" s="864"/>
      <c r="Y87" s="864"/>
      <c r="Z87" s="864"/>
      <c r="AA87" s="866"/>
      <c r="AB87" s="866"/>
      <c r="AC87" s="866"/>
      <c r="AD87" s="845"/>
      <c r="AE87" s="845"/>
      <c r="AF87" s="845"/>
      <c r="AG87" s="845"/>
      <c r="AH87" s="845"/>
      <c r="AI87" s="845"/>
      <c r="AJ87" s="845"/>
      <c r="AK87" s="845"/>
      <c r="AL87" s="845"/>
      <c r="AM87" s="845"/>
      <c r="AN87" s="845"/>
      <c r="AO87" s="845"/>
      <c r="AP87" s="845"/>
      <c r="AQ87" s="845"/>
      <c r="AR87" s="845"/>
      <c r="AS87" s="845"/>
      <c r="AT87" s="845"/>
      <c r="AU87" s="845"/>
      <c r="AV87" s="845"/>
      <c r="AW87" s="845"/>
      <c r="AX87" s="845"/>
      <c r="AY87" s="845"/>
      <c r="AZ87" s="845"/>
      <c r="BA87" s="846"/>
      <c r="BB87" s="846"/>
      <c r="BC87" s="846"/>
      <c r="BD87" s="846"/>
      <c r="BE87" s="846"/>
      <c r="BF87" s="846"/>
      <c r="BG87" s="846"/>
      <c r="BH87" s="846"/>
      <c r="BI87" s="846"/>
      <c r="BJ87" s="846"/>
      <c r="BK87" s="846"/>
      <c r="BL87" s="846"/>
      <c r="BM87" s="846"/>
      <c r="BN87" s="846"/>
      <c r="BO87" s="846"/>
      <c r="BP87" s="846"/>
      <c r="BQ87" s="846"/>
      <c r="BR87" s="310"/>
      <c r="BS87" s="310"/>
      <c r="BT87" s="310"/>
      <c r="BU87" s="310"/>
      <c r="BV87" s="310"/>
      <c r="BW87" s="443"/>
      <c r="BX87" s="310"/>
      <c r="BY87" s="310"/>
      <c r="BZ87" s="310"/>
      <c r="CA87" s="310"/>
      <c r="CB87" s="310"/>
      <c r="CC87" s="310"/>
      <c r="CD87" s="310"/>
      <c r="CE87" s="310"/>
      <c r="CF87" s="310"/>
      <c r="CG87" s="286"/>
    </row>
    <row r="88" spans="1:85" ht="3" customHeight="1">
      <c r="A88" s="220"/>
      <c r="B88" s="879"/>
      <c r="C88" s="879"/>
      <c r="D88" s="879"/>
      <c r="E88" s="877"/>
      <c r="F88" s="877"/>
      <c r="G88" s="862"/>
      <c r="H88" s="864"/>
      <c r="I88" s="864"/>
      <c r="J88" s="864"/>
      <c r="K88" s="864"/>
      <c r="L88" s="864"/>
      <c r="M88" s="864"/>
      <c r="N88" s="864"/>
      <c r="O88" s="864"/>
      <c r="P88" s="864"/>
      <c r="Q88" s="864"/>
      <c r="R88" s="864"/>
      <c r="S88" s="864"/>
      <c r="T88" s="864"/>
      <c r="U88" s="864"/>
      <c r="V88" s="864"/>
      <c r="W88" s="864"/>
      <c r="X88" s="864"/>
      <c r="Y88" s="864"/>
      <c r="Z88" s="864"/>
      <c r="AA88" s="866"/>
      <c r="AB88" s="866"/>
      <c r="AC88" s="866"/>
      <c r="AD88" s="825"/>
      <c r="AE88" s="825"/>
      <c r="AF88" s="825"/>
      <c r="AG88" s="825"/>
      <c r="AH88" s="825"/>
      <c r="AI88" s="825"/>
      <c r="AJ88" s="825"/>
      <c r="AK88" s="825"/>
      <c r="AL88" s="825"/>
      <c r="AM88" s="825"/>
      <c r="AN88" s="825"/>
      <c r="AO88" s="825"/>
      <c r="AP88" s="825"/>
      <c r="AQ88" s="825"/>
      <c r="AR88" s="825"/>
      <c r="AS88" s="825"/>
      <c r="AT88" s="825"/>
      <c r="AU88" s="825"/>
      <c r="AV88" s="825"/>
      <c r="AW88" s="825"/>
      <c r="AX88" s="825"/>
      <c r="AY88" s="825"/>
      <c r="AZ88" s="825"/>
      <c r="BA88" s="447"/>
      <c r="BB88" s="304"/>
      <c r="BC88" s="304"/>
      <c r="BD88" s="304"/>
      <c r="BE88" s="304"/>
      <c r="BF88" s="304"/>
      <c r="BG88" s="304"/>
      <c r="BH88" s="304"/>
      <c r="BI88" s="304"/>
      <c r="BJ88" s="446"/>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284"/>
    </row>
    <row r="89" spans="1:85" ht="3" customHeight="1">
      <c r="A89" s="220"/>
      <c r="B89" s="879"/>
      <c r="C89" s="879"/>
      <c r="D89" s="879"/>
      <c r="E89" s="877"/>
      <c r="F89" s="877"/>
      <c r="G89" s="862"/>
      <c r="H89" s="864"/>
      <c r="I89" s="864"/>
      <c r="J89" s="864"/>
      <c r="K89" s="864"/>
      <c r="L89" s="864"/>
      <c r="M89" s="864"/>
      <c r="N89" s="864"/>
      <c r="O89" s="864"/>
      <c r="P89" s="864"/>
      <c r="Q89" s="864"/>
      <c r="R89" s="864"/>
      <c r="S89" s="864"/>
      <c r="T89" s="864"/>
      <c r="U89" s="864"/>
      <c r="V89" s="864"/>
      <c r="W89" s="864"/>
      <c r="X89" s="864"/>
      <c r="Y89" s="864"/>
      <c r="Z89" s="864"/>
      <c r="AA89" s="866"/>
      <c r="AB89" s="866"/>
      <c r="AC89" s="866"/>
      <c r="AD89" s="826"/>
      <c r="AE89" s="820"/>
      <c r="AF89" s="820"/>
      <c r="AG89" s="820"/>
      <c r="AH89" s="435"/>
      <c r="AI89" s="821"/>
      <c r="AJ89" s="821"/>
      <c r="AK89" s="821"/>
      <c r="AL89" s="821"/>
      <c r="AM89" s="821"/>
      <c r="AN89" s="818"/>
      <c r="AO89" s="822"/>
      <c r="AP89" s="822"/>
      <c r="AQ89" s="822"/>
      <c r="AR89" s="822"/>
      <c r="AS89" s="822"/>
      <c r="AT89" s="818"/>
      <c r="AU89" s="822"/>
      <c r="AV89" s="822"/>
      <c r="AW89" s="822"/>
      <c r="AX89" s="822"/>
      <c r="AY89" s="822"/>
      <c r="AZ89" s="827"/>
      <c r="BA89" s="448"/>
      <c r="BB89" s="442"/>
      <c r="BC89" s="442"/>
      <c r="BD89" s="442"/>
      <c r="BE89" s="442"/>
      <c r="BF89" s="442"/>
      <c r="BG89" s="442"/>
      <c r="BH89" s="442"/>
      <c r="BI89" s="442"/>
      <c r="BJ89" s="441"/>
      <c r="BK89" s="442"/>
      <c r="BL89" s="820"/>
      <c r="BM89" s="820"/>
      <c r="BN89" s="820"/>
      <c r="BO89" s="435"/>
      <c r="BP89" s="821"/>
      <c r="BQ89" s="821"/>
      <c r="BR89" s="821"/>
      <c r="BS89" s="821"/>
      <c r="BT89" s="821"/>
      <c r="BU89" s="818"/>
      <c r="BV89" s="822"/>
      <c r="BW89" s="822"/>
      <c r="BX89" s="822"/>
      <c r="BY89" s="822"/>
      <c r="BZ89" s="822"/>
      <c r="CA89" s="818"/>
      <c r="CB89" s="822"/>
      <c r="CC89" s="822"/>
      <c r="CD89" s="822"/>
      <c r="CE89" s="822"/>
      <c r="CF89" s="822"/>
      <c r="CG89" s="287"/>
    </row>
    <row r="90" spans="1:85" ht="15" customHeight="1">
      <c r="A90" s="220"/>
      <c r="B90" s="879"/>
      <c r="C90" s="879"/>
      <c r="D90" s="879"/>
      <c r="E90" s="877"/>
      <c r="F90" s="877"/>
      <c r="G90" s="862"/>
      <c r="H90" s="864"/>
      <c r="I90" s="864"/>
      <c r="J90" s="864"/>
      <c r="K90" s="864"/>
      <c r="L90" s="864"/>
      <c r="M90" s="864"/>
      <c r="N90" s="864"/>
      <c r="O90" s="864"/>
      <c r="P90" s="864"/>
      <c r="Q90" s="864"/>
      <c r="R90" s="864"/>
      <c r="S90" s="864"/>
      <c r="T90" s="864"/>
      <c r="U90" s="864"/>
      <c r="V90" s="864"/>
      <c r="W90" s="864"/>
      <c r="X90" s="864"/>
      <c r="Y90" s="864"/>
      <c r="Z90" s="864"/>
      <c r="AA90" s="866"/>
      <c r="AB90" s="866"/>
      <c r="AC90" s="866"/>
      <c r="AD90" s="826"/>
      <c r="AE90" s="432" t="str">
        <f>IF(LEN(VLOOKUP(AA84,suvaha!$D$8:$H$158,3,FALSE))&lt;11,"",LEFT(RIGHT(VLOOKUP(AA84,suvaha!$D$8:$H$158,3,FALSE),11),1))</f>
        <v/>
      </c>
      <c r="AF90" s="255"/>
      <c r="AG90" s="432" t="str">
        <f>IF(LEN(VLOOKUP(AA84,suvaha!$D$8:$H$158,3,FALSE))&lt;10,"",LEFT(RIGHT(VLOOKUP(AA84,suvaha!$D$8:$H$158,3,FALSE),10),1))</f>
        <v/>
      </c>
      <c r="AH90" s="434"/>
      <c r="AI90" s="432" t="str">
        <f>IF(LEN(VLOOKUP(AA84,suvaha!$D$8:$H$158,3,FALSE))&lt;9,"",LEFT(RIGHT(VLOOKUP(AA84,suvaha!$D$8:$H$158,3,FALSE),9),1))</f>
        <v/>
      </c>
      <c r="AJ90" s="255"/>
      <c r="AK90" s="432" t="str">
        <f>IF(LEN(VLOOKUP(AA84,suvaha!$D$8:$H$158,3,FALSE))&lt;8,"",LEFT(RIGHT(VLOOKUP(AA84,suvaha!$D$8:$H$158,3,FALSE),8),1))</f>
        <v/>
      </c>
      <c r="AL90" s="434"/>
      <c r="AM90" s="432" t="str">
        <f>IF(LEN(VLOOKUP(AA84,suvaha!$D$8:$H$158,3,FALSE))&lt;7,"",LEFT(RIGHT(VLOOKUP(AA84,suvaha!$D$8:$H$158,3,FALSE),7),1))</f>
        <v/>
      </c>
      <c r="AN90" s="818"/>
      <c r="AO90" s="432" t="str">
        <f>IF(LEN(VLOOKUP(AA84,suvaha!$D$8:$H$158,3,FALSE))&lt;6,"",LEFT(RIGHT(VLOOKUP(AA84,suvaha!$D$8:$H$158,3,FALSE),6),1))</f>
        <v/>
      </c>
      <c r="AP90" s="434"/>
      <c r="AQ90" s="432" t="str">
        <f>IF(LEN(VLOOKUP(AA84,suvaha!$D$8:$H$158,3,FALSE))&lt;5,"",LEFT(RIGHT(VLOOKUP(AA84,suvaha!$D$8:$H$158,3,FALSE),5),1))</f>
        <v/>
      </c>
      <c r="AR90" s="434"/>
      <c r="AS90" s="432" t="str">
        <f>IF(LEN(VLOOKUP(AA84,suvaha!$D$8:$H$158,3,FALSE))&lt;4,"",LEFT(RIGHT(VLOOKUP(AA84,suvaha!$D$8:$H$158,3,FALSE),4),1))</f>
        <v/>
      </c>
      <c r="AT90" s="818"/>
      <c r="AU90" s="432" t="str">
        <f>IF(LEN(VLOOKUP(AA84,suvaha!$D$8:$H$158,3,FALSE))&lt;3,"",LEFT(RIGHT(VLOOKUP(AA84,suvaha!$D$8:$H$158,3,FALSE),3),1))</f>
        <v/>
      </c>
      <c r="AV90" s="434"/>
      <c r="AW90" s="432" t="str">
        <f>IF(LEN(VLOOKUP(AA84,suvaha!$D$8:$H$158,3,FALSE))&lt;2,"",LEFT(RIGHT(VLOOKUP(AA84,suvaha!$D$8:$H$158,3,FALSE),2),1))</f>
        <v/>
      </c>
      <c r="AX90" s="434"/>
      <c r="AY90" s="432" t="str">
        <f>IF(VLOOKUP(AA84,suvaha!$D$8:$H$85,3,FALSE)=0,"",IF(LEN(VLOOKUP(AA84,suvaha!$D$8:$H$158,3,FALSE))&lt;1,"",LEFT(RIGHT(VLOOKUP(AA84,suvaha!$D$8:$H$158,3,FALSE),1),1)))</f>
        <v/>
      </c>
      <c r="AZ90" s="827"/>
      <c r="BA90" s="448"/>
      <c r="BB90" s="442"/>
      <c r="BC90" s="442"/>
      <c r="BD90" s="442"/>
      <c r="BE90" s="442"/>
      <c r="BF90" s="442"/>
      <c r="BG90" s="442"/>
      <c r="BH90" s="442"/>
      <c r="BI90" s="442"/>
      <c r="BJ90" s="441"/>
      <c r="BK90" s="442"/>
      <c r="BL90" s="432" t="str">
        <f>IF(LEN(VLOOKUP(AA84,suvaha!$D$8:$H$158,5,FALSE))&lt;11,"",LEFT(RIGHT(VLOOKUP(AA84,suvaha!$D$8:$H$158,5,FALSE),11),1))</f>
        <v/>
      </c>
      <c r="BM90" s="255"/>
      <c r="BN90" s="432" t="str">
        <f>IF(LEN(VLOOKUP(AA84,suvaha!$D$8:$H$158,5,FALSE))&lt;10,"",LEFT(RIGHT(VLOOKUP(AA84,suvaha!$D$8:$H$158,5,FALSE),10),1))</f>
        <v/>
      </c>
      <c r="BO90" s="434"/>
      <c r="BP90" s="432" t="str">
        <f>IF(LEN(VLOOKUP(AA84,suvaha!$D$8:$H$158,5,FALSE))&lt;9,"",LEFT(RIGHT(VLOOKUP(AA84,suvaha!$D$8:$H$158,5,FALSE),9),1))</f>
        <v/>
      </c>
      <c r="BQ90" s="255"/>
      <c r="BR90" s="432" t="str">
        <f>IF(LEN(VLOOKUP(AA84,suvaha!$D$8:$H$158,5,FALSE))&lt;8,"",LEFT(RIGHT(VLOOKUP(AA84,suvaha!$D$8:$H$158,5,FALSE),8),1))</f>
        <v/>
      </c>
      <c r="BS90" s="434"/>
      <c r="BT90" s="432" t="str">
        <f>IF(LEN(VLOOKUP(AA84,suvaha!$D$8:$H$158,5,FALSE))&lt;7,"",LEFT(RIGHT(VLOOKUP(AA84,suvaha!$D$8:$H$158,5,FALSE),7),1))</f>
        <v/>
      </c>
      <c r="BU90" s="818"/>
      <c r="BV90" s="432" t="str">
        <f>IF(LEN(VLOOKUP(AA84,suvaha!$D$8:$H$158,5,FALSE))&lt;6,"",LEFT(RIGHT(VLOOKUP(AA84,suvaha!$D$8:$H$158,5,FALSE),6),1))</f>
        <v/>
      </c>
      <c r="BW90" s="434"/>
      <c r="BX90" s="432" t="str">
        <f>IF(LEN(VLOOKUP(AA84,suvaha!$D$8:$H$158,5,FALSE))&lt;5,"",LEFT(RIGHT(VLOOKUP(AA84,suvaha!$D$8:$H$158,5,FALSE),5),1))</f>
        <v/>
      </c>
      <c r="BY90" s="434"/>
      <c r="BZ90" s="432" t="str">
        <f>IF(LEN(VLOOKUP(AA84,suvaha!$D$8:$H$158,5,FALSE))&lt;4,"",LEFT(RIGHT(VLOOKUP(AA84,suvaha!$D$8:$H$158,5,FALSE),4),1))</f>
        <v/>
      </c>
      <c r="CA90" s="818"/>
      <c r="CB90" s="432" t="str">
        <f>IF(LEN(VLOOKUP(AA84,suvaha!$D$8:$H$158,5,FALSE))&lt;3,"",LEFT(RIGHT(VLOOKUP(AA84,suvaha!$D$8:$H$158,5,FALSE),3),1))</f>
        <v/>
      </c>
      <c r="CC90" s="434"/>
      <c r="CD90" s="432" t="str">
        <f>IF(LEN(VLOOKUP(AA84,suvaha!$D$8:$H$158,5,FALSE))&lt;2,"",LEFT(RIGHT(VLOOKUP(AA84,suvaha!$D$8:$H$158,5,FALSE),2),1))</f>
        <v/>
      </c>
      <c r="CE90" s="434"/>
      <c r="CF90" s="432" t="str">
        <f>IF(VLOOKUP(AA84,suvaha!$D$8:$H$85,5,FALSE)=0,"",IF(LEN(VLOOKUP(AA84,suvaha!$D$8:$H$158,5,FALSE))&lt;1,"",LEFT(RIGHT(VLOOKUP(AA84,suvaha!$D$8:$H$158,5,FALSE),1),1)))</f>
        <v/>
      </c>
      <c r="CG90" s="287"/>
    </row>
    <row r="91" spans="1:85" ht="3" customHeight="1">
      <c r="A91" s="220"/>
      <c r="B91" s="879"/>
      <c r="C91" s="879"/>
      <c r="D91" s="879"/>
      <c r="E91" s="877"/>
      <c r="F91" s="877"/>
      <c r="G91" s="862"/>
      <c r="H91" s="864"/>
      <c r="I91" s="864"/>
      <c r="J91" s="864"/>
      <c r="K91" s="864"/>
      <c r="L91" s="864"/>
      <c r="M91" s="864"/>
      <c r="N91" s="864"/>
      <c r="O91" s="864"/>
      <c r="P91" s="864"/>
      <c r="Q91" s="864"/>
      <c r="R91" s="864"/>
      <c r="S91" s="864"/>
      <c r="T91" s="864"/>
      <c r="U91" s="864"/>
      <c r="V91" s="864"/>
      <c r="W91" s="864"/>
      <c r="X91" s="864"/>
      <c r="Y91" s="864"/>
      <c r="Z91" s="864"/>
      <c r="AA91" s="866"/>
      <c r="AB91" s="866"/>
      <c r="AC91" s="866"/>
      <c r="AD91" s="845"/>
      <c r="AE91" s="845"/>
      <c r="AF91" s="845"/>
      <c r="AG91" s="845"/>
      <c r="AH91" s="845"/>
      <c r="AI91" s="845"/>
      <c r="AJ91" s="845"/>
      <c r="AK91" s="845"/>
      <c r="AL91" s="845"/>
      <c r="AM91" s="845"/>
      <c r="AN91" s="845"/>
      <c r="AO91" s="845"/>
      <c r="AP91" s="845"/>
      <c r="AQ91" s="845"/>
      <c r="AR91" s="845"/>
      <c r="AS91" s="845"/>
      <c r="AT91" s="845"/>
      <c r="AU91" s="845"/>
      <c r="AV91" s="845"/>
      <c r="AW91" s="845"/>
      <c r="AX91" s="845"/>
      <c r="AY91" s="845"/>
      <c r="AZ91" s="845"/>
      <c r="BA91" s="449"/>
      <c r="BB91" s="310"/>
      <c r="BC91" s="310"/>
      <c r="BD91" s="310"/>
      <c r="BE91" s="310"/>
      <c r="BF91" s="310"/>
      <c r="BG91" s="310"/>
      <c r="BH91" s="310"/>
      <c r="BI91" s="310"/>
      <c r="BJ91" s="443"/>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286"/>
    </row>
    <row r="92" spans="1:85" s="250" customFormat="1" ht="3" customHeight="1">
      <c r="A92" s="220"/>
      <c r="B92" s="879"/>
      <c r="C92" s="879"/>
      <c r="D92" s="879"/>
      <c r="E92" s="877" t="s">
        <v>1544</v>
      </c>
      <c r="F92" s="877"/>
      <c r="G92" s="862"/>
      <c r="H92" s="864" t="str">
        <f>Index!C76</f>
        <v>Pôžičky prepojeným účtovným jednotkám (066A) - 096A</v>
      </c>
      <c r="I92" s="864"/>
      <c r="J92" s="864"/>
      <c r="K92" s="864"/>
      <c r="L92" s="864"/>
      <c r="M92" s="864"/>
      <c r="N92" s="864"/>
      <c r="O92" s="864"/>
      <c r="P92" s="864"/>
      <c r="Q92" s="864"/>
      <c r="R92" s="864"/>
      <c r="S92" s="864"/>
      <c r="T92" s="864"/>
      <c r="U92" s="864"/>
      <c r="V92" s="864"/>
      <c r="W92" s="864"/>
      <c r="X92" s="864"/>
      <c r="Y92" s="864"/>
      <c r="Z92" s="864"/>
      <c r="AA92" s="866" t="s">
        <v>1568</v>
      </c>
      <c r="AB92" s="866"/>
      <c r="AC92" s="866"/>
      <c r="AD92" s="825"/>
      <c r="AE92" s="825"/>
      <c r="AF92" s="825"/>
      <c r="AG92" s="825"/>
      <c r="AH92" s="825"/>
      <c r="AI92" s="825"/>
      <c r="AJ92" s="825"/>
      <c r="AK92" s="825"/>
      <c r="AL92" s="825"/>
      <c r="AM92" s="825"/>
      <c r="AN92" s="825"/>
      <c r="AO92" s="825"/>
      <c r="AP92" s="825"/>
      <c r="AQ92" s="825"/>
      <c r="AR92" s="825"/>
      <c r="AS92" s="825"/>
      <c r="AT92" s="825"/>
      <c r="AU92" s="825"/>
      <c r="AV92" s="825"/>
      <c r="AW92" s="825"/>
      <c r="AX92" s="825"/>
      <c r="AY92" s="825"/>
      <c r="AZ92" s="825"/>
      <c r="BA92" s="867"/>
      <c r="BB92" s="867"/>
      <c r="BC92" s="867"/>
      <c r="BD92" s="867"/>
      <c r="BE92" s="867"/>
      <c r="BF92" s="867"/>
      <c r="BG92" s="867"/>
      <c r="BH92" s="867"/>
      <c r="BI92" s="867"/>
      <c r="BJ92" s="867"/>
      <c r="BK92" s="867"/>
      <c r="BL92" s="867"/>
      <c r="BM92" s="867"/>
      <c r="BN92" s="867"/>
      <c r="BO92" s="867"/>
      <c r="BP92" s="867"/>
      <c r="BQ92" s="867"/>
      <c r="BR92" s="304"/>
      <c r="BS92" s="304"/>
      <c r="BT92" s="304"/>
      <c r="BU92" s="304"/>
      <c r="BV92" s="304"/>
      <c r="BW92" s="446"/>
      <c r="BX92" s="304"/>
      <c r="BY92" s="304"/>
      <c r="BZ92" s="304"/>
      <c r="CA92" s="304"/>
      <c r="CB92" s="304"/>
      <c r="CC92" s="304"/>
      <c r="CD92" s="304"/>
      <c r="CE92" s="304"/>
      <c r="CF92" s="304"/>
      <c r="CG92" s="284"/>
    </row>
    <row r="93" spans="1:85" s="250" customFormat="1" ht="3" customHeight="1">
      <c r="A93" s="220"/>
      <c r="B93" s="879"/>
      <c r="C93" s="879"/>
      <c r="D93" s="879"/>
      <c r="E93" s="877"/>
      <c r="F93" s="877"/>
      <c r="G93" s="862"/>
      <c r="H93" s="864"/>
      <c r="I93" s="864"/>
      <c r="J93" s="864"/>
      <c r="K93" s="864"/>
      <c r="L93" s="864"/>
      <c r="M93" s="864"/>
      <c r="N93" s="864"/>
      <c r="O93" s="864"/>
      <c r="P93" s="864"/>
      <c r="Q93" s="864"/>
      <c r="R93" s="864"/>
      <c r="S93" s="864"/>
      <c r="T93" s="864"/>
      <c r="U93" s="864"/>
      <c r="V93" s="864"/>
      <c r="W93" s="864"/>
      <c r="X93" s="864"/>
      <c r="Y93" s="864"/>
      <c r="Z93" s="864"/>
      <c r="AA93" s="866"/>
      <c r="AB93" s="866"/>
      <c r="AC93" s="866"/>
      <c r="AD93" s="826"/>
      <c r="AE93" s="820"/>
      <c r="AF93" s="820"/>
      <c r="AG93" s="820"/>
      <c r="AH93" s="435"/>
      <c r="AI93" s="821"/>
      <c r="AJ93" s="821"/>
      <c r="AK93" s="821"/>
      <c r="AL93" s="821"/>
      <c r="AM93" s="821"/>
      <c r="AN93" s="818"/>
      <c r="AO93" s="822"/>
      <c r="AP93" s="822"/>
      <c r="AQ93" s="822"/>
      <c r="AR93" s="822"/>
      <c r="AS93" s="822"/>
      <c r="AT93" s="818"/>
      <c r="AU93" s="822"/>
      <c r="AV93" s="822"/>
      <c r="AW93" s="822"/>
      <c r="AX93" s="822"/>
      <c r="AY93" s="822"/>
      <c r="AZ93" s="827"/>
      <c r="BA93" s="826"/>
      <c r="BB93" s="820"/>
      <c r="BC93" s="820"/>
      <c r="BD93" s="820"/>
      <c r="BE93" s="435"/>
      <c r="BF93" s="821"/>
      <c r="BG93" s="821"/>
      <c r="BH93" s="821"/>
      <c r="BI93" s="821"/>
      <c r="BJ93" s="821"/>
      <c r="BK93" s="818"/>
      <c r="BL93" s="822"/>
      <c r="BM93" s="822"/>
      <c r="BN93" s="822"/>
      <c r="BO93" s="822"/>
      <c r="BP93" s="822"/>
      <c r="BQ93" s="818"/>
      <c r="BR93" s="822"/>
      <c r="BS93" s="822"/>
      <c r="BT93" s="822"/>
      <c r="BU93" s="822"/>
      <c r="BV93" s="822"/>
      <c r="BW93" s="441"/>
      <c r="BX93" s="442"/>
      <c r="BY93" s="442"/>
      <c r="BZ93" s="442"/>
      <c r="CA93" s="442"/>
      <c r="CB93" s="442"/>
      <c r="CC93" s="442"/>
      <c r="CD93" s="442"/>
      <c r="CE93" s="442"/>
      <c r="CF93" s="442"/>
      <c r="CG93" s="285"/>
    </row>
    <row r="94" spans="1:85" ht="15" customHeight="1">
      <c r="A94" s="220"/>
      <c r="B94" s="879"/>
      <c r="C94" s="879"/>
      <c r="D94" s="879"/>
      <c r="E94" s="877"/>
      <c r="F94" s="877"/>
      <c r="G94" s="862"/>
      <c r="H94" s="864"/>
      <c r="I94" s="864"/>
      <c r="J94" s="864"/>
      <c r="K94" s="864"/>
      <c r="L94" s="864"/>
      <c r="M94" s="864"/>
      <c r="N94" s="864"/>
      <c r="O94" s="864"/>
      <c r="P94" s="864"/>
      <c r="Q94" s="864"/>
      <c r="R94" s="864"/>
      <c r="S94" s="864"/>
      <c r="T94" s="864"/>
      <c r="U94" s="864"/>
      <c r="V94" s="864"/>
      <c r="W94" s="864"/>
      <c r="X94" s="864"/>
      <c r="Y94" s="864"/>
      <c r="Z94" s="864"/>
      <c r="AA94" s="866"/>
      <c r="AB94" s="866"/>
      <c r="AC94" s="866"/>
      <c r="AD94" s="826"/>
      <c r="AE94" s="432" t="str">
        <f>IF(LEN(VLOOKUP(AA92,suvaha!$D$8:$H$158,2,FALSE))&lt;11,"",LEFT(RIGHT(VLOOKUP(AA92,suvaha!$D$8:$H$158,2,FALSE),11),1))</f>
        <v/>
      </c>
      <c r="AF94" s="255"/>
      <c r="AG94" s="432" t="str">
        <f>IF(LEN(VLOOKUP(AA92,suvaha!$D$8:$H$158,2,FALSE))&lt;10,"",LEFT(RIGHT(VLOOKUP(AA92,suvaha!$D$8:$H$158,2,FALSE),10),1))</f>
        <v/>
      </c>
      <c r="AH94" s="434"/>
      <c r="AI94" s="432" t="str">
        <f>IF(LEN(VLOOKUP(AA92,suvaha!$D$8:$H$158,2,FALSE))&lt;9,"",LEFT(RIGHT(VLOOKUP(AA92,suvaha!$D$8:$H$158,2,FALSE),9),1))</f>
        <v/>
      </c>
      <c r="AJ94" s="255"/>
      <c r="AK94" s="432" t="str">
        <f>IF(LEN(VLOOKUP(AA92,suvaha!$D$8:$H$158,2,FALSE))&lt;8,"",LEFT(RIGHT(VLOOKUP(AA92,suvaha!$D$8:$H$158,2,FALSE),8),1))</f>
        <v/>
      </c>
      <c r="AL94" s="434"/>
      <c r="AM94" s="432" t="str">
        <f>IF(LEN(VLOOKUP(AA92,suvaha!$D$8:$H$158,2,FALSE))&lt;7,"",LEFT(RIGHT(VLOOKUP(AA92,suvaha!$D$8:$H$158,2,FALSE),7),1))</f>
        <v/>
      </c>
      <c r="AN94" s="818"/>
      <c r="AO94" s="432" t="str">
        <f>IF(LEN(VLOOKUP(AA92,suvaha!$D$8:$H$158,2,FALSE))&lt;6,"",LEFT(RIGHT(VLOOKUP(AA92,suvaha!$D$8:$H$158,2,FALSE),6),1))</f>
        <v/>
      </c>
      <c r="AP94" s="434"/>
      <c r="AQ94" s="432" t="str">
        <f>IF(LEN(VLOOKUP(AA92,suvaha!$D$8:$H$158,2,FALSE))&lt;5,"",LEFT(RIGHT(VLOOKUP(AA92,suvaha!$D$8:$H$158,2,FALSE),5),1))</f>
        <v/>
      </c>
      <c r="AR94" s="434"/>
      <c r="AS94" s="432" t="str">
        <f>IF(LEN(VLOOKUP(AA92,suvaha!$D$8:$H$158,2,FALSE))&lt;4,"",LEFT(RIGHT(VLOOKUP(AA92,suvaha!$D$8:$H$158,2,FALSE),4),1))</f>
        <v/>
      </c>
      <c r="AT94" s="818"/>
      <c r="AU94" s="432" t="str">
        <f>IF(LEN(VLOOKUP(AA92,suvaha!$D$8:$H$158,2,FALSE))&lt;3,"",LEFT(RIGHT(VLOOKUP(AA92,suvaha!$D$8:$H$158,2,FALSE),3),1))</f>
        <v/>
      </c>
      <c r="AV94" s="434"/>
      <c r="AW94" s="432" t="str">
        <f>IF(LEN(VLOOKUP(AA92,suvaha!$D$8:$H$158,2,FALSE))&lt;2,"",LEFT(RIGHT(VLOOKUP(AA92,suvaha!$D$8:$H$158,2,FALSE),2),1))</f>
        <v/>
      </c>
      <c r="AX94" s="434"/>
      <c r="AY94" s="432" t="str">
        <f>IF(VLOOKUP(AA92,suvaha!$D$8:$H$85,2,FALSE)=0,"",IF(LEN(VLOOKUP(AA92,suvaha!$D$8:$H$158,2,FALSE))&lt;1,"",LEFT(RIGHT(VLOOKUP(AA92,suvaha!$D$8:$H$158,2,FALSE),1),1)))</f>
        <v/>
      </c>
      <c r="AZ94" s="827"/>
      <c r="BA94" s="826"/>
      <c r="BB94" s="432" t="str">
        <f>IF(LEN(VLOOKUP(AA92,suvaha!$D$8:$H$158,4,FALSE))&lt;11,"",LEFT(RIGHT(VLOOKUP(AA92,suvaha!$D$8:$H$158,4,FALSE),11),1))</f>
        <v/>
      </c>
      <c r="BC94" s="255"/>
      <c r="BD94" s="432" t="str">
        <f>IF(LEN(VLOOKUP(AA92,suvaha!$D$8:$H$158,4,FALSE))&lt;10,"",LEFT(RIGHT(VLOOKUP(AA92,suvaha!$D$8:$H$158,4,FALSE),10),1))</f>
        <v/>
      </c>
      <c r="BE94" s="434"/>
      <c r="BF94" s="432" t="str">
        <f>IF(LEN(VLOOKUP(AA92,suvaha!$D$8:$H$158,4,FALSE))&lt;9,"",LEFT(RIGHT(VLOOKUP(AA92,suvaha!$D$8:$H$158,4,FALSE),9),1))</f>
        <v/>
      </c>
      <c r="BG94" s="255"/>
      <c r="BH94" s="432" t="str">
        <f>IF(LEN(VLOOKUP(AA92,suvaha!$D$8:$H$158,4,FALSE))&lt;8,"",LEFT(RIGHT(VLOOKUP(AA92,suvaha!$D$8:$H$158,4,FALSE),8),1))</f>
        <v/>
      </c>
      <c r="BI94" s="434"/>
      <c r="BJ94" s="432" t="str">
        <f>IF(LEN(VLOOKUP(AA92,suvaha!$D$8:$H$158,4,FALSE))&lt;7,"",LEFT(RIGHT(VLOOKUP(AA92,suvaha!$D$8:$H$158,4,FALSE),7),1))</f>
        <v/>
      </c>
      <c r="BK94" s="818"/>
      <c r="BL94" s="432" t="str">
        <f>IF(LEN(VLOOKUP(AA92,suvaha!$D$8:$H$158,4,FALSE))&lt;6,"",LEFT(RIGHT(VLOOKUP(AA92,suvaha!$D$8:$H$158,4,FALSE),6),1))</f>
        <v/>
      </c>
      <c r="BM94" s="434"/>
      <c r="BN94" s="432" t="str">
        <f>IF(LEN(VLOOKUP(AA92,suvaha!$D$8:$H$158,4,FALSE))&lt;5,"",LEFT(RIGHT(VLOOKUP(AA92,suvaha!$D$8:$H$158,4,FALSE),5),1))</f>
        <v/>
      </c>
      <c r="BO94" s="434"/>
      <c r="BP94" s="432" t="str">
        <f>IF(LEN(VLOOKUP(AA92,suvaha!$D$8:$H$158,4,FALSE))&lt;4,"",LEFT(RIGHT(VLOOKUP(AA92,suvaha!$D$8:$H$158,4,FALSE),4),1))</f>
        <v/>
      </c>
      <c r="BQ94" s="818"/>
      <c r="BR94" s="432" t="str">
        <f>IF(LEN(VLOOKUP(AA92,suvaha!$D$8:$H$158,4,FALSE))&lt;3,"",LEFT(RIGHT(VLOOKUP(AA92,suvaha!$D$8:$H$158,4,FALSE),3),1))</f>
        <v/>
      </c>
      <c r="BS94" s="434"/>
      <c r="BT94" s="432" t="str">
        <f>IF(LEN(VLOOKUP(AA92,suvaha!$D$8:$H$158,4,FALSE))&lt;2,"",LEFT(RIGHT(VLOOKUP(AA92,suvaha!$D$8:$H$158,4,FALSE),2),1))</f>
        <v/>
      </c>
      <c r="BU94" s="434"/>
      <c r="BV94" s="432" t="str">
        <f>IF(VLOOKUP(AA92,suvaha!$D$8:$H$85,4,FALSE)=0,"",IF(LEN(VLOOKUP(AA92,suvaha!$D$8:$H$158,4,FALSE))&lt;1,"",LEFT(RIGHT(VLOOKUP(AA92,suvaha!$D$8:$H$158,4,FALSE),1),1)))</f>
        <v/>
      </c>
      <c r="BW94" s="441"/>
      <c r="BX94" s="442"/>
      <c r="BY94" s="442"/>
      <c r="BZ94" s="442"/>
      <c r="CA94" s="442"/>
      <c r="CB94" s="442"/>
      <c r="CC94" s="442"/>
      <c r="CD94" s="442"/>
      <c r="CE94" s="442"/>
      <c r="CF94" s="442"/>
      <c r="CG94" s="285"/>
    </row>
    <row r="95" spans="1:85" ht="3" customHeight="1">
      <c r="A95" s="220"/>
      <c r="B95" s="879"/>
      <c r="C95" s="879"/>
      <c r="D95" s="879"/>
      <c r="E95" s="877"/>
      <c r="F95" s="877"/>
      <c r="G95" s="862"/>
      <c r="H95" s="864"/>
      <c r="I95" s="864"/>
      <c r="J95" s="864"/>
      <c r="K95" s="864"/>
      <c r="L95" s="864"/>
      <c r="M95" s="864"/>
      <c r="N95" s="864"/>
      <c r="O95" s="864"/>
      <c r="P95" s="864"/>
      <c r="Q95" s="864"/>
      <c r="R95" s="864"/>
      <c r="S95" s="864"/>
      <c r="T95" s="864"/>
      <c r="U95" s="864"/>
      <c r="V95" s="864"/>
      <c r="W95" s="864"/>
      <c r="X95" s="864"/>
      <c r="Y95" s="864"/>
      <c r="Z95" s="864"/>
      <c r="AA95" s="866"/>
      <c r="AB95" s="866"/>
      <c r="AC95" s="866"/>
      <c r="AD95" s="845"/>
      <c r="AE95" s="845"/>
      <c r="AF95" s="845"/>
      <c r="AG95" s="845"/>
      <c r="AH95" s="845"/>
      <c r="AI95" s="845"/>
      <c r="AJ95" s="845"/>
      <c r="AK95" s="845"/>
      <c r="AL95" s="845"/>
      <c r="AM95" s="845"/>
      <c r="AN95" s="845"/>
      <c r="AO95" s="845"/>
      <c r="AP95" s="845"/>
      <c r="AQ95" s="845"/>
      <c r="AR95" s="845"/>
      <c r="AS95" s="845"/>
      <c r="AT95" s="845"/>
      <c r="AU95" s="845"/>
      <c r="AV95" s="845"/>
      <c r="AW95" s="845"/>
      <c r="AX95" s="845"/>
      <c r="AY95" s="845"/>
      <c r="AZ95" s="845"/>
      <c r="BA95" s="846"/>
      <c r="BB95" s="846"/>
      <c r="BC95" s="846"/>
      <c r="BD95" s="846"/>
      <c r="BE95" s="846"/>
      <c r="BF95" s="846"/>
      <c r="BG95" s="846"/>
      <c r="BH95" s="846"/>
      <c r="BI95" s="846"/>
      <c r="BJ95" s="846"/>
      <c r="BK95" s="846"/>
      <c r="BL95" s="846"/>
      <c r="BM95" s="846"/>
      <c r="BN95" s="846"/>
      <c r="BO95" s="846"/>
      <c r="BP95" s="846"/>
      <c r="BQ95" s="846"/>
      <c r="BR95" s="310"/>
      <c r="BS95" s="310"/>
      <c r="BT95" s="310"/>
      <c r="BU95" s="310"/>
      <c r="BV95" s="310"/>
      <c r="BW95" s="443"/>
      <c r="BX95" s="310"/>
      <c r="BY95" s="310"/>
      <c r="BZ95" s="310"/>
      <c r="CA95" s="310"/>
      <c r="CB95" s="310"/>
      <c r="CC95" s="310"/>
      <c r="CD95" s="310"/>
      <c r="CE95" s="310"/>
      <c r="CF95" s="310"/>
      <c r="CG95" s="286"/>
    </row>
    <row r="96" spans="1:85" ht="3" customHeight="1">
      <c r="A96" s="220"/>
      <c r="B96" s="879"/>
      <c r="C96" s="879"/>
      <c r="D96" s="879"/>
      <c r="E96" s="877"/>
      <c r="F96" s="877"/>
      <c r="G96" s="862"/>
      <c r="H96" s="864"/>
      <c r="I96" s="864"/>
      <c r="J96" s="864"/>
      <c r="K96" s="864"/>
      <c r="L96" s="864"/>
      <c r="M96" s="864"/>
      <c r="N96" s="864"/>
      <c r="O96" s="864"/>
      <c r="P96" s="864"/>
      <c r="Q96" s="864"/>
      <c r="R96" s="864"/>
      <c r="S96" s="864"/>
      <c r="T96" s="864"/>
      <c r="U96" s="864"/>
      <c r="V96" s="864"/>
      <c r="W96" s="864"/>
      <c r="X96" s="864"/>
      <c r="Y96" s="864"/>
      <c r="Z96" s="864"/>
      <c r="AA96" s="866"/>
      <c r="AB96" s="866"/>
      <c r="AC96" s="866"/>
      <c r="AD96" s="825"/>
      <c r="AE96" s="825"/>
      <c r="AF96" s="825"/>
      <c r="AG96" s="825"/>
      <c r="AH96" s="825"/>
      <c r="AI96" s="825"/>
      <c r="AJ96" s="825"/>
      <c r="AK96" s="825"/>
      <c r="AL96" s="825"/>
      <c r="AM96" s="825"/>
      <c r="AN96" s="825"/>
      <c r="AO96" s="825"/>
      <c r="AP96" s="825"/>
      <c r="AQ96" s="825"/>
      <c r="AR96" s="825"/>
      <c r="AS96" s="825"/>
      <c r="AT96" s="825"/>
      <c r="AU96" s="825"/>
      <c r="AV96" s="825"/>
      <c r="AW96" s="825"/>
      <c r="AX96" s="825"/>
      <c r="AY96" s="825"/>
      <c r="AZ96" s="825"/>
      <c r="BA96" s="447"/>
      <c r="BB96" s="304"/>
      <c r="BC96" s="304"/>
      <c r="BD96" s="304"/>
      <c r="BE96" s="304"/>
      <c r="BF96" s="304"/>
      <c r="BG96" s="304"/>
      <c r="BH96" s="304"/>
      <c r="BI96" s="304"/>
      <c r="BJ96" s="446"/>
      <c r="BK96" s="304"/>
      <c r="BL96" s="304"/>
      <c r="BM96" s="304"/>
      <c r="BN96" s="304"/>
      <c r="BO96" s="304"/>
      <c r="BP96" s="304"/>
      <c r="BQ96" s="304"/>
      <c r="BR96" s="304"/>
      <c r="BS96" s="304"/>
      <c r="BT96" s="304"/>
      <c r="BU96" s="304"/>
      <c r="BV96" s="304"/>
      <c r="BW96" s="304"/>
      <c r="BX96" s="304"/>
      <c r="BY96" s="304"/>
      <c r="BZ96" s="304"/>
      <c r="CA96" s="304"/>
      <c r="CB96" s="304"/>
      <c r="CC96" s="304"/>
      <c r="CD96" s="304"/>
      <c r="CE96" s="304"/>
      <c r="CF96" s="304"/>
      <c r="CG96" s="284"/>
    </row>
    <row r="97" spans="1:85" ht="3" customHeight="1">
      <c r="A97" s="220"/>
      <c r="B97" s="879"/>
      <c r="C97" s="879"/>
      <c r="D97" s="879"/>
      <c r="E97" s="877"/>
      <c r="F97" s="877"/>
      <c r="G97" s="862"/>
      <c r="H97" s="864"/>
      <c r="I97" s="864"/>
      <c r="J97" s="864"/>
      <c r="K97" s="864"/>
      <c r="L97" s="864"/>
      <c r="M97" s="864"/>
      <c r="N97" s="864"/>
      <c r="O97" s="864"/>
      <c r="P97" s="864"/>
      <c r="Q97" s="864"/>
      <c r="R97" s="864"/>
      <c r="S97" s="864"/>
      <c r="T97" s="864"/>
      <c r="U97" s="864"/>
      <c r="V97" s="864"/>
      <c r="W97" s="864"/>
      <c r="X97" s="864"/>
      <c r="Y97" s="864"/>
      <c r="Z97" s="864"/>
      <c r="AA97" s="866"/>
      <c r="AB97" s="866"/>
      <c r="AC97" s="866"/>
      <c r="AD97" s="826"/>
      <c r="AE97" s="820"/>
      <c r="AF97" s="820"/>
      <c r="AG97" s="820"/>
      <c r="AH97" s="435"/>
      <c r="AI97" s="821"/>
      <c r="AJ97" s="821"/>
      <c r="AK97" s="821"/>
      <c r="AL97" s="821"/>
      <c r="AM97" s="821"/>
      <c r="AN97" s="818"/>
      <c r="AO97" s="822"/>
      <c r="AP97" s="822"/>
      <c r="AQ97" s="822"/>
      <c r="AR97" s="822"/>
      <c r="AS97" s="822"/>
      <c r="AT97" s="818"/>
      <c r="AU97" s="822"/>
      <c r="AV97" s="822"/>
      <c r="AW97" s="822"/>
      <c r="AX97" s="822"/>
      <c r="AY97" s="822"/>
      <c r="AZ97" s="827"/>
      <c r="BA97" s="448"/>
      <c r="BB97" s="442"/>
      <c r="BC97" s="442"/>
      <c r="BD97" s="442"/>
      <c r="BE97" s="442"/>
      <c r="BF97" s="442"/>
      <c r="BG97" s="442"/>
      <c r="BH97" s="442"/>
      <c r="BI97" s="442"/>
      <c r="BJ97" s="441"/>
      <c r="BK97" s="442"/>
      <c r="BL97" s="820"/>
      <c r="BM97" s="820"/>
      <c r="BN97" s="820"/>
      <c r="BO97" s="435"/>
      <c r="BP97" s="821"/>
      <c r="BQ97" s="821"/>
      <c r="BR97" s="821"/>
      <c r="BS97" s="821"/>
      <c r="BT97" s="821"/>
      <c r="BU97" s="818"/>
      <c r="BV97" s="822"/>
      <c r="BW97" s="822"/>
      <c r="BX97" s="822"/>
      <c r="BY97" s="822"/>
      <c r="BZ97" s="822"/>
      <c r="CA97" s="818"/>
      <c r="CB97" s="822"/>
      <c r="CC97" s="822"/>
      <c r="CD97" s="822"/>
      <c r="CE97" s="822"/>
      <c r="CF97" s="822"/>
      <c r="CG97" s="287"/>
    </row>
    <row r="98" spans="1:85" ht="15" customHeight="1">
      <c r="A98" s="220"/>
      <c r="B98" s="879"/>
      <c r="C98" s="879"/>
      <c r="D98" s="879"/>
      <c r="E98" s="877"/>
      <c r="F98" s="877"/>
      <c r="G98" s="862"/>
      <c r="H98" s="864"/>
      <c r="I98" s="864"/>
      <c r="J98" s="864"/>
      <c r="K98" s="864"/>
      <c r="L98" s="864"/>
      <c r="M98" s="864"/>
      <c r="N98" s="864"/>
      <c r="O98" s="864"/>
      <c r="P98" s="864"/>
      <c r="Q98" s="864"/>
      <c r="R98" s="864"/>
      <c r="S98" s="864"/>
      <c r="T98" s="864"/>
      <c r="U98" s="864"/>
      <c r="V98" s="864"/>
      <c r="W98" s="864"/>
      <c r="X98" s="864"/>
      <c r="Y98" s="864"/>
      <c r="Z98" s="864"/>
      <c r="AA98" s="866"/>
      <c r="AB98" s="866"/>
      <c r="AC98" s="866"/>
      <c r="AD98" s="826"/>
      <c r="AE98" s="432" t="str">
        <f>IF(LEN(VLOOKUP(AA92,suvaha!$D$8:$H$158,3,FALSE))&lt;11,"",LEFT(RIGHT(VLOOKUP(AA92,suvaha!$D$8:$H$158,3,FALSE),11),1))</f>
        <v/>
      </c>
      <c r="AF98" s="255"/>
      <c r="AG98" s="432" t="str">
        <f>IF(LEN(VLOOKUP(AA92,suvaha!$D$8:$H$158,3,FALSE))&lt;10,"",LEFT(RIGHT(VLOOKUP(AA92,suvaha!$D$8:$H$158,3,FALSE),10),1))</f>
        <v/>
      </c>
      <c r="AH98" s="434"/>
      <c r="AI98" s="432" t="str">
        <f>IF(LEN(VLOOKUP(AA92,suvaha!$D$8:$H$158,3,FALSE))&lt;9,"",LEFT(RIGHT(VLOOKUP(AA92,suvaha!$D$8:$H$158,3,FALSE),9),1))</f>
        <v/>
      </c>
      <c r="AJ98" s="255"/>
      <c r="AK98" s="432" t="str">
        <f>IF(LEN(VLOOKUP(AA92,suvaha!$D$8:$H$158,3,FALSE))&lt;8,"",LEFT(RIGHT(VLOOKUP(AA92,suvaha!$D$8:$H$158,3,FALSE),8),1))</f>
        <v/>
      </c>
      <c r="AL98" s="434"/>
      <c r="AM98" s="432" t="str">
        <f>IF(LEN(VLOOKUP(AA92,suvaha!$D$8:$H$158,3,FALSE))&lt;7,"",LEFT(RIGHT(VLOOKUP(AA92,suvaha!$D$8:$H$158,3,FALSE),7),1))</f>
        <v/>
      </c>
      <c r="AN98" s="818"/>
      <c r="AO98" s="432" t="str">
        <f>IF(LEN(VLOOKUP(AA92,suvaha!$D$8:$H$158,3,FALSE))&lt;6,"",LEFT(RIGHT(VLOOKUP(AA92,suvaha!$D$8:$H$158,3,FALSE),6),1))</f>
        <v/>
      </c>
      <c r="AP98" s="434"/>
      <c r="AQ98" s="432" t="str">
        <f>IF(LEN(VLOOKUP(AA92,suvaha!$D$8:$H$158,3,FALSE))&lt;5,"",LEFT(RIGHT(VLOOKUP(AA92,suvaha!$D$8:$H$158,3,FALSE),5),1))</f>
        <v/>
      </c>
      <c r="AR98" s="434"/>
      <c r="AS98" s="432" t="str">
        <f>IF(LEN(VLOOKUP(AA92,suvaha!$D$8:$H$158,3,FALSE))&lt;4,"",LEFT(RIGHT(VLOOKUP(AA92,suvaha!$D$8:$H$158,3,FALSE),4),1))</f>
        <v/>
      </c>
      <c r="AT98" s="818"/>
      <c r="AU98" s="432" t="str">
        <f>IF(LEN(VLOOKUP(AA92,suvaha!$D$8:$H$158,3,FALSE))&lt;3,"",LEFT(RIGHT(VLOOKUP(AA92,suvaha!$D$8:$H$158,3,FALSE),3),1))</f>
        <v/>
      </c>
      <c r="AV98" s="434"/>
      <c r="AW98" s="432" t="str">
        <f>IF(LEN(VLOOKUP(AA92,suvaha!$D$8:$H$158,3,FALSE))&lt;2,"",LEFT(RIGHT(VLOOKUP(AA92,suvaha!$D$8:$H$158,3,FALSE),2),1))</f>
        <v/>
      </c>
      <c r="AX98" s="434"/>
      <c r="AY98" s="432" t="str">
        <f>IF(VLOOKUP(AA92,suvaha!$D$8:$H$85,3,FALSE)=0,"",IF(LEN(VLOOKUP(AA92,suvaha!$D$8:$H$158,3,FALSE))&lt;1,"",LEFT(RIGHT(VLOOKUP(AA92,suvaha!$D$8:$H$158,3,FALSE),1),1)))</f>
        <v/>
      </c>
      <c r="AZ98" s="827"/>
      <c r="BA98" s="448"/>
      <c r="BB98" s="442"/>
      <c r="BC98" s="442"/>
      <c r="BD98" s="442"/>
      <c r="BE98" s="442"/>
      <c r="BF98" s="442"/>
      <c r="BG98" s="442"/>
      <c r="BH98" s="442"/>
      <c r="BI98" s="442"/>
      <c r="BJ98" s="441"/>
      <c r="BK98" s="442"/>
      <c r="BL98" s="432" t="str">
        <f>IF(LEN(VLOOKUP(AA92,suvaha!$D$8:$H$158,5,FALSE))&lt;11,"",LEFT(RIGHT(VLOOKUP(AA92,suvaha!$D$8:$H$158,5,FALSE),11),1))</f>
        <v/>
      </c>
      <c r="BM98" s="255"/>
      <c r="BN98" s="432" t="str">
        <f>IF(LEN(VLOOKUP(AA92,suvaha!$D$8:$H$158,5,FALSE))&lt;10,"",LEFT(RIGHT(VLOOKUP(AA92,suvaha!$D$8:$H$158,5,FALSE),10),1))</f>
        <v/>
      </c>
      <c r="BO98" s="434"/>
      <c r="BP98" s="432" t="str">
        <f>IF(LEN(VLOOKUP(AA92,suvaha!$D$8:$H$158,5,FALSE))&lt;9,"",LEFT(RIGHT(VLOOKUP(AA92,suvaha!$D$8:$H$158,5,FALSE),9),1))</f>
        <v/>
      </c>
      <c r="BQ98" s="255"/>
      <c r="BR98" s="432" t="str">
        <f>IF(LEN(VLOOKUP(AA92,suvaha!$D$8:$H$158,5,FALSE))&lt;8,"",LEFT(RIGHT(VLOOKUP(AA92,suvaha!$D$8:$H$158,5,FALSE),8),1))</f>
        <v/>
      </c>
      <c r="BS98" s="434"/>
      <c r="BT98" s="432" t="str">
        <f>IF(LEN(VLOOKUP(AA92,suvaha!$D$8:$H$158,5,FALSE))&lt;7,"",LEFT(RIGHT(VLOOKUP(AA92,suvaha!$D$8:$H$158,5,FALSE),7),1))</f>
        <v/>
      </c>
      <c r="BU98" s="818"/>
      <c r="BV98" s="432" t="str">
        <f>IF(LEN(VLOOKUP(AA92,suvaha!$D$8:$H$158,5,FALSE))&lt;6,"",LEFT(RIGHT(VLOOKUP(AA92,suvaha!$D$8:$H$158,5,FALSE),6),1))</f>
        <v/>
      </c>
      <c r="BW98" s="434"/>
      <c r="BX98" s="432" t="str">
        <f>IF(LEN(VLOOKUP(AA92,suvaha!$D$8:$H$158,5,FALSE))&lt;5,"",LEFT(RIGHT(VLOOKUP(AA92,suvaha!$D$8:$H$158,5,FALSE),5),1))</f>
        <v/>
      </c>
      <c r="BY98" s="434"/>
      <c r="BZ98" s="432" t="str">
        <f>IF(LEN(VLOOKUP(AA92,suvaha!$D$8:$H$158,5,FALSE))&lt;4,"",LEFT(RIGHT(VLOOKUP(AA92,suvaha!$D$8:$H$158,5,FALSE),4),1))</f>
        <v/>
      </c>
      <c r="CA98" s="818"/>
      <c r="CB98" s="432" t="str">
        <f>IF(LEN(VLOOKUP(AA92,suvaha!$D$8:$H$158,5,FALSE))&lt;3,"",LEFT(RIGHT(VLOOKUP(AA92,suvaha!$D$8:$H$158,5,FALSE),3),1))</f>
        <v/>
      </c>
      <c r="CC98" s="434"/>
      <c r="CD98" s="432" t="str">
        <f>IF(LEN(VLOOKUP(AA92,suvaha!$D$8:$H$158,5,FALSE))&lt;2,"",LEFT(RIGHT(VLOOKUP(AA92,suvaha!$D$8:$H$158,5,FALSE),2),1))</f>
        <v/>
      </c>
      <c r="CE98" s="434"/>
      <c r="CF98" s="432" t="str">
        <f>IF(VLOOKUP(AA92,suvaha!$D$8:$H$85,5,FALSE)=0,"",IF(LEN(VLOOKUP(AA92,suvaha!$D$8:$H$158,5,FALSE))&lt;1,"",LEFT(RIGHT(VLOOKUP(AA92,suvaha!$D$8:$H$158,5,FALSE),1),1)))</f>
        <v/>
      </c>
      <c r="CG98" s="287"/>
    </row>
    <row r="99" spans="1:85" ht="3" customHeight="1">
      <c r="A99" s="220"/>
      <c r="B99" s="879"/>
      <c r="C99" s="879"/>
      <c r="D99" s="879"/>
      <c r="E99" s="877"/>
      <c r="F99" s="877"/>
      <c r="G99" s="862"/>
      <c r="H99" s="864"/>
      <c r="I99" s="864"/>
      <c r="J99" s="864"/>
      <c r="K99" s="864"/>
      <c r="L99" s="864"/>
      <c r="M99" s="864"/>
      <c r="N99" s="864"/>
      <c r="O99" s="864"/>
      <c r="P99" s="864"/>
      <c r="Q99" s="864"/>
      <c r="R99" s="864"/>
      <c r="S99" s="864"/>
      <c r="T99" s="864"/>
      <c r="U99" s="864"/>
      <c r="V99" s="864"/>
      <c r="W99" s="864"/>
      <c r="X99" s="864"/>
      <c r="Y99" s="864"/>
      <c r="Z99" s="864"/>
      <c r="AA99" s="866"/>
      <c r="AB99" s="866"/>
      <c r="AC99" s="866"/>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449"/>
      <c r="BB99" s="310"/>
      <c r="BC99" s="310"/>
      <c r="BD99" s="310"/>
      <c r="BE99" s="310"/>
      <c r="BF99" s="310"/>
      <c r="BG99" s="310"/>
      <c r="BH99" s="310"/>
      <c r="BI99" s="310"/>
      <c r="BJ99" s="443"/>
      <c r="BK99" s="310"/>
      <c r="BL99" s="310"/>
      <c r="BM99" s="310"/>
      <c r="BN99" s="310"/>
      <c r="BO99" s="310"/>
      <c r="BP99" s="310"/>
      <c r="BQ99" s="310"/>
      <c r="BR99" s="310"/>
      <c r="BS99" s="310"/>
      <c r="BT99" s="310"/>
      <c r="BU99" s="310"/>
      <c r="BV99" s="310"/>
      <c r="BW99" s="310"/>
      <c r="BX99" s="310"/>
      <c r="BY99" s="310"/>
      <c r="BZ99" s="310"/>
      <c r="CA99" s="310"/>
      <c r="CB99" s="310"/>
      <c r="CC99" s="310"/>
      <c r="CD99" s="310"/>
      <c r="CE99" s="310"/>
      <c r="CF99" s="310"/>
      <c r="CG99" s="286"/>
    </row>
    <row r="100" spans="1:85" s="250" customFormat="1" ht="3" customHeight="1">
      <c r="A100" s="220"/>
      <c r="B100" s="879"/>
      <c r="C100" s="879"/>
      <c r="D100" s="879"/>
      <c r="E100" s="877" t="s">
        <v>1545</v>
      </c>
      <c r="F100" s="877"/>
      <c r="G100" s="862"/>
      <c r="H100" s="864" t="str">
        <f>Index!C77</f>
        <v>Pôžičky v rámci podielovej účasti okrem prepojeným účtovným jednotkám (066A) - 096A</v>
      </c>
      <c r="I100" s="864"/>
      <c r="J100" s="864"/>
      <c r="K100" s="864"/>
      <c r="L100" s="864"/>
      <c r="M100" s="864"/>
      <c r="N100" s="864"/>
      <c r="O100" s="864"/>
      <c r="P100" s="864"/>
      <c r="Q100" s="864"/>
      <c r="R100" s="864"/>
      <c r="S100" s="864"/>
      <c r="T100" s="864"/>
      <c r="U100" s="864"/>
      <c r="V100" s="864"/>
      <c r="W100" s="864"/>
      <c r="X100" s="864"/>
      <c r="Y100" s="864"/>
      <c r="Z100" s="864"/>
      <c r="AA100" s="866" t="s">
        <v>1569</v>
      </c>
      <c r="AB100" s="866"/>
      <c r="AC100" s="866"/>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67"/>
      <c r="BB100" s="867"/>
      <c r="BC100" s="867"/>
      <c r="BD100" s="867"/>
      <c r="BE100" s="867"/>
      <c r="BF100" s="867"/>
      <c r="BG100" s="867"/>
      <c r="BH100" s="867"/>
      <c r="BI100" s="867"/>
      <c r="BJ100" s="867"/>
      <c r="BK100" s="867"/>
      <c r="BL100" s="867"/>
      <c r="BM100" s="867"/>
      <c r="BN100" s="867"/>
      <c r="BO100" s="867"/>
      <c r="BP100" s="867"/>
      <c r="BQ100" s="867"/>
      <c r="BR100" s="304"/>
      <c r="BS100" s="304"/>
      <c r="BT100" s="304"/>
      <c r="BU100" s="304"/>
      <c r="BV100" s="304"/>
      <c r="BW100" s="446"/>
      <c r="BX100" s="304"/>
      <c r="BY100" s="304"/>
      <c r="BZ100" s="304"/>
      <c r="CA100" s="304"/>
      <c r="CB100" s="304"/>
      <c r="CC100" s="304"/>
      <c r="CD100" s="304"/>
      <c r="CE100" s="304"/>
      <c r="CF100" s="304"/>
      <c r="CG100" s="284"/>
    </row>
    <row r="101" spans="1:85" s="250" customFormat="1" ht="3" customHeight="1">
      <c r="A101" s="220"/>
      <c r="B101" s="879"/>
      <c r="C101" s="879"/>
      <c r="D101" s="879"/>
      <c r="E101" s="877"/>
      <c r="F101" s="877"/>
      <c r="G101" s="862"/>
      <c r="H101" s="864"/>
      <c r="I101" s="864"/>
      <c r="J101" s="864"/>
      <c r="K101" s="864"/>
      <c r="L101" s="864"/>
      <c r="M101" s="864"/>
      <c r="N101" s="864"/>
      <c r="O101" s="864"/>
      <c r="P101" s="864"/>
      <c r="Q101" s="864"/>
      <c r="R101" s="864"/>
      <c r="S101" s="864"/>
      <c r="T101" s="864"/>
      <c r="U101" s="864"/>
      <c r="V101" s="864"/>
      <c r="W101" s="864"/>
      <c r="X101" s="864"/>
      <c r="Y101" s="864"/>
      <c r="Z101" s="864"/>
      <c r="AA101" s="866"/>
      <c r="AB101" s="866"/>
      <c r="AC101" s="866"/>
      <c r="AD101" s="826"/>
      <c r="AE101" s="820"/>
      <c r="AF101" s="820"/>
      <c r="AG101" s="820"/>
      <c r="AH101" s="435"/>
      <c r="AI101" s="821"/>
      <c r="AJ101" s="821"/>
      <c r="AK101" s="821"/>
      <c r="AL101" s="821"/>
      <c r="AM101" s="821"/>
      <c r="AN101" s="818"/>
      <c r="AO101" s="822"/>
      <c r="AP101" s="822"/>
      <c r="AQ101" s="822"/>
      <c r="AR101" s="822"/>
      <c r="AS101" s="822"/>
      <c r="AT101" s="818"/>
      <c r="AU101" s="822"/>
      <c r="AV101" s="822"/>
      <c r="AW101" s="822"/>
      <c r="AX101" s="822"/>
      <c r="AY101" s="822"/>
      <c r="AZ101" s="827"/>
      <c r="BA101" s="826"/>
      <c r="BB101" s="820"/>
      <c r="BC101" s="820"/>
      <c r="BD101" s="820"/>
      <c r="BE101" s="435"/>
      <c r="BF101" s="821"/>
      <c r="BG101" s="821"/>
      <c r="BH101" s="821"/>
      <c r="BI101" s="821"/>
      <c r="BJ101" s="821"/>
      <c r="BK101" s="818"/>
      <c r="BL101" s="822"/>
      <c r="BM101" s="822"/>
      <c r="BN101" s="822"/>
      <c r="BO101" s="822"/>
      <c r="BP101" s="822"/>
      <c r="BQ101" s="818"/>
      <c r="BR101" s="822"/>
      <c r="BS101" s="822"/>
      <c r="BT101" s="822"/>
      <c r="BU101" s="822"/>
      <c r="BV101" s="822"/>
      <c r="BW101" s="441"/>
      <c r="BX101" s="442"/>
      <c r="BY101" s="442"/>
      <c r="BZ101" s="442"/>
      <c r="CA101" s="442"/>
      <c r="CB101" s="442"/>
      <c r="CC101" s="442"/>
      <c r="CD101" s="442"/>
      <c r="CE101" s="442"/>
      <c r="CF101" s="442"/>
      <c r="CG101" s="285"/>
    </row>
    <row r="102" spans="1:85" ht="15" customHeight="1">
      <c r="A102" s="220"/>
      <c r="B102" s="879"/>
      <c r="C102" s="879"/>
      <c r="D102" s="879"/>
      <c r="E102" s="877"/>
      <c r="F102" s="877"/>
      <c r="G102" s="862"/>
      <c r="H102" s="864"/>
      <c r="I102" s="864"/>
      <c r="J102" s="864"/>
      <c r="K102" s="864"/>
      <c r="L102" s="864"/>
      <c r="M102" s="864"/>
      <c r="N102" s="864"/>
      <c r="O102" s="864"/>
      <c r="P102" s="864"/>
      <c r="Q102" s="864"/>
      <c r="R102" s="864"/>
      <c r="S102" s="864"/>
      <c r="T102" s="864"/>
      <c r="U102" s="864"/>
      <c r="V102" s="864"/>
      <c r="W102" s="864"/>
      <c r="X102" s="864"/>
      <c r="Y102" s="864"/>
      <c r="Z102" s="864"/>
      <c r="AA102" s="866"/>
      <c r="AB102" s="866"/>
      <c r="AC102" s="866"/>
      <c r="AD102" s="826"/>
      <c r="AE102" s="432" t="str">
        <f>IF(LEN(VLOOKUP(AA100,suvaha!$D$8:$H$158,2,FALSE))&lt;11,"",LEFT(RIGHT(VLOOKUP(AA100,suvaha!$D$8:$H$158,2,FALSE),11),1))</f>
        <v/>
      </c>
      <c r="AF102" s="255"/>
      <c r="AG102" s="432" t="str">
        <f>IF(LEN(VLOOKUP(AA100,suvaha!$D$8:$H$158,2,FALSE))&lt;10,"",LEFT(RIGHT(VLOOKUP(AA100,suvaha!$D$8:$H$158,2,FALSE),10),1))</f>
        <v/>
      </c>
      <c r="AH102" s="434"/>
      <c r="AI102" s="432" t="str">
        <f>IF(LEN(VLOOKUP(AA100,suvaha!$D$8:$H$158,2,FALSE))&lt;9,"",LEFT(RIGHT(VLOOKUP(AA100,suvaha!$D$8:$H$158,2,FALSE),9),1))</f>
        <v/>
      </c>
      <c r="AJ102" s="255"/>
      <c r="AK102" s="432" t="str">
        <f>IF(LEN(VLOOKUP(AA100,suvaha!$D$8:$H$158,2,FALSE))&lt;8,"",LEFT(RIGHT(VLOOKUP(AA100,suvaha!$D$8:$H$158,2,FALSE),8),1))</f>
        <v/>
      </c>
      <c r="AL102" s="434"/>
      <c r="AM102" s="432" t="str">
        <f>IF(LEN(VLOOKUP(AA100,suvaha!$D$8:$H$158,2,FALSE))&lt;7,"",LEFT(RIGHT(VLOOKUP(AA100,suvaha!$D$8:$H$158,2,FALSE),7),1))</f>
        <v/>
      </c>
      <c r="AN102" s="818"/>
      <c r="AO102" s="432" t="str">
        <f>IF(LEN(VLOOKUP(AA100,suvaha!$D$8:$H$158,2,FALSE))&lt;6,"",LEFT(RIGHT(VLOOKUP(AA100,suvaha!$D$8:$H$158,2,FALSE),6),1))</f>
        <v/>
      </c>
      <c r="AP102" s="434"/>
      <c r="AQ102" s="432" t="str">
        <f>IF(LEN(VLOOKUP(AA100,suvaha!$D$8:$H$158,2,FALSE))&lt;5,"",LEFT(RIGHT(VLOOKUP(AA100,suvaha!$D$8:$H$158,2,FALSE),5),1))</f>
        <v/>
      </c>
      <c r="AR102" s="434"/>
      <c r="AS102" s="432" t="str">
        <f>IF(LEN(VLOOKUP(AA100,suvaha!$D$8:$H$158,2,FALSE))&lt;4,"",LEFT(RIGHT(VLOOKUP(AA100,suvaha!$D$8:$H$158,2,FALSE),4),1))</f>
        <v/>
      </c>
      <c r="AT102" s="818"/>
      <c r="AU102" s="432" t="str">
        <f>IF(LEN(VLOOKUP(AA100,suvaha!$D$8:$H$158,2,FALSE))&lt;3,"",LEFT(RIGHT(VLOOKUP(AA100,suvaha!$D$8:$H$158,2,FALSE),3),1))</f>
        <v/>
      </c>
      <c r="AV102" s="434"/>
      <c r="AW102" s="432" t="str">
        <f>IF(LEN(VLOOKUP(AA100,suvaha!$D$8:$H$158,2,FALSE))&lt;2,"",LEFT(RIGHT(VLOOKUP(AA100,suvaha!$D$8:$H$158,2,FALSE),2),1))</f>
        <v/>
      </c>
      <c r="AX102" s="434"/>
      <c r="AY102" s="432" t="str">
        <f>IF(VLOOKUP(AA100,suvaha!$D$8:$H$85,2,FALSE)=0,"",IF(LEN(VLOOKUP(AA100,suvaha!$D$8:$H$158,2,FALSE))&lt;1,"",LEFT(RIGHT(VLOOKUP(AA100,suvaha!$D$8:$H$158,2,FALSE),1),1)))</f>
        <v/>
      </c>
      <c r="AZ102" s="827"/>
      <c r="BA102" s="826"/>
      <c r="BB102" s="432" t="str">
        <f>IF(LEN(VLOOKUP(AA100,suvaha!$D$8:$H$158,4,FALSE))&lt;11,"",LEFT(RIGHT(VLOOKUP(AA100,suvaha!$D$8:$H$158,4,FALSE),11),1))</f>
        <v/>
      </c>
      <c r="BC102" s="255"/>
      <c r="BD102" s="432" t="str">
        <f>IF(LEN(VLOOKUP(AA100,suvaha!$D$8:$H$158,4,FALSE))&lt;10,"",LEFT(RIGHT(VLOOKUP(AA100,suvaha!$D$8:$H$158,4,FALSE),10),1))</f>
        <v/>
      </c>
      <c r="BE102" s="434"/>
      <c r="BF102" s="432" t="str">
        <f>IF(LEN(VLOOKUP(AA100,suvaha!$D$8:$H$158,4,FALSE))&lt;9,"",LEFT(RIGHT(VLOOKUP(AA100,suvaha!$D$8:$H$158,4,FALSE),9),1))</f>
        <v/>
      </c>
      <c r="BG102" s="255"/>
      <c r="BH102" s="432" t="str">
        <f>IF(LEN(VLOOKUP(AA100,suvaha!$D$8:$H$158,4,FALSE))&lt;8,"",LEFT(RIGHT(VLOOKUP(AA100,suvaha!$D$8:$H$158,4,FALSE),8),1))</f>
        <v/>
      </c>
      <c r="BI102" s="434"/>
      <c r="BJ102" s="432" t="str">
        <f>IF(LEN(VLOOKUP(AA100,suvaha!$D$8:$H$158,4,FALSE))&lt;7,"",LEFT(RIGHT(VLOOKUP(AA100,suvaha!$D$8:$H$158,4,FALSE),7),1))</f>
        <v/>
      </c>
      <c r="BK102" s="818"/>
      <c r="BL102" s="432" t="str">
        <f>IF(LEN(VLOOKUP(AA100,suvaha!$D$8:$H$158,4,FALSE))&lt;6,"",LEFT(RIGHT(VLOOKUP(AA100,suvaha!$D$8:$H$158,4,FALSE),6),1))</f>
        <v/>
      </c>
      <c r="BM102" s="434"/>
      <c r="BN102" s="432" t="str">
        <f>IF(LEN(VLOOKUP(AA100,suvaha!$D$8:$H$158,4,FALSE))&lt;5,"",LEFT(RIGHT(VLOOKUP(AA100,suvaha!$D$8:$H$158,4,FALSE),5),1))</f>
        <v/>
      </c>
      <c r="BO102" s="434"/>
      <c r="BP102" s="432" t="str">
        <f>IF(LEN(VLOOKUP(AA100,suvaha!$D$8:$H$158,4,FALSE))&lt;4,"",LEFT(RIGHT(VLOOKUP(AA100,suvaha!$D$8:$H$158,4,FALSE),4),1))</f>
        <v/>
      </c>
      <c r="BQ102" s="818"/>
      <c r="BR102" s="432" t="str">
        <f>IF(LEN(VLOOKUP(AA100,suvaha!$D$8:$H$158,4,FALSE))&lt;3,"",LEFT(RIGHT(VLOOKUP(AA100,suvaha!$D$8:$H$158,4,FALSE),3),1))</f>
        <v/>
      </c>
      <c r="BS102" s="434"/>
      <c r="BT102" s="432" t="str">
        <f>IF(LEN(VLOOKUP(AA100,suvaha!$D$8:$H$158,4,FALSE))&lt;2,"",LEFT(RIGHT(VLOOKUP(AA100,suvaha!$D$8:$H$158,4,FALSE),2),1))</f>
        <v/>
      </c>
      <c r="BU102" s="434"/>
      <c r="BV102" s="432" t="str">
        <f>IF(VLOOKUP(AA100,suvaha!$D$8:$H$85,4,FALSE)=0,"",IF(LEN(VLOOKUP(AA100,suvaha!$D$8:$H$158,4,FALSE))&lt;1,"",LEFT(RIGHT(VLOOKUP(AA100,suvaha!$D$8:$H$158,4,FALSE),1),1)))</f>
        <v/>
      </c>
      <c r="BW102" s="441"/>
      <c r="BX102" s="442"/>
      <c r="BY102" s="442"/>
      <c r="BZ102" s="442"/>
      <c r="CA102" s="442"/>
      <c r="CB102" s="442"/>
      <c r="CC102" s="442"/>
      <c r="CD102" s="442"/>
      <c r="CE102" s="442"/>
      <c r="CF102" s="442"/>
      <c r="CG102" s="285"/>
    </row>
    <row r="103" spans="1:85" ht="3" customHeight="1">
      <c r="A103" s="220"/>
      <c r="B103" s="879"/>
      <c r="C103" s="879"/>
      <c r="D103" s="879"/>
      <c r="E103" s="877"/>
      <c r="F103" s="877"/>
      <c r="G103" s="862"/>
      <c r="H103" s="864"/>
      <c r="I103" s="864"/>
      <c r="J103" s="864"/>
      <c r="K103" s="864"/>
      <c r="L103" s="864"/>
      <c r="M103" s="864"/>
      <c r="N103" s="864"/>
      <c r="O103" s="864"/>
      <c r="P103" s="864"/>
      <c r="Q103" s="864"/>
      <c r="R103" s="864"/>
      <c r="S103" s="864"/>
      <c r="T103" s="864"/>
      <c r="U103" s="864"/>
      <c r="V103" s="864"/>
      <c r="W103" s="864"/>
      <c r="X103" s="864"/>
      <c r="Y103" s="864"/>
      <c r="Z103" s="864"/>
      <c r="AA103" s="866"/>
      <c r="AB103" s="866"/>
      <c r="AC103" s="866"/>
      <c r="AD103" s="845"/>
      <c r="AE103" s="845"/>
      <c r="AF103" s="845"/>
      <c r="AG103" s="845"/>
      <c r="AH103" s="845"/>
      <c r="AI103" s="845"/>
      <c r="AJ103" s="845"/>
      <c r="AK103" s="845"/>
      <c r="AL103" s="845"/>
      <c r="AM103" s="845"/>
      <c r="AN103" s="845"/>
      <c r="AO103" s="845"/>
      <c r="AP103" s="845"/>
      <c r="AQ103" s="845"/>
      <c r="AR103" s="845"/>
      <c r="AS103" s="845"/>
      <c r="AT103" s="845"/>
      <c r="AU103" s="845"/>
      <c r="AV103" s="845"/>
      <c r="AW103" s="845"/>
      <c r="AX103" s="845"/>
      <c r="AY103" s="845"/>
      <c r="AZ103" s="845"/>
      <c r="BA103" s="846"/>
      <c r="BB103" s="846"/>
      <c r="BC103" s="846"/>
      <c r="BD103" s="846"/>
      <c r="BE103" s="846"/>
      <c r="BF103" s="846"/>
      <c r="BG103" s="846"/>
      <c r="BH103" s="846"/>
      <c r="BI103" s="846"/>
      <c r="BJ103" s="846"/>
      <c r="BK103" s="846"/>
      <c r="BL103" s="846"/>
      <c r="BM103" s="846"/>
      <c r="BN103" s="846"/>
      <c r="BO103" s="846"/>
      <c r="BP103" s="846"/>
      <c r="BQ103" s="846"/>
      <c r="BR103" s="310"/>
      <c r="BS103" s="310"/>
      <c r="BT103" s="310"/>
      <c r="BU103" s="310"/>
      <c r="BV103" s="310"/>
      <c r="BW103" s="443"/>
      <c r="BX103" s="310"/>
      <c r="BY103" s="310"/>
      <c r="BZ103" s="310"/>
      <c r="CA103" s="310"/>
      <c r="CB103" s="310"/>
      <c r="CC103" s="310"/>
      <c r="CD103" s="310"/>
      <c r="CE103" s="310"/>
      <c r="CF103" s="310"/>
      <c r="CG103" s="286"/>
    </row>
    <row r="104" spans="1:85" ht="3" customHeight="1">
      <c r="A104" s="220"/>
      <c r="B104" s="879"/>
      <c r="C104" s="879"/>
      <c r="D104" s="879"/>
      <c r="E104" s="877"/>
      <c r="F104" s="877"/>
      <c r="G104" s="862"/>
      <c r="H104" s="864"/>
      <c r="I104" s="864"/>
      <c r="J104" s="864"/>
      <c r="K104" s="864"/>
      <c r="L104" s="864"/>
      <c r="M104" s="864"/>
      <c r="N104" s="864"/>
      <c r="O104" s="864"/>
      <c r="P104" s="864"/>
      <c r="Q104" s="864"/>
      <c r="R104" s="864"/>
      <c r="S104" s="864"/>
      <c r="T104" s="864"/>
      <c r="U104" s="864"/>
      <c r="V104" s="864"/>
      <c r="W104" s="864"/>
      <c r="X104" s="864"/>
      <c r="Y104" s="864"/>
      <c r="Z104" s="864"/>
      <c r="AA104" s="866"/>
      <c r="AB104" s="866"/>
      <c r="AC104" s="866"/>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825"/>
      <c r="AY104" s="825"/>
      <c r="AZ104" s="825"/>
      <c r="BA104" s="447"/>
      <c r="BB104" s="304"/>
      <c r="BC104" s="304"/>
      <c r="BD104" s="304"/>
      <c r="BE104" s="304"/>
      <c r="BF104" s="304"/>
      <c r="BG104" s="304"/>
      <c r="BH104" s="304"/>
      <c r="BI104" s="304"/>
      <c r="BJ104" s="446"/>
      <c r="BK104" s="304"/>
      <c r="BL104" s="304"/>
      <c r="BM104" s="304"/>
      <c r="BN104" s="304"/>
      <c r="BO104" s="304"/>
      <c r="BP104" s="304"/>
      <c r="BQ104" s="304"/>
      <c r="BR104" s="304"/>
      <c r="BS104" s="304"/>
      <c r="BT104" s="304"/>
      <c r="BU104" s="304"/>
      <c r="BV104" s="304"/>
      <c r="BW104" s="304"/>
      <c r="BX104" s="304"/>
      <c r="BY104" s="304"/>
      <c r="BZ104" s="304"/>
      <c r="CA104" s="304"/>
      <c r="CB104" s="304"/>
      <c r="CC104" s="304"/>
      <c r="CD104" s="304"/>
      <c r="CE104" s="304"/>
      <c r="CF104" s="304"/>
      <c r="CG104" s="284"/>
    </row>
    <row r="105" spans="1:85" ht="3" customHeight="1">
      <c r="A105" s="220"/>
      <c r="B105" s="879"/>
      <c r="C105" s="879"/>
      <c r="D105" s="879"/>
      <c r="E105" s="877"/>
      <c r="F105" s="877"/>
      <c r="G105" s="862"/>
      <c r="H105" s="864"/>
      <c r="I105" s="864"/>
      <c r="J105" s="864"/>
      <c r="K105" s="864"/>
      <c r="L105" s="864"/>
      <c r="M105" s="864"/>
      <c r="N105" s="864"/>
      <c r="O105" s="864"/>
      <c r="P105" s="864"/>
      <c r="Q105" s="864"/>
      <c r="R105" s="864"/>
      <c r="S105" s="864"/>
      <c r="T105" s="864"/>
      <c r="U105" s="864"/>
      <c r="V105" s="864"/>
      <c r="W105" s="864"/>
      <c r="X105" s="864"/>
      <c r="Y105" s="864"/>
      <c r="Z105" s="864"/>
      <c r="AA105" s="866"/>
      <c r="AB105" s="866"/>
      <c r="AC105" s="866"/>
      <c r="AD105" s="826"/>
      <c r="AE105" s="820"/>
      <c r="AF105" s="820"/>
      <c r="AG105" s="820"/>
      <c r="AH105" s="435"/>
      <c r="AI105" s="821"/>
      <c r="AJ105" s="821"/>
      <c r="AK105" s="821"/>
      <c r="AL105" s="821"/>
      <c r="AM105" s="821"/>
      <c r="AN105" s="818"/>
      <c r="AO105" s="822"/>
      <c r="AP105" s="822"/>
      <c r="AQ105" s="822"/>
      <c r="AR105" s="822"/>
      <c r="AS105" s="822"/>
      <c r="AT105" s="818"/>
      <c r="AU105" s="822"/>
      <c r="AV105" s="822"/>
      <c r="AW105" s="822"/>
      <c r="AX105" s="822"/>
      <c r="AY105" s="822"/>
      <c r="AZ105" s="827"/>
      <c r="BA105" s="448"/>
      <c r="BB105" s="442"/>
      <c r="BC105" s="442"/>
      <c r="BD105" s="442"/>
      <c r="BE105" s="442"/>
      <c r="BF105" s="442"/>
      <c r="BG105" s="442"/>
      <c r="BH105" s="442"/>
      <c r="BI105" s="442"/>
      <c r="BJ105" s="441"/>
      <c r="BK105" s="442"/>
      <c r="BL105" s="820"/>
      <c r="BM105" s="820"/>
      <c r="BN105" s="820"/>
      <c r="BO105" s="435"/>
      <c r="BP105" s="821"/>
      <c r="BQ105" s="821"/>
      <c r="BR105" s="821"/>
      <c r="BS105" s="821"/>
      <c r="BT105" s="821"/>
      <c r="BU105" s="818"/>
      <c r="BV105" s="822"/>
      <c r="BW105" s="822"/>
      <c r="BX105" s="822"/>
      <c r="BY105" s="822"/>
      <c r="BZ105" s="822"/>
      <c r="CA105" s="818"/>
      <c r="CB105" s="822"/>
      <c r="CC105" s="822"/>
      <c r="CD105" s="822"/>
      <c r="CE105" s="822"/>
      <c r="CF105" s="822"/>
      <c r="CG105" s="287"/>
    </row>
    <row r="106" spans="1:85" ht="15" customHeight="1">
      <c r="A106" s="220"/>
      <c r="B106" s="879"/>
      <c r="C106" s="879"/>
      <c r="D106" s="879"/>
      <c r="E106" s="877"/>
      <c r="F106" s="877"/>
      <c r="G106" s="862"/>
      <c r="H106" s="864"/>
      <c r="I106" s="864"/>
      <c r="J106" s="864"/>
      <c r="K106" s="864"/>
      <c r="L106" s="864"/>
      <c r="M106" s="864"/>
      <c r="N106" s="864"/>
      <c r="O106" s="864"/>
      <c r="P106" s="864"/>
      <c r="Q106" s="864"/>
      <c r="R106" s="864"/>
      <c r="S106" s="864"/>
      <c r="T106" s="864"/>
      <c r="U106" s="864"/>
      <c r="V106" s="864"/>
      <c r="W106" s="864"/>
      <c r="X106" s="864"/>
      <c r="Y106" s="864"/>
      <c r="Z106" s="864"/>
      <c r="AA106" s="866"/>
      <c r="AB106" s="866"/>
      <c r="AC106" s="866"/>
      <c r="AD106" s="826"/>
      <c r="AE106" s="432" t="str">
        <f>IF(LEN(VLOOKUP(AA100,suvaha!$D$8:$H$158,3,FALSE))&lt;11,"",LEFT(RIGHT(VLOOKUP(AA100,suvaha!$D$8:$H$158,3,FALSE),11),1))</f>
        <v/>
      </c>
      <c r="AF106" s="255"/>
      <c r="AG106" s="432" t="str">
        <f>IF(LEN(VLOOKUP(AA100,suvaha!$D$8:$H$158,3,FALSE))&lt;10,"",LEFT(RIGHT(VLOOKUP(AA100,suvaha!$D$8:$H$158,3,FALSE),10),1))</f>
        <v/>
      </c>
      <c r="AH106" s="434"/>
      <c r="AI106" s="432" t="str">
        <f>IF(LEN(VLOOKUP(AA100,suvaha!$D$8:$H$158,3,FALSE))&lt;9,"",LEFT(RIGHT(VLOOKUP(AA100,suvaha!$D$8:$H$158,3,FALSE),9),1))</f>
        <v/>
      </c>
      <c r="AJ106" s="255"/>
      <c r="AK106" s="432" t="str">
        <f>IF(LEN(VLOOKUP(AA100,suvaha!$D$8:$H$158,3,FALSE))&lt;8,"",LEFT(RIGHT(VLOOKUP(AA100,suvaha!$D$8:$H$158,3,FALSE),8),1))</f>
        <v/>
      </c>
      <c r="AL106" s="434"/>
      <c r="AM106" s="432" t="str">
        <f>IF(LEN(VLOOKUP(AA100,suvaha!$D$8:$H$158,3,FALSE))&lt;7,"",LEFT(RIGHT(VLOOKUP(AA100,suvaha!$D$8:$H$158,3,FALSE),7),1))</f>
        <v/>
      </c>
      <c r="AN106" s="818"/>
      <c r="AO106" s="432" t="str">
        <f>IF(LEN(VLOOKUP(AA100,suvaha!$D$8:$H$158,3,FALSE))&lt;6,"",LEFT(RIGHT(VLOOKUP(AA100,suvaha!$D$8:$H$158,3,FALSE),6),1))</f>
        <v/>
      </c>
      <c r="AP106" s="434"/>
      <c r="AQ106" s="432" t="str">
        <f>IF(LEN(VLOOKUP(AA100,suvaha!$D$8:$H$158,3,FALSE))&lt;5,"",LEFT(RIGHT(VLOOKUP(AA100,suvaha!$D$8:$H$158,3,FALSE),5),1))</f>
        <v/>
      </c>
      <c r="AR106" s="434"/>
      <c r="AS106" s="432" t="str">
        <f>IF(LEN(VLOOKUP(AA100,suvaha!$D$8:$H$158,3,FALSE))&lt;4,"",LEFT(RIGHT(VLOOKUP(AA100,suvaha!$D$8:$H$158,3,FALSE),4),1))</f>
        <v/>
      </c>
      <c r="AT106" s="818"/>
      <c r="AU106" s="432" t="str">
        <f>IF(LEN(VLOOKUP(AA100,suvaha!$D$8:$H$158,3,FALSE))&lt;3,"",LEFT(RIGHT(VLOOKUP(AA100,suvaha!$D$8:$H$158,3,FALSE),3),1))</f>
        <v/>
      </c>
      <c r="AV106" s="434"/>
      <c r="AW106" s="432" t="str">
        <f>IF(LEN(VLOOKUP(AA100,suvaha!$D$8:$H$158,3,FALSE))&lt;2,"",LEFT(RIGHT(VLOOKUP(AA100,suvaha!$D$8:$H$158,3,FALSE),2),1))</f>
        <v/>
      </c>
      <c r="AX106" s="434"/>
      <c r="AY106" s="432" t="str">
        <f>IF(VLOOKUP(AA100,suvaha!$D$8:$H$85,3,FALSE)=0,"",IF(LEN(VLOOKUP(AA100,suvaha!$D$8:$H$158,3,FALSE))&lt;1,"",LEFT(RIGHT(VLOOKUP(AA100,suvaha!$D$8:$H$158,3,FALSE),1),1)))</f>
        <v/>
      </c>
      <c r="AZ106" s="827"/>
      <c r="BA106" s="448"/>
      <c r="BB106" s="442"/>
      <c r="BC106" s="442"/>
      <c r="BD106" s="442"/>
      <c r="BE106" s="442"/>
      <c r="BF106" s="442"/>
      <c r="BG106" s="442"/>
      <c r="BH106" s="442"/>
      <c r="BI106" s="442"/>
      <c r="BJ106" s="441"/>
      <c r="BK106" s="442"/>
      <c r="BL106" s="432" t="str">
        <f>IF(LEN(VLOOKUP(AA100,suvaha!$D$8:$H$158,5,FALSE))&lt;11,"",LEFT(RIGHT(VLOOKUP(AA100,suvaha!$D$8:$H$158,5,FALSE),11),1))</f>
        <v/>
      </c>
      <c r="BM106" s="255"/>
      <c r="BN106" s="432" t="str">
        <f>IF(LEN(VLOOKUP(AA100,suvaha!$D$8:$H$158,5,FALSE))&lt;10,"",LEFT(RIGHT(VLOOKUP(AA100,suvaha!$D$8:$H$158,5,FALSE),10),1))</f>
        <v/>
      </c>
      <c r="BO106" s="434"/>
      <c r="BP106" s="432" t="str">
        <f>IF(LEN(VLOOKUP(AA100,suvaha!$D$8:$H$158,5,FALSE))&lt;9,"",LEFT(RIGHT(VLOOKUP(AA100,suvaha!$D$8:$H$158,5,FALSE),9),1))</f>
        <v/>
      </c>
      <c r="BQ106" s="255"/>
      <c r="BR106" s="432" t="str">
        <f>IF(LEN(VLOOKUP(AA100,suvaha!$D$8:$H$158,5,FALSE))&lt;8,"",LEFT(RIGHT(VLOOKUP(AA100,suvaha!$D$8:$H$158,5,FALSE),8),1))</f>
        <v/>
      </c>
      <c r="BS106" s="434"/>
      <c r="BT106" s="432" t="str">
        <f>IF(LEN(VLOOKUP(AA100,suvaha!$D$8:$H$158,5,FALSE))&lt;7,"",LEFT(RIGHT(VLOOKUP(AA100,suvaha!$D$8:$H$158,5,FALSE),7),1))</f>
        <v/>
      </c>
      <c r="BU106" s="818"/>
      <c r="BV106" s="432" t="str">
        <f>IF(LEN(VLOOKUP(AA100,suvaha!$D$8:$H$158,5,FALSE))&lt;6,"",LEFT(RIGHT(VLOOKUP(AA100,suvaha!$D$8:$H$158,5,FALSE),6),1))</f>
        <v/>
      </c>
      <c r="BW106" s="434"/>
      <c r="BX106" s="432" t="str">
        <f>IF(LEN(VLOOKUP(AA100,suvaha!$D$8:$H$158,5,FALSE))&lt;5,"",LEFT(RIGHT(VLOOKUP(AA100,suvaha!$D$8:$H$158,5,FALSE),5),1))</f>
        <v/>
      </c>
      <c r="BY106" s="434"/>
      <c r="BZ106" s="432" t="str">
        <f>IF(LEN(VLOOKUP(AA100,suvaha!$D$8:$H$158,5,FALSE))&lt;4,"",LEFT(RIGHT(VLOOKUP(AA100,suvaha!$D$8:$H$158,5,FALSE),4),1))</f>
        <v/>
      </c>
      <c r="CA106" s="818"/>
      <c r="CB106" s="432" t="str">
        <f>IF(LEN(VLOOKUP(AA100,suvaha!$D$8:$H$158,5,FALSE))&lt;3,"",LEFT(RIGHT(VLOOKUP(AA100,suvaha!$D$8:$H$158,5,FALSE),3),1))</f>
        <v/>
      </c>
      <c r="CC106" s="434"/>
      <c r="CD106" s="432" t="str">
        <f>IF(LEN(VLOOKUP(AA100,suvaha!$D$8:$H$158,5,FALSE))&lt;2,"",LEFT(RIGHT(VLOOKUP(AA100,suvaha!$D$8:$H$158,5,FALSE),2),1))</f>
        <v/>
      </c>
      <c r="CE106" s="434"/>
      <c r="CF106" s="432" t="str">
        <f>IF(VLOOKUP(AA100,suvaha!$D$8:$H$85,5,FALSE)=0,"",IF(LEN(VLOOKUP(AA100,suvaha!$D$8:$H$158,5,FALSE))&lt;1,"",LEFT(RIGHT(VLOOKUP(AA100,suvaha!$D$8:$H$158,5,FALSE),1),1)))</f>
        <v/>
      </c>
      <c r="CG106" s="287"/>
    </row>
    <row r="107" spans="1:85" ht="3" customHeight="1">
      <c r="A107" s="220"/>
      <c r="B107" s="879"/>
      <c r="C107" s="879"/>
      <c r="D107" s="879"/>
      <c r="E107" s="877"/>
      <c r="F107" s="877"/>
      <c r="G107" s="862"/>
      <c r="H107" s="864"/>
      <c r="I107" s="864"/>
      <c r="J107" s="864"/>
      <c r="K107" s="864"/>
      <c r="L107" s="864"/>
      <c r="M107" s="864"/>
      <c r="N107" s="864"/>
      <c r="O107" s="864"/>
      <c r="P107" s="864"/>
      <c r="Q107" s="864"/>
      <c r="R107" s="864"/>
      <c r="S107" s="864"/>
      <c r="T107" s="864"/>
      <c r="U107" s="864"/>
      <c r="V107" s="864"/>
      <c r="W107" s="864"/>
      <c r="X107" s="864"/>
      <c r="Y107" s="864"/>
      <c r="Z107" s="864"/>
      <c r="AA107" s="866"/>
      <c r="AB107" s="866"/>
      <c r="AC107" s="866"/>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449"/>
      <c r="BB107" s="310"/>
      <c r="BC107" s="310"/>
      <c r="BD107" s="310"/>
      <c r="BE107" s="310"/>
      <c r="BF107" s="310"/>
      <c r="BG107" s="310"/>
      <c r="BH107" s="310"/>
      <c r="BI107" s="310"/>
      <c r="BJ107" s="443"/>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286"/>
    </row>
    <row r="108" spans="1:85" s="250" customFormat="1" ht="3" customHeight="1">
      <c r="A108" s="220"/>
      <c r="B108" s="879"/>
      <c r="C108" s="879"/>
      <c r="D108" s="879"/>
      <c r="E108" s="877" t="s">
        <v>1546</v>
      </c>
      <c r="F108" s="877"/>
      <c r="G108" s="862"/>
      <c r="H108" s="864" t="str">
        <f>Index!C78</f>
        <v>Ostatné pôžičky (067A) - /096A/</v>
      </c>
      <c r="I108" s="864"/>
      <c r="J108" s="864"/>
      <c r="K108" s="864"/>
      <c r="L108" s="864"/>
      <c r="M108" s="864"/>
      <c r="N108" s="864"/>
      <c r="O108" s="864"/>
      <c r="P108" s="864"/>
      <c r="Q108" s="864"/>
      <c r="R108" s="864"/>
      <c r="S108" s="864"/>
      <c r="T108" s="864"/>
      <c r="U108" s="864"/>
      <c r="V108" s="864"/>
      <c r="W108" s="864"/>
      <c r="X108" s="864"/>
      <c r="Y108" s="864"/>
      <c r="Z108" s="864"/>
      <c r="AA108" s="866" t="s">
        <v>1570</v>
      </c>
      <c r="AB108" s="866"/>
      <c r="AC108" s="866"/>
      <c r="AD108" s="825"/>
      <c r="AE108" s="825"/>
      <c r="AF108" s="825"/>
      <c r="AG108" s="825"/>
      <c r="AH108" s="825"/>
      <c r="AI108" s="825"/>
      <c r="AJ108" s="825"/>
      <c r="AK108" s="825"/>
      <c r="AL108" s="825"/>
      <c r="AM108" s="825"/>
      <c r="AN108" s="825"/>
      <c r="AO108" s="825"/>
      <c r="AP108" s="825"/>
      <c r="AQ108" s="825"/>
      <c r="AR108" s="825"/>
      <c r="AS108" s="825"/>
      <c r="AT108" s="825"/>
      <c r="AU108" s="825"/>
      <c r="AV108" s="825"/>
      <c r="AW108" s="825"/>
      <c r="AX108" s="825"/>
      <c r="AY108" s="825"/>
      <c r="AZ108" s="825"/>
      <c r="BA108" s="867"/>
      <c r="BB108" s="867"/>
      <c r="BC108" s="867"/>
      <c r="BD108" s="867"/>
      <c r="BE108" s="867"/>
      <c r="BF108" s="867"/>
      <c r="BG108" s="867"/>
      <c r="BH108" s="867"/>
      <c r="BI108" s="867"/>
      <c r="BJ108" s="867"/>
      <c r="BK108" s="867"/>
      <c r="BL108" s="867"/>
      <c r="BM108" s="867"/>
      <c r="BN108" s="867"/>
      <c r="BO108" s="867"/>
      <c r="BP108" s="867"/>
      <c r="BQ108" s="867"/>
      <c r="BR108" s="304"/>
      <c r="BS108" s="304"/>
      <c r="BT108" s="304"/>
      <c r="BU108" s="304"/>
      <c r="BV108" s="304"/>
      <c r="BW108" s="446"/>
      <c r="BX108" s="304"/>
      <c r="BY108" s="304"/>
      <c r="BZ108" s="304"/>
      <c r="CA108" s="304"/>
      <c r="CB108" s="304"/>
      <c r="CC108" s="304"/>
      <c r="CD108" s="304"/>
      <c r="CE108" s="304"/>
      <c r="CF108" s="304"/>
      <c r="CG108" s="284"/>
    </row>
    <row r="109" spans="1:85" s="250" customFormat="1" ht="3" customHeight="1">
      <c r="A109" s="220"/>
      <c r="B109" s="879"/>
      <c r="C109" s="879"/>
      <c r="D109" s="879"/>
      <c r="E109" s="877"/>
      <c r="F109" s="877"/>
      <c r="G109" s="862"/>
      <c r="H109" s="864"/>
      <c r="I109" s="864"/>
      <c r="J109" s="864"/>
      <c r="K109" s="864"/>
      <c r="L109" s="864"/>
      <c r="M109" s="864"/>
      <c r="N109" s="864"/>
      <c r="O109" s="864"/>
      <c r="P109" s="864"/>
      <c r="Q109" s="864"/>
      <c r="R109" s="864"/>
      <c r="S109" s="864"/>
      <c r="T109" s="864"/>
      <c r="U109" s="864"/>
      <c r="V109" s="864"/>
      <c r="W109" s="864"/>
      <c r="X109" s="864"/>
      <c r="Y109" s="864"/>
      <c r="Z109" s="864"/>
      <c r="AA109" s="866"/>
      <c r="AB109" s="866"/>
      <c r="AC109" s="866"/>
      <c r="AD109" s="826"/>
      <c r="AE109" s="820"/>
      <c r="AF109" s="820"/>
      <c r="AG109" s="820"/>
      <c r="AH109" s="435"/>
      <c r="AI109" s="821"/>
      <c r="AJ109" s="821"/>
      <c r="AK109" s="821"/>
      <c r="AL109" s="821"/>
      <c r="AM109" s="821"/>
      <c r="AN109" s="818"/>
      <c r="AO109" s="822"/>
      <c r="AP109" s="822"/>
      <c r="AQ109" s="822"/>
      <c r="AR109" s="822"/>
      <c r="AS109" s="822"/>
      <c r="AT109" s="818"/>
      <c r="AU109" s="822"/>
      <c r="AV109" s="822"/>
      <c r="AW109" s="822"/>
      <c r="AX109" s="822"/>
      <c r="AY109" s="822"/>
      <c r="AZ109" s="827"/>
      <c r="BA109" s="826"/>
      <c r="BB109" s="820"/>
      <c r="BC109" s="820"/>
      <c r="BD109" s="820"/>
      <c r="BE109" s="435"/>
      <c r="BF109" s="821"/>
      <c r="BG109" s="821"/>
      <c r="BH109" s="821"/>
      <c r="BI109" s="821"/>
      <c r="BJ109" s="821"/>
      <c r="BK109" s="818"/>
      <c r="BL109" s="822"/>
      <c r="BM109" s="822"/>
      <c r="BN109" s="822"/>
      <c r="BO109" s="822"/>
      <c r="BP109" s="822"/>
      <c r="BQ109" s="818"/>
      <c r="BR109" s="822"/>
      <c r="BS109" s="822"/>
      <c r="BT109" s="822"/>
      <c r="BU109" s="822"/>
      <c r="BV109" s="822"/>
      <c r="BW109" s="441"/>
      <c r="BX109" s="442"/>
      <c r="BY109" s="442"/>
      <c r="BZ109" s="442"/>
      <c r="CA109" s="442"/>
      <c r="CB109" s="442"/>
      <c r="CC109" s="442"/>
      <c r="CD109" s="442"/>
      <c r="CE109" s="442"/>
      <c r="CF109" s="442"/>
      <c r="CG109" s="285"/>
    </row>
    <row r="110" spans="1:85" ht="15" customHeight="1">
      <c r="A110" s="220"/>
      <c r="B110" s="879"/>
      <c r="C110" s="879"/>
      <c r="D110" s="879"/>
      <c r="E110" s="877"/>
      <c r="F110" s="877"/>
      <c r="G110" s="862"/>
      <c r="H110" s="864"/>
      <c r="I110" s="864"/>
      <c r="J110" s="864"/>
      <c r="K110" s="864"/>
      <c r="L110" s="864"/>
      <c r="M110" s="864"/>
      <c r="N110" s="864"/>
      <c r="O110" s="864"/>
      <c r="P110" s="864"/>
      <c r="Q110" s="864"/>
      <c r="R110" s="864"/>
      <c r="S110" s="864"/>
      <c r="T110" s="864"/>
      <c r="U110" s="864"/>
      <c r="V110" s="864"/>
      <c r="W110" s="864"/>
      <c r="X110" s="864"/>
      <c r="Y110" s="864"/>
      <c r="Z110" s="864"/>
      <c r="AA110" s="866"/>
      <c r="AB110" s="866"/>
      <c r="AC110" s="866"/>
      <c r="AD110" s="826"/>
      <c r="AE110" s="432" t="str">
        <f>IF(LEN(VLOOKUP(AA108,suvaha!$D$8:$H$158,2,FALSE))&lt;11,"",LEFT(RIGHT(VLOOKUP(AA108,suvaha!$D$8:$H$158,2,FALSE),11),1))</f>
        <v/>
      </c>
      <c r="AF110" s="255"/>
      <c r="AG110" s="432" t="str">
        <f>IF(LEN(VLOOKUP(AA108,suvaha!$D$8:$H$158,2,FALSE))&lt;10,"",LEFT(RIGHT(VLOOKUP(AA108,suvaha!$D$8:$H$158,2,FALSE),10),1))</f>
        <v/>
      </c>
      <c r="AH110" s="434"/>
      <c r="AI110" s="432" t="str">
        <f>IF(LEN(VLOOKUP(AA108,suvaha!$D$8:$H$158,2,FALSE))&lt;9,"",LEFT(RIGHT(VLOOKUP(AA108,suvaha!$D$8:$H$158,2,FALSE),9),1))</f>
        <v/>
      </c>
      <c r="AJ110" s="255"/>
      <c r="AK110" s="432" t="str">
        <f>IF(LEN(VLOOKUP(AA108,suvaha!$D$8:$H$158,2,FALSE))&lt;8,"",LEFT(RIGHT(VLOOKUP(AA108,suvaha!$D$8:$H$158,2,FALSE),8),1))</f>
        <v/>
      </c>
      <c r="AL110" s="434"/>
      <c r="AM110" s="432" t="str">
        <f>IF(LEN(VLOOKUP(AA108,suvaha!$D$8:$H$158,2,FALSE))&lt;7,"",LEFT(RIGHT(VLOOKUP(AA108,suvaha!$D$8:$H$158,2,FALSE),7),1))</f>
        <v/>
      </c>
      <c r="AN110" s="818"/>
      <c r="AO110" s="432" t="str">
        <f>IF(LEN(VLOOKUP(AA108,suvaha!$D$8:$H$158,2,FALSE))&lt;6,"",LEFT(RIGHT(VLOOKUP(AA108,suvaha!$D$8:$H$158,2,FALSE),6),1))</f>
        <v/>
      </c>
      <c r="AP110" s="434"/>
      <c r="AQ110" s="432" t="str">
        <f>IF(LEN(VLOOKUP(AA108,suvaha!$D$8:$H$158,2,FALSE))&lt;5,"",LEFT(RIGHT(VLOOKUP(AA108,suvaha!$D$8:$H$158,2,FALSE),5),1))</f>
        <v/>
      </c>
      <c r="AR110" s="434"/>
      <c r="AS110" s="432" t="str">
        <f>IF(LEN(VLOOKUP(AA108,suvaha!$D$8:$H$158,2,FALSE))&lt;4,"",LEFT(RIGHT(VLOOKUP(AA108,suvaha!$D$8:$H$158,2,FALSE),4),1))</f>
        <v/>
      </c>
      <c r="AT110" s="818"/>
      <c r="AU110" s="432" t="str">
        <f>IF(LEN(VLOOKUP(AA108,suvaha!$D$8:$H$158,2,FALSE))&lt;3,"",LEFT(RIGHT(VLOOKUP(AA108,suvaha!$D$8:$H$158,2,FALSE),3),1))</f>
        <v/>
      </c>
      <c r="AV110" s="434"/>
      <c r="AW110" s="432" t="str">
        <f>IF(LEN(VLOOKUP(AA108,suvaha!$D$8:$H$158,2,FALSE))&lt;2,"",LEFT(RIGHT(VLOOKUP(AA108,suvaha!$D$8:$H$158,2,FALSE),2),1))</f>
        <v/>
      </c>
      <c r="AX110" s="434"/>
      <c r="AY110" s="432" t="str">
        <f>IF(VLOOKUP(AA108,suvaha!$D$8:$H$85,2,FALSE)=0,"",IF(LEN(VLOOKUP(AA108,suvaha!$D$8:$H$158,2,FALSE))&lt;1,"",LEFT(RIGHT(VLOOKUP(AA108,suvaha!$D$8:$H$158,2,FALSE),1),1)))</f>
        <v/>
      </c>
      <c r="AZ110" s="827"/>
      <c r="BA110" s="826"/>
      <c r="BB110" s="432" t="str">
        <f>IF(LEN(VLOOKUP(AA108,suvaha!$D$8:$H$158,4,FALSE))&lt;11,"",LEFT(RIGHT(VLOOKUP(AA108,suvaha!$D$8:$H$158,4,FALSE),11),1))</f>
        <v/>
      </c>
      <c r="BC110" s="255"/>
      <c r="BD110" s="432" t="str">
        <f>IF(LEN(VLOOKUP(AA108,suvaha!$D$8:$H$158,4,FALSE))&lt;10,"",LEFT(RIGHT(VLOOKUP(AA108,suvaha!$D$8:$H$158,4,FALSE),10),1))</f>
        <v/>
      </c>
      <c r="BE110" s="434"/>
      <c r="BF110" s="432" t="str">
        <f>IF(LEN(VLOOKUP(AA108,suvaha!$D$8:$H$158,4,FALSE))&lt;9,"",LEFT(RIGHT(VLOOKUP(AA108,suvaha!$D$8:$H$158,4,FALSE),9),1))</f>
        <v/>
      </c>
      <c r="BG110" s="255"/>
      <c r="BH110" s="432" t="str">
        <f>IF(LEN(VLOOKUP(AA108,suvaha!$D$8:$H$158,4,FALSE))&lt;8,"",LEFT(RIGHT(VLOOKUP(AA108,suvaha!$D$8:$H$158,4,FALSE),8),1))</f>
        <v/>
      </c>
      <c r="BI110" s="434"/>
      <c r="BJ110" s="432" t="str">
        <f>IF(LEN(VLOOKUP(AA108,suvaha!$D$8:$H$158,4,FALSE))&lt;7,"",LEFT(RIGHT(VLOOKUP(AA108,suvaha!$D$8:$H$158,4,FALSE),7),1))</f>
        <v/>
      </c>
      <c r="BK110" s="818"/>
      <c r="BL110" s="432" t="str">
        <f>IF(LEN(VLOOKUP(AA108,suvaha!$D$8:$H$158,4,FALSE))&lt;6,"",LEFT(RIGHT(VLOOKUP(AA108,suvaha!$D$8:$H$158,4,FALSE),6),1))</f>
        <v/>
      </c>
      <c r="BM110" s="434"/>
      <c r="BN110" s="432" t="str">
        <f>IF(LEN(VLOOKUP(AA108,suvaha!$D$8:$H$158,4,FALSE))&lt;5,"",LEFT(RIGHT(VLOOKUP(AA108,suvaha!$D$8:$H$158,4,FALSE),5),1))</f>
        <v/>
      </c>
      <c r="BO110" s="434"/>
      <c r="BP110" s="432" t="str">
        <f>IF(LEN(VLOOKUP(AA108,suvaha!$D$8:$H$158,4,FALSE))&lt;4,"",LEFT(RIGHT(VLOOKUP(AA108,suvaha!$D$8:$H$158,4,FALSE),4),1))</f>
        <v/>
      </c>
      <c r="BQ110" s="818"/>
      <c r="BR110" s="432" t="str">
        <f>IF(LEN(VLOOKUP(AA108,suvaha!$D$8:$H$158,4,FALSE))&lt;3,"",LEFT(RIGHT(VLOOKUP(AA108,suvaha!$D$8:$H$158,4,FALSE),3),1))</f>
        <v/>
      </c>
      <c r="BS110" s="434"/>
      <c r="BT110" s="432" t="str">
        <f>IF(LEN(VLOOKUP(AA108,suvaha!$D$8:$H$158,4,FALSE))&lt;2,"",LEFT(RIGHT(VLOOKUP(AA108,suvaha!$D$8:$H$158,4,FALSE),2),1))</f>
        <v/>
      </c>
      <c r="BU110" s="434"/>
      <c r="BV110" s="432" t="str">
        <f>IF(VLOOKUP(AA108,suvaha!$D$8:$H$85,4,FALSE)=0,"",IF(LEN(VLOOKUP(AA108,suvaha!$D$8:$H$158,4,FALSE))&lt;1,"",LEFT(RIGHT(VLOOKUP(AA108,suvaha!$D$8:$H$158,4,FALSE),1),1)))</f>
        <v/>
      </c>
      <c r="BW110" s="441"/>
      <c r="BX110" s="442"/>
      <c r="BY110" s="442"/>
      <c r="BZ110" s="442"/>
      <c r="CA110" s="442"/>
      <c r="CB110" s="442"/>
      <c r="CC110" s="442"/>
      <c r="CD110" s="442"/>
      <c r="CE110" s="442"/>
      <c r="CF110" s="442"/>
      <c r="CG110" s="285"/>
    </row>
    <row r="111" spans="1:85" ht="3" customHeight="1">
      <c r="A111" s="220"/>
      <c r="B111" s="879"/>
      <c r="C111" s="879"/>
      <c r="D111" s="879"/>
      <c r="E111" s="877"/>
      <c r="F111" s="877"/>
      <c r="G111" s="862"/>
      <c r="H111" s="864"/>
      <c r="I111" s="864"/>
      <c r="J111" s="864"/>
      <c r="K111" s="864"/>
      <c r="L111" s="864"/>
      <c r="M111" s="864"/>
      <c r="N111" s="864"/>
      <c r="O111" s="864"/>
      <c r="P111" s="864"/>
      <c r="Q111" s="864"/>
      <c r="R111" s="864"/>
      <c r="S111" s="864"/>
      <c r="T111" s="864"/>
      <c r="U111" s="864"/>
      <c r="V111" s="864"/>
      <c r="W111" s="864"/>
      <c r="X111" s="864"/>
      <c r="Y111" s="864"/>
      <c r="Z111" s="864"/>
      <c r="AA111" s="866"/>
      <c r="AB111" s="866"/>
      <c r="AC111" s="866"/>
      <c r="AD111" s="845"/>
      <c r="AE111" s="845"/>
      <c r="AF111" s="845"/>
      <c r="AG111" s="845"/>
      <c r="AH111" s="845"/>
      <c r="AI111" s="845"/>
      <c r="AJ111" s="845"/>
      <c r="AK111" s="845"/>
      <c r="AL111" s="845"/>
      <c r="AM111" s="845"/>
      <c r="AN111" s="845"/>
      <c r="AO111" s="845"/>
      <c r="AP111" s="845"/>
      <c r="AQ111" s="845"/>
      <c r="AR111" s="845"/>
      <c r="AS111" s="845"/>
      <c r="AT111" s="845"/>
      <c r="AU111" s="845"/>
      <c r="AV111" s="845"/>
      <c r="AW111" s="845"/>
      <c r="AX111" s="845"/>
      <c r="AY111" s="845"/>
      <c r="AZ111" s="845"/>
      <c r="BA111" s="846"/>
      <c r="BB111" s="846"/>
      <c r="BC111" s="846"/>
      <c r="BD111" s="846"/>
      <c r="BE111" s="846"/>
      <c r="BF111" s="846"/>
      <c r="BG111" s="846"/>
      <c r="BH111" s="846"/>
      <c r="BI111" s="846"/>
      <c r="BJ111" s="846"/>
      <c r="BK111" s="846"/>
      <c r="BL111" s="846"/>
      <c r="BM111" s="846"/>
      <c r="BN111" s="846"/>
      <c r="BO111" s="846"/>
      <c r="BP111" s="846"/>
      <c r="BQ111" s="846"/>
      <c r="BR111" s="310"/>
      <c r="BS111" s="310"/>
      <c r="BT111" s="310"/>
      <c r="BU111" s="310"/>
      <c r="BV111" s="310"/>
      <c r="BW111" s="443"/>
      <c r="BX111" s="310"/>
      <c r="BY111" s="310"/>
      <c r="BZ111" s="310"/>
      <c r="CA111" s="310"/>
      <c r="CB111" s="310"/>
      <c r="CC111" s="310"/>
      <c r="CD111" s="310"/>
      <c r="CE111" s="310"/>
      <c r="CF111" s="310"/>
      <c r="CG111" s="286"/>
    </row>
    <row r="112" spans="1:85" ht="3" customHeight="1">
      <c r="A112" s="220"/>
      <c r="B112" s="879"/>
      <c r="C112" s="879"/>
      <c r="D112" s="879"/>
      <c r="E112" s="877"/>
      <c r="F112" s="877"/>
      <c r="G112" s="862"/>
      <c r="H112" s="864"/>
      <c r="I112" s="864"/>
      <c r="J112" s="864"/>
      <c r="K112" s="864"/>
      <c r="L112" s="864"/>
      <c r="M112" s="864"/>
      <c r="N112" s="864"/>
      <c r="O112" s="864"/>
      <c r="P112" s="864"/>
      <c r="Q112" s="864"/>
      <c r="R112" s="864"/>
      <c r="S112" s="864"/>
      <c r="T112" s="864"/>
      <c r="U112" s="864"/>
      <c r="V112" s="864"/>
      <c r="W112" s="864"/>
      <c r="X112" s="864"/>
      <c r="Y112" s="864"/>
      <c r="Z112" s="864"/>
      <c r="AA112" s="866"/>
      <c r="AB112" s="866"/>
      <c r="AC112" s="866"/>
      <c r="AD112" s="825"/>
      <c r="AE112" s="825"/>
      <c r="AF112" s="825"/>
      <c r="AG112" s="825"/>
      <c r="AH112" s="825"/>
      <c r="AI112" s="825"/>
      <c r="AJ112" s="825"/>
      <c r="AK112" s="825"/>
      <c r="AL112" s="825"/>
      <c r="AM112" s="825"/>
      <c r="AN112" s="825"/>
      <c r="AO112" s="825"/>
      <c r="AP112" s="825"/>
      <c r="AQ112" s="825"/>
      <c r="AR112" s="825"/>
      <c r="AS112" s="825"/>
      <c r="AT112" s="825"/>
      <c r="AU112" s="825"/>
      <c r="AV112" s="825"/>
      <c r="AW112" s="825"/>
      <c r="AX112" s="825"/>
      <c r="AY112" s="825"/>
      <c r="AZ112" s="825"/>
      <c r="BA112" s="447"/>
      <c r="BB112" s="304"/>
      <c r="BC112" s="304"/>
      <c r="BD112" s="304"/>
      <c r="BE112" s="304"/>
      <c r="BF112" s="304"/>
      <c r="BG112" s="304"/>
      <c r="BH112" s="304"/>
      <c r="BI112" s="304"/>
      <c r="BJ112" s="446"/>
      <c r="BK112" s="304"/>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284"/>
    </row>
    <row r="113" spans="1:86" ht="3" customHeight="1">
      <c r="A113" s="220"/>
      <c r="B113" s="879"/>
      <c r="C113" s="879"/>
      <c r="D113" s="879"/>
      <c r="E113" s="877"/>
      <c r="F113" s="877"/>
      <c r="G113" s="862"/>
      <c r="H113" s="864"/>
      <c r="I113" s="864"/>
      <c r="J113" s="864"/>
      <c r="K113" s="864"/>
      <c r="L113" s="864"/>
      <c r="M113" s="864"/>
      <c r="N113" s="864"/>
      <c r="O113" s="864"/>
      <c r="P113" s="864"/>
      <c r="Q113" s="864"/>
      <c r="R113" s="864"/>
      <c r="S113" s="864"/>
      <c r="T113" s="864"/>
      <c r="U113" s="864"/>
      <c r="V113" s="864"/>
      <c r="W113" s="864"/>
      <c r="X113" s="864"/>
      <c r="Y113" s="864"/>
      <c r="Z113" s="864"/>
      <c r="AA113" s="866"/>
      <c r="AB113" s="866"/>
      <c r="AC113" s="866"/>
      <c r="AD113" s="826"/>
      <c r="AE113" s="820"/>
      <c r="AF113" s="820"/>
      <c r="AG113" s="820"/>
      <c r="AH113" s="435"/>
      <c r="AI113" s="821"/>
      <c r="AJ113" s="821"/>
      <c r="AK113" s="821"/>
      <c r="AL113" s="821"/>
      <c r="AM113" s="821"/>
      <c r="AN113" s="818"/>
      <c r="AO113" s="822"/>
      <c r="AP113" s="822"/>
      <c r="AQ113" s="822"/>
      <c r="AR113" s="822"/>
      <c r="AS113" s="822"/>
      <c r="AT113" s="818"/>
      <c r="AU113" s="822"/>
      <c r="AV113" s="822"/>
      <c r="AW113" s="822"/>
      <c r="AX113" s="822"/>
      <c r="AY113" s="822"/>
      <c r="AZ113" s="827"/>
      <c r="BA113" s="448"/>
      <c r="BB113" s="442"/>
      <c r="BC113" s="442"/>
      <c r="BD113" s="442"/>
      <c r="BE113" s="442"/>
      <c r="BF113" s="442"/>
      <c r="BG113" s="442"/>
      <c r="BH113" s="442"/>
      <c r="BI113" s="442"/>
      <c r="BJ113" s="441"/>
      <c r="BK113" s="442"/>
      <c r="BL113" s="820"/>
      <c r="BM113" s="820"/>
      <c r="BN113" s="820"/>
      <c r="BO113" s="435"/>
      <c r="BP113" s="821"/>
      <c r="BQ113" s="821"/>
      <c r="BR113" s="821"/>
      <c r="BS113" s="821"/>
      <c r="BT113" s="821"/>
      <c r="BU113" s="818"/>
      <c r="BV113" s="822"/>
      <c r="BW113" s="822"/>
      <c r="BX113" s="822"/>
      <c r="BY113" s="822"/>
      <c r="BZ113" s="822"/>
      <c r="CA113" s="818"/>
      <c r="CB113" s="822"/>
      <c r="CC113" s="822"/>
      <c r="CD113" s="822"/>
      <c r="CE113" s="822"/>
      <c r="CF113" s="822"/>
      <c r="CG113" s="287"/>
    </row>
    <row r="114" spans="1:86" ht="15" customHeight="1">
      <c r="A114" s="220"/>
      <c r="B114" s="879"/>
      <c r="C114" s="879"/>
      <c r="D114" s="879"/>
      <c r="E114" s="877"/>
      <c r="F114" s="877"/>
      <c r="G114" s="862"/>
      <c r="H114" s="864"/>
      <c r="I114" s="864"/>
      <c r="J114" s="864"/>
      <c r="K114" s="864"/>
      <c r="L114" s="864"/>
      <c r="M114" s="864"/>
      <c r="N114" s="864"/>
      <c r="O114" s="864"/>
      <c r="P114" s="864"/>
      <c r="Q114" s="864"/>
      <c r="R114" s="864"/>
      <c r="S114" s="864"/>
      <c r="T114" s="864"/>
      <c r="U114" s="864"/>
      <c r="V114" s="864"/>
      <c r="W114" s="864"/>
      <c r="X114" s="864"/>
      <c r="Y114" s="864"/>
      <c r="Z114" s="864"/>
      <c r="AA114" s="866"/>
      <c r="AB114" s="866"/>
      <c r="AC114" s="866"/>
      <c r="AD114" s="826"/>
      <c r="AE114" s="432" t="str">
        <f>IF(LEN(VLOOKUP(AA108,suvaha!$D$8:$H$158,3,FALSE))&lt;11,"",LEFT(RIGHT(VLOOKUP(AA108,suvaha!$D$8:$H$158,3,FALSE),11),1))</f>
        <v/>
      </c>
      <c r="AF114" s="255"/>
      <c r="AG114" s="432" t="str">
        <f>IF(LEN(VLOOKUP(AA108,suvaha!$D$8:$H$158,3,FALSE))&lt;10,"",LEFT(RIGHT(VLOOKUP(AA108,suvaha!$D$8:$H$158,3,FALSE),10),1))</f>
        <v/>
      </c>
      <c r="AH114" s="434"/>
      <c r="AI114" s="432" t="str">
        <f>IF(LEN(VLOOKUP(AA108,suvaha!$D$8:$H$158,3,FALSE))&lt;9,"",LEFT(RIGHT(VLOOKUP(AA108,suvaha!$D$8:$H$158,3,FALSE),9),1))</f>
        <v/>
      </c>
      <c r="AJ114" s="255"/>
      <c r="AK114" s="432" t="str">
        <f>IF(LEN(VLOOKUP(AA108,suvaha!$D$8:$H$158,3,FALSE))&lt;8,"",LEFT(RIGHT(VLOOKUP(AA108,suvaha!$D$8:$H$158,3,FALSE),8),1))</f>
        <v/>
      </c>
      <c r="AL114" s="434"/>
      <c r="AM114" s="432" t="str">
        <f>IF(LEN(VLOOKUP(AA108,suvaha!$D$8:$H$158,3,FALSE))&lt;7,"",LEFT(RIGHT(VLOOKUP(AA108,suvaha!$D$8:$H$158,3,FALSE),7),1))</f>
        <v/>
      </c>
      <c r="AN114" s="818"/>
      <c r="AO114" s="432" t="str">
        <f>IF(LEN(VLOOKUP(AA108,suvaha!$D$8:$H$158,3,FALSE))&lt;6,"",LEFT(RIGHT(VLOOKUP(AA108,suvaha!$D$8:$H$158,3,FALSE),6),1))</f>
        <v/>
      </c>
      <c r="AP114" s="434"/>
      <c r="AQ114" s="432" t="str">
        <f>IF(LEN(VLOOKUP(AA108,suvaha!$D$8:$H$158,3,FALSE))&lt;5,"",LEFT(RIGHT(VLOOKUP(AA108,suvaha!$D$8:$H$158,3,FALSE),5),1))</f>
        <v/>
      </c>
      <c r="AR114" s="434"/>
      <c r="AS114" s="432" t="str">
        <f>IF(LEN(VLOOKUP(AA108,suvaha!$D$8:$H$158,3,FALSE))&lt;4,"",LEFT(RIGHT(VLOOKUP(AA108,suvaha!$D$8:$H$158,3,FALSE),4),1))</f>
        <v/>
      </c>
      <c r="AT114" s="818"/>
      <c r="AU114" s="432" t="str">
        <f>IF(LEN(VLOOKUP(AA108,suvaha!$D$8:$H$158,3,FALSE))&lt;3,"",LEFT(RIGHT(VLOOKUP(AA108,suvaha!$D$8:$H$158,3,FALSE),3),1))</f>
        <v/>
      </c>
      <c r="AV114" s="434"/>
      <c r="AW114" s="432" t="str">
        <f>IF(LEN(VLOOKUP(AA108,suvaha!$D$8:$H$158,3,FALSE))&lt;2,"",LEFT(RIGHT(VLOOKUP(AA108,suvaha!$D$8:$H$158,3,FALSE),2),1))</f>
        <v/>
      </c>
      <c r="AX114" s="434"/>
      <c r="AY114" s="432" t="str">
        <f>IF(VLOOKUP(AA108,suvaha!$D$8:$H$85,3,FALSE)=0,"",IF(LEN(VLOOKUP(AA108,suvaha!$D$8:$H$158,3,FALSE))&lt;1,"",LEFT(RIGHT(VLOOKUP(AA108,suvaha!$D$8:$H$158,3,FALSE),1),1)))</f>
        <v/>
      </c>
      <c r="AZ114" s="827"/>
      <c r="BA114" s="448"/>
      <c r="BB114" s="442"/>
      <c r="BC114" s="442"/>
      <c r="BD114" s="442"/>
      <c r="BE114" s="442"/>
      <c r="BF114" s="442"/>
      <c r="BG114" s="442"/>
      <c r="BH114" s="442"/>
      <c r="BI114" s="442"/>
      <c r="BJ114" s="441"/>
      <c r="BK114" s="442"/>
      <c r="BL114" s="432" t="str">
        <f>IF(LEN(VLOOKUP(AA108,suvaha!$D$8:$H$158,5,FALSE))&lt;11,"",LEFT(RIGHT(VLOOKUP(AA108,suvaha!$D$8:$H$158,5,FALSE),11),1))</f>
        <v/>
      </c>
      <c r="BM114" s="255"/>
      <c r="BN114" s="432" t="str">
        <f>IF(LEN(VLOOKUP(AA108,suvaha!$D$8:$H$158,5,FALSE))&lt;10,"",LEFT(RIGHT(VLOOKUP(AA108,suvaha!$D$8:$H$158,5,FALSE),10),1))</f>
        <v/>
      </c>
      <c r="BO114" s="434"/>
      <c r="BP114" s="432" t="str">
        <f>IF(LEN(VLOOKUP(AA108,suvaha!$D$8:$H$158,5,FALSE))&lt;9,"",LEFT(RIGHT(VLOOKUP(AA108,suvaha!$D$8:$H$158,5,FALSE),9),1))</f>
        <v/>
      </c>
      <c r="BQ114" s="255"/>
      <c r="BR114" s="432" t="str">
        <f>IF(LEN(VLOOKUP(AA108,suvaha!$D$8:$H$158,5,FALSE))&lt;8,"",LEFT(RIGHT(VLOOKUP(AA108,suvaha!$D$8:$H$158,5,FALSE),8),1))</f>
        <v/>
      </c>
      <c r="BS114" s="434"/>
      <c r="BT114" s="432" t="str">
        <f>IF(LEN(VLOOKUP(AA108,suvaha!$D$8:$H$158,5,FALSE))&lt;7,"",LEFT(RIGHT(VLOOKUP(AA108,suvaha!$D$8:$H$158,5,FALSE),7),1))</f>
        <v/>
      </c>
      <c r="BU114" s="818"/>
      <c r="BV114" s="432" t="str">
        <f>IF(LEN(VLOOKUP(AA108,suvaha!$D$8:$H$158,5,FALSE))&lt;6,"",LEFT(RIGHT(VLOOKUP(AA108,suvaha!$D$8:$H$158,5,FALSE),6),1))</f>
        <v/>
      </c>
      <c r="BW114" s="434"/>
      <c r="BX114" s="432" t="str">
        <f>IF(LEN(VLOOKUP(AA108,suvaha!$D$8:$H$158,5,FALSE))&lt;5,"",LEFT(RIGHT(VLOOKUP(AA108,suvaha!$D$8:$H$158,5,FALSE),5),1))</f>
        <v/>
      </c>
      <c r="BY114" s="434"/>
      <c r="BZ114" s="432" t="str">
        <f>IF(LEN(VLOOKUP(AA108,suvaha!$D$8:$H$158,5,FALSE))&lt;4,"",LEFT(RIGHT(VLOOKUP(AA108,suvaha!$D$8:$H$158,5,FALSE),4),1))</f>
        <v/>
      </c>
      <c r="CA114" s="818"/>
      <c r="CB114" s="432" t="str">
        <f>IF(LEN(VLOOKUP(AA108,suvaha!$D$8:$H$158,5,FALSE))&lt;3,"",LEFT(RIGHT(VLOOKUP(AA108,suvaha!$D$8:$H$158,5,FALSE),3),1))</f>
        <v/>
      </c>
      <c r="CC114" s="434"/>
      <c r="CD114" s="432" t="str">
        <f>IF(LEN(VLOOKUP(AA108,suvaha!$D$8:$H$158,5,FALSE))&lt;2,"",LEFT(RIGHT(VLOOKUP(AA108,suvaha!$D$8:$H$158,5,FALSE),2),1))</f>
        <v/>
      </c>
      <c r="CE114" s="434"/>
      <c r="CF114" s="432" t="str">
        <f>IF(VLOOKUP(AA108,suvaha!$D$8:$H$85,5,FALSE)=0,"",IF(LEN(VLOOKUP(AA108,suvaha!$D$8:$H$158,5,FALSE))&lt;1,"",LEFT(RIGHT(VLOOKUP(AA108,suvaha!$D$8:$H$158,5,FALSE),1),1)))</f>
        <v/>
      </c>
      <c r="CG114" s="287"/>
    </row>
    <row r="115" spans="1:86" ht="3" customHeight="1">
      <c r="A115" s="220"/>
      <c r="B115" s="879"/>
      <c r="C115" s="879"/>
      <c r="D115" s="879"/>
      <c r="E115" s="877"/>
      <c r="F115" s="877"/>
      <c r="G115" s="862"/>
      <c r="H115" s="864"/>
      <c r="I115" s="864"/>
      <c r="J115" s="864"/>
      <c r="K115" s="864"/>
      <c r="L115" s="864"/>
      <c r="M115" s="864"/>
      <c r="N115" s="864"/>
      <c r="O115" s="864"/>
      <c r="P115" s="864"/>
      <c r="Q115" s="864"/>
      <c r="R115" s="864"/>
      <c r="S115" s="864"/>
      <c r="T115" s="864"/>
      <c r="U115" s="864"/>
      <c r="V115" s="864"/>
      <c r="W115" s="864"/>
      <c r="X115" s="864"/>
      <c r="Y115" s="864"/>
      <c r="Z115" s="864"/>
      <c r="AA115" s="866"/>
      <c r="AB115" s="866"/>
      <c r="AC115" s="866"/>
      <c r="AD115" s="848"/>
      <c r="AE115" s="848"/>
      <c r="AF115" s="848"/>
      <c r="AG115" s="848"/>
      <c r="AH115" s="848"/>
      <c r="AI115" s="848"/>
      <c r="AJ115" s="848"/>
      <c r="AK115" s="848"/>
      <c r="AL115" s="848"/>
      <c r="AM115" s="848"/>
      <c r="AN115" s="848"/>
      <c r="AO115" s="848"/>
      <c r="AP115" s="848"/>
      <c r="AQ115" s="848"/>
      <c r="AR115" s="848"/>
      <c r="AS115" s="848"/>
      <c r="AT115" s="848"/>
      <c r="AU115" s="848"/>
      <c r="AV115" s="848"/>
      <c r="AW115" s="848"/>
      <c r="AX115" s="848"/>
      <c r="AY115" s="848"/>
      <c r="AZ115" s="848"/>
      <c r="BA115" s="261"/>
      <c r="BB115" s="256"/>
      <c r="BC115" s="256"/>
      <c r="BD115" s="256"/>
      <c r="BE115" s="256"/>
      <c r="BF115" s="256"/>
      <c r="BG115" s="256"/>
      <c r="BH115" s="256"/>
      <c r="BI115" s="256"/>
      <c r="BJ115" s="257"/>
      <c r="BK115" s="256"/>
      <c r="BL115" s="256"/>
      <c r="BM115" s="256"/>
      <c r="BN115" s="256"/>
      <c r="BO115" s="256"/>
      <c r="BP115" s="256"/>
      <c r="BQ115" s="256"/>
      <c r="BR115" s="256"/>
      <c r="BS115" s="256"/>
      <c r="BT115" s="256"/>
      <c r="BU115" s="256"/>
      <c r="BV115" s="256"/>
      <c r="BW115" s="256"/>
      <c r="BX115" s="256"/>
      <c r="BY115" s="256"/>
      <c r="BZ115" s="256"/>
      <c r="CA115" s="256"/>
      <c r="CB115" s="256"/>
      <c r="CC115" s="256"/>
      <c r="CD115" s="256"/>
      <c r="CE115" s="256"/>
      <c r="CF115" s="256"/>
      <c r="CG115" s="286"/>
    </row>
    <row r="116" spans="1:86" s="250" customFormat="1" ht="3" customHeight="1" thickBot="1">
      <c r="A116" s="220"/>
      <c r="B116" s="879"/>
      <c r="C116" s="879"/>
      <c r="D116" s="879"/>
      <c r="E116" s="937" t="s">
        <v>1547</v>
      </c>
      <c r="F116" s="937"/>
      <c r="G116" s="835"/>
      <c r="H116" s="838" t="str">
        <f>Index!C79</f>
        <v>Dlhové cenné papiere a ostatný dlhodobý finančný majetok (065A, 069A, 06XA) - 096A</v>
      </c>
      <c r="I116" s="838"/>
      <c r="J116" s="838"/>
      <c r="K116" s="838"/>
      <c r="L116" s="838"/>
      <c r="M116" s="838"/>
      <c r="N116" s="838"/>
      <c r="O116" s="838"/>
      <c r="P116" s="838"/>
      <c r="Q116" s="838"/>
      <c r="R116" s="838"/>
      <c r="S116" s="838"/>
      <c r="T116" s="838"/>
      <c r="U116" s="838"/>
      <c r="V116" s="838"/>
      <c r="W116" s="838"/>
      <c r="X116" s="838"/>
      <c r="Y116" s="838"/>
      <c r="Z116" s="838"/>
      <c r="AA116" s="866" t="s">
        <v>1571</v>
      </c>
      <c r="AB116" s="866"/>
      <c r="AC116" s="866"/>
      <c r="AD116" s="843"/>
      <c r="AE116" s="843"/>
      <c r="AF116" s="843"/>
      <c r="AG116" s="843"/>
      <c r="AH116" s="843"/>
      <c r="AI116" s="843"/>
      <c r="AJ116" s="843"/>
      <c r="AK116" s="843"/>
      <c r="AL116" s="843"/>
      <c r="AM116" s="843"/>
      <c r="AN116" s="843"/>
      <c r="AO116" s="843"/>
      <c r="AP116" s="843"/>
      <c r="AQ116" s="843"/>
      <c r="AR116" s="843"/>
      <c r="AS116" s="843"/>
      <c r="AT116" s="843"/>
      <c r="AU116" s="843"/>
      <c r="AV116" s="843"/>
      <c r="AW116" s="843"/>
      <c r="AX116" s="843"/>
      <c r="AY116" s="843"/>
      <c r="AZ116" s="843"/>
      <c r="BA116" s="844"/>
      <c r="BB116" s="844"/>
      <c r="BC116" s="844"/>
      <c r="BD116" s="844"/>
      <c r="BE116" s="844"/>
      <c r="BF116" s="844"/>
      <c r="BG116" s="844"/>
      <c r="BH116" s="844"/>
      <c r="BI116" s="844"/>
      <c r="BJ116" s="844"/>
      <c r="BK116" s="844"/>
      <c r="BL116" s="844"/>
      <c r="BM116" s="844"/>
      <c r="BN116" s="844"/>
      <c r="BO116" s="844"/>
      <c r="BP116" s="844"/>
      <c r="BQ116" s="844"/>
      <c r="BR116" s="251"/>
      <c r="BS116" s="251"/>
      <c r="BT116" s="251"/>
      <c r="BU116" s="251"/>
      <c r="BV116" s="251"/>
      <c r="BW116" s="252"/>
      <c r="BX116" s="251"/>
      <c r="BY116" s="251"/>
      <c r="BZ116" s="251"/>
      <c r="CA116" s="251"/>
      <c r="CB116" s="251"/>
      <c r="CC116" s="251"/>
      <c r="CD116" s="251"/>
      <c r="CE116" s="251"/>
      <c r="CF116" s="251"/>
      <c r="CG116" s="284"/>
    </row>
    <row r="117" spans="1:86" s="250" customFormat="1" ht="3" customHeight="1" thickBot="1">
      <c r="A117" s="220"/>
      <c r="B117" s="879"/>
      <c r="C117" s="879"/>
      <c r="D117" s="879"/>
      <c r="E117" s="937"/>
      <c r="F117" s="937"/>
      <c r="G117" s="835"/>
      <c r="H117" s="838"/>
      <c r="I117" s="838"/>
      <c r="J117" s="838"/>
      <c r="K117" s="838"/>
      <c r="L117" s="838"/>
      <c r="M117" s="838"/>
      <c r="N117" s="838"/>
      <c r="O117" s="838"/>
      <c r="P117" s="838"/>
      <c r="Q117" s="838"/>
      <c r="R117" s="838"/>
      <c r="S117" s="838"/>
      <c r="T117" s="838"/>
      <c r="U117" s="838"/>
      <c r="V117" s="838"/>
      <c r="W117" s="838"/>
      <c r="X117" s="838"/>
      <c r="Y117" s="838"/>
      <c r="Z117" s="838"/>
      <c r="AA117" s="866"/>
      <c r="AB117" s="866"/>
      <c r="AC117" s="866"/>
      <c r="AD117" s="826"/>
      <c r="AE117" s="820"/>
      <c r="AF117" s="820"/>
      <c r="AG117" s="820"/>
      <c r="AH117" s="435"/>
      <c r="AI117" s="821"/>
      <c r="AJ117" s="821"/>
      <c r="AK117" s="821"/>
      <c r="AL117" s="821"/>
      <c r="AM117" s="821"/>
      <c r="AN117" s="818"/>
      <c r="AO117" s="822"/>
      <c r="AP117" s="822"/>
      <c r="AQ117" s="822"/>
      <c r="AR117" s="822"/>
      <c r="AS117" s="822"/>
      <c r="AT117" s="818"/>
      <c r="AU117" s="822"/>
      <c r="AV117" s="822"/>
      <c r="AW117" s="822"/>
      <c r="AX117" s="822"/>
      <c r="AY117" s="822"/>
      <c r="AZ117" s="827"/>
      <c r="BA117" s="826"/>
      <c r="BB117" s="820"/>
      <c r="BC117" s="820"/>
      <c r="BD117" s="820"/>
      <c r="BE117" s="435"/>
      <c r="BF117" s="821"/>
      <c r="BG117" s="821"/>
      <c r="BH117" s="821"/>
      <c r="BI117" s="821"/>
      <c r="BJ117" s="821"/>
      <c r="BK117" s="818"/>
      <c r="BL117" s="822"/>
      <c r="BM117" s="822"/>
      <c r="BN117" s="822"/>
      <c r="BO117" s="822"/>
      <c r="BP117" s="822"/>
      <c r="BQ117" s="818"/>
      <c r="BR117" s="822"/>
      <c r="BS117" s="822"/>
      <c r="BT117" s="822"/>
      <c r="BU117" s="822"/>
      <c r="BV117" s="822"/>
      <c r="BW117" s="441"/>
      <c r="BX117" s="442"/>
      <c r="BY117" s="442"/>
      <c r="BZ117" s="442"/>
      <c r="CA117" s="442"/>
      <c r="CB117" s="442"/>
      <c r="CC117" s="442"/>
      <c r="CD117" s="442"/>
      <c r="CE117" s="442"/>
      <c r="CF117" s="442"/>
      <c r="CG117" s="285"/>
    </row>
    <row r="118" spans="1:86" ht="15" customHeight="1" thickBot="1">
      <c r="A118" s="220"/>
      <c r="B118" s="879"/>
      <c r="C118" s="879"/>
      <c r="D118" s="879"/>
      <c r="E118" s="937"/>
      <c r="F118" s="937"/>
      <c r="G118" s="835"/>
      <c r="H118" s="838"/>
      <c r="I118" s="838"/>
      <c r="J118" s="838"/>
      <c r="K118" s="838"/>
      <c r="L118" s="838"/>
      <c r="M118" s="838"/>
      <c r="N118" s="838"/>
      <c r="O118" s="838"/>
      <c r="P118" s="838"/>
      <c r="Q118" s="838"/>
      <c r="R118" s="838"/>
      <c r="S118" s="838"/>
      <c r="T118" s="838"/>
      <c r="U118" s="838"/>
      <c r="V118" s="838"/>
      <c r="W118" s="838"/>
      <c r="X118" s="838"/>
      <c r="Y118" s="838"/>
      <c r="Z118" s="838"/>
      <c r="AA118" s="866"/>
      <c r="AB118" s="866"/>
      <c r="AC118" s="866"/>
      <c r="AD118" s="826"/>
      <c r="AE118" s="432" t="str">
        <f>IF(LEN(VLOOKUP(AA116,suvaha!$D$8:$H$158,2,FALSE))&lt;11,"",LEFT(RIGHT(VLOOKUP(AA116,suvaha!$D$8:$H$158,2,FALSE),11),1))</f>
        <v/>
      </c>
      <c r="AF118" s="255"/>
      <c r="AG118" s="432" t="str">
        <f>IF(LEN(VLOOKUP(AA116,suvaha!$D$8:$H$158,2,FALSE))&lt;10,"",LEFT(RIGHT(VLOOKUP(AA116,suvaha!$D$8:$H$158,2,FALSE),10),1))</f>
        <v/>
      </c>
      <c r="AH118" s="434"/>
      <c r="AI118" s="432" t="str">
        <f>IF(LEN(VLOOKUP(AA116,suvaha!$D$8:$H$158,2,FALSE))&lt;9,"",LEFT(RIGHT(VLOOKUP(AA116,suvaha!$D$8:$H$158,2,FALSE),9),1))</f>
        <v/>
      </c>
      <c r="AJ118" s="255"/>
      <c r="AK118" s="432" t="str">
        <f>IF(LEN(VLOOKUP(AA116,suvaha!$D$8:$H$158,2,FALSE))&lt;8,"",LEFT(RIGHT(VLOOKUP(AA116,suvaha!$D$8:$H$158,2,FALSE),8),1))</f>
        <v/>
      </c>
      <c r="AL118" s="434"/>
      <c r="AM118" s="432" t="str">
        <f>IF(LEN(VLOOKUP(AA116,suvaha!$D$8:$H$158,2,FALSE))&lt;7,"",LEFT(RIGHT(VLOOKUP(AA116,suvaha!$D$8:$H$158,2,FALSE),7),1))</f>
        <v/>
      </c>
      <c r="AN118" s="818"/>
      <c r="AO118" s="432" t="str">
        <f>IF(LEN(VLOOKUP(AA116,suvaha!$D$8:$H$158,2,FALSE))&lt;6,"",LEFT(RIGHT(VLOOKUP(AA116,suvaha!$D$8:$H$158,2,FALSE),6),1))</f>
        <v/>
      </c>
      <c r="AP118" s="434"/>
      <c r="AQ118" s="432" t="str">
        <f>IF(LEN(VLOOKUP(AA116,suvaha!$D$8:$H$158,2,FALSE))&lt;5,"",LEFT(RIGHT(VLOOKUP(AA116,suvaha!$D$8:$H$158,2,FALSE),5),1))</f>
        <v/>
      </c>
      <c r="AR118" s="434"/>
      <c r="AS118" s="432" t="str">
        <f>IF(LEN(VLOOKUP(AA116,suvaha!$D$8:$H$158,2,FALSE))&lt;4,"",LEFT(RIGHT(VLOOKUP(AA116,suvaha!$D$8:$H$158,2,FALSE),4),1))</f>
        <v/>
      </c>
      <c r="AT118" s="818"/>
      <c r="AU118" s="432" t="str">
        <f>IF(LEN(VLOOKUP(AA116,suvaha!$D$8:$H$158,2,FALSE))&lt;3,"",LEFT(RIGHT(VLOOKUP(AA116,suvaha!$D$8:$H$158,2,FALSE),3),1))</f>
        <v/>
      </c>
      <c r="AV118" s="434"/>
      <c r="AW118" s="432" t="str">
        <f>IF(LEN(VLOOKUP(AA116,suvaha!$D$8:$H$158,2,FALSE))&lt;2,"",LEFT(RIGHT(VLOOKUP(AA116,suvaha!$D$8:$H$158,2,FALSE),2),1))</f>
        <v/>
      </c>
      <c r="AX118" s="434"/>
      <c r="AY118" s="432" t="str">
        <f>IF(VLOOKUP(AA116,suvaha!$D$8:$H$85,2,FALSE)=0,"",IF(LEN(VLOOKUP(AA116,suvaha!$D$8:$H$158,2,FALSE))&lt;1,"",LEFT(RIGHT(VLOOKUP(AA116,suvaha!$D$8:$H$158,2,FALSE),1),1)))</f>
        <v/>
      </c>
      <c r="AZ118" s="827"/>
      <c r="BA118" s="826"/>
      <c r="BB118" s="432" t="str">
        <f>IF(LEN(VLOOKUP(AA116,suvaha!$D$8:$H$158,4,FALSE))&lt;11,"",LEFT(RIGHT(VLOOKUP(AA116,suvaha!$D$8:$H$158,4,FALSE),11),1))</f>
        <v/>
      </c>
      <c r="BC118" s="255"/>
      <c r="BD118" s="432" t="str">
        <f>IF(LEN(VLOOKUP(AA116,suvaha!$D$8:$H$158,4,FALSE))&lt;10,"",LEFT(RIGHT(VLOOKUP(AA116,suvaha!$D$8:$H$158,4,FALSE),10),1))</f>
        <v/>
      </c>
      <c r="BE118" s="434"/>
      <c r="BF118" s="432" t="str">
        <f>IF(LEN(VLOOKUP(AA116,suvaha!$D$8:$H$158,4,FALSE))&lt;9,"",LEFT(RIGHT(VLOOKUP(AA116,suvaha!$D$8:$H$158,4,FALSE),9),1))</f>
        <v/>
      </c>
      <c r="BG118" s="255"/>
      <c r="BH118" s="432" t="str">
        <f>IF(LEN(VLOOKUP(AA116,suvaha!$D$8:$H$158,4,FALSE))&lt;8,"",LEFT(RIGHT(VLOOKUP(AA116,suvaha!$D$8:$H$158,4,FALSE),8),1))</f>
        <v/>
      </c>
      <c r="BI118" s="434"/>
      <c r="BJ118" s="432" t="str">
        <f>IF(LEN(VLOOKUP(AA116,suvaha!$D$8:$H$158,4,FALSE))&lt;7,"",LEFT(RIGHT(VLOOKUP(AA116,suvaha!$D$8:$H$158,4,FALSE),7),1))</f>
        <v/>
      </c>
      <c r="BK118" s="818"/>
      <c r="BL118" s="432" t="str">
        <f>IF(LEN(VLOOKUP(AA116,suvaha!$D$8:$H$158,4,FALSE))&lt;6,"",LEFT(RIGHT(VLOOKUP(AA116,suvaha!$D$8:$H$158,4,FALSE),6),1))</f>
        <v/>
      </c>
      <c r="BM118" s="434"/>
      <c r="BN118" s="432" t="str">
        <f>IF(LEN(VLOOKUP(AA116,suvaha!$D$8:$H$158,4,FALSE))&lt;5,"",LEFT(RIGHT(VLOOKUP(AA116,suvaha!$D$8:$H$158,4,FALSE),5),1))</f>
        <v/>
      </c>
      <c r="BO118" s="434"/>
      <c r="BP118" s="432" t="str">
        <f>IF(LEN(VLOOKUP(AA116,suvaha!$D$8:$H$158,4,FALSE))&lt;4,"",LEFT(RIGHT(VLOOKUP(AA116,suvaha!$D$8:$H$158,4,FALSE),4),1))</f>
        <v/>
      </c>
      <c r="BQ118" s="818"/>
      <c r="BR118" s="432" t="str">
        <f>IF(LEN(VLOOKUP(AA116,suvaha!$D$8:$H$158,4,FALSE))&lt;3,"",LEFT(RIGHT(VLOOKUP(AA116,suvaha!$D$8:$H$158,4,FALSE),3),1))</f>
        <v/>
      </c>
      <c r="BS118" s="434"/>
      <c r="BT118" s="432" t="str">
        <f>IF(LEN(VLOOKUP(AA116,suvaha!$D$8:$H$158,4,FALSE))&lt;2,"",LEFT(RIGHT(VLOOKUP(AA116,suvaha!$D$8:$H$158,4,FALSE),2),1))</f>
        <v/>
      </c>
      <c r="BU118" s="434"/>
      <c r="BV118" s="432" t="str">
        <f>IF(VLOOKUP(AA116,suvaha!$D$8:$H$85,4,FALSE)=0,"",IF(LEN(VLOOKUP(AA116,suvaha!$D$8:$H$158,4,FALSE))&lt;1,"",LEFT(RIGHT(VLOOKUP(AA116,suvaha!$D$8:$H$158,4,FALSE),1),1)))</f>
        <v/>
      </c>
      <c r="BW118" s="441"/>
      <c r="BX118" s="442"/>
      <c r="BY118" s="442"/>
      <c r="BZ118" s="442"/>
      <c r="CA118" s="442"/>
      <c r="CB118" s="442"/>
      <c r="CC118" s="442"/>
      <c r="CD118" s="442"/>
      <c r="CE118" s="442"/>
      <c r="CF118" s="442"/>
      <c r="CG118" s="285"/>
    </row>
    <row r="119" spans="1:86" ht="3" customHeight="1" thickBot="1">
      <c r="A119" s="220"/>
      <c r="B119" s="879"/>
      <c r="C119" s="879"/>
      <c r="D119" s="879"/>
      <c r="E119" s="937"/>
      <c r="F119" s="937"/>
      <c r="G119" s="835"/>
      <c r="H119" s="838"/>
      <c r="I119" s="838"/>
      <c r="J119" s="838"/>
      <c r="K119" s="838"/>
      <c r="L119" s="838"/>
      <c r="M119" s="838"/>
      <c r="N119" s="838"/>
      <c r="O119" s="838"/>
      <c r="P119" s="838"/>
      <c r="Q119" s="838"/>
      <c r="R119" s="838"/>
      <c r="S119" s="838"/>
      <c r="T119" s="838"/>
      <c r="U119" s="838"/>
      <c r="V119" s="838"/>
      <c r="W119" s="838"/>
      <c r="X119" s="838"/>
      <c r="Y119" s="838"/>
      <c r="Z119" s="838"/>
      <c r="AA119" s="866"/>
      <c r="AB119" s="866"/>
      <c r="AC119" s="866"/>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6"/>
      <c r="BB119" s="846"/>
      <c r="BC119" s="846"/>
      <c r="BD119" s="846"/>
      <c r="BE119" s="846"/>
      <c r="BF119" s="846"/>
      <c r="BG119" s="846"/>
      <c r="BH119" s="846"/>
      <c r="BI119" s="846"/>
      <c r="BJ119" s="846"/>
      <c r="BK119" s="846"/>
      <c r="BL119" s="846"/>
      <c r="BM119" s="846"/>
      <c r="BN119" s="846"/>
      <c r="BO119" s="846"/>
      <c r="BP119" s="846"/>
      <c r="BQ119" s="846"/>
      <c r="BR119" s="310"/>
      <c r="BS119" s="310"/>
      <c r="BT119" s="310"/>
      <c r="BU119" s="310"/>
      <c r="BV119" s="310"/>
      <c r="BW119" s="443"/>
      <c r="BX119" s="310"/>
      <c r="BY119" s="310"/>
      <c r="BZ119" s="310"/>
      <c r="CA119" s="310"/>
      <c r="CB119" s="310"/>
      <c r="CC119" s="310"/>
      <c r="CD119" s="310"/>
      <c r="CE119" s="310"/>
      <c r="CF119" s="310"/>
      <c r="CG119" s="286"/>
    </row>
    <row r="120" spans="1:86" ht="3" customHeight="1" thickBot="1">
      <c r="A120" s="220"/>
      <c r="B120" s="879"/>
      <c r="C120" s="879"/>
      <c r="D120" s="879"/>
      <c r="E120" s="937"/>
      <c r="F120" s="937"/>
      <c r="G120" s="835"/>
      <c r="H120" s="838"/>
      <c r="I120" s="838"/>
      <c r="J120" s="838"/>
      <c r="K120" s="838"/>
      <c r="L120" s="838"/>
      <c r="M120" s="838"/>
      <c r="N120" s="838"/>
      <c r="O120" s="838"/>
      <c r="P120" s="838"/>
      <c r="Q120" s="838"/>
      <c r="R120" s="838"/>
      <c r="S120" s="838"/>
      <c r="T120" s="838"/>
      <c r="U120" s="838"/>
      <c r="V120" s="838"/>
      <c r="W120" s="838"/>
      <c r="X120" s="838"/>
      <c r="Y120" s="838"/>
      <c r="Z120" s="838"/>
      <c r="AA120" s="866"/>
      <c r="AB120" s="866"/>
      <c r="AC120" s="866"/>
      <c r="AD120" s="825"/>
      <c r="AE120" s="825"/>
      <c r="AF120" s="825"/>
      <c r="AG120" s="825"/>
      <c r="AH120" s="825"/>
      <c r="AI120" s="825"/>
      <c r="AJ120" s="825"/>
      <c r="AK120" s="825"/>
      <c r="AL120" s="825"/>
      <c r="AM120" s="825"/>
      <c r="AN120" s="825"/>
      <c r="AO120" s="825"/>
      <c r="AP120" s="825"/>
      <c r="AQ120" s="825"/>
      <c r="AR120" s="825"/>
      <c r="AS120" s="825"/>
      <c r="AT120" s="825"/>
      <c r="AU120" s="825"/>
      <c r="AV120" s="825"/>
      <c r="AW120" s="825"/>
      <c r="AX120" s="825"/>
      <c r="AY120" s="825"/>
      <c r="AZ120" s="825"/>
      <c r="BA120" s="447"/>
      <c r="BB120" s="304"/>
      <c r="BC120" s="304"/>
      <c r="BD120" s="304"/>
      <c r="BE120" s="304"/>
      <c r="BF120" s="304"/>
      <c r="BG120" s="304"/>
      <c r="BH120" s="304"/>
      <c r="BI120" s="304"/>
      <c r="BJ120" s="446"/>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284"/>
    </row>
    <row r="121" spans="1:86" ht="3" customHeight="1" thickBot="1">
      <c r="A121" s="220"/>
      <c r="B121" s="879"/>
      <c r="C121" s="879"/>
      <c r="D121" s="879"/>
      <c r="E121" s="937"/>
      <c r="F121" s="937"/>
      <c r="G121" s="835"/>
      <c r="H121" s="838"/>
      <c r="I121" s="838"/>
      <c r="J121" s="838"/>
      <c r="K121" s="838"/>
      <c r="L121" s="838"/>
      <c r="M121" s="838"/>
      <c r="N121" s="838"/>
      <c r="O121" s="838"/>
      <c r="P121" s="838"/>
      <c r="Q121" s="838"/>
      <c r="R121" s="838"/>
      <c r="S121" s="838"/>
      <c r="T121" s="838"/>
      <c r="U121" s="838"/>
      <c r="V121" s="838"/>
      <c r="W121" s="838"/>
      <c r="X121" s="838"/>
      <c r="Y121" s="838"/>
      <c r="Z121" s="838"/>
      <c r="AA121" s="866"/>
      <c r="AB121" s="866"/>
      <c r="AC121" s="866"/>
      <c r="AD121" s="826"/>
      <c r="AE121" s="820"/>
      <c r="AF121" s="820"/>
      <c r="AG121" s="820"/>
      <c r="AH121" s="435"/>
      <c r="AI121" s="821"/>
      <c r="AJ121" s="821"/>
      <c r="AK121" s="821"/>
      <c r="AL121" s="821"/>
      <c r="AM121" s="821"/>
      <c r="AN121" s="818"/>
      <c r="AO121" s="822"/>
      <c r="AP121" s="822"/>
      <c r="AQ121" s="822"/>
      <c r="AR121" s="822"/>
      <c r="AS121" s="822"/>
      <c r="AT121" s="818"/>
      <c r="AU121" s="822"/>
      <c r="AV121" s="822"/>
      <c r="AW121" s="822"/>
      <c r="AX121" s="822"/>
      <c r="AY121" s="822"/>
      <c r="AZ121" s="827"/>
      <c r="BA121" s="448"/>
      <c r="BB121" s="442"/>
      <c r="BC121" s="442"/>
      <c r="BD121" s="442"/>
      <c r="BE121" s="442"/>
      <c r="BF121" s="442"/>
      <c r="BG121" s="442"/>
      <c r="BH121" s="442"/>
      <c r="BI121" s="442"/>
      <c r="BJ121" s="441"/>
      <c r="BK121" s="442"/>
      <c r="BL121" s="820"/>
      <c r="BM121" s="820"/>
      <c r="BN121" s="820"/>
      <c r="BO121" s="435"/>
      <c r="BP121" s="821"/>
      <c r="BQ121" s="821"/>
      <c r="BR121" s="821"/>
      <c r="BS121" s="821"/>
      <c r="BT121" s="821"/>
      <c r="BU121" s="818"/>
      <c r="BV121" s="822"/>
      <c r="BW121" s="822"/>
      <c r="BX121" s="822"/>
      <c r="BY121" s="822"/>
      <c r="BZ121" s="822"/>
      <c r="CA121" s="818"/>
      <c r="CB121" s="822"/>
      <c r="CC121" s="822"/>
      <c r="CD121" s="822"/>
      <c r="CE121" s="822"/>
      <c r="CF121" s="822"/>
      <c r="CG121" s="287"/>
    </row>
    <row r="122" spans="1:86" ht="15" customHeight="1" thickBot="1">
      <c r="A122" s="220"/>
      <c r="B122" s="879"/>
      <c r="C122" s="879"/>
      <c r="D122" s="879"/>
      <c r="E122" s="937"/>
      <c r="F122" s="937"/>
      <c r="G122" s="835"/>
      <c r="H122" s="838"/>
      <c r="I122" s="838"/>
      <c r="J122" s="838"/>
      <c r="K122" s="838"/>
      <c r="L122" s="838"/>
      <c r="M122" s="838"/>
      <c r="N122" s="838"/>
      <c r="O122" s="838"/>
      <c r="P122" s="838"/>
      <c r="Q122" s="838"/>
      <c r="R122" s="838"/>
      <c r="S122" s="838"/>
      <c r="T122" s="838"/>
      <c r="U122" s="838"/>
      <c r="V122" s="838"/>
      <c r="W122" s="838"/>
      <c r="X122" s="838"/>
      <c r="Y122" s="838"/>
      <c r="Z122" s="838"/>
      <c r="AA122" s="866"/>
      <c r="AB122" s="866"/>
      <c r="AC122" s="866"/>
      <c r="AD122" s="826"/>
      <c r="AE122" s="432" t="str">
        <f>IF(LEN(VLOOKUP(AA116,suvaha!$D$8:$H$158,3,FALSE))&lt;11,"",LEFT(RIGHT(VLOOKUP(AA116,suvaha!$D$8:$H$158,3,FALSE),11),1))</f>
        <v/>
      </c>
      <c r="AF122" s="255"/>
      <c r="AG122" s="432" t="str">
        <f>IF(LEN(VLOOKUP(AA116,suvaha!$D$8:$H$158,3,FALSE))&lt;10,"",LEFT(RIGHT(VLOOKUP(AA116,suvaha!$D$8:$H$158,3,FALSE),10),1))</f>
        <v/>
      </c>
      <c r="AH122" s="434"/>
      <c r="AI122" s="432" t="str">
        <f>IF(LEN(VLOOKUP(AA116,suvaha!$D$8:$H$158,3,FALSE))&lt;9,"",LEFT(RIGHT(VLOOKUP(AA116,suvaha!$D$8:$H$158,3,FALSE),9),1))</f>
        <v/>
      </c>
      <c r="AJ122" s="255"/>
      <c r="AK122" s="432" t="str">
        <f>IF(LEN(VLOOKUP(AA116,suvaha!$D$8:$H$158,3,FALSE))&lt;8,"",LEFT(RIGHT(VLOOKUP(AA116,suvaha!$D$8:$H$158,3,FALSE),8),1))</f>
        <v/>
      </c>
      <c r="AL122" s="434"/>
      <c r="AM122" s="432" t="str">
        <f>IF(LEN(VLOOKUP(AA116,suvaha!$D$8:$H$158,3,FALSE))&lt;7,"",LEFT(RIGHT(VLOOKUP(AA116,suvaha!$D$8:$H$158,3,FALSE),7),1))</f>
        <v/>
      </c>
      <c r="AN122" s="818"/>
      <c r="AO122" s="432" t="str">
        <f>IF(LEN(VLOOKUP(AA116,suvaha!$D$8:$H$158,3,FALSE))&lt;6,"",LEFT(RIGHT(VLOOKUP(AA116,suvaha!$D$8:$H$158,3,FALSE),6),1))</f>
        <v/>
      </c>
      <c r="AP122" s="434"/>
      <c r="AQ122" s="432" t="str">
        <f>IF(LEN(VLOOKUP(AA116,suvaha!$D$8:$H$158,3,FALSE))&lt;5,"",LEFT(RIGHT(VLOOKUP(AA116,suvaha!$D$8:$H$158,3,FALSE),5),1))</f>
        <v/>
      </c>
      <c r="AR122" s="434"/>
      <c r="AS122" s="432" t="str">
        <f>IF(LEN(VLOOKUP(AA116,suvaha!$D$8:$H$158,3,FALSE))&lt;4,"",LEFT(RIGHT(VLOOKUP(AA116,suvaha!$D$8:$H$158,3,FALSE),4),1))</f>
        <v/>
      </c>
      <c r="AT122" s="818"/>
      <c r="AU122" s="432" t="str">
        <f>IF(LEN(VLOOKUP(AA116,suvaha!$D$8:$H$158,3,FALSE))&lt;3,"",LEFT(RIGHT(VLOOKUP(AA116,suvaha!$D$8:$H$158,3,FALSE),3),1))</f>
        <v/>
      </c>
      <c r="AV122" s="434"/>
      <c r="AW122" s="432" t="str">
        <f>IF(LEN(VLOOKUP(AA116,suvaha!$D$8:$H$158,3,FALSE))&lt;2,"",LEFT(RIGHT(VLOOKUP(AA116,suvaha!$D$8:$H$158,3,FALSE),2),1))</f>
        <v/>
      </c>
      <c r="AX122" s="434"/>
      <c r="AY122" s="432" t="str">
        <f>IF(VLOOKUP(AA116,suvaha!$D$8:$H$85,3,FALSE)=0,"",IF(LEN(VLOOKUP(AA116,suvaha!$D$8:$H$158,3,FALSE))&lt;1,"",LEFT(RIGHT(VLOOKUP(AA116,suvaha!$D$8:$H$158,3,FALSE),1),1)))</f>
        <v/>
      </c>
      <c r="AZ122" s="827"/>
      <c r="BA122" s="448"/>
      <c r="BB122" s="442"/>
      <c r="BC122" s="442"/>
      <c r="BD122" s="442"/>
      <c r="BE122" s="442"/>
      <c r="BF122" s="442"/>
      <c r="BG122" s="442"/>
      <c r="BH122" s="442"/>
      <c r="BI122" s="442"/>
      <c r="BJ122" s="441"/>
      <c r="BK122" s="442"/>
      <c r="BL122" s="432" t="str">
        <f>IF(LEN(VLOOKUP(AA116,suvaha!$D$8:$H$158,5,FALSE))&lt;11,"",LEFT(RIGHT(VLOOKUP(AA116,suvaha!$D$8:$H$158,5,FALSE),11),1))</f>
        <v/>
      </c>
      <c r="BM122" s="255"/>
      <c r="BN122" s="432" t="str">
        <f>IF(LEN(VLOOKUP(AA116,suvaha!$D$8:$H$158,5,FALSE))&lt;10,"",LEFT(RIGHT(VLOOKUP(AA116,suvaha!$D$8:$H$158,5,FALSE),10),1))</f>
        <v/>
      </c>
      <c r="BO122" s="434"/>
      <c r="BP122" s="432" t="str">
        <f>IF(LEN(VLOOKUP(AA116,suvaha!$D$8:$H$158,5,FALSE))&lt;9,"",LEFT(RIGHT(VLOOKUP(AA116,suvaha!$D$8:$H$158,5,FALSE),9),1))</f>
        <v/>
      </c>
      <c r="BQ122" s="255"/>
      <c r="BR122" s="432" t="str">
        <f>IF(LEN(VLOOKUP(AA116,suvaha!$D$8:$H$158,5,FALSE))&lt;8,"",LEFT(RIGHT(VLOOKUP(AA116,suvaha!$D$8:$H$158,5,FALSE),8),1))</f>
        <v/>
      </c>
      <c r="BS122" s="434"/>
      <c r="BT122" s="432" t="str">
        <f>IF(LEN(VLOOKUP(AA116,suvaha!$D$8:$H$158,5,FALSE))&lt;7,"",LEFT(RIGHT(VLOOKUP(AA116,suvaha!$D$8:$H$158,5,FALSE),7),1))</f>
        <v/>
      </c>
      <c r="BU122" s="818"/>
      <c r="BV122" s="432" t="str">
        <f>IF(LEN(VLOOKUP(AA116,suvaha!$D$8:$H$158,5,FALSE))&lt;6,"",LEFT(RIGHT(VLOOKUP(AA116,suvaha!$D$8:$H$158,5,FALSE),6),1))</f>
        <v/>
      </c>
      <c r="BW122" s="434"/>
      <c r="BX122" s="432" t="str">
        <f>IF(LEN(VLOOKUP(AA116,suvaha!$D$8:$H$158,5,FALSE))&lt;5,"",LEFT(RIGHT(VLOOKUP(AA116,suvaha!$D$8:$H$158,5,FALSE),5),1))</f>
        <v/>
      </c>
      <c r="BY122" s="434"/>
      <c r="BZ122" s="432" t="str">
        <f>IF(LEN(VLOOKUP(AA116,suvaha!$D$8:$H$158,5,FALSE))&lt;4,"",LEFT(RIGHT(VLOOKUP(AA116,suvaha!$D$8:$H$158,5,FALSE),4),1))</f>
        <v/>
      </c>
      <c r="CA122" s="818"/>
      <c r="CB122" s="432" t="str">
        <f>IF(LEN(VLOOKUP(AA116,suvaha!$D$8:$H$158,5,FALSE))&lt;3,"",LEFT(RIGHT(VLOOKUP(AA116,suvaha!$D$8:$H$158,5,FALSE),3),1))</f>
        <v/>
      </c>
      <c r="CC122" s="434"/>
      <c r="CD122" s="432" t="str">
        <f>IF(LEN(VLOOKUP(AA116,suvaha!$D$8:$H$158,5,FALSE))&lt;2,"",LEFT(RIGHT(VLOOKUP(AA116,suvaha!$D$8:$H$158,5,FALSE),2),1))</f>
        <v/>
      </c>
      <c r="CE122" s="434"/>
      <c r="CF122" s="432" t="str">
        <f>IF(VLOOKUP(AA116,suvaha!$D$8:$H$85,5,FALSE)=0,"",IF(LEN(VLOOKUP(AA116,suvaha!$D$8:$H$158,5,FALSE))&lt;1,"",LEFT(RIGHT(VLOOKUP(AA116,suvaha!$D$8:$H$158,5,FALSE),1),1)))</f>
        <v/>
      </c>
      <c r="CG122" s="287"/>
    </row>
    <row r="123" spans="1:86" ht="3" customHeight="1" thickBot="1">
      <c r="A123" s="220"/>
      <c r="B123" s="879"/>
      <c r="C123" s="879"/>
      <c r="D123" s="879"/>
      <c r="E123" s="937"/>
      <c r="F123" s="937"/>
      <c r="G123" s="835"/>
      <c r="H123" s="838"/>
      <c r="I123" s="838"/>
      <c r="J123" s="838"/>
      <c r="K123" s="838"/>
      <c r="L123" s="838"/>
      <c r="M123" s="838"/>
      <c r="N123" s="838"/>
      <c r="O123" s="838"/>
      <c r="P123" s="838"/>
      <c r="Q123" s="838"/>
      <c r="R123" s="838"/>
      <c r="S123" s="838"/>
      <c r="T123" s="838"/>
      <c r="U123" s="838"/>
      <c r="V123" s="838"/>
      <c r="W123" s="838"/>
      <c r="X123" s="838"/>
      <c r="Y123" s="838"/>
      <c r="Z123" s="838"/>
      <c r="AA123" s="866"/>
      <c r="AB123" s="866"/>
      <c r="AC123" s="866"/>
      <c r="AD123" s="848"/>
      <c r="AE123" s="848"/>
      <c r="AF123" s="848"/>
      <c r="AG123" s="848"/>
      <c r="AH123" s="848"/>
      <c r="AI123" s="848"/>
      <c r="AJ123" s="848"/>
      <c r="AK123" s="848"/>
      <c r="AL123" s="848"/>
      <c r="AM123" s="848"/>
      <c r="AN123" s="848"/>
      <c r="AO123" s="848"/>
      <c r="AP123" s="848"/>
      <c r="AQ123" s="848"/>
      <c r="AR123" s="848"/>
      <c r="AS123" s="848"/>
      <c r="AT123" s="848"/>
      <c r="AU123" s="848"/>
      <c r="AV123" s="848"/>
      <c r="AW123" s="848"/>
      <c r="AX123" s="848"/>
      <c r="AY123" s="848"/>
      <c r="AZ123" s="848"/>
      <c r="BA123" s="261"/>
      <c r="BB123" s="256"/>
      <c r="BC123" s="256"/>
      <c r="BD123" s="256"/>
      <c r="BE123" s="256"/>
      <c r="BF123" s="256"/>
      <c r="BG123" s="256"/>
      <c r="BH123" s="256"/>
      <c r="BI123" s="256"/>
      <c r="BJ123" s="257"/>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86"/>
    </row>
    <row r="124" spans="1:86" ht="3" customHeight="1">
      <c r="B124" s="220"/>
      <c r="E124" s="824"/>
      <c r="F124" s="824"/>
      <c r="G124" s="824"/>
      <c r="H124" s="824"/>
      <c r="I124" s="824"/>
      <c r="J124" s="824"/>
      <c r="K124" s="824"/>
      <c r="L124" s="824"/>
      <c r="M124" s="824"/>
      <c r="N124" s="824"/>
      <c r="O124" s="824"/>
      <c r="P124" s="824"/>
      <c r="Q124" s="824"/>
      <c r="R124" s="824"/>
      <c r="S124" s="824"/>
      <c r="T124" s="824"/>
      <c r="U124" s="824"/>
      <c r="V124" s="824"/>
      <c r="W124" s="824"/>
      <c r="X124" s="824"/>
      <c r="Y124" s="824"/>
      <c r="Z124" s="824"/>
      <c r="AA124" s="824"/>
      <c r="AB124" s="824"/>
      <c r="AC124" s="824"/>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row>
    <row r="125" spans="1:86" s="220" customFormat="1" ht="5.25" customHeight="1">
      <c r="E125" s="267"/>
      <c r="CG125" s="238"/>
    </row>
    <row r="126" spans="1:86" ht="3.75" customHeight="1">
      <c r="A126" s="220"/>
      <c r="B126" s="220"/>
      <c r="C126" s="220"/>
      <c r="D126" s="220"/>
      <c r="E126" s="267"/>
      <c r="F126" s="220"/>
      <c r="G126" s="268"/>
      <c r="H126" s="240"/>
      <c r="I126" s="240"/>
      <c r="J126" s="240"/>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220"/>
      <c r="CG126" s="238"/>
      <c r="CH126" s="220"/>
    </row>
    <row r="127" spans="1:86" ht="3.75" customHeight="1" thickBot="1">
      <c r="A127" s="220"/>
      <c r="B127" s="220"/>
      <c r="C127" s="220"/>
      <c r="D127" s="220"/>
      <c r="E127" s="269"/>
      <c r="F127" s="270"/>
      <c r="G127" s="268"/>
      <c r="H127" s="240"/>
      <c r="I127" s="240"/>
      <c r="J127" s="240"/>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270"/>
      <c r="CG127" s="271"/>
      <c r="CH127" s="220"/>
    </row>
    <row r="128" spans="1:86" ht="10.5" customHeight="1" thickTop="1">
      <c r="A128" s="220"/>
      <c r="B128" s="220"/>
      <c r="C128" s="220"/>
      <c r="D128" s="220"/>
      <c r="E128" s="220"/>
      <c r="F128" s="220"/>
      <c r="G128" s="353" t="s">
        <v>1532</v>
      </c>
      <c r="H128" s="353"/>
      <c r="I128" s="240"/>
      <c r="J128" s="240"/>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414" t="str">
        <f>Index!C421</f>
        <v>Strana 3</v>
      </c>
      <c r="CE128" s="356"/>
      <c r="CF128" s="356"/>
      <c r="CG128" s="356"/>
      <c r="CH128" s="220"/>
    </row>
    <row r="129" spans="1:88">
      <c r="A129" s="220"/>
      <c r="B129" s="272"/>
      <c r="C129" s="272"/>
      <c r="D129" s="272"/>
      <c r="E129" s="273"/>
      <c r="F129" s="273"/>
      <c r="G129" s="273"/>
      <c r="H129" s="274"/>
      <c r="I129" s="274"/>
      <c r="J129" s="274"/>
      <c r="K129" s="275"/>
      <c r="L129" s="275"/>
      <c r="M129" s="275"/>
      <c r="N129" s="275"/>
      <c r="O129" s="275"/>
      <c r="P129" s="275"/>
      <c r="Q129" s="275"/>
      <c r="R129" s="275"/>
      <c r="S129" s="275"/>
      <c r="T129" s="275"/>
      <c r="U129" s="275"/>
      <c r="V129" s="275"/>
      <c r="W129" s="275"/>
      <c r="X129" s="275"/>
      <c r="Y129" s="275"/>
      <c r="Z129" s="275"/>
      <c r="AA129" s="275"/>
      <c r="AB129" s="275"/>
      <c r="AC129" s="275"/>
      <c r="AD129" s="275"/>
      <c r="AE129" s="276">
        <v>10</v>
      </c>
      <c r="AF129" s="275"/>
      <c r="AG129" s="276">
        <v>9</v>
      </c>
      <c r="AH129" s="275"/>
      <c r="AI129" s="276">
        <v>8</v>
      </c>
      <c r="AJ129" s="275"/>
      <c r="AK129" s="276">
        <v>7</v>
      </c>
      <c r="AL129" s="275"/>
      <c r="AM129" s="276">
        <v>6</v>
      </c>
      <c r="AN129" s="275"/>
      <c r="AO129" s="276">
        <v>5</v>
      </c>
      <c r="AP129" s="275"/>
      <c r="AQ129" s="276">
        <v>4</v>
      </c>
      <c r="AR129" s="275"/>
      <c r="AS129" s="276">
        <v>3</v>
      </c>
      <c r="AT129" s="275"/>
      <c r="AU129" s="276">
        <v>2</v>
      </c>
      <c r="AV129" s="275"/>
      <c r="AW129" s="276">
        <v>1</v>
      </c>
      <c r="AX129" s="275"/>
      <c r="AY129" s="276">
        <v>0</v>
      </c>
      <c r="AZ129" s="275"/>
      <c r="BA129" s="275"/>
      <c r="BB129" s="276">
        <v>10</v>
      </c>
      <c r="BC129" s="275"/>
      <c r="BD129" s="276">
        <v>9</v>
      </c>
      <c r="BE129" s="275"/>
      <c r="BF129" s="276">
        <v>8</v>
      </c>
      <c r="BG129" s="275"/>
      <c r="BH129" s="276">
        <v>7</v>
      </c>
      <c r="BI129" s="275"/>
      <c r="BJ129" s="276">
        <v>6</v>
      </c>
      <c r="BK129" s="275"/>
      <c r="BL129" s="276">
        <v>5</v>
      </c>
      <c r="BM129" s="275"/>
      <c r="BN129" s="276">
        <v>4</v>
      </c>
      <c r="BO129" s="275"/>
      <c r="BP129" s="276">
        <v>3</v>
      </c>
      <c r="BQ129" s="275"/>
      <c r="BR129" s="276">
        <v>2</v>
      </c>
      <c r="BS129" s="275"/>
      <c r="BT129" s="276">
        <v>1</v>
      </c>
      <c r="BU129" s="275"/>
      <c r="BV129" s="276">
        <v>0</v>
      </c>
      <c r="BW129" s="275"/>
      <c r="BX129" s="275"/>
      <c r="BY129" s="275"/>
      <c r="BZ129" s="275"/>
      <c r="CA129" s="275"/>
      <c r="CB129" s="275"/>
      <c r="CC129" s="275"/>
      <c r="CD129" s="275"/>
      <c r="CE129" s="275"/>
      <c r="CF129" s="275"/>
      <c r="CG129" s="275"/>
      <c r="CH129" s="272"/>
      <c r="CI129" s="220"/>
      <c r="CJ129" s="220"/>
    </row>
    <row r="130" spans="1:88">
      <c r="B130" s="272"/>
      <c r="C130" s="272"/>
      <c r="D130" s="272"/>
      <c r="E130" s="273"/>
      <c r="F130" s="273"/>
      <c r="G130" s="273"/>
      <c r="H130" s="274"/>
      <c r="I130" s="274"/>
      <c r="J130" s="274"/>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6">
        <v>10</v>
      </c>
      <c r="BM130" s="275"/>
      <c r="BN130" s="276">
        <v>9</v>
      </c>
      <c r="BO130" s="275"/>
      <c r="BP130" s="276">
        <v>8</v>
      </c>
      <c r="BQ130" s="275"/>
      <c r="BR130" s="276">
        <v>7</v>
      </c>
      <c r="BS130" s="275"/>
      <c r="BT130" s="276">
        <v>6</v>
      </c>
      <c r="BU130" s="275"/>
      <c r="BV130" s="276">
        <v>5</v>
      </c>
      <c r="BW130" s="275"/>
      <c r="BX130" s="276">
        <v>4</v>
      </c>
      <c r="BY130" s="275"/>
      <c r="BZ130" s="276">
        <v>3</v>
      </c>
      <c r="CA130" s="275"/>
      <c r="CB130" s="276">
        <v>2</v>
      </c>
      <c r="CC130" s="275"/>
      <c r="CD130" s="276">
        <v>1</v>
      </c>
      <c r="CE130" s="275"/>
      <c r="CF130" s="276">
        <v>0</v>
      </c>
      <c r="CG130" s="275"/>
      <c r="CH130" s="272"/>
      <c r="CJ130" s="220"/>
    </row>
  </sheetData>
  <sheetProtection sheet="1" objects="1" scenarios="1"/>
  <mergeCells count="584">
    <mergeCell ref="AB4:AC5"/>
    <mergeCell ref="AD4:AD5"/>
    <mergeCell ref="AR4:AR5"/>
    <mergeCell ref="E7:F10"/>
    <mergeCell ref="AD7:BQ8"/>
    <mergeCell ref="BR7:CG10"/>
    <mergeCell ref="B8:D8"/>
    <mergeCell ref="G8:Z9"/>
    <mergeCell ref="B9:C21"/>
    <mergeCell ref="D9:D21"/>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 ref="AZ3:BC4"/>
    <mergeCell ref="BD3:BR3"/>
    <mergeCell ref="AG9:AZ10"/>
    <mergeCell ref="BA9:BQ10"/>
    <mergeCell ref="CH9:CH30"/>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BB13:BD13"/>
    <mergeCell ref="AD13:AD14"/>
    <mergeCell ref="AE13:AG13"/>
    <mergeCell ref="AI13:AM13"/>
    <mergeCell ref="AN13:AN14"/>
    <mergeCell ref="AD16:AZ16"/>
    <mergeCell ref="AD17:AD18"/>
    <mergeCell ref="AE17:AG17"/>
    <mergeCell ref="AI17:AM17"/>
    <mergeCell ref="AN17:AN18"/>
    <mergeCell ref="AO17:AS17"/>
    <mergeCell ref="AT17:AT18"/>
    <mergeCell ref="AU17:AY17"/>
    <mergeCell ref="AZ17:AZ18"/>
    <mergeCell ref="BL17:BN17"/>
    <mergeCell ref="BP17:BT17"/>
    <mergeCell ref="BV17:BZ17"/>
    <mergeCell ref="CB17:CF17"/>
    <mergeCell ref="AD19:AZ19"/>
    <mergeCell ref="E20:F27"/>
    <mergeCell ref="G20:G27"/>
    <mergeCell ref="H20:Z27"/>
    <mergeCell ref="AA20:AC27"/>
    <mergeCell ref="AD20:AZ20"/>
    <mergeCell ref="E12:F19"/>
    <mergeCell ref="G12:G19"/>
    <mergeCell ref="H12:Z19"/>
    <mergeCell ref="AA12:AC19"/>
    <mergeCell ref="AD12:AZ12"/>
    <mergeCell ref="BA12:BQ12"/>
    <mergeCell ref="BB21:BD21"/>
    <mergeCell ref="BF21:BJ21"/>
    <mergeCell ref="BK21:BK22"/>
    <mergeCell ref="BL21:BP21"/>
    <mergeCell ref="BQ21:BQ22"/>
    <mergeCell ref="BR21:BV21"/>
    <mergeCell ref="BA20:BQ20"/>
    <mergeCell ref="AD21:AD22"/>
    <mergeCell ref="AE21:AG21"/>
    <mergeCell ref="AI21:AM21"/>
    <mergeCell ref="AN21:AN22"/>
    <mergeCell ref="AO21:AS21"/>
    <mergeCell ref="AT21:AT22"/>
    <mergeCell ref="AU21:AY21"/>
    <mergeCell ref="AZ21:AZ22"/>
    <mergeCell ref="BA21:BA22"/>
    <mergeCell ref="BL25:BN25"/>
    <mergeCell ref="BP25:BT25"/>
    <mergeCell ref="BV25:BZ25"/>
    <mergeCell ref="CB25:CF25"/>
    <mergeCell ref="B22:D123"/>
    <mergeCell ref="AD23:AZ23"/>
    <mergeCell ref="BA23:BQ23"/>
    <mergeCell ref="AD24:AZ24"/>
    <mergeCell ref="AD25:AD26"/>
    <mergeCell ref="AE25:AG25"/>
    <mergeCell ref="AI25:AM25"/>
    <mergeCell ref="AN25:AN26"/>
    <mergeCell ref="AO25:AS25"/>
    <mergeCell ref="AT25:AT26"/>
    <mergeCell ref="AD27:AZ27"/>
    <mergeCell ref="E28:F35"/>
    <mergeCell ref="G28:G35"/>
    <mergeCell ref="H28:Z35"/>
    <mergeCell ref="AA28:AC35"/>
    <mergeCell ref="AD28:AZ28"/>
    <mergeCell ref="AD31:AZ31"/>
    <mergeCell ref="AU25:AY25"/>
    <mergeCell ref="AZ25:AZ26"/>
    <mergeCell ref="BB29:BD29"/>
    <mergeCell ref="BF29:BJ29"/>
    <mergeCell ref="BK29:BK30"/>
    <mergeCell ref="BL29:BP29"/>
    <mergeCell ref="BQ29:BQ30"/>
    <mergeCell ref="BR29:BV29"/>
    <mergeCell ref="BA28:BQ28"/>
    <mergeCell ref="AD29:AD30"/>
    <mergeCell ref="AE29:AG29"/>
    <mergeCell ref="AI29:AM29"/>
    <mergeCell ref="AN29:AN30"/>
    <mergeCell ref="AO29:AS29"/>
    <mergeCell ref="AT29:AT30"/>
    <mergeCell ref="AU29:AY29"/>
    <mergeCell ref="AZ29:AZ30"/>
    <mergeCell ref="BA29:BA30"/>
    <mergeCell ref="BA31:BQ31"/>
    <mergeCell ref="AD32:AZ32"/>
    <mergeCell ref="AD33:AD34"/>
    <mergeCell ref="AE33:AG33"/>
    <mergeCell ref="AI33:AM33"/>
    <mergeCell ref="AN33:AN34"/>
    <mergeCell ref="AO33:AS33"/>
    <mergeCell ref="AT33:AT34"/>
    <mergeCell ref="AU33:AY33"/>
    <mergeCell ref="AZ33:AZ34"/>
    <mergeCell ref="BL33:BN33"/>
    <mergeCell ref="BP33:BT33"/>
    <mergeCell ref="CB33:CF33"/>
    <mergeCell ref="AD35:AZ35"/>
    <mergeCell ref="E36:F43"/>
    <mergeCell ref="G36:G43"/>
    <mergeCell ref="H36:Z43"/>
    <mergeCell ref="AA36:AC43"/>
    <mergeCell ref="AD36:AZ36"/>
    <mergeCell ref="BB37:BD37"/>
    <mergeCell ref="BF37:BJ37"/>
    <mergeCell ref="BK37:BK38"/>
    <mergeCell ref="BL37:BP37"/>
    <mergeCell ref="BQ37:BQ38"/>
    <mergeCell ref="BR37:BV37"/>
    <mergeCell ref="BA36:BQ36"/>
    <mergeCell ref="AD37:AD38"/>
    <mergeCell ref="AE37:AG37"/>
    <mergeCell ref="AI37:AM37"/>
    <mergeCell ref="AN37:AN38"/>
    <mergeCell ref="AO37:AS37"/>
    <mergeCell ref="AT37:AT38"/>
    <mergeCell ref="AU37:AY37"/>
    <mergeCell ref="AZ37:AZ38"/>
    <mergeCell ref="BA37:BA38"/>
    <mergeCell ref="AZ41:AZ42"/>
    <mergeCell ref="BL41:BN41"/>
    <mergeCell ref="BP41:BT41"/>
    <mergeCell ref="BV41:BZ41"/>
    <mergeCell ref="CB41:CF41"/>
    <mergeCell ref="AD43:AZ43"/>
    <mergeCell ref="AD39:AZ39"/>
    <mergeCell ref="BA39:BQ39"/>
    <mergeCell ref="AD40:AZ40"/>
    <mergeCell ref="AD41:AD42"/>
    <mergeCell ref="AE41:AG41"/>
    <mergeCell ref="AI41:AM41"/>
    <mergeCell ref="AN41:AN42"/>
    <mergeCell ref="AO41:AS41"/>
    <mergeCell ref="AT41:AT42"/>
    <mergeCell ref="AU41:AY41"/>
    <mergeCell ref="BF45:BJ45"/>
    <mergeCell ref="BK45:BK46"/>
    <mergeCell ref="BL45:BP45"/>
    <mergeCell ref="BQ45:BQ46"/>
    <mergeCell ref="BR45:BV45"/>
    <mergeCell ref="AD47:AZ47"/>
    <mergeCell ref="BA47:BQ47"/>
    <mergeCell ref="AO45:AS45"/>
    <mergeCell ref="AT45:AT46"/>
    <mergeCell ref="AU45:AY45"/>
    <mergeCell ref="AZ45:AZ46"/>
    <mergeCell ref="BA45:BA46"/>
    <mergeCell ref="BB45:BD45"/>
    <mergeCell ref="AD45:AD46"/>
    <mergeCell ref="AE45:AG45"/>
    <mergeCell ref="AI45:AM45"/>
    <mergeCell ref="AN45:AN46"/>
    <mergeCell ref="AD48:AZ48"/>
    <mergeCell ref="AD49:AD50"/>
    <mergeCell ref="AE49:AG49"/>
    <mergeCell ref="AI49:AM49"/>
    <mergeCell ref="AN49:AN50"/>
    <mergeCell ref="AO49:AS49"/>
    <mergeCell ref="AT49:AT50"/>
    <mergeCell ref="AU49:AY49"/>
    <mergeCell ref="AZ49:AZ50"/>
    <mergeCell ref="BL49:BN49"/>
    <mergeCell ref="BP49:BT49"/>
    <mergeCell ref="BV49:BZ49"/>
    <mergeCell ref="CB49:CF49"/>
    <mergeCell ref="AD51:AZ51"/>
    <mergeCell ref="E52:F59"/>
    <mergeCell ref="G52:G59"/>
    <mergeCell ref="H52:Z59"/>
    <mergeCell ref="AA52:AC59"/>
    <mergeCell ref="AD52:AZ52"/>
    <mergeCell ref="E44:F51"/>
    <mergeCell ref="G44:G51"/>
    <mergeCell ref="H44:Z51"/>
    <mergeCell ref="AA44:AC51"/>
    <mergeCell ref="AD44:AZ44"/>
    <mergeCell ref="BA44:BQ44"/>
    <mergeCell ref="BB53:BD53"/>
    <mergeCell ref="BF53:BJ53"/>
    <mergeCell ref="BK53:BK54"/>
    <mergeCell ref="BL53:BP53"/>
    <mergeCell ref="BQ53:BQ54"/>
    <mergeCell ref="BR53:BV53"/>
    <mergeCell ref="BA52:BQ52"/>
    <mergeCell ref="AD53:AD54"/>
    <mergeCell ref="AE53:AG53"/>
    <mergeCell ref="AI53:AM53"/>
    <mergeCell ref="AN53:AN54"/>
    <mergeCell ref="AO53:AS53"/>
    <mergeCell ref="AT53:AT54"/>
    <mergeCell ref="AU53:AY53"/>
    <mergeCell ref="AZ53:AZ54"/>
    <mergeCell ref="BA53:BA54"/>
    <mergeCell ref="AZ57:AZ58"/>
    <mergeCell ref="BL57:BN57"/>
    <mergeCell ref="BP57:BT57"/>
    <mergeCell ref="BV57:BZ57"/>
    <mergeCell ref="CB57:CF57"/>
    <mergeCell ref="AD59:AZ59"/>
    <mergeCell ref="AD55:AZ55"/>
    <mergeCell ref="BA55:BQ55"/>
    <mergeCell ref="AD56:AZ56"/>
    <mergeCell ref="AD57:AD58"/>
    <mergeCell ref="AE57:AG57"/>
    <mergeCell ref="AI57:AM57"/>
    <mergeCell ref="AN57:AN58"/>
    <mergeCell ref="AO57:AS57"/>
    <mergeCell ref="AT57:AT58"/>
    <mergeCell ref="AU57:AY57"/>
    <mergeCell ref="BU57:BU58"/>
    <mergeCell ref="CA57:CA58"/>
    <mergeCell ref="BK61:BK62"/>
    <mergeCell ref="BL61:BP61"/>
    <mergeCell ref="BQ61:BQ62"/>
    <mergeCell ref="BR61:BV61"/>
    <mergeCell ref="AD63:AZ63"/>
    <mergeCell ref="BA63:BQ63"/>
    <mergeCell ref="AO61:AS61"/>
    <mergeCell ref="AT61:AT62"/>
    <mergeCell ref="AU61:AY61"/>
    <mergeCell ref="AZ61:AZ62"/>
    <mergeCell ref="BA61:BA62"/>
    <mergeCell ref="BB61:BD61"/>
    <mergeCell ref="AD61:AD62"/>
    <mergeCell ref="AE61:AG61"/>
    <mergeCell ref="AI61:AM61"/>
    <mergeCell ref="AN61:AN62"/>
    <mergeCell ref="BU65:BU66"/>
    <mergeCell ref="BV65:BZ65"/>
    <mergeCell ref="CA65:CA66"/>
    <mergeCell ref="CB65:CF65"/>
    <mergeCell ref="AD64:AZ64"/>
    <mergeCell ref="AD65:AD66"/>
    <mergeCell ref="AE65:AG65"/>
    <mergeCell ref="AI65:AM65"/>
    <mergeCell ref="AN65:AN66"/>
    <mergeCell ref="AO65:AS65"/>
    <mergeCell ref="AT65:AT66"/>
    <mergeCell ref="AU65:AY65"/>
    <mergeCell ref="AZ65:AZ66"/>
    <mergeCell ref="AD67:AZ67"/>
    <mergeCell ref="E68:F75"/>
    <mergeCell ref="G68:G75"/>
    <mergeCell ref="H68:Z75"/>
    <mergeCell ref="AA68:AC75"/>
    <mergeCell ref="AD68:AZ68"/>
    <mergeCell ref="AD71:AZ71"/>
    <mergeCell ref="AD75:AZ75"/>
    <mergeCell ref="BL65:BN65"/>
    <mergeCell ref="E60:F67"/>
    <mergeCell ref="G60:G67"/>
    <mergeCell ref="H60:Z67"/>
    <mergeCell ref="AA60:AC67"/>
    <mergeCell ref="AD60:AZ60"/>
    <mergeCell ref="BA60:BQ60"/>
    <mergeCell ref="BB69:BD69"/>
    <mergeCell ref="BF69:BJ69"/>
    <mergeCell ref="BK69:BK70"/>
    <mergeCell ref="BL69:BP69"/>
    <mergeCell ref="BQ69:BQ70"/>
    <mergeCell ref="BL73:BN73"/>
    <mergeCell ref="BP73:BT73"/>
    <mergeCell ref="BP65:BT65"/>
    <mergeCell ref="BF61:BJ61"/>
    <mergeCell ref="BR69:BV69"/>
    <mergeCell ref="BA68:BQ68"/>
    <mergeCell ref="AD69:AD70"/>
    <mergeCell ref="AE69:AG69"/>
    <mergeCell ref="AI69:AM69"/>
    <mergeCell ref="AN69:AN70"/>
    <mergeCell ref="AO69:AS69"/>
    <mergeCell ref="AT69:AT70"/>
    <mergeCell ref="AU69:AY69"/>
    <mergeCell ref="AZ69:AZ70"/>
    <mergeCell ref="BA69:BA70"/>
    <mergeCell ref="BU73:BU74"/>
    <mergeCell ref="BV73:BZ73"/>
    <mergeCell ref="CA73:CA74"/>
    <mergeCell ref="CB73:CF73"/>
    <mergeCell ref="BA71:BQ71"/>
    <mergeCell ref="AD72:AZ72"/>
    <mergeCell ref="AD73:AD74"/>
    <mergeCell ref="AE73:AG73"/>
    <mergeCell ref="AI73:AM73"/>
    <mergeCell ref="AN73:AN74"/>
    <mergeCell ref="AO73:AS73"/>
    <mergeCell ref="AT73:AT74"/>
    <mergeCell ref="AU73:AY73"/>
    <mergeCell ref="AZ73:AZ74"/>
    <mergeCell ref="BK77:BK78"/>
    <mergeCell ref="BL77:BP77"/>
    <mergeCell ref="BQ77:BQ78"/>
    <mergeCell ref="BR77:BV77"/>
    <mergeCell ref="AD79:AZ79"/>
    <mergeCell ref="BA79:BQ79"/>
    <mergeCell ref="AO77:AS77"/>
    <mergeCell ref="AT77:AT78"/>
    <mergeCell ref="AU77:AY77"/>
    <mergeCell ref="AZ77:AZ78"/>
    <mergeCell ref="BA77:BA78"/>
    <mergeCell ref="BB77:BD77"/>
    <mergeCell ref="AD77:AD78"/>
    <mergeCell ref="AE77:AG77"/>
    <mergeCell ref="AI77:AM77"/>
    <mergeCell ref="AN77:AN78"/>
    <mergeCell ref="BU81:BU82"/>
    <mergeCell ref="BV81:BZ81"/>
    <mergeCell ref="CA81:CA82"/>
    <mergeCell ref="CB81:CF81"/>
    <mergeCell ref="AD80:AZ80"/>
    <mergeCell ref="AD81:AD82"/>
    <mergeCell ref="AE81:AG81"/>
    <mergeCell ref="AI81:AM81"/>
    <mergeCell ref="AN81:AN82"/>
    <mergeCell ref="AO81:AS81"/>
    <mergeCell ref="AT81:AT82"/>
    <mergeCell ref="AU81:AY81"/>
    <mergeCell ref="AZ81:AZ82"/>
    <mergeCell ref="AD83:AZ83"/>
    <mergeCell ref="E84:F91"/>
    <mergeCell ref="G84:G91"/>
    <mergeCell ref="H84:Z91"/>
    <mergeCell ref="AA84:AC91"/>
    <mergeCell ref="AD84:AZ84"/>
    <mergeCell ref="AD87:AZ87"/>
    <mergeCell ref="AD91:AZ91"/>
    <mergeCell ref="BL81:BN81"/>
    <mergeCell ref="E76:F83"/>
    <mergeCell ref="G76:G83"/>
    <mergeCell ref="H76:Z83"/>
    <mergeCell ref="AA76:AC83"/>
    <mergeCell ref="AD76:AZ76"/>
    <mergeCell ref="BA76:BQ76"/>
    <mergeCell ref="BB85:BD85"/>
    <mergeCell ref="BF85:BJ85"/>
    <mergeCell ref="BK85:BK86"/>
    <mergeCell ref="BL85:BP85"/>
    <mergeCell ref="BQ85:BQ86"/>
    <mergeCell ref="BL89:BN89"/>
    <mergeCell ref="BP89:BT89"/>
    <mergeCell ref="BP81:BT81"/>
    <mergeCell ref="BF77:BJ77"/>
    <mergeCell ref="BR85:BV85"/>
    <mergeCell ref="BA84:BQ84"/>
    <mergeCell ref="AD85:AD86"/>
    <mergeCell ref="AE85:AG85"/>
    <mergeCell ref="AI85:AM85"/>
    <mergeCell ref="AN85:AN86"/>
    <mergeCell ref="AO85:AS85"/>
    <mergeCell ref="AT85:AT86"/>
    <mergeCell ref="AU85:AY85"/>
    <mergeCell ref="AZ85:AZ86"/>
    <mergeCell ref="BA85:BA86"/>
    <mergeCell ref="BU89:BU90"/>
    <mergeCell ref="BV89:BZ89"/>
    <mergeCell ref="CA89:CA90"/>
    <mergeCell ref="CB89:CF89"/>
    <mergeCell ref="BA87:BQ87"/>
    <mergeCell ref="AD88:AZ88"/>
    <mergeCell ref="AD89:AD90"/>
    <mergeCell ref="AE89:AG89"/>
    <mergeCell ref="AI89:AM89"/>
    <mergeCell ref="AN89:AN90"/>
    <mergeCell ref="AO89:AS89"/>
    <mergeCell ref="AT89:AT90"/>
    <mergeCell ref="AU89:AY89"/>
    <mergeCell ref="AZ89:AZ90"/>
    <mergeCell ref="BK93:BK94"/>
    <mergeCell ref="BL93:BP93"/>
    <mergeCell ref="BQ93:BQ94"/>
    <mergeCell ref="BR93:BV93"/>
    <mergeCell ref="AD95:AZ95"/>
    <mergeCell ref="BA95:BQ95"/>
    <mergeCell ref="AO93:AS93"/>
    <mergeCell ref="AT93:AT94"/>
    <mergeCell ref="AU93:AY93"/>
    <mergeCell ref="AZ93:AZ94"/>
    <mergeCell ref="BA93:BA94"/>
    <mergeCell ref="BB93:BD93"/>
    <mergeCell ref="AD93:AD94"/>
    <mergeCell ref="AE93:AG93"/>
    <mergeCell ref="AI93:AM93"/>
    <mergeCell ref="AN93:AN94"/>
    <mergeCell ref="BU97:BU98"/>
    <mergeCell ref="BV97:BZ97"/>
    <mergeCell ref="CA97:CA98"/>
    <mergeCell ref="CB97:CF97"/>
    <mergeCell ref="AD96:AZ96"/>
    <mergeCell ref="AD97:AD98"/>
    <mergeCell ref="AE97:AG97"/>
    <mergeCell ref="AI97:AM97"/>
    <mergeCell ref="AN97:AN98"/>
    <mergeCell ref="AO97:AS97"/>
    <mergeCell ref="AT97:AT98"/>
    <mergeCell ref="AU97:AY97"/>
    <mergeCell ref="AZ97:AZ98"/>
    <mergeCell ref="AD99:AZ99"/>
    <mergeCell ref="E100:F107"/>
    <mergeCell ref="G100:G107"/>
    <mergeCell ref="H100:Z107"/>
    <mergeCell ref="AA100:AC107"/>
    <mergeCell ref="AD100:AZ100"/>
    <mergeCell ref="AD103:AZ103"/>
    <mergeCell ref="AD107:AZ107"/>
    <mergeCell ref="BL97:BN97"/>
    <mergeCell ref="E92:F99"/>
    <mergeCell ref="G92:G99"/>
    <mergeCell ref="H92:Z99"/>
    <mergeCell ref="AA92:AC99"/>
    <mergeCell ref="AD92:AZ92"/>
    <mergeCell ref="BA92:BQ92"/>
    <mergeCell ref="BB101:BD101"/>
    <mergeCell ref="BF101:BJ101"/>
    <mergeCell ref="BK101:BK102"/>
    <mergeCell ref="BL101:BP101"/>
    <mergeCell ref="BQ101:BQ102"/>
    <mergeCell ref="BL105:BN105"/>
    <mergeCell ref="BP105:BT105"/>
    <mergeCell ref="BP97:BT97"/>
    <mergeCell ref="BF93:BJ93"/>
    <mergeCell ref="BR101:BV101"/>
    <mergeCell ref="BA100:BQ100"/>
    <mergeCell ref="AD101:AD102"/>
    <mergeCell ref="AE101:AG101"/>
    <mergeCell ref="AI101:AM101"/>
    <mergeCell ref="AN101:AN102"/>
    <mergeCell ref="AO101:AS101"/>
    <mergeCell ref="AT101:AT102"/>
    <mergeCell ref="AU101:AY101"/>
    <mergeCell ref="AZ101:AZ102"/>
    <mergeCell ref="BA101:BA102"/>
    <mergeCell ref="BU105:BU106"/>
    <mergeCell ref="BV105:BZ105"/>
    <mergeCell ref="CA105:CA106"/>
    <mergeCell ref="CB105:CF105"/>
    <mergeCell ref="BA103:BQ103"/>
    <mergeCell ref="AD104:AZ104"/>
    <mergeCell ref="AD105:AD106"/>
    <mergeCell ref="AE105:AG105"/>
    <mergeCell ref="AI105:AM105"/>
    <mergeCell ref="AN105:AN106"/>
    <mergeCell ref="AO105:AS105"/>
    <mergeCell ref="AT105:AT106"/>
    <mergeCell ref="AU105:AY105"/>
    <mergeCell ref="AZ105:AZ106"/>
    <mergeCell ref="BQ109:BQ110"/>
    <mergeCell ref="BR109:BV109"/>
    <mergeCell ref="AD111:AZ111"/>
    <mergeCell ref="BA111:BQ111"/>
    <mergeCell ref="AO109:AS109"/>
    <mergeCell ref="AT109:AT110"/>
    <mergeCell ref="AU109:AY109"/>
    <mergeCell ref="AZ109:AZ110"/>
    <mergeCell ref="BA109:BA110"/>
    <mergeCell ref="BB109:BD109"/>
    <mergeCell ref="AD109:AD110"/>
    <mergeCell ref="AE109:AG109"/>
    <mergeCell ref="AI109:AM109"/>
    <mergeCell ref="AN109:AN110"/>
    <mergeCell ref="BU113:BU114"/>
    <mergeCell ref="BV113:BZ113"/>
    <mergeCell ref="CA113:CA114"/>
    <mergeCell ref="CB113:CF113"/>
    <mergeCell ref="AD112:AZ112"/>
    <mergeCell ref="AD113:AD114"/>
    <mergeCell ref="AE113:AG113"/>
    <mergeCell ref="AI113:AM113"/>
    <mergeCell ref="AN113:AN114"/>
    <mergeCell ref="AO113:AS113"/>
    <mergeCell ref="AT113:AT114"/>
    <mergeCell ref="AU113:AY113"/>
    <mergeCell ref="AZ113:AZ114"/>
    <mergeCell ref="AD115:AZ115"/>
    <mergeCell ref="E116:F123"/>
    <mergeCell ref="G116:G123"/>
    <mergeCell ref="H116:Z123"/>
    <mergeCell ref="AA116:AC123"/>
    <mergeCell ref="AD116:AZ116"/>
    <mergeCell ref="AD119:AZ119"/>
    <mergeCell ref="AD123:AZ123"/>
    <mergeCell ref="BL113:BN113"/>
    <mergeCell ref="E108:F115"/>
    <mergeCell ref="G108:G115"/>
    <mergeCell ref="H108:Z115"/>
    <mergeCell ref="AA108:AC115"/>
    <mergeCell ref="AD108:AZ108"/>
    <mergeCell ref="BA108:BQ108"/>
    <mergeCell ref="BB117:BD117"/>
    <mergeCell ref="BF117:BJ117"/>
    <mergeCell ref="BK117:BK118"/>
    <mergeCell ref="BL117:BP117"/>
    <mergeCell ref="BQ117:BQ118"/>
    <mergeCell ref="BP113:BT113"/>
    <mergeCell ref="BF109:BJ109"/>
    <mergeCell ref="BK109:BK110"/>
    <mergeCell ref="BL109:BP109"/>
    <mergeCell ref="BR117:BV117"/>
    <mergeCell ref="BA116:BQ116"/>
    <mergeCell ref="AD117:AD118"/>
    <mergeCell ref="AE117:AG117"/>
    <mergeCell ref="AI117:AM117"/>
    <mergeCell ref="AN117:AN118"/>
    <mergeCell ref="AO117:AS117"/>
    <mergeCell ref="AT117:AT118"/>
    <mergeCell ref="AU117:AY117"/>
    <mergeCell ref="AZ117:AZ118"/>
    <mergeCell ref="BA117:BA118"/>
    <mergeCell ref="E124:AC124"/>
    <mergeCell ref="BL121:BN121"/>
    <mergeCell ref="BP121:BT121"/>
    <mergeCell ref="BU121:BU122"/>
    <mergeCell ref="BV121:BZ121"/>
    <mergeCell ref="CA121:CA122"/>
    <mergeCell ref="CB121:CF121"/>
    <mergeCell ref="BA119:BQ119"/>
    <mergeCell ref="AD120:AZ120"/>
    <mergeCell ref="AD121:AD122"/>
    <mergeCell ref="AE121:AG121"/>
    <mergeCell ref="AI121:AM121"/>
    <mergeCell ref="AN121:AN122"/>
    <mergeCell ref="AO121:AS121"/>
    <mergeCell ref="AT121:AT122"/>
    <mergeCell ref="AU121:AY121"/>
    <mergeCell ref="AZ121:AZ122"/>
    <mergeCell ref="BU17:BU18"/>
    <mergeCell ref="CA17:CA18"/>
    <mergeCell ref="BU25:BU26"/>
    <mergeCell ref="CA25:CA26"/>
    <mergeCell ref="BU33:BU34"/>
    <mergeCell ref="CA33:CA34"/>
    <mergeCell ref="BU41:BU42"/>
    <mergeCell ref="CA41:CA42"/>
    <mergeCell ref="BU49:BU50"/>
    <mergeCell ref="CA49:CA50"/>
    <mergeCell ref="BV33:BZ33"/>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A00-000000000000}">
          <x14:formula1>
            <xm:f>0</xm:f>
          </x14:formula1>
          <x14:formula2>
            <xm:f>9</xm:f>
          </x14:formula2>
          <xm:sqref>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1"/>
  <dimension ref="A1:CJ130"/>
  <sheetViews>
    <sheetView zoomScaleNormal="100" workbookViewId="0">
      <selection activeCell="C31" sqref="C31"/>
    </sheetView>
  </sheetViews>
  <sheetFormatPr defaultRowHeight="12.75"/>
  <cols>
    <col min="1" max="1" width="0.7109375" style="221" customWidth="1"/>
    <col min="2" max="2" width="0.42578125" style="221" customWidth="1"/>
    <col min="3" max="3" width="1.5703125" style="221" customWidth="1"/>
    <col min="4" max="4" width="0.28515625" style="221" customWidth="1"/>
    <col min="5" max="5" width="3.42578125" style="278" customWidth="1"/>
    <col min="6" max="6" width="0.5703125" style="278" customWidth="1"/>
    <col min="7" max="7" width="0.7109375" style="278" customWidth="1"/>
    <col min="8" max="10" width="0.7109375" style="279" customWidth="1"/>
    <col min="11" max="26" width="0.710937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14062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140625" style="280" customWidth="1"/>
    <col min="63" max="63" width="0.5703125" style="280" customWidth="1"/>
    <col min="64" max="64" width="2.140625" style="280" customWidth="1"/>
    <col min="65" max="65" width="0.5703125" style="280" customWidth="1"/>
    <col min="66" max="66" width="2.140625" style="280" customWidth="1"/>
    <col min="67" max="67" width="0.5703125" style="280" customWidth="1"/>
    <col min="68" max="68" width="2.140625" style="280" customWidth="1"/>
    <col min="69" max="69" width="0.5703125" style="280" customWidth="1"/>
    <col min="70" max="70" width="2.140625" style="280" customWidth="1"/>
    <col min="71" max="71" width="0.5703125" style="280" customWidth="1"/>
    <col min="72" max="72" width="2.140625" style="280" customWidth="1"/>
    <col min="73" max="73" width="0.5703125" style="280" customWidth="1"/>
    <col min="74" max="74" width="2.140625" style="280" customWidth="1"/>
    <col min="75" max="75" width="0.5703125" style="280" customWidth="1"/>
    <col min="76" max="76" width="2.140625" style="280" customWidth="1"/>
    <col min="77" max="77" width="0.5703125" style="280" customWidth="1"/>
    <col min="78" max="78" width="2.140625" style="280" customWidth="1"/>
    <col min="79" max="79" width="0.5703125" style="280" customWidth="1"/>
    <col min="80" max="80" width="2.140625" style="280" customWidth="1"/>
    <col min="81" max="81" width="0.5703125" style="280" customWidth="1"/>
    <col min="82" max="82" width="2.140625" style="280" customWidth="1"/>
    <col min="83" max="83" width="0.5703125" style="280" customWidth="1"/>
    <col min="84" max="84" width="2.140625" style="280" customWidth="1"/>
    <col min="85" max="85" width="0.5703125" style="280" customWidth="1"/>
    <col min="86" max="86" width="1.7109375" style="221" customWidth="1"/>
    <col min="87" max="256" width="9.140625" style="221"/>
    <col min="257" max="257" width="0.7109375" style="221" customWidth="1"/>
    <col min="258" max="258" width="0.42578125" style="221" customWidth="1"/>
    <col min="259" max="259" width="1.5703125" style="221" customWidth="1"/>
    <col min="260" max="260" width="0.28515625" style="221" customWidth="1"/>
    <col min="261" max="261" width="3.42578125" style="221" customWidth="1"/>
    <col min="262" max="262" width="0.5703125" style="221" customWidth="1"/>
    <col min="263" max="282" width="0.710937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14062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140625" style="221" customWidth="1"/>
    <col min="319" max="319" width="0.5703125" style="221" customWidth="1"/>
    <col min="320" max="320" width="2.140625" style="221" customWidth="1"/>
    <col min="321" max="321" width="0.5703125" style="221" customWidth="1"/>
    <col min="322" max="322" width="2.140625" style="221" customWidth="1"/>
    <col min="323" max="323" width="0.5703125" style="221" customWidth="1"/>
    <col min="324" max="324" width="2.140625" style="221" customWidth="1"/>
    <col min="325" max="325" width="0.5703125" style="221" customWidth="1"/>
    <col min="326" max="326" width="2.140625" style="221" customWidth="1"/>
    <col min="327" max="327" width="0.5703125" style="221" customWidth="1"/>
    <col min="328" max="328" width="2.140625" style="221" customWidth="1"/>
    <col min="329" max="329" width="0.5703125" style="221" customWidth="1"/>
    <col min="330" max="330" width="2.140625" style="221" customWidth="1"/>
    <col min="331" max="331" width="0.5703125" style="221" customWidth="1"/>
    <col min="332" max="332" width="2.140625" style="221" customWidth="1"/>
    <col min="333" max="333" width="0.5703125" style="221" customWidth="1"/>
    <col min="334" max="334" width="2.140625" style="221" customWidth="1"/>
    <col min="335" max="335" width="0.5703125" style="221" customWidth="1"/>
    <col min="336" max="336" width="2.140625" style="221" customWidth="1"/>
    <col min="337" max="337" width="0.5703125" style="221" customWidth="1"/>
    <col min="338" max="338" width="2.140625" style="221" customWidth="1"/>
    <col min="339" max="339" width="0.5703125" style="221" customWidth="1"/>
    <col min="340" max="340" width="2.140625" style="221" customWidth="1"/>
    <col min="341" max="341" width="0.5703125" style="221" customWidth="1"/>
    <col min="342" max="342" width="1.7109375" style="221" customWidth="1"/>
    <col min="343" max="512" width="9.140625" style="221"/>
    <col min="513" max="513" width="0.7109375" style="221" customWidth="1"/>
    <col min="514" max="514" width="0.42578125" style="221" customWidth="1"/>
    <col min="515" max="515" width="1.5703125" style="221" customWidth="1"/>
    <col min="516" max="516" width="0.28515625" style="221" customWidth="1"/>
    <col min="517" max="517" width="3.42578125" style="221" customWidth="1"/>
    <col min="518" max="518" width="0.5703125" style="221" customWidth="1"/>
    <col min="519" max="538" width="0.710937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14062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140625" style="221" customWidth="1"/>
    <col min="575" max="575" width="0.5703125" style="221" customWidth="1"/>
    <col min="576" max="576" width="2.140625" style="221" customWidth="1"/>
    <col min="577" max="577" width="0.5703125" style="221" customWidth="1"/>
    <col min="578" max="578" width="2.140625" style="221" customWidth="1"/>
    <col min="579" max="579" width="0.5703125" style="221" customWidth="1"/>
    <col min="580" max="580" width="2.140625" style="221" customWidth="1"/>
    <col min="581" max="581" width="0.5703125" style="221" customWidth="1"/>
    <col min="582" max="582" width="2.140625" style="221" customWidth="1"/>
    <col min="583" max="583" width="0.5703125" style="221" customWidth="1"/>
    <col min="584" max="584" width="2.140625" style="221" customWidth="1"/>
    <col min="585" max="585" width="0.5703125" style="221" customWidth="1"/>
    <col min="586" max="586" width="2.140625" style="221" customWidth="1"/>
    <col min="587" max="587" width="0.5703125" style="221" customWidth="1"/>
    <col min="588" max="588" width="2.140625" style="221" customWidth="1"/>
    <col min="589" max="589" width="0.5703125" style="221" customWidth="1"/>
    <col min="590" max="590" width="2.140625" style="221" customWidth="1"/>
    <col min="591" max="591" width="0.5703125" style="221" customWidth="1"/>
    <col min="592" max="592" width="2.140625" style="221" customWidth="1"/>
    <col min="593" max="593" width="0.5703125" style="221" customWidth="1"/>
    <col min="594" max="594" width="2.140625" style="221" customWidth="1"/>
    <col min="595" max="595" width="0.5703125" style="221" customWidth="1"/>
    <col min="596" max="596" width="2.140625" style="221" customWidth="1"/>
    <col min="597" max="597" width="0.5703125" style="221" customWidth="1"/>
    <col min="598" max="598" width="1.7109375" style="221" customWidth="1"/>
    <col min="599" max="768" width="9.140625" style="221"/>
    <col min="769" max="769" width="0.7109375" style="221" customWidth="1"/>
    <col min="770" max="770" width="0.42578125" style="221" customWidth="1"/>
    <col min="771" max="771" width="1.5703125" style="221" customWidth="1"/>
    <col min="772" max="772" width="0.28515625" style="221" customWidth="1"/>
    <col min="773" max="773" width="3.42578125" style="221" customWidth="1"/>
    <col min="774" max="774" width="0.5703125" style="221" customWidth="1"/>
    <col min="775" max="794" width="0.710937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14062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140625" style="221" customWidth="1"/>
    <col min="831" max="831" width="0.5703125" style="221" customWidth="1"/>
    <col min="832" max="832" width="2.140625" style="221" customWidth="1"/>
    <col min="833" max="833" width="0.5703125" style="221" customWidth="1"/>
    <col min="834" max="834" width="2.140625" style="221" customWidth="1"/>
    <col min="835" max="835" width="0.5703125" style="221" customWidth="1"/>
    <col min="836" max="836" width="2.140625" style="221" customWidth="1"/>
    <col min="837" max="837" width="0.5703125" style="221" customWidth="1"/>
    <col min="838" max="838" width="2.140625" style="221" customWidth="1"/>
    <col min="839" max="839" width="0.5703125" style="221" customWidth="1"/>
    <col min="840" max="840" width="2.140625" style="221" customWidth="1"/>
    <col min="841" max="841" width="0.5703125" style="221" customWidth="1"/>
    <col min="842" max="842" width="2.140625" style="221" customWidth="1"/>
    <col min="843" max="843" width="0.5703125" style="221" customWidth="1"/>
    <col min="844" max="844" width="2.140625" style="221" customWidth="1"/>
    <col min="845" max="845" width="0.5703125" style="221" customWidth="1"/>
    <col min="846" max="846" width="2.140625" style="221" customWidth="1"/>
    <col min="847" max="847" width="0.5703125" style="221" customWidth="1"/>
    <col min="848" max="848" width="2.140625" style="221" customWidth="1"/>
    <col min="849" max="849" width="0.5703125" style="221" customWidth="1"/>
    <col min="850" max="850" width="2.140625" style="221" customWidth="1"/>
    <col min="851" max="851" width="0.5703125" style="221" customWidth="1"/>
    <col min="852" max="852" width="2.140625" style="221" customWidth="1"/>
    <col min="853" max="853" width="0.5703125" style="221" customWidth="1"/>
    <col min="854" max="854" width="1.7109375" style="221" customWidth="1"/>
    <col min="855" max="1024" width="9.140625" style="221"/>
    <col min="1025" max="1025" width="0.7109375" style="221" customWidth="1"/>
    <col min="1026" max="1026" width="0.42578125" style="221" customWidth="1"/>
    <col min="1027" max="1027" width="1.5703125" style="221" customWidth="1"/>
    <col min="1028" max="1028" width="0.28515625" style="221" customWidth="1"/>
    <col min="1029" max="1029" width="3.42578125" style="221" customWidth="1"/>
    <col min="1030" max="1030" width="0.5703125" style="221" customWidth="1"/>
    <col min="1031" max="1050" width="0.710937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14062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140625" style="221" customWidth="1"/>
    <col min="1087" max="1087" width="0.5703125" style="221" customWidth="1"/>
    <col min="1088" max="1088" width="2.140625" style="221" customWidth="1"/>
    <col min="1089" max="1089" width="0.5703125" style="221" customWidth="1"/>
    <col min="1090" max="1090" width="2.140625" style="221" customWidth="1"/>
    <col min="1091" max="1091" width="0.5703125" style="221" customWidth="1"/>
    <col min="1092" max="1092" width="2.140625" style="221" customWidth="1"/>
    <col min="1093" max="1093" width="0.5703125" style="221" customWidth="1"/>
    <col min="1094" max="1094" width="2.140625" style="221" customWidth="1"/>
    <col min="1095" max="1095" width="0.5703125" style="221" customWidth="1"/>
    <col min="1096" max="1096" width="2.140625" style="221" customWidth="1"/>
    <col min="1097" max="1097" width="0.5703125" style="221" customWidth="1"/>
    <col min="1098" max="1098" width="2.140625" style="221" customWidth="1"/>
    <col min="1099" max="1099" width="0.5703125" style="221" customWidth="1"/>
    <col min="1100" max="1100" width="2.140625" style="221" customWidth="1"/>
    <col min="1101" max="1101" width="0.5703125" style="221" customWidth="1"/>
    <col min="1102" max="1102" width="2.140625" style="221" customWidth="1"/>
    <col min="1103" max="1103" width="0.5703125" style="221" customWidth="1"/>
    <col min="1104" max="1104" width="2.140625" style="221" customWidth="1"/>
    <col min="1105" max="1105" width="0.5703125" style="221" customWidth="1"/>
    <col min="1106" max="1106" width="2.140625" style="221" customWidth="1"/>
    <col min="1107" max="1107" width="0.5703125" style="221" customWidth="1"/>
    <col min="1108" max="1108" width="2.140625" style="221" customWidth="1"/>
    <col min="1109" max="1109" width="0.5703125" style="221" customWidth="1"/>
    <col min="1110" max="1110" width="1.7109375" style="221" customWidth="1"/>
    <col min="1111" max="1280" width="9.140625" style="221"/>
    <col min="1281" max="1281" width="0.7109375" style="221" customWidth="1"/>
    <col min="1282" max="1282" width="0.42578125" style="221" customWidth="1"/>
    <col min="1283" max="1283" width="1.5703125" style="221" customWidth="1"/>
    <col min="1284" max="1284" width="0.28515625" style="221" customWidth="1"/>
    <col min="1285" max="1285" width="3.42578125" style="221" customWidth="1"/>
    <col min="1286" max="1286" width="0.5703125" style="221" customWidth="1"/>
    <col min="1287" max="1306" width="0.710937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14062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140625" style="221" customWidth="1"/>
    <col min="1343" max="1343" width="0.5703125" style="221" customWidth="1"/>
    <col min="1344" max="1344" width="2.140625" style="221" customWidth="1"/>
    <col min="1345" max="1345" width="0.5703125" style="221" customWidth="1"/>
    <col min="1346" max="1346" width="2.140625" style="221" customWidth="1"/>
    <col min="1347" max="1347" width="0.5703125" style="221" customWidth="1"/>
    <col min="1348" max="1348" width="2.140625" style="221" customWidth="1"/>
    <col min="1349" max="1349" width="0.5703125" style="221" customWidth="1"/>
    <col min="1350" max="1350" width="2.140625" style="221" customWidth="1"/>
    <col min="1351" max="1351" width="0.5703125" style="221" customWidth="1"/>
    <col min="1352" max="1352" width="2.140625" style="221" customWidth="1"/>
    <col min="1353" max="1353" width="0.5703125" style="221" customWidth="1"/>
    <col min="1354" max="1354" width="2.140625" style="221" customWidth="1"/>
    <col min="1355" max="1355" width="0.5703125" style="221" customWidth="1"/>
    <col min="1356" max="1356" width="2.140625" style="221" customWidth="1"/>
    <col min="1357" max="1357" width="0.5703125" style="221" customWidth="1"/>
    <col min="1358" max="1358" width="2.140625" style="221" customWidth="1"/>
    <col min="1359" max="1359" width="0.5703125" style="221" customWidth="1"/>
    <col min="1360" max="1360" width="2.140625" style="221" customWidth="1"/>
    <col min="1361" max="1361" width="0.5703125" style="221" customWidth="1"/>
    <col min="1362" max="1362" width="2.140625" style="221" customWidth="1"/>
    <col min="1363" max="1363" width="0.5703125" style="221" customWidth="1"/>
    <col min="1364" max="1364" width="2.140625" style="221" customWidth="1"/>
    <col min="1365" max="1365" width="0.5703125" style="221" customWidth="1"/>
    <col min="1366" max="1366" width="1.7109375" style="221" customWidth="1"/>
    <col min="1367" max="1536" width="9.140625" style="221"/>
    <col min="1537" max="1537" width="0.7109375" style="221" customWidth="1"/>
    <col min="1538" max="1538" width="0.42578125" style="221" customWidth="1"/>
    <col min="1539" max="1539" width="1.5703125" style="221" customWidth="1"/>
    <col min="1540" max="1540" width="0.28515625" style="221" customWidth="1"/>
    <col min="1541" max="1541" width="3.42578125" style="221" customWidth="1"/>
    <col min="1542" max="1542" width="0.5703125" style="221" customWidth="1"/>
    <col min="1543" max="1562" width="0.710937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14062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140625" style="221" customWidth="1"/>
    <col min="1599" max="1599" width="0.5703125" style="221" customWidth="1"/>
    <col min="1600" max="1600" width="2.140625" style="221" customWidth="1"/>
    <col min="1601" max="1601" width="0.5703125" style="221" customWidth="1"/>
    <col min="1602" max="1602" width="2.140625" style="221" customWidth="1"/>
    <col min="1603" max="1603" width="0.5703125" style="221" customWidth="1"/>
    <col min="1604" max="1604" width="2.140625" style="221" customWidth="1"/>
    <col min="1605" max="1605" width="0.5703125" style="221" customWidth="1"/>
    <col min="1606" max="1606" width="2.140625" style="221" customWidth="1"/>
    <col min="1607" max="1607" width="0.5703125" style="221" customWidth="1"/>
    <col min="1608" max="1608" width="2.140625" style="221" customWidth="1"/>
    <col min="1609" max="1609" width="0.5703125" style="221" customWidth="1"/>
    <col min="1610" max="1610" width="2.140625" style="221" customWidth="1"/>
    <col min="1611" max="1611" width="0.5703125" style="221" customWidth="1"/>
    <col min="1612" max="1612" width="2.140625" style="221" customWidth="1"/>
    <col min="1613" max="1613" width="0.5703125" style="221" customWidth="1"/>
    <col min="1614" max="1614" width="2.140625" style="221" customWidth="1"/>
    <col min="1615" max="1615" width="0.5703125" style="221" customWidth="1"/>
    <col min="1616" max="1616" width="2.140625" style="221" customWidth="1"/>
    <col min="1617" max="1617" width="0.5703125" style="221" customWidth="1"/>
    <col min="1618" max="1618" width="2.140625" style="221" customWidth="1"/>
    <col min="1619" max="1619" width="0.5703125" style="221" customWidth="1"/>
    <col min="1620" max="1620" width="2.140625" style="221" customWidth="1"/>
    <col min="1621" max="1621" width="0.5703125" style="221" customWidth="1"/>
    <col min="1622" max="1622" width="1.7109375" style="221" customWidth="1"/>
    <col min="1623" max="1792" width="9.140625" style="221"/>
    <col min="1793" max="1793" width="0.7109375" style="221" customWidth="1"/>
    <col min="1794" max="1794" width="0.42578125" style="221" customWidth="1"/>
    <col min="1795" max="1795" width="1.5703125" style="221" customWidth="1"/>
    <col min="1796" max="1796" width="0.28515625" style="221" customWidth="1"/>
    <col min="1797" max="1797" width="3.42578125" style="221" customWidth="1"/>
    <col min="1798" max="1798" width="0.5703125" style="221" customWidth="1"/>
    <col min="1799" max="1818" width="0.710937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14062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140625" style="221" customWidth="1"/>
    <col min="1855" max="1855" width="0.5703125" style="221" customWidth="1"/>
    <col min="1856" max="1856" width="2.140625" style="221" customWidth="1"/>
    <col min="1857" max="1857" width="0.5703125" style="221" customWidth="1"/>
    <col min="1858" max="1858" width="2.140625" style="221" customWidth="1"/>
    <col min="1859" max="1859" width="0.5703125" style="221" customWidth="1"/>
    <col min="1860" max="1860" width="2.140625" style="221" customWidth="1"/>
    <col min="1861" max="1861" width="0.5703125" style="221" customWidth="1"/>
    <col min="1862" max="1862" width="2.140625" style="221" customWidth="1"/>
    <col min="1863" max="1863" width="0.5703125" style="221" customWidth="1"/>
    <col min="1864" max="1864" width="2.140625" style="221" customWidth="1"/>
    <col min="1865" max="1865" width="0.5703125" style="221" customWidth="1"/>
    <col min="1866" max="1866" width="2.140625" style="221" customWidth="1"/>
    <col min="1867" max="1867" width="0.5703125" style="221" customWidth="1"/>
    <col min="1868" max="1868" width="2.140625" style="221" customWidth="1"/>
    <col min="1869" max="1869" width="0.5703125" style="221" customWidth="1"/>
    <col min="1870" max="1870" width="2.140625" style="221" customWidth="1"/>
    <col min="1871" max="1871" width="0.5703125" style="221" customWidth="1"/>
    <col min="1872" max="1872" width="2.140625" style="221" customWidth="1"/>
    <col min="1873" max="1873" width="0.5703125" style="221" customWidth="1"/>
    <col min="1874" max="1874" width="2.140625" style="221" customWidth="1"/>
    <col min="1875" max="1875" width="0.5703125" style="221" customWidth="1"/>
    <col min="1876" max="1876" width="2.140625" style="221" customWidth="1"/>
    <col min="1877" max="1877" width="0.5703125" style="221" customWidth="1"/>
    <col min="1878" max="1878" width="1.7109375" style="221" customWidth="1"/>
    <col min="1879" max="2048" width="9.140625" style="221"/>
    <col min="2049" max="2049" width="0.7109375" style="221" customWidth="1"/>
    <col min="2050" max="2050" width="0.42578125" style="221" customWidth="1"/>
    <col min="2051" max="2051" width="1.5703125" style="221" customWidth="1"/>
    <col min="2052" max="2052" width="0.28515625" style="221" customWidth="1"/>
    <col min="2053" max="2053" width="3.42578125" style="221" customWidth="1"/>
    <col min="2054" max="2054" width="0.5703125" style="221" customWidth="1"/>
    <col min="2055" max="2074" width="0.710937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14062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140625" style="221" customWidth="1"/>
    <col min="2111" max="2111" width="0.5703125" style="221" customWidth="1"/>
    <col min="2112" max="2112" width="2.140625" style="221" customWidth="1"/>
    <col min="2113" max="2113" width="0.5703125" style="221" customWidth="1"/>
    <col min="2114" max="2114" width="2.140625" style="221" customWidth="1"/>
    <col min="2115" max="2115" width="0.5703125" style="221" customWidth="1"/>
    <col min="2116" max="2116" width="2.140625" style="221" customWidth="1"/>
    <col min="2117" max="2117" width="0.5703125" style="221" customWidth="1"/>
    <col min="2118" max="2118" width="2.140625" style="221" customWidth="1"/>
    <col min="2119" max="2119" width="0.5703125" style="221" customWidth="1"/>
    <col min="2120" max="2120" width="2.140625" style="221" customWidth="1"/>
    <col min="2121" max="2121" width="0.5703125" style="221" customWidth="1"/>
    <col min="2122" max="2122" width="2.140625" style="221" customWidth="1"/>
    <col min="2123" max="2123" width="0.5703125" style="221" customWidth="1"/>
    <col min="2124" max="2124" width="2.140625" style="221" customWidth="1"/>
    <col min="2125" max="2125" width="0.5703125" style="221" customWidth="1"/>
    <col min="2126" max="2126" width="2.140625" style="221" customWidth="1"/>
    <col min="2127" max="2127" width="0.5703125" style="221" customWidth="1"/>
    <col min="2128" max="2128" width="2.140625" style="221" customWidth="1"/>
    <col min="2129" max="2129" width="0.5703125" style="221" customWidth="1"/>
    <col min="2130" max="2130" width="2.140625" style="221" customWidth="1"/>
    <col min="2131" max="2131" width="0.5703125" style="221" customWidth="1"/>
    <col min="2132" max="2132" width="2.140625" style="221" customWidth="1"/>
    <col min="2133" max="2133" width="0.5703125" style="221" customWidth="1"/>
    <col min="2134" max="2134" width="1.7109375" style="221" customWidth="1"/>
    <col min="2135" max="2304" width="9.140625" style="221"/>
    <col min="2305" max="2305" width="0.7109375" style="221" customWidth="1"/>
    <col min="2306" max="2306" width="0.42578125" style="221" customWidth="1"/>
    <col min="2307" max="2307" width="1.5703125" style="221" customWidth="1"/>
    <col min="2308" max="2308" width="0.28515625" style="221" customWidth="1"/>
    <col min="2309" max="2309" width="3.42578125" style="221" customWidth="1"/>
    <col min="2310" max="2310" width="0.5703125" style="221" customWidth="1"/>
    <col min="2311" max="2330" width="0.710937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14062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140625" style="221" customWidth="1"/>
    <col min="2367" max="2367" width="0.5703125" style="221" customWidth="1"/>
    <col min="2368" max="2368" width="2.140625" style="221" customWidth="1"/>
    <col min="2369" max="2369" width="0.5703125" style="221" customWidth="1"/>
    <col min="2370" max="2370" width="2.140625" style="221" customWidth="1"/>
    <col min="2371" max="2371" width="0.5703125" style="221" customWidth="1"/>
    <col min="2372" max="2372" width="2.140625" style="221" customWidth="1"/>
    <col min="2373" max="2373" width="0.5703125" style="221" customWidth="1"/>
    <col min="2374" max="2374" width="2.140625" style="221" customWidth="1"/>
    <col min="2375" max="2375" width="0.5703125" style="221" customWidth="1"/>
    <col min="2376" max="2376" width="2.140625" style="221" customWidth="1"/>
    <col min="2377" max="2377" width="0.5703125" style="221" customWidth="1"/>
    <col min="2378" max="2378" width="2.140625" style="221" customWidth="1"/>
    <col min="2379" max="2379" width="0.5703125" style="221" customWidth="1"/>
    <col min="2380" max="2380" width="2.140625" style="221" customWidth="1"/>
    <col min="2381" max="2381" width="0.5703125" style="221" customWidth="1"/>
    <col min="2382" max="2382" width="2.140625" style="221" customWidth="1"/>
    <col min="2383" max="2383" width="0.5703125" style="221" customWidth="1"/>
    <col min="2384" max="2384" width="2.140625" style="221" customWidth="1"/>
    <col min="2385" max="2385" width="0.5703125" style="221" customWidth="1"/>
    <col min="2386" max="2386" width="2.140625" style="221" customWidth="1"/>
    <col min="2387" max="2387" width="0.5703125" style="221" customWidth="1"/>
    <col min="2388" max="2388" width="2.140625" style="221" customWidth="1"/>
    <col min="2389" max="2389" width="0.5703125" style="221" customWidth="1"/>
    <col min="2390" max="2390" width="1.7109375" style="221" customWidth="1"/>
    <col min="2391" max="2560" width="9.140625" style="221"/>
    <col min="2561" max="2561" width="0.7109375" style="221" customWidth="1"/>
    <col min="2562" max="2562" width="0.42578125" style="221" customWidth="1"/>
    <col min="2563" max="2563" width="1.5703125" style="221" customWidth="1"/>
    <col min="2564" max="2564" width="0.28515625" style="221" customWidth="1"/>
    <col min="2565" max="2565" width="3.42578125" style="221" customWidth="1"/>
    <col min="2566" max="2566" width="0.5703125" style="221" customWidth="1"/>
    <col min="2567" max="2586" width="0.710937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14062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140625" style="221" customWidth="1"/>
    <col min="2623" max="2623" width="0.5703125" style="221" customWidth="1"/>
    <col min="2624" max="2624" width="2.140625" style="221" customWidth="1"/>
    <col min="2625" max="2625" width="0.5703125" style="221" customWidth="1"/>
    <col min="2626" max="2626" width="2.140625" style="221" customWidth="1"/>
    <col min="2627" max="2627" width="0.5703125" style="221" customWidth="1"/>
    <col min="2628" max="2628" width="2.140625" style="221" customWidth="1"/>
    <col min="2629" max="2629" width="0.5703125" style="221" customWidth="1"/>
    <col min="2630" max="2630" width="2.140625" style="221" customWidth="1"/>
    <col min="2631" max="2631" width="0.5703125" style="221" customWidth="1"/>
    <col min="2632" max="2632" width="2.140625" style="221" customWidth="1"/>
    <col min="2633" max="2633" width="0.5703125" style="221" customWidth="1"/>
    <col min="2634" max="2634" width="2.140625" style="221" customWidth="1"/>
    <col min="2635" max="2635" width="0.5703125" style="221" customWidth="1"/>
    <col min="2636" max="2636" width="2.140625" style="221" customWidth="1"/>
    <col min="2637" max="2637" width="0.5703125" style="221" customWidth="1"/>
    <col min="2638" max="2638" width="2.140625" style="221" customWidth="1"/>
    <col min="2639" max="2639" width="0.5703125" style="221" customWidth="1"/>
    <col min="2640" max="2640" width="2.140625" style="221" customWidth="1"/>
    <col min="2641" max="2641" width="0.5703125" style="221" customWidth="1"/>
    <col min="2642" max="2642" width="2.140625" style="221" customWidth="1"/>
    <col min="2643" max="2643" width="0.5703125" style="221" customWidth="1"/>
    <col min="2644" max="2644" width="2.140625" style="221" customWidth="1"/>
    <col min="2645" max="2645" width="0.5703125" style="221" customWidth="1"/>
    <col min="2646" max="2646" width="1.7109375" style="221" customWidth="1"/>
    <col min="2647" max="2816" width="9.140625" style="221"/>
    <col min="2817" max="2817" width="0.7109375" style="221" customWidth="1"/>
    <col min="2818" max="2818" width="0.42578125" style="221" customWidth="1"/>
    <col min="2819" max="2819" width="1.5703125" style="221" customWidth="1"/>
    <col min="2820" max="2820" width="0.28515625" style="221" customWidth="1"/>
    <col min="2821" max="2821" width="3.42578125" style="221" customWidth="1"/>
    <col min="2822" max="2822" width="0.5703125" style="221" customWidth="1"/>
    <col min="2823" max="2842" width="0.710937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14062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140625" style="221" customWidth="1"/>
    <col min="2879" max="2879" width="0.5703125" style="221" customWidth="1"/>
    <col min="2880" max="2880" width="2.140625" style="221" customWidth="1"/>
    <col min="2881" max="2881" width="0.5703125" style="221" customWidth="1"/>
    <col min="2882" max="2882" width="2.140625" style="221" customWidth="1"/>
    <col min="2883" max="2883" width="0.5703125" style="221" customWidth="1"/>
    <col min="2884" max="2884" width="2.140625" style="221" customWidth="1"/>
    <col min="2885" max="2885" width="0.5703125" style="221" customWidth="1"/>
    <col min="2886" max="2886" width="2.140625" style="221" customWidth="1"/>
    <col min="2887" max="2887" width="0.5703125" style="221" customWidth="1"/>
    <col min="2888" max="2888" width="2.140625" style="221" customWidth="1"/>
    <col min="2889" max="2889" width="0.5703125" style="221" customWidth="1"/>
    <col min="2890" max="2890" width="2.140625" style="221" customWidth="1"/>
    <col min="2891" max="2891" width="0.5703125" style="221" customWidth="1"/>
    <col min="2892" max="2892" width="2.140625" style="221" customWidth="1"/>
    <col min="2893" max="2893" width="0.5703125" style="221" customWidth="1"/>
    <col min="2894" max="2894" width="2.140625" style="221" customWidth="1"/>
    <col min="2895" max="2895" width="0.5703125" style="221" customWidth="1"/>
    <col min="2896" max="2896" width="2.140625" style="221" customWidth="1"/>
    <col min="2897" max="2897" width="0.5703125" style="221" customWidth="1"/>
    <col min="2898" max="2898" width="2.140625" style="221" customWidth="1"/>
    <col min="2899" max="2899" width="0.5703125" style="221" customWidth="1"/>
    <col min="2900" max="2900" width="2.140625" style="221" customWidth="1"/>
    <col min="2901" max="2901" width="0.5703125" style="221" customWidth="1"/>
    <col min="2902" max="2902" width="1.7109375" style="221" customWidth="1"/>
    <col min="2903" max="3072" width="9.140625" style="221"/>
    <col min="3073" max="3073" width="0.7109375" style="221" customWidth="1"/>
    <col min="3074" max="3074" width="0.42578125" style="221" customWidth="1"/>
    <col min="3075" max="3075" width="1.5703125" style="221" customWidth="1"/>
    <col min="3076" max="3076" width="0.28515625" style="221" customWidth="1"/>
    <col min="3077" max="3077" width="3.42578125" style="221" customWidth="1"/>
    <col min="3078" max="3078" width="0.5703125" style="221" customWidth="1"/>
    <col min="3079" max="3098" width="0.710937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14062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140625" style="221" customWidth="1"/>
    <col min="3135" max="3135" width="0.5703125" style="221" customWidth="1"/>
    <col min="3136" max="3136" width="2.140625" style="221" customWidth="1"/>
    <col min="3137" max="3137" width="0.5703125" style="221" customWidth="1"/>
    <col min="3138" max="3138" width="2.140625" style="221" customWidth="1"/>
    <col min="3139" max="3139" width="0.5703125" style="221" customWidth="1"/>
    <col min="3140" max="3140" width="2.140625" style="221" customWidth="1"/>
    <col min="3141" max="3141" width="0.5703125" style="221" customWidth="1"/>
    <col min="3142" max="3142" width="2.140625" style="221" customWidth="1"/>
    <col min="3143" max="3143" width="0.5703125" style="221" customWidth="1"/>
    <col min="3144" max="3144" width="2.140625" style="221" customWidth="1"/>
    <col min="3145" max="3145" width="0.5703125" style="221" customWidth="1"/>
    <col min="3146" max="3146" width="2.140625" style="221" customWidth="1"/>
    <col min="3147" max="3147" width="0.5703125" style="221" customWidth="1"/>
    <col min="3148" max="3148" width="2.140625" style="221" customWidth="1"/>
    <col min="3149" max="3149" width="0.5703125" style="221" customWidth="1"/>
    <col min="3150" max="3150" width="2.140625" style="221" customWidth="1"/>
    <col min="3151" max="3151" width="0.5703125" style="221" customWidth="1"/>
    <col min="3152" max="3152" width="2.140625" style="221" customWidth="1"/>
    <col min="3153" max="3153" width="0.5703125" style="221" customWidth="1"/>
    <col min="3154" max="3154" width="2.140625" style="221" customWidth="1"/>
    <col min="3155" max="3155" width="0.5703125" style="221" customWidth="1"/>
    <col min="3156" max="3156" width="2.140625" style="221" customWidth="1"/>
    <col min="3157" max="3157" width="0.5703125" style="221" customWidth="1"/>
    <col min="3158" max="3158" width="1.7109375" style="221" customWidth="1"/>
    <col min="3159" max="3328" width="9.140625" style="221"/>
    <col min="3329" max="3329" width="0.7109375" style="221" customWidth="1"/>
    <col min="3330" max="3330" width="0.42578125" style="221" customWidth="1"/>
    <col min="3331" max="3331" width="1.5703125" style="221" customWidth="1"/>
    <col min="3332" max="3332" width="0.28515625" style="221" customWidth="1"/>
    <col min="3333" max="3333" width="3.42578125" style="221" customWidth="1"/>
    <col min="3334" max="3334" width="0.5703125" style="221" customWidth="1"/>
    <col min="3335" max="3354" width="0.710937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14062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140625" style="221" customWidth="1"/>
    <col min="3391" max="3391" width="0.5703125" style="221" customWidth="1"/>
    <col min="3392" max="3392" width="2.140625" style="221" customWidth="1"/>
    <col min="3393" max="3393" width="0.5703125" style="221" customWidth="1"/>
    <col min="3394" max="3394" width="2.140625" style="221" customWidth="1"/>
    <col min="3395" max="3395" width="0.5703125" style="221" customWidth="1"/>
    <col min="3396" max="3396" width="2.140625" style="221" customWidth="1"/>
    <col min="3397" max="3397" width="0.5703125" style="221" customWidth="1"/>
    <col min="3398" max="3398" width="2.140625" style="221" customWidth="1"/>
    <col min="3399" max="3399" width="0.5703125" style="221" customWidth="1"/>
    <col min="3400" max="3400" width="2.140625" style="221" customWidth="1"/>
    <col min="3401" max="3401" width="0.5703125" style="221" customWidth="1"/>
    <col min="3402" max="3402" width="2.140625" style="221" customWidth="1"/>
    <col min="3403" max="3403" width="0.5703125" style="221" customWidth="1"/>
    <col min="3404" max="3404" width="2.140625" style="221" customWidth="1"/>
    <col min="3405" max="3405" width="0.5703125" style="221" customWidth="1"/>
    <col min="3406" max="3406" width="2.140625" style="221" customWidth="1"/>
    <col min="3407" max="3407" width="0.5703125" style="221" customWidth="1"/>
    <col min="3408" max="3408" width="2.140625" style="221" customWidth="1"/>
    <col min="3409" max="3409" width="0.5703125" style="221" customWidth="1"/>
    <col min="3410" max="3410" width="2.140625" style="221" customWidth="1"/>
    <col min="3411" max="3411" width="0.5703125" style="221" customWidth="1"/>
    <col min="3412" max="3412" width="2.140625" style="221" customWidth="1"/>
    <col min="3413" max="3413" width="0.5703125" style="221" customWidth="1"/>
    <col min="3414" max="3414" width="1.7109375" style="221" customWidth="1"/>
    <col min="3415" max="3584" width="9.140625" style="221"/>
    <col min="3585" max="3585" width="0.7109375" style="221" customWidth="1"/>
    <col min="3586" max="3586" width="0.42578125" style="221" customWidth="1"/>
    <col min="3587" max="3587" width="1.5703125" style="221" customWidth="1"/>
    <col min="3588" max="3588" width="0.28515625" style="221" customWidth="1"/>
    <col min="3589" max="3589" width="3.42578125" style="221" customWidth="1"/>
    <col min="3590" max="3590" width="0.5703125" style="221" customWidth="1"/>
    <col min="3591" max="3610" width="0.710937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14062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140625" style="221" customWidth="1"/>
    <col min="3647" max="3647" width="0.5703125" style="221" customWidth="1"/>
    <col min="3648" max="3648" width="2.140625" style="221" customWidth="1"/>
    <col min="3649" max="3649" width="0.5703125" style="221" customWidth="1"/>
    <col min="3650" max="3650" width="2.140625" style="221" customWidth="1"/>
    <col min="3651" max="3651" width="0.5703125" style="221" customWidth="1"/>
    <col min="3652" max="3652" width="2.140625" style="221" customWidth="1"/>
    <col min="3653" max="3653" width="0.5703125" style="221" customWidth="1"/>
    <col min="3654" max="3654" width="2.140625" style="221" customWidth="1"/>
    <col min="3655" max="3655" width="0.5703125" style="221" customWidth="1"/>
    <col min="3656" max="3656" width="2.140625" style="221" customWidth="1"/>
    <col min="3657" max="3657" width="0.5703125" style="221" customWidth="1"/>
    <col min="3658" max="3658" width="2.140625" style="221" customWidth="1"/>
    <col min="3659" max="3659" width="0.5703125" style="221" customWidth="1"/>
    <col min="3660" max="3660" width="2.140625" style="221" customWidth="1"/>
    <col min="3661" max="3661" width="0.5703125" style="221" customWidth="1"/>
    <col min="3662" max="3662" width="2.140625" style="221" customWidth="1"/>
    <col min="3663" max="3663" width="0.5703125" style="221" customWidth="1"/>
    <col min="3664" max="3664" width="2.140625" style="221" customWidth="1"/>
    <col min="3665" max="3665" width="0.5703125" style="221" customWidth="1"/>
    <col min="3666" max="3666" width="2.140625" style="221" customWidth="1"/>
    <col min="3667" max="3667" width="0.5703125" style="221" customWidth="1"/>
    <col min="3668" max="3668" width="2.140625" style="221" customWidth="1"/>
    <col min="3669" max="3669" width="0.5703125" style="221" customWidth="1"/>
    <col min="3670" max="3670" width="1.7109375" style="221" customWidth="1"/>
    <col min="3671" max="3840" width="9.140625" style="221"/>
    <col min="3841" max="3841" width="0.7109375" style="221" customWidth="1"/>
    <col min="3842" max="3842" width="0.42578125" style="221" customWidth="1"/>
    <col min="3843" max="3843" width="1.5703125" style="221" customWidth="1"/>
    <col min="3844" max="3844" width="0.28515625" style="221" customWidth="1"/>
    <col min="3845" max="3845" width="3.42578125" style="221" customWidth="1"/>
    <col min="3846" max="3846" width="0.5703125" style="221" customWidth="1"/>
    <col min="3847" max="3866" width="0.710937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14062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140625" style="221" customWidth="1"/>
    <col min="3903" max="3903" width="0.5703125" style="221" customWidth="1"/>
    <col min="3904" max="3904" width="2.140625" style="221" customWidth="1"/>
    <col min="3905" max="3905" width="0.5703125" style="221" customWidth="1"/>
    <col min="3906" max="3906" width="2.140625" style="221" customWidth="1"/>
    <col min="3907" max="3907" width="0.5703125" style="221" customWidth="1"/>
    <col min="3908" max="3908" width="2.140625" style="221" customWidth="1"/>
    <col min="3909" max="3909" width="0.5703125" style="221" customWidth="1"/>
    <col min="3910" max="3910" width="2.140625" style="221" customWidth="1"/>
    <col min="3911" max="3911" width="0.5703125" style="221" customWidth="1"/>
    <col min="3912" max="3912" width="2.140625" style="221" customWidth="1"/>
    <col min="3913" max="3913" width="0.5703125" style="221" customWidth="1"/>
    <col min="3914" max="3914" width="2.140625" style="221" customWidth="1"/>
    <col min="3915" max="3915" width="0.5703125" style="221" customWidth="1"/>
    <col min="3916" max="3916" width="2.140625" style="221" customWidth="1"/>
    <col min="3917" max="3917" width="0.5703125" style="221" customWidth="1"/>
    <col min="3918" max="3918" width="2.140625" style="221" customWidth="1"/>
    <col min="3919" max="3919" width="0.5703125" style="221" customWidth="1"/>
    <col min="3920" max="3920" width="2.140625" style="221" customWidth="1"/>
    <col min="3921" max="3921" width="0.5703125" style="221" customWidth="1"/>
    <col min="3922" max="3922" width="2.140625" style="221" customWidth="1"/>
    <col min="3923" max="3923" width="0.5703125" style="221" customWidth="1"/>
    <col min="3924" max="3924" width="2.140625" style="221" customWidth="1"/>
    <col min="3925" max="3925" width="0.5703125" style="221" customWidth="1"/>
    <col min="3926" max="3926" width="1.7109375" style="221" customWidth="1"/>
    <col min="3927" max="4096" width="9.140625" style="221"/>
    <col min="4097" max="4097" width="0.7109375" style="221" customWidth="1"/>
    <col min="4098" max="4098" width="0.42578125" style="221" customWidth="1"/>
    <col min="4099" max="4099" width="1.5703125" style="221" customWidth="1"/>
    <col min="4100" max="4100" width="0.28515625" style="221" customWidth="1"/>
    <col min="4101" max="4101" width="3.42578125" style="221" customWidth="1"/>
    <col min="4102" max="4102" width="0.5703125" style="221" customWidth="1"/>
    <col min="4103" max="4122" width="0.710937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14062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140625" style="221" customWidth="1"/>
    <col min="4159" max="4159" width="0.5703125" style="221" customWidth="1"/>
    <col min="4160" max="4160" width="2.140625" style="221" customWidth="1"/>
    <col min="4161" max="4161" width="0.5703125" style="221" customWidth="1"/>
    <col min="4162" max="4162" width="2.140625" style="221" customWidth="1"/>
    <col min="4163" max="4163" width="0.5703125" style="221" customWidth="1"/>
    <col min="4164" max="4164" width="2.140625" style="221" customWidth="1"/>
    <col min="4165" max="4165" width="0.5703125" style="221" customWidth="1"/>
    <col min="4166" max="4166" width="2.140625" style="221" customWidth="1"/>
    <col min="4167" max="4167" width="0.5703125" style="221" customWidth="1"/>
    <col min="4168" max="4168" width="2.140625" style="221" customWidth="1"/>
    <col min="4169" max="4169" width="0.5703125" style="221" customWidth="1"/>
    <col min="4170" max="4170" width="2.140625" style="221" customWidth="1"/>
    <col min="4171" max="4171" width="0.5703125" style="221" customWidth="1"/>
    <col min="4172" max="4172" width="2.140625" style="221" customWidth="1"/>
    <col min="4173" max="4173" width="0.5703125" style="221" customWidth="1"/>
    <col min="4174" max="4174" width="2.140625" style="221" customWidth="1"/>
    <col min="4175" max="4175" width="0.5703125" style="221" customWidth="1"/>
    <col min="4176" max="4176" width="2.140625" style="221" customWidth="1"/>
    <col min="4177" max="4177" width="0.5703125" style="221" customWidth="1"/>
    <col min="4178" max="4178" width="2.140625" style="221" customWidth="1"/>
    <col min="4179" max="4179" width="0.5703125" style="221" customWidth="1"/>
    <col min="4180" max="4180" width="2.140625" style="221" customWidth="1"/>
    <col min="4181" max="4181" width="0.5703125" style="221" customWidth="1"/>
    <col min="4182" max="4182" width="1.7109375" style="221" customWidth="1"/>
    <col min="4183" max="4352" width="9.140625" style="221"/>
    <col min="4353" max="4353" width="0.7109375" style="221" customWidth="1"/>
    <col min="4354" max="4354" width="0.42578125" style="221" customWidth="1"/>
    <col min="4355" max="4355" width="1.5703125" style="221" customWidth="1"/>
    <col min="4356" max="4356" width="0.28515625" style="221" customWidth="1"/>
    <col min="4357" max="4357" width="3.42578125" style="221" customWidth="1"/>
    <col min="4358" max="4358" width="0.5703125" style="221" customWidth="1"/>
    <col min="4359" max="4378" width="0.710937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14062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140625" style="221" customWidth="1"/>
    <col min="4415" max="4415" width="0.5703125" style="221" customWidth="1"/>
    <col min="4416" max="4416" width="2.140625" style="221" customWidth="1"/>
    <col min="4417" max="4417" width="0.5703125" style="221" customWidth="1"/>
    <col min="4418" max="4418" width="2.140625" style="221" customWidth="1"/>
    <col min="4419" max="4419" width="0.5703125" style="221" customWidth="1"/>
    <col min="4420" max="4420" width="2.140625" style="221" customWidth="1"/>
    <col min="4421" max="4421" width="0.5703125" style="221" customWidth="1"/>
    <col min="4422" max="4422" width="2.140625" style="221" customWidth="1"/>
    <col min="4423" max="4423" width="0.5703125" style="221" customWidth="1"/>
    <col min="4424" max="4424" width="2.140625" style="221" customWidth="1"/>
    <col min="4425" max="4425" width="0.5703125" style="221" customWidth="1"/>
    <col min="4426" max="4426" width="2.140625" style="221" customWidth="1"/>
    <col min="4427" max="4427" width="0.5703125" style="221" customWidth="1"/>
    <col min="4428" max="4428" width="2.140625" style="221" customWidth="1"/>
    <col min="4429" max="4429" width="0.5703125" style="221" customWidth="1"/>
    <col min="4430" max="4430" width="2.140625" style="221" customWidth="1"/>
    <col min="4431" max="4431" width="0.5703125" style="221" customWidth="1"/>
    <col min="4432" max="4432" width="2.140625" style="221" customWidth="1"/>
    <col min="4433" max="4433" width="0.5703125" style="221" customWidth="1"/>
    <col min="4434" max="4434" width="2.140625" style="221" customWidth="1"/>
    <col min="4435" max="4435" width="0.5703125" style="221" customWidth="1"/>
    <col min="4436" max="4436" width="2.140625" style="221" customWidth="1"/>
    <col min="4437" max="4437" width="0.5703125" style="221" customWidth="1"/>
    <col min="4438" max="4438" width="1.7109375" style="221" customWidth="1"/>
    <col min="4439" max="4608" width="9.140625" style="221"/>
    <col min="4609" max="4609" width="0.7109375" style="221" customWidth="1"/>
    <col min="4610" max="4610" width="0.42578125" style="221" customWidth="1"/>
    <col min="4611" max="4611" width="1.5703125" style="221" customWidth="1"/>
    <col min="4612" max="4612" width="0.28515625" style="221" customWidth="1"/>
    <col min="4613" max="4613" width="3.42578125" style="221" customWidth="1"/>
    <col min="4614" max="4614" width="0.5703125" style="221" customWidth="1"/>
    <col min="4615" max="4634" width="0.710937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14062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140625" style="221" customWidth="1"/>
    <col min="4671" max="4671" width="0.5703125" style="221" customWidth="1"/>
    <col min="4672" max="4672" width="2.140625" style="221" customWidth="1"/>
    <col min="4673" max="4673" width="0.5703125" style="221" customWidth="1"/>
    <col min="4674" max="4674" width="2.140625" style="221" customWidth="1"/>
    <col min="4675" max="4675" width="0.5703125" style="221" customWidth="1"/>
    <col min="4676" max="4676" width="2.140625" style="221" customWidth="1"/>
    <col min="4677" max="4677" width="0.5703125" style="221" customWidth="1"/>
    <col min="4678" max="4678" width="2.140625" style="221" customWidth="1"/>
    <col min="4679" max="4679" width="0.5703125" style="221" customWidth="1"/>
    <col min="4680" max="4680" width="2.140625" style="221" customWidth="1"/>
    <col min="4681" max="4681" width="0.5703125" style="221" customWidth="1"/>
    <col min="4682" max="4682" width="2.140625" style="221" customWidth="1"/>
    <col min="4683" max="4683" width="0.5703125" style="221" customWidth="1"/>
    <col min="4684" max="4684" width="2.140625" style="221" customWidth="1"/>
    <col min="4685" max="4685" width="0.5703125" style="221" customWidth="1"/>
    <col min="4686" max="4686" width="2.140625" style="221" customWidth="1"/>
    <col min="4687" max="4687" width="0.5703125" style="221" customWidth="1"/>
    <col min="4688" max="4688" width="2.140625" style="221" customWidth="1"/>
    <col min="4689" max="4689" width="0.5703125" style="221" customWidth="1"/>
    <col min="4690" max="4690" width="2.140625" style="221" customWidth="1"/>
    <col min="4691" max="4691" width="0.5703125" style="221" customWidth="1"/>
    <col min="4692" max="4692" width="2.140625" style="221" customWidth="1"/>
    <col min="4693" max="4693" width="0.5703125" style="221" customWidth="1"/>
    <col min="4694" max="4694" width="1.7109375" style="221" customWidth="1"/>
    <col min="4695" max="4864" width="9.140625" style="221"/>
    <col min="4865" max="4865" width="0.7109375" style="221" customWidth="1"/>
    <col min="4866" max="4866" width="0.42578125" style="221" customWidth="1"/>
    <col min="4867" max="4867" width="1.5703125" style="221" customWidth="1"/>
    <col min="4868" max="4868" width="0.28515625" style="221" customWidth="1"/>
    <col min="4869" max="4869" width="3.42578125" style="221" customWidth="1"/>
    <col min="4870" max="4870" width="0.5703125" style="221" customWidth="1"/>
    <col min="4871" max="4890" width="0.710937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14062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140625" style="221" customWidth="1"/>
    <col min="4927" max="4927" width="0.5703125" style="221" customWidth="1"/>
    <col min="4928" max="4928" width="2.140625" style="221" customWidth="1"/>
    <col min="4929" max="4929" width="0.5703125" style="221" customWidth="1"/>
    <col min="4930" max="4930" width="2.140625" style="221" customWidth="1"/>
    <col min="4931" max="4931" width="0.5703125" style="221" customWidth="1"/>
    <col min="4932" max="4932" width="2.140625" style="221" customWidth="1"/>
    <col min="4933" max="4933" width="0.5703125" style="221" customWidth="1"/>
    <col min="4934" max="4934" width="2.140625" style="221" customWidth="1"/>
    <col min="4935" max="4935" width="0.5703125" style="221" customWidth="1"/>
    <col min="4936" max="4936" width="2.140625" style="221" customWidth="1"/>
    <col min="4937" max="4937" width="0.5703125" style="221" customWidth="1"/>
    <col min="4938" max="4938" width="2.140625" style="221" customWidth="1"/>
    <col min="4939" max="4939" width="0.5703125" style="221" customWidth="1"/>
    <col min="4940" max="4940" width="2.140625" style="221" customWidth="1"/>
    <col min="4941" max="4941" width="0.5703125" style="221" customWidth="1"/>
    <col min="4942" max="4942" width="2.140625" style="221" customWidth="1"/>
    <col min="4943" max="4943" width="0.5703125" style="221" customWidth="1"/>
    <col min="4944" max="4944" width="2.140625" style="221" customWidth="1"/>
    <col min="4945" max="4945" width="0.5703125" style="221" customWidth="1"/>
    <col min="4946" max="4946" width="2.140625" style="221" customWidth="1"/>
    <col min="4947" max="4947" width="0.5703125" style="221" customWidth="1"/>
    <col min="4948" max="4948" width="2.140625" style="221" customWidth="1"/>
    <col min="4949" max="4949" width="0.5703125" style="221" customWidth="1"/>
    <col min="4950" max="4950" width="1.7109375" style="221" customWidth="1"/>
    <col min="4951" max="5120" width="9.140625" style="221"/>
    <col min="5121" max="5121" width="0.7109375" style="221" customWidth="1"/>
    <col min="5122" max="5122" width="0.42578125" style="221" customWidth="1"/>
    <col min="5123" max="5123" width="1.5703125" style="221" customWidth="1"/>
    <col min="5124" max="5124" width="0.28515625" style="221" customWidth="1"/>
    <col min="5125" max="5125" width="3.42578125" style="221" customWidth="1"/>
    <col min="5126" max="5126" width="0.5703125" style="221" customWidth="1"/>
    <col min="5127" max="5146" width="0.710937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14062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140625" style="221" customWidth="1"/>
    <col min="5183" max="5183" width="0.5703125" style="221" customWidth="1"/>
    <col min="5184" max="5184" width="2.140625" style="221" customWidth="1"/>
    <col min="5185" max="5185" width="0.5703125" style="221" customWidth="1"/>
    <col min="5186" max="5186" width="2.140625" style="221" customWidth="1"/>
    <col min="5187" max="5187" width="0.5703125" style="221" customWidth="1"/>
    <col min="5188" max="5188" width="2.140625" style="221" customWidth="1"/>
    <col min="5189" max="5189" width="0.5703125" style="221" customWidth="1"/>
    <col min="5190" max="5190" width="2.140625" style="221" customWidth="1"/>
    <col min="5191" max="5191" width="0.5703125" style="221" customWidth="1"/>
    <col min="5192" max="5192" width="2.140625" style="221" customWidth="1"/>
    <col min="5193" max="5193" width="0.5703125" style="221" customWidth="1"/>
    <col min="5194" max="5194" width="2.140625" style="221" customWidth="1"/>
    <col min="5195" max="5195" width="0.5703125" style="221" customWidth="1"/>
    <col min="5196" max="5196" width="2.140625" style="221" customWidth="1"/>
    <col min="5197" max="5197" width="0.5703125" style="221" customWidth="1"/>
    <col min="5198" max="5198" width="2.140625" style="221" customWidth="1"/>
    <col min="5199" max="5199" width="0.5703125" style="221" customWidth="1"/>
    <col min="5200" max="5200" width="2.140625" style="221" customWidth="1"/>
    <col min="5201" max="5201" width="0.5703125" style="221" customWidth="1"/>
    <col min="5202" max="5202" width="2.140625" style="221" customWidth="1"/>
    <col min="5203" max="5203" width="0.5703125" style="221" customWidth="1"/>
    <col min="5204" max="5204" width="2.140625" style="221" customWidth="1"/>
    <col min="5205" max="5205" width="0.5703125" style="221" customWidth="1"/>
    <col min="5206" max="5206" width="1.7109375" style="221" customWidth="1"/>
    <col min="5207" max="5376" width="9.140625" style="221"/>
    <col min="5377" max="5377" width="0.7109375" style="221" customWidth="1"/>
    <col min="5378" max="5378" width="0.42578125" style="221" customWidth="1"/>
    <col min="5379" max="5379" width="1.5703125" style="221" customWidth="1"/>
    <col min="5380" max="5380" width="0.28515625" style="221" customWidth="1"/>
    <col min="5381" max="5381" width="3.42578125" style="221" customWidth="1"/>
    <col min="5382" max="5382" width="0.5703125" style="221" customWidth="1"/>
    <col min="5383" max="5402" width="0.710937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14062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140625" style="221" customWidth="1"/>
    <col min="5439" max="5439" width="0.5703125" style="221" customWidth="1"/>
    <col min="5440" max="5440" width="2.140625" style="221" customWidth="1"/>
    <col min="5441" max="5441" width="0.5703125" style="221" customWidth="1"/>
    <col min="5442" max="5442" width="2.140625" style="221" customWidth="1"/>
    <col min="5443" max="5443" width="0.5703125" style="221" customWidth="1"/>
    <col min="5444" max="5444" width="2.140625" style="221" customWidth="1"/>
    <col min="5445" max="5445" width="0.5703125" style="221" customWidth="1"/>
    <col min="5446" max="5446" width="2.140625" style="221" customWidth="1"/>
    <col min="5447" max="5447" width="0.5703125" style="221" customWidth="1"/>
    <col min="5448" max="5448" width="2.140625" style="221" customWidth="1"/>
    <col min="5449" max="5449" width="0.5703125" style="221" customWidth="1"/>
    <col min="5450" max="5450" width="2.140625" style="221" customWidth="1"/>
    <col min="5451" max="5451" width="0.5703125" style="221" customWidth="1"/>
    <col min="5452" max="5452" width="2.140625" style="221" customWidth="1"/>
    <col min="5453" max="5453" width="0.5703125" style="221" customWidth="1"/>
    <col min="5454" max="5454" width="2.140625" style="221" customWidth="1"/>
    <col min="5455" max="5455" width="0.5703125" style="221" customWidth="1"/>
    <col min="5456" max="5456" width="2.140625" style="221" customWidth="1"/>
    <col min="5457" max="5457" width="0.5703125" style="221" customWidth="1"/>
    <col min="5458" max="5458" width="2.140625" style="221" customWidth="1"/>
    <col min="5459" max="5459" width="0.5703125" style="221" customWidth="1"/>
    <col min="5460" max="5460" width="2.140625" style="221" customWidth="1"/>
    <col min="5461" max="5461" width="0.5703125" style="221" customWidth="1"/>
    <col min="5462" max="5462" width="1.7109375" style="221" customWidth="1"/>
    <col min="5463" max="5632" width="9.140625" style="221"/>
    <col min="5633" max="5633" width="0.7109375" style="221" customWidth="1"/>
    <col min="5634" max="5634" width="0.42578125" style="221" customWidth="1"/>
    <col min="5635" max="5635" width="1.5703125" style="221" customWidth="1"/>
    <col min="5636" max="5636" width="0.28515625" style="221" customWidth="1"/>
    <col min="5637" max="5637" width="3.42578125" style="221" customWidth="1"/>
    <col min="5638" max="5638" width="0.5703125" style="221" customWidth="1"/>
    <col min="5639" max="5658" width="0.710937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14062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140625" style="221" customWidth="1"/>
    <col min="5695" max="5695" width="0.5703125" style="221" customWidth="1"/>
    <col min="5696" max="5696" width="2.140625" style="221" customWidth="1"/>
    <col min="5697" max="5697" width="0.5703125" style="221" customWidth="1"/>
    <col min="5698" max="5698" width="2.140625" style="221" customWidth="1"/>
    <col min="5699" max="5699" width="0.5703125" style="221" customWidth="1"/>
    <col min="5700" max="5700" width="2.140625" style="221" customWidth="1"/>
    <col min="5701" max="5701" width="0.5703125" style="221" customWidth="1"/>
    <col min="5702" max="5702" width="2.140625" style="221" customWidth="1"/>
    <col min="5703" max="5703" width="0.5703125" style="221" customWidth="1"/>
    <col min="5704" max="5704" width="2.140625" style="221" customWidth="1"/>
    <col min="5705" max="5705" width="0.5703125" style="221" customWidth="1"/>
    <col min="5706" max="5706" width="2.140625" style="221" customWidth="1"/>
    <col min="5707" max="5707" width="0.5703125" style="221" customWidth="1"/>
    <col min="5708" max="5708" width="2.140625" style="221" customWidth="1"/>
    <col min="5709" max="5709" width="0.5703125" style="221" customWidth="1"/>
    <col min="5710" max="5710" width="2.140625" style="221" customWidth="1"/>
    <col min="5711" max="5711" width="0.5703125" style="221" customWidth="1"/>
    <col min="5712" max="5712" width="2.140625" style="221" customWidth="1"/>
    <col min="5713" max="5713" width="0.5703125" style="221" customWidth="1"/>
    <col min="5714" max="5714" width="2.140625" style="221" customWidth="1"/>
    <col min="5715" max="5715" width="0.5703125" style="221" customWidth="1"/>
    <col min="5716" max="5716" width="2.140625" style="221" customWidth="1"/>
    <col min="5717" max="5717" width="0.5703125" style="221" customWidth="1"/>
    <col min="5718" max="5718" width="1.7109375" style="221" customWidth="1"/>
    <col min="5719" max="5888" width="9.140625" style="221"/>
    <col min="5889" max="5889" width="0.7109375" style="221" customWidth="1"/>
    <col min="5890" max="5890" width="0.42578125" style="221" customWidth="1"/>
    <col min="5891" max="5891" width="1.5703125" style="221" customWidth="1"/>
    <col min="5892" max="5892" width="0.28515625" style="221" customWidth="1"/>
    <col min="5893" max="5893" width="3.42578125" style="221" customWidth="1"/>
    <col min="5894" max="5894" width="0.5703125" style="221" customWidth="1"/>
    <col min="5895" max="5914" width="0.710937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14062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140625" style="221" customWidth="1"/>
    <col min="5951" max="5951" width="0.5703125" style="221" customWidth="1"/>
    <col min="5952" max="5952" width="2.140625" style="221" customWidth="1"/>
    <col min="5953" max="5953" width="0.5703125" style="221" customWidth="1"/>
    <col min="5954" max="5954" width="2.140625" style="221" customWidth="1"/>
    <col min="5955" max="5955" width="0.5703125" style="221" customWidth="1"/>
    <col min="5956" max="5956" width="2.140625" style="221" customWidth="1"/>
    <col min="5957" max="5957" width="0.5703125" style="221" customWidth="1"/>
    <col min="5958" max="5958" width="2.140625" style="221" customWidth="1"/>
    <col min="5959" max="5959" width="0.5703125" style="221" customWidth="1"/>
    <col min="5960" max="5960" width="2.140625" style="221" customWidth="1"/>
    <col min="5961" max="5961" width="0.5703125" style="221" customWidth="1"/>
    <col min="5962" max="5962" width="2.140625" style="221" customWidth="1"/>
    <col min="5963" max="5963" width="0.5703125" style="221" customWidth="1"/>
    <col min="5964" max="5964" width="2.140625" style="221" customWidth="1"/>
    <col min="5965" max="5965" width="0.5703125" style="221" customWidth="1"/>
    <col min="5966" max="5966" width="2.140625" style="221" customWidth="1"/>
    <col min="5967" max="5967" width="0.5703125" style="221" customWidth="1"/>
    <col min="5968" max="5968" width="2.140625" style="221" customWidth="1"/>
    <col min="5969" max="5969" width="0.5703125" style="221" customWidth="1"/>
    <col min="5970" max="5970" width="2.140625" style="221" customWidth="1"/>
    <col min="5971" max="5971" width="0.5703125" style="221" customWidth="1"/>
    <col min="5972" max="5972" width="2.140625" style="221" customWidth="1"/>
    <col min="5973" max="5973" width="0.5703125" style="221" customWidth="1"/>
    <col min="5974" max="5974" width="1.7109375" style="221" customWidth="1"/>
    <col min="5975" max="6144" width="9.140625" style="221"/>
    <col min="6145" max="6145" width="0.7109375" style="221" customWidth="1"/>
    <col min="6146" max="6146" width="0.42578125" style="221" customWidth="1"/>
    <col min="6147" max="6147" width="1.5703125" style="221" customWidth="1"/>
    <col min="6148" max="6148" width="0.28515625" style="221" customWidth="1"/>
    <col min="6149" max="6149" width="3.42578125" style="221" customWidth="1"/>
    <col min="6150" max="6150" width="0.5703125" style="221" customWidth="1"/>
    <col min="6151" max="6170" width="0.710937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14062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140625" style="221" customWidth="1"/>
    <col min="6207" max="6207" width="0.5703125" style="221" customWidth="1"/>
    <col min="6208" max="6208" width="2.140625" style="221" customWidth="1"/>
    <col min="6209" max="6209" width="0.5703125" style="221" customWidth="1"/>
    <col min="6210" max="6210" width="2.140625" style="221" customWidth="1"/>
    <col min="6211" max="6211" width="0.5703125" style="221" customWidth="1"/>
    <col min="6212" max="6212" width="2.140625" style="221" customWidth="1"/>
    <col min="6213" max="6213" width="0.5703125" style="221" customWidth="1"/>
    <col min="6214" max="6214" width="2.140625" style="221" customWidth="1"/>
    <col min="6215" max="6215" width="0.5703125" style="221" customWidth="1"/>
    <col min="6216" max="6216" width="2.140625" style="221" customWidth="1"/>
    <col min="6217" max="6217" width="0.5703125" style="221" customWidth="1"/>
    <col min="6218" max="6218" width="2.140625" style="221" customWidth="1"/>
    <col min="6219" max="6219" width="0.5703125" style="221" customWidth="1"/>
    <col min="6220" max="6220" width="2.140625" style="221" customWidth="1"/>
    <col min="6221" max="6221" width="0.5703125" style="221" customWidth="1"/>
    <col min="6222" max="6222" width="2.140625" style="221" customWidth="1"/>
    <col min="6223" max="6223" width="0.5703125" style="221" customWidth="1"/>
    <col min="6224" max="6224" width="2.140625" style="221" customWidth="1"/>
    <col min="6225" max="6225" width="0.5703125" style="221" customWidth="1"/>
    <col min="6226" max="6226" width="2.140625" style="221" customWidth="1"/>
    <col min="6227" max="6227" width="0.5703125" style="221" customWidth="1"/>
    <col min="6228" max="6228" width="2.140625" style="221" customWidth="1"/>
    <col min="6229" max="6229" width="0.5703125" style="221" customWidth="1"/>
    <col min="6230" max="6230" width="1.7109375" style="221" customWidth="1"/>
    <col min="6231" max="6400" width="9.140625" style="221"/>
    <col min="6401" max="6401" width="0.7109375" style="221" customWidth="1"/>
    <col min="6402" max="6402" width="0.42578125" style="221" customWidth="1"/>
    <col min="6403" max="6403" width="1.5703125" style="221" customWidth="1"/>
    <col min="6404" max="6404" width="0.28515625" style="221" customWidth="1"/>
    <col min="6405" max="6405" width="3.42578125" style="221" customWidth="1"/>
    <col min="6406" max="6406" width="0.5703125" style="221" customWidth="1"/>
    <col min="6407" max="6426" width="0.710937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14062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140625" style="221" customWidth="1"/>
    <col min="6463" max="6463" width="0.5703125" style="221" customWidth="1"/>
    <col min="6464" max="6464" width="2.140625" style="221" customWidth="1"/>
    <col min="6465" max="6465" width="0.5703125" style="221" customWidth="1"/>
    <col min="6466" max="6466" width="2.140625" style="221" customWidth="1"/>
    <col min="6467" max="6467" width="0.5703125" style="221" customWidth="1"/>
    <col min="6468" max="6468" width="2.140625" style="221" customWidth="1"/>
    <col min="6469" max="6469" width="0.5703125" style="221" customWidth="1"/>
    <col min="6470" max="6470" width="2.140625" style="221" customWidth="1"/>
    <col min="6471" max="6471" width="0.5703125" style="221" customWidth="1"/>
    <col min="6472" max="6472" width="2.140625" style="221" customWidth="1"/>
    <col min="6473" max="6473" width="0.5703125" style="221" customWidth="1"/>
    <col min="6474" max="6474" width="2.140625" style="221" customWidth="1"/>
    <col min="6475" max="6475" width="0.5703125" style="221" customWidth="1"/>
    <col min="6476" max="6476" width="2.140625" style="221" customWidth="1"/>
    <col min="6477" max="6477" width="0.5703125" style="221" customWidth="1"/>
    <col min="6478" max="6478" width="2.140625" style="221" customWidth="1"/>
    <col min="6479" max="6479" width="0.5703125" style="221" customWidth="1"/>
    <col min="6480" max="6480" width="2.140625" style="221" customWidth="1"/>
    <col min="6481" max="6481" width="0.5703125" style="221" customWidth="1"/>
    <col min="6482" max="6482" width="2.140625" style="221" customWidth="1"/>
    <col min="6483" max="6483" width="0.5703125" style="221" customWidth="1"/>
    <col min="6484" max="6484" width="2.140625" style="221" customWidth="1"/>
    <col min="6485" max="6485" width="0.5703125" style="221" customWidth="1"/>
    <col min="6486" max="6486" width="1.7109375" style="221" customWidth="1"/>
    <col min="6487" max="6656" width="9.140625" style="221"/>
    <col min="6657" max="6657" width="0.7109375" style="221" customWidth="1"/>
    <col min="6658" max="6658" width="0.42578125" style="221" customWidth="1"/>
    <col min="6659" max="6659" width="1.5703125" style="221" customWidth="1"/>
    <col min="6660" max="6660" width="0.28515625" style="221" customWidth="1"/>
    <col min="6661" max="6661" width="3.42578125" style="221" customWidth="1"/>
    <col min="6662" max="6662" width="0.5703125" style="221" customWidth="1"/>
    <col min="6663" max="6682" width="0.710937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14062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140625" style="221" customWidth="1"/>
    <col min="6719" max="6719" width="0.5703125" style="221" customWidth="1"/>
    <col min="6720" max="6720" width="2.140625" style="221" customWidth="1"/>
    <col min="6721" max="6721" width="0.5703125" style="221" customWidth="1"/>
    <col min="6722" max="6722" width="2.140625" style="221" customWidth="1"/>
    <col min="6723" max="6723" width="0.5703125" style="221" customWidth="1"/>
    <col min="6724" max="6724" width="2.140625" style="221" customWidth="1"/>
    <col min="6725" max="6725" width="0.5703125" style="221" customWidth="1"/>
    <col min="6726" max="6726" width="2.140625" style="221" customWidth="1"/>
    <col min="6727" max="6727" width="0.5703125" style="221" customWidth="1"/>
    <col min="6728" max="6728" width="2.140625" style="221" customWidth="1"/>
    <col min="6729" max="6729" width="0.5703125" style="221" customWidth="1"/>
    <col min="6730" max="6730" width="2.140625" style="221" customWidth="1"/>
    <col min="6731" max="6731" width="0.5703125" style="221" customWidth="1"/>
    <col min="6732" max="6732" width="2.140625" style="221" customWidth="1"/>
    <col min="6733" max="6733" width="0.5703125" style="221" customWidth="1"/>
    <col min="6734" max="6734" width="2.140625" style="221" customWidth="1"/>
    <col min="6735" max="6735" width="0.5703125" style="221" customWidth="1"/>
    <col min="6736" max="6736" width="2.140625" style="221" customWidth="1"/>
    <col min="6737" max="6737" width="0.5703125" style="221" customWidth="1"/>
    <col min="6738" max="6738" width="2.140625" style="221" customWidth="1"/>
    <col min="6739" max="6739" width="0.5703125" style="221" customWidth="1"/>
    <col min="6740" max="6740" width="2.140625" style="221" customWidth="1"/>
    <col min="6741" max="6741" width="0.5703125" style="221" customWidth="1"/>
    <col min="6742" max="6742" width="1.7109375" style="221" customWidth="1"/>
    <col min="6743" max="6912" width="9.140625" style="221"/>
    <col min="6913" max="6913" width="0.7109375" style="221" customWidth="1"/>
    <col min="6914" max="6914" width="0.42578125" style="221" customWidth="1"/>
    <col min="6915" max="6915" width="1.5703125" style="221" customWidth="1"/>
    <col min="6916" max="6916" width="0.28515625" style="221" customWidth="1"/>
    <col min="6917" max="6917" width="3.42578125" style="221" customWidth="1"/>
    <col min="6918" max="6918" width="0.5703125" style="221" customWidth="1"/>
    <col min="6919" max="6938" width="0.710937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14062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140625" style="221" customWidth="1"/>
    <col min="6975" max="6975" width="0.5703125" style="221" customWidth="1"/>
    <col min="6976" max="6976" width="2.140625" style="221" customWidth="1"/>
    <col min="6977" max="6977" width="0.5703125" style="221" customWidth="1"/>
    <col min="6978" max="6978" width="2.140625" style="221" customWidth="1"/>
    <col min="6979" max="6979" width="0.5703125" style="221" customWidth="1"/>
    <col min="6980" max="6980" width="2.140625" style="221" customWidth="1"/>
    <col min="6981" max="6981" width="0.5703125" style="221" customWidth="1"/>
    <col min="6982" max="6982" width="2.140625" style="221" customWidth="1"/>
    <col min="6983" max="6983" width="0.5703125" style="221" customWidth="1"/>
    <col min="6984" max="6984" width="2.140625" style="221" customWidth="1"/>
    <col min="6985" max="6985" width="0.5703125" style="221" customWidth="1"/>
    <col min="6986" max="6986" width="2.140625" style="221" customWidth="1"/>
    <col min="6987" max="6987" width="0.5703125" style="221" customWidth="1"/>
    <col min="6988" max="6988" width="2.140625" style="221" customWidth="1"/>
    <col min="6989" max="6989" width="0.5703125" style="221" customWidth="1"/>
    <col min="6990" max="6990" width="2.140625" style="221" customWidth="1"/>
    <col min="6991" max="6991" width="0.5703125" style="221" customWidth="1"/>
    <col min="6992" max="6992" width="2.140625" style="221" customWidth="1"/>
    <col min="6993" max="6993" width="0.5703125" style="221" customWidth="1"/>
    <col min="6994" max="6994" width="2.140625" style="221" customWidth="1"/>
    <col min="6995" max="6995" width="0.5703125" style="221" customWidth="1"/>
    <col min="6996" max="6996" width="2.140625" style="221" customWidth="1"/>
    <col min="6997" max="6997" width="0.5703125" style="221" customWidth="1"/>
    <col min="6998" max="6998" width="1.7109375" style="221" customWidth="1"/>
    <col min="6999" max="7168" width="9.140625" style="221"/>
    <col min="7169" max="7169" width="0.7109375" style="221" customWidth="1"/>
    <col min="7170" max="7170" width="0.42578125" style="221" customWidth="1"/>
    <col min="7171" max="7171" width="1.5703125" style="221" customWidth="1"/>
    <col min="7172" max="7172" width="0.28515625" style="221" customWidth="1"/>
    <col min="7173" max="7173" width="3.42578125" style="221" customWidth="1"/>
    <col min="7174" max="7174" width="0.5703125" style="221" customWidth="1"/>
    <col min="7175" max="7194" width="0.710937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14062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140625" style="221" customWidth="1"/>
    <col min="7231" max="7231" width="0.5703125" style="221" customWidth="1"/>
    <col min="7232" max="7232" width="2.140625" style="221" customWidth="1"/>
    <col min="7233" max="7233" width="0.5703125" style="221" customWidth="1"/>
    <col min="7234" max="7234" width="2.140625" style="221" customWidth="1"/>
    <col min="7235" max="7235" width="0.5703125" style="221" customWidth="1"/>
    <col min="7236" max="7236" width="2.140625" style="221" customWidth="1"/>
    <col min="7237" max="7237" width="0.5703125" style="221" customWidth="1"/>
    <col min="7238" max="7238" width="2.140625" style="221" customWidth="1"/>
    <col min="7239" max="7239" width="0.5703125" style="221" customWidth="1"/>
    <col min="7240" max="7240" width="2.140625" style="221" customWidth="1"/>
    <col min="7241" max="7241" width="0.5703125" style="221" customWidth="1"/>
    <col min="7242" max="7242" width="2.140625" style="221" customWidth="1"/>
    <col min="7243" max="7243" width="0.5703125" style="221" customWidth="1"/>
    <col min="7244" max="7244" width="2.140625" style="221" customWidth="1"/>
    <col min="7245" max="7245" width="0.5703125" style="221" customWidth="1"/>
    <col min="7246" max="7246" width="2.140625" style="221" customWidth="1"/>
    <col min="7247" max="7247" width="0.5703125" style="221" customWidth="1"/>
    <col min="7248" max="7248" width="2.140625" style="221" customWidth="1"/>
    <col min="7249" max="7249" width="0.5703125" style="221" customWidth="1"/>
    <col min="7250" max="7250" width="2.140625" style="221" customWidth="1"/>
    <col min="7251" max="7251" width="0.5703125" style="221" customWidth="1"/>
    <col min="7252" max="7252" width="2.140625" style="221" customWidth="1"/>
    <col min="7253" max="7253" width="0.5703125" style="221" customWidth="1"/>
    <col min="7254" max="7254" width="1.7109375" style="221" customWidth="1"/>
    <col min="7255" max="7424" width="9.140625" style="221"/>
    <col min="7425" max="7425" width="0.7109375" style="221" customWidth="1"/>
    <col min="7426" max="7426" width="0.42578125" style="221" customWidth="1"/>
    <col min="7427" max="7427" width="1.5703125" style="221" customWidth="1"/>
    <col min="7428" max="7428" width="0.28515625" style="221" customWidth="1"/>
    <col min="7429" max="7429" width="3.42578125" style="221" customWidth="1"/>
    <col min="7430" max="7430" width="0.5703125" style="221" customWidth="1"/>
    <col min="7431" max="7450" width="0.710937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14062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140625" style="221" customWidth="1"/>
    <col min="7487" max="7487" width="0.5703125" style="221" customWidth="1"/>
    <col min="7488" max="7488" width="2.140625" style="221" customWidth="1"/>
    <col min="7489" max="7489" width="0.5703125" style="221" customWidth="1"/>
    <col min="7490" max="7490" width="2.140625" style="221" customWidth="1"/>
    <col min="7491" max="7491" width="0.5703125" style="221" customWidth="1"/>
    <col min="7492" max="7492" width="2.140625" style="221" customWidth="1"/>
    <col min="7493" max="7493" width="0.5703125" style="221" customWidth="1"/>
    <col min="7494" max="7494" width="2.140625" style="221" customWidth="1"/>
    <col min="7495" max="7495" width="0.5703125" style="221" customWidth="1"/>
    <col min="7496" max="7496" width="2.140625" style="221" customWidth="1"/>
    <col min="7497" max="7497" width="0.5703125" style="221" customWidth="1"/>
    <col min="7498" max="7498" width="2.140625" style="221" customWidth="1"/>
    <col min="7499" max="7499" width="0.5703125" style="221" customWidth="1"/>
    <col min="7500" max="7500" width="2.140625" style="221" customWidth="1"/>
    <col min="7501" max="7501" width="0.5703125" style="221" customWidth="1"/>
    <col min="7502" max="7502" width="2.140625" style="221" customWidth="1"/>
    <col min="7503" max="7503" width="0.5703125" style="221" customWidth="1"/>
    <col min="7504" max="7504" width="2.140625" style="221" customWidth="1"/>
    <col min="7505" max="7505" width="0.5703125" style="221" customWidth="1"/>
    <col min="7506" max="7506" width="2.140625" style="221" customWidth="1"/>
    <col min="7507" max="7507" width="0.5703125" style="221" customWidth="1"/>
    <col min="7508" max="7508" width="2.140625" style="221" customWidth="1"/>
    <col min="7509" max="7509" width="0.5703125" style="221" customWidth="1"/>
    <col min="7510" max="7510" width="1.7109375" style="221" customWidth="1"/>
    <col min="7511" max="7680" width="9.140625" style="221"/>
    <col min="7681" max="7681" width="0.7109375" style="221" customWidth="1"/>
    <col min="7682" max="7682" width="0.42578125" style="221" customWidth="1"/>
    <col min="7683" max="7683" width="1.5703125" style="221" customWidth="1"/>
    <col min="7684" max="7684" width="0.28515625" style="221" customWidth="1"/>
    <col min="7685" max="7685" width="3.42578125" style="221" customWidth="1"/>
    <col min="7686" max="7686" width="0.5703125" style="221" customWidth="1"/>
    <col min="7687" max="7706" width="0.710937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14062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140625" style="221" customWidth="1"/>
    <col min="7743" max="7743" width="0.5703125" style="221" customWidth="1"/>
    <col min="7744" max="7744" width="2.140625" style="221" customWidth="1"/>
    <col min="7745" max="7745" width="0.5703125" style="221" customWidth="1"/>
    <col min="7746" max="7746" width="2.140625" style="221" customWidth="1"/>
    <col min="7747" max="7747" width="0.5703125" style="221" customWidth="1"/>
    <col min="7748" max="7748" width="2.140625" style="221" customWidth="1"/>
    <col min="7749" max="7749" width="0.5703125" style="221" customWidth="1"/>
    <col min="7750" max="7750" width="2.140625" style="221" customWidth="1"/>
    <col min="7751" max="7751" width="0.5703125" style="221" customWidth="1"/>
    <col min="7752" max="7752" width="2.140625" style="221" customWidth="1"/>
    <col min="7753" max="7753" width="0.5703125" style="221" customWidth="1"/>
    <col min="7754" max="7754" width="2.140625" style="221" customWidth="1"/>
    <col min="7755" max="7755" width="0.5703125" style="221" customWidth="1"/>
    <col min="7756" max="7756" width="2.140625" style="221" customWidth="1"/>
    <col min="7757" max="7757" width="0.5703125" style="221" customWidth="1"/>
    <col min="7758" max="7758" width="2.140625" style="221" customWidth="1"/>
    <col min="7759" max="7759" width="0.5703125" style="221" customWidth="1"/>
    <col min="7760" max="7760" width="2.140625" style="221" customWidth="1"/>
    <col min="7761" max="7761" width="0.5703125" style="221" customWidth="1"/>
    <col min="7762" max="7762" width="2.140625" style="221" customWidth="1"/>
    <col min="7763" max="7763" width="0.5703125" style="221" customWidth="1"/>
    <col min="7764" max="7764" width="2.140625" style="221" customWidth="1"/>
    <col min="7765" max="7765" width="0.5703125" style="221" customWidth="1"/>
    <col min="7766" max="7766" width="1.7109375" style="221" customWidth="1"/>
    <col min="7767" max="7936" width="9.140625" style="221"/>
    <col min="7937" max="7937" width="0.7109375" style="221" customWidth="1"/>
    <col min="7938" max="7938" width="0.42578125" style="221" customWidth="1"/>
    <col min="7939" max="7939" width="1.5703125" style="221" customWidth="1"/>
    <col min="7940" max="7940" width="0.28515625" style="221" customWidth="1"/>
    <col min="7941" max="7941" width="3.42578125" style="221" customWidth="1"/>
    <col min="7942" max="7942" width="0.5703125" style="221" customWidth="1"/>
    <col min="7943" max="7962" width="0.710937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14062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140625" style="221" customWidth="1"/>
    <col min="7999" max="7999" width="0.5703125" style="221" customWidth="1"/>
    <col min="8000" max="8000" width="2.140625" style="221" customWidth="1"/>
    <col min="8001" max="8001" width="0.5703125" style="221" customWidth="1"/>
    <col min="8002" max="8002" width="2.140625" style="221" customWidth="1"/>
    <col min="8003" max="8003" width="0.5703125" style="221" customWidth="1"/>
    <col min="8004" max="8004" width="2.140625" style="221" customWidth="1"/>
    <col min="8005" max="8005" width="0.5703125" style="221" customWidth="1"/>
    <col min="8006" max="8006" width="2.140625" style="221" customWidth="1"/>
    <col min="8007" max="8007" width="0.5703125" style="221" customWidth="1"/>
    <col min="8008" max="8008" width="2.140625" style="221" customWidth="1"/>
    <col min="8009" max="8009" width="0.5703125" style="221" customWidth="1"/>
    <col min="8010" max="8010" width="2.140625" style="221" customWidth="1"/>
    <col min="8011" max="8011" width="0.5703125" style="221" customWidth="1"/>
    <col min="8012" max="8012" width="2.140625" style="221" customWidth="1"/>
    <col min="8013" max="8013" width="0.5703125" style="221" customWidth="1"/>
    <col min="8014" max="8014" width="2.140625" style="221" customWidth="1"/>
    <col min="8015" max="8015" width="0.5703125" style="221" customWidth="1"/>
    <col min="8016" max="8016" width="2.140625" style="221" customWidth="1"/>
    <col min="8017" max="8017" width="0.5703125" style="221" customWidth="1"/>
    <col min="8018" max="8018" width="2.140625" style="221" customWidth="1"/>
    <col min="8019" max="8019" width="0.5703125" style="221" customWidth="1"/>
    <col min="8020" max="8020" width="2.140625" style="221" customWidth="1"/>
    <col min="8021" max="8021" width="0.5703125" style="221" customWidth="1"/>
    <col min="8022" max="8022" width="1.7109375" style="221" customWidth="1"/>
    <col min="8023" max="8192" width="9.140625" style="221"/>
    <col min="8193" max="8193" width="0.7109375" style="221" customWidth="1"/>
    <col min="8194" max="8194" width="0.42578125" style="221" customWidth="1"/>
    <col min="8195" max="8195" width="1.5703125" style="221" customWidth="1"/>
    <col min="8196" max="8196" width="0.28515625" style="221" customWidth="1"/>
    <col min="8197" max="8197" width="3.42578125" style="221" customWidth="1"/>
    <col min="8198" max="8198" width="0.5703125" style="221" customWidth="1"/>
    <col min="8199" max="8218" width="0.710937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14062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140625" style="221" customWidth="1"/>
    <col min="8255" max="8255" width="0.5703125" style="221" customWidth="1"/>
    <col min="8256" max="8256" width="2.140625" style="221" customWidth="1"/>
    <col min="8257" max="8257" width="0.5703125" style="221" customWidth="1"/>
    <col min="8258" max="8258" width="2.140625" style="221" customWidth="1"/>
    <col min="8259" max="8259" width="0.5703125" style="221" customWidth="1"/>
    <col min="8260" max="8260" width="2.140625" style="221" customWidth="1"/>
    <col min="8261" max="8261" width="0.5703125" style="221" customWidth="1"/>
    <col min="8262" max="8262" width="2.140625" style="221" customWidth="1"/>
    <col min="8263" max="8263" width="0.5703125" style="221" customWidth="1"/>
    <col min="8264" max="8264" width="2.140625" style="221" customWidth="1"/>
    <col min="8265" max="8265" width="0.5703125" style="221" customWidth="1"/>
    <col min="8266" max="8266" width="2.140625" style="221" customWidth="1"/>
    <col min="8267" max="8267" width="0.5703125" style="221" customWidth="1"/>
    <col min="8268" max="8268" width="2.140625" style="221" customWidth="1"/>
    <col min="8269" max="8269" width="0.5703125" style="221" customWidth="1"/>
    <col min="8270" max="8270" width="2.140625" style="221" customWidth="1"/>
    <col min="8271" max="8271" width="0.5703125" style="221" customWidth="1"/>
    <col min="8272" max="8272" width="2.140625" style="221" customWidth="1"/>
    <col min="8273" max="8273" width="0.5703125" style="221" customWidth="1"/>
    <col min="8274" max="8274" width="2.140625" style="221" customWidth="1"/>
    <col min="8275" max="8275" width="0.5703125" style="221" customWidth="1"/>
    <col min="8276" max="8276" width="2.140625" style="221" customWidth="1"/>
    <col min="8277" max="8277" width="0.5703125" style="221" customWidth="1"/>
    <col min="8278" max="8278" width="1.7109375" style="221" customWidth="1"/>
    <col min="8279" max="8448" width="9.140625" style="221"/>
    <col min="8449" max="8449" width="0.7109375" style="221" customWidth="1"/>
    <col min="8450" max="8450" width="0.42578125" style="221" customWidth="1"/>
    <col min="8451" max="8451" width="1.5703125" style="221" customWidth="1"/>
    <col min="8452" max="8452" width="0.28515625" style="221" customWidth="1"/>
    <col min="8453" max="8453" width="3.42578125" style="221" customWidth="1"/>
    <col min="8454" max="8454" width="0.5703125" style="221" customWidth="1"/>
    <col min="8455" max="8474" width="0.710937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14062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140625" style="221" customWidth="1"/>
    <col min="8511" max="8511" width="0.5703125" style="221" customWidth="1"/>
    <col min="8512" max="8512" width="2.140625" style="221" customWidth="1"/>
    <col min="8513" max="8513" width="0.5703125" style="221" customWidth="1"/>
    <col min="8514" max="8514" width="2.140625" style="221" customWidth="1"/>
    <col min="8515" max="8515" width="0.5703125" style="221" customWidth="1"/>
    <col min="8516" max="8516" width="2.140625" style="221" customWidth="1"/>
    <col min="8517" max="8517" width="0.5703125" style="221" customWidth="1"/>
    <col min="8518" max="8518" width="2.140625" style="221" customWidth="1"/>
    <col min="8519" max="8519" width="0.5703125" style="221" customWidth="1"/>
    <col min="8520" max="8520" width="2.140625" style="221" customWidth="1"/>
    <col min="8521" max="8521" width="0.5703125" style="221" customWidth="1"/>
    <col min="8522" max="8522" width="2.140625" style="221" customWidth="1"/>
    <col min="8523" max="8523" width="0.5703125" style="221" customWidth="1"/>
    <col min="8524" max="8524" width="2.140625" style="221" customWidth="1"/>
    <col min="8525" max="8525" width="0.5703125" style="221" customWidth="1"/>
    <col min="8526" max="8526" width="2.140625" style="221" customWidth="1"/>
    <col min="8527" max="8527" width="0.5703125" style="221" customWidth="1"/>
    <col min="8528" max="8528" width="2.140625" style="221" customWidth="1"/>
    <col min="8529" max="8529" width="0.5703125" style="221" customWidth="1"/>
    <col min="8530" max="8530" width="2.140625" style="221" customWidth="1"/>
    <col min="8531" max="8531" width="0.5703125" style="221" customWidth="1"/>
    <col min="8532" max="8532" width="2.140625" style="221" customWidth="1"/>
    <col min="8533" max="8533" width="0.5703125" style="221" customWidth="1"/>
    <col min="8534" max="8534" width="1.7109375" style="221" customWidth="1"/>
    <col min="8535" max="8704" width="9.140625" style="221"/>
    <col min="8705" max="8705" width="0.7109375" style="221" customWidth="1"/>
    <col min="8706" max="8706" width="0.42578125" style="221" customWidth="1"/>
    <col min="8707" max="8707" width="1.5703125" style="221" customWidth="1"/>
    <col min="8708" max="8708" width="0.28515625" style="221" customWidth="1"/>
    <col min="8709" max="8709" width="3.42578125" style="221" customWidth="1"/>
    <col min="8710" max="8710" width="0.5703125" style="221" customWidth="1"/>
    <col min="8711" max="8730" width="0.710937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14062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140625" style="221" customWidth="1"/>
    <col min="8767" max="8767" width="0.5703125" style="221" customWidth="1"/>
    <col min="8768" max="8768" width="2.140625" style="221" customWidth="1"/>
    <col min="8769" max="8769" width="0.5703125" style="221" customWidth="1"/>
    <col min="8770" max="8770" width="2.140625" style="221" customWidth="1"/>
    <col min="8771" max="8771" width="0.5703125" style="221" customWidth="1"/>
    <col min="8772" max="8772" width="2.140625" style="221" customWidth="1"/>
    <col min="8773" max="8773" width="0.5703125" style="221" customWidth="1"/>
    <col min="8774" max="8774" width="2.140625" style="221" customWidth="1"/>
    <col min="8775" max="8775" width="0.5703125" style="221" customWidth="1"/>
    <col min="8776" max="8776" width="2.140625" style="221" customWidth="1"/>
    <col min="8777" max="8777" width="0.5703125" style="221" customWidth="1"/>
    <col min="8778" max="8778" width="2.140625" style="221" customWidth="1"/>
    <col min="8779" max="8779" width="0.5703125" style="221" customWidth="1"/>
    <col min="8780" max="8780" width="2.140625" style="221" customWidth="1"/>
    <col min="8781" max="8781" width="0.5703125" style="221" customWidth="1"/>
    <col min="8782" max="8782" width="2.140625" style="221" customWidth="1"/>
    <col min="8783" max="8783" width="0.5703125" style="221" customWidth="1"/>
    <col min="8784" max="8784" width="2.140625" style="221" customWidth="1"/>
    <col min="8785" max="8785" width="0.5703125" style="221" customWidth="1"/>
    <col min="8786" max="8786" width="2.140625" style="221" customWidth="1"/>
    <col min="8787" max="8787" width="0.5703125" style="221" customWidth="1"/>
    <col min="8788" max="8788" width="2.140625" style="221" customWidth="1"/>
    <col min="8789" max="8789" width="0.5703125" style="221" customWidth="1"/>
    <col min="8790" max="8790" width="1.7109375" style="221" customWidth="1"/>
    <col min="8791" max="8960" width="9.140625" style="221"/>
    <col min="8961" max="8961" width="0.7109375" style="221" customWidth="1"/>
    <col min="8962" max="8962" width="0.42578125" style="221" customWidth="1"/>
    <col min="8963" max="8963" width="1.5703125" style="221" customWidth="1"/>
    <col min="8964" max="8964" width="0.28515625" style="221" customWidth="1"/>
    <col min="8965" max="8965" width="3.42578125" style="221" customWidth="1"/>
    <col min="8966" max="8966" width="0.5703125" style="221" customWidth="1"/>
    <col min="8967" max="8986" width="0.710937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14062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140625" style="221" customWidth="1"/>
    <col min="9023" max="9023" width="0.5703125" style="221" customWidth="1"/>
    <col min="9024" max="9024" width="2.140625" style="221" customWidth="1"/>
    <col min="9025" max="9025" width="0.5703125" style="221" customWidth="1"/>
    <col min="9026" max="9026" width="2.140625" style="221" customWidth="1"/>
    <col min="9027" max="9027" width="0.5703125" style="221" customWidth="1"/>
    <col min="9028" max="9028" width="2.140625" style="221" customWidth="1"/>
    <col min="9029" max="9029" width="0.5703125" style="221" customWidth="1"/>
    <col min="9030" max="9030" width="2.140625" style="221" customWidth="1"/>
    <col min="9031" max="9031" width="0.5703125" style="221" customWidth="1"/>
    <col min="9032" max="9032" width="2.140625" style="221" customWidth="1"/>
    <col min="9033" max="9033" width="0.5703125" style="221" customWidth="1"/>
    <col min="9034" max="9034" width="2.140625" style="221" customWidth="1"/>
    <col min="9035" max="9035" width="0.5703125" style="221" customWidth="1"/>
    <col min="9036" max="9036" width="2.140625" style="221" customWidth="1"/>
    <col min="9037" max="9037" width="0.5703125" style="221" customWidth="1"/>
    <col min="9038" max="9038" width="2.140625" style="221" customWidth="1"/>
    <col min="9039" max="9039" width="0.5703125" style="221" customWidth="1"/>
    <col min="9040" max="9040" width="2.140625" style="221" customWidth="1"/>
    <col min="9041" max="9041" width="0.5703125" style="221" customWidth="1"/>
    <col min="9042" max="9042" width="2.140625" style="221" customWidth="1"/>
    <col min="9043" max="9043" width="0.5703125" style="221" customWidth="1"/>
    <col min="9044" max="9044" width="2.140625" style="221" customWidth="1"/>
    <col min="9045" max="9045" width="0.5703125" style="221" customWidth="1"/>
    <col min="9046" max="9046" width="1.7109375" style="221" customWidth="1"/>
    <col min="9047" max="9216" width="9.140625" style="221"/>
    <col min="9217" max="9217" width="0.7109375" style="221" customWidth="1"/>
    <col min="9218" max="9218" width="0.42578125" style="221" customWidth="1"/>
    <col min="9219" max="9219" width="1.5703125" style="221" customWidth="1"/>
    <col min="9220" max="9220" width="0.28515625" style="221" customWidth="1"/>
    <col min="9221" max="9221" width="3.42578125" style="221" customWidth="1"/>
    <col min="9222" max="9222" width="0.5703125" style="221" customWidth="1"/>
    <col min="9223" max="9242" width="0.710937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14062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140625" style="221" customWidth="1"/>
    <col min="9279" max="9279" width="0.5703125" style="221" customWidth="1"/>
    <col min="9280" max="9280" width="2.140625" style="221" customWidth="1"/>
    <col min="9281" max="9281" width="0.5703125" style="221" customWidth="1"/>
    <col min="9282" max="9282" width="2.140625" style="221" customWidth="1"/>
    <col min="9283" max="9283" width="0.5703125" style="221" customWidth="1"/>
    <col min="9284" max="9284" width="2.140625" style="221" customWidth="1"/>
    <col min="9285" max="9285" width="0.5703125" style="221" customWidth="1"/>
    <col min="9286" max="9286" width="2.140625" style="221" customWidth="1"/>
    <col min="9287" max="9287" width="0.5703125" style="221" customWidth="1"/>
    <col min="9288" max="9288" width="2.140625" style="221" customWidth="1"/>
    <col min="9289" max="9289" width="0.5703125" style="221" customWidth="1"/>
    <col min="9290" max="9290" width="2.140625" style="221" customWidth="1"/>
    <col min="9291" max="9291" width="0.5703125" style="221" customWidth="1"/>
    <col min="9292" max="9292" width="2.140625" style="221" customWidth="1"/>
    <col min="9293" max="9293" width="0.5703125" style="221" customWidth="1"/>
    <col min="9294" max="9294" width="2.140625" style="221" customWidth="1"/>
    <col min="9295" max="9295" width="0.5703125" style="221" customWidth="1"/>
    <col min="9296" max="9296" width="2.140625" style="221" customWidth="1"/>
    <col min="9297" max="9297" width="0.5703125" style="221" customWidth="1"/>
    <col min="9298" max="9298" width="2.140625" style="221" customWidth="1"/>
    <col min="9299" max="9299" width="0.5703125" style="221" customWidth="1"/>
    <col min="9300" max="9300" width="2.140625" style="221" customWidth="1"/>
    <col min="9301" max="9301" width="0.5703125" style="221" customWidth="1"/>
    <col min="9302" max="9302" width="1.7109375" style="221" customWidth="1"/>
    <col min="9303" max="9472" width="9.140625" style="221"/>
    <col min="9473" max="9473" width="0.7109375" style="221" customWidth="1"/>
    <col min="9474" max="9474" width="0.42578125" style="221" customWidth="1"/>
    <col min="9475" max="9475" width="1.5703125" style="221" customWidth="1"/>
    <col min="9476" max="9476" width="0.28515625" style="221" customWidth="1"/>
    <col min="9477" max="9477" width="3.42578125" style="221" customWidth="1"/>
    <col min="9478" max="9478" width="0.5703125" style="221" customWidth="1"/>
    <col min="9479" max="9498" width="0.710937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14062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140625" style="221" customWidth="1"/>
    <col min="9535" max="9535" width="0.5703125" style="221" customWidth="1"/>
    <col min="9536" max="9536" width="2.140625" style="221" customWidth="1"/>
    <col min="9537" max="9537" width="0.5703125" style="221" customWidth="1"/>
    <col min="9538" max="9538" width="2.140625" style="221" customWidth="1"/>
    <col min="9539" max="9539" width="0.5703125" style="221" customWidth="1"/>
    <col min="9540" max="9540" width="2.140625" style="221" customWidth="1"/>
    <col min="9541" max="9541" width="0.5703125" style="221" customWidth="1"/>
    <col min="9542" max="9542" width="2.140625" style="221" customWidth="1"/>
    <col min="9543" max="9543" width="0.5703125" style="221" customWidth="1"/>
    <col min="9544" max="9544" width="2.140625" style="221" customWidth="1"/>
    <col min="9545" max="9545" width="0.5703125" style="221" customWidth="1"/>
    <col min="9546" max="9546" width="2.140625" style="221" customWidth="1"/>
    <col min="9547" max="9547" width="0.5703125" style="221" customWidth="1"/>
    <col min="9548" max="9548" width="2.140625" style="221" customWidth="1"/>
    <col min="9549" max="9549" width="0.5703125" style="221" customWidth="1"/>
    <col min="9550" max="9550" width="2.140625" style="221" customWidth="1"/>
    <col min="9551" max="9551" width="0.5703125" style="221" customWidth="1"/>
    <col min="9552" max="9552" width="2.140625" style="221" customWidth="1"/>
    <col min="9553" max="9553" width="0.5703125" style="221" customWidth="1"/>
    <col min="9554" max="9554" width="2.140625" style="221" customWidth="1"/>
    <col min="9555" max="9555" width="0.5703125" style="221" customWidth="1"/>
    <col min="9556" max="9556" width="2.140625" style="221" customWidth="1"/>
    <col min="9557" max="9557" width="0.5703125" style="221" customWidth="1"/>
    <col min="9558" max="9558" width="1.7109375" style="221" customWidth="1"/>
    <col min="9559" max="9728" width="9.140625" style="221"/>
    <col min="9729" max="9729" width="0.7109375" style="221" customWidth="1"/>
    <col min="9730" max="9730" width="0.42578125" style="221" customWidth="1"/>
    <col min="9731" max="9731" width="1.5703125" style="221" customWidth="1"/>
    <col min="9732" max="9732" width="0.28515625" style="221" customWidth="1"/>
    <col min="9733" max="9733" width="3.42578125" style="221" customWidth="1"/>
    <col min="9734" max="9734" width="0.5703125" style="221" customWidth="1"/>
    <col min="9735" max="9754" width="0.710937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14062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140625" style="221" customWidth="1"/>
    <col min="9791" max="9791" width="0.5703125" style="221" customWidth="1"/>
    <col min="9792" max="9792" width="2.140625" style="221" customWidth="1"/>
    <col min="9793" max="9793" width="0.5703125" style="221" customWidth="1"/>
    <col min="9794" max="9794" width="2.140625" style="221" customWidth="1"/>
    <col min="9795" max="9795" width="0.5703125" style="221" customWidth="1"/>
    <col min="9796" max="9796" width="2.140625" style="221" customWidth="1"/>
    <col min="9797" max="9797" width="0.5703125" style="221" customWidth="1"/>
    <col min="9798" max="9798" width="2.140625" style="221" customWidth="1"/>
    <col min="9799" max="9799" width="0.5703125" style="221" customWidth="1"/>
    <col min="9800" max="9800" width="2.140625" style="221" customWidth="1"/>
    <col min="9801" max="9801" width="0.5703125" style="221" customWidth="1"/>
    <col min="9802" max="9802" width="2.140625" style="221" customWidth="1"/>
    <col min="9803" max="9803" width="0.5703125" style="221" customWidth="1"/>
    <col min="9804" max="9804" width="2.140625" style="221" customWidth="1"/>
    <col min="9805" max="9805" width="0.5703125" style="221" customWidth="1"/>
    <col min="9806" max="9806" width="2.140625" style="221" customWidth="1"/>
    <col min="9807" max="9807" width="0.5703125" style="221" customWidth="1"/>
    <col min="9808" max="9808" width="2.140625" style="221" customWidth="1"/>
    <col min="9809" max="9809" width="0.5703125" style="221" customWidth="1"/>
    <col min="9810" max="9810" width="2.140625" style="221" customWidth="1"/>
    <col min="9811" max="9811" width="0.5703125" style="221" customWidth="1"/>
    <col min="9812" max="9812" width="2.140625" style="221" customWidth="1"/>
    <col min="9813" max="9813" width="0.5703125" style="221" customWidth="1"/>
    <col min="9814" max="9814" width="1.7109375" style="221" customWidth="1"/>
    <col min="9815" max="9984" width="9.140625" style="221"/>
    <col min="9985" max="9985" width="0.7109375" style="221" customWidth="1"/>
    <col min="9986" max="9986" width="0.42578125" style="221" customWidth="1"/>
    <col min="9987" max="9987" width="1.5703125" style="221" customWidth="1"/>
    <col min="9988" max="9988" width="0.28515625" style="221" customWidth="1"/>
    <col min="9989" max="9989" width="3.42578125" style="221" customWidth="1"/>
    <col min="9990" max="9990" width="0.5703125" style="221" customWidth="1"/>
    <col min="9991" max="10010" width="0.710937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14062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140625" style="221" customWidth="1"/>
    <col min="10047" max="10047" width="0.5703125" style="221" customWidth="1"/>
    <col min="10048" max="10048" width="2.140625" style="221" customWidth="1"/>
    <col min="10049" max="10049" width="0.5703125" style="221" customWidth="1"/>
    <col min="10050" max="10050" width="2.140625" style="221" customWidth="1"/>
    <col min="10051" max="10051" width="0.5703125" style="221" customWidth="1"/>
    <col min="10052" max="10052" width="2.140625" style="221" customWidth="1"/>
    <col min="10053" max="10053" width="0.5703125" style="221" customWidth="1"/>
    <col min="10054" max="10054" width="2.140625" style="221" customWidth="1"/>
    <col min="10055" max="10055" width="0.5703125" style="221" customWidth="1"/>
    <col min="10056" max="10056" width="2.140625" style="221" customWidth="1"/>
    <col min="10057" max="10057" width="0.5703125" style="221" customWidth="1"/>
    <col min="10058" max="10058" width="2.140625" style="221" customWidth="1"/>
    <col min="10059" max="10059" width="0.5703125" style="221" customWidth="1"/>
    <col min="10060" max="10060" width="2.140625" style="221" customWidth="1"/>
    <col min="10061" max="10061" width="0.5703125" style="221" customWidth="1"/>
    <col min="10062" max="10062" width="2.140625" style="221" customWidth="1"/>
    <col min="10063" max="10063" width="0.5703125" style="221" customWidth="1"/>
    <col min="10064" max="10064" width="2.140625" style="221" customWidth="1"/>
    <col min="10065" max="10065" width="0.5703125" style="221" customWidth="1"/>
    <col min="10066" max="10066" width="2.140625" style="221" customWidth="1"/>
    <col min="10067" max="10067" width="0.5703125" style="221" customWidth="1"/>
    <col min="10068" max="10068" width="2.140625" style="221" customWidth="1"/>
    <col min="10069" max="10069" width="0.5703125" style="221" customWidth="1"/>
    <col min="10070" max="10070" width="1.7109375" style="221" customWidth="1"/>
    <col min="10071" max="10240" width="9.140625" style="221"/>
    <col min="10241" max="10241" width="0.7109375" style="221" customWidth="1"/>
    <col min="10242" max="10242" width="0.42578125" style="221" customWidth="1"/>
    <col min="10243" max="10243" width="1.5703125" style="221" customWidth="1"/>
    <col min="10244" max="10244" width="0.28515625" style="221" customWidth="1"/>
    <col min="10245" max="10245" width="3.42578125" style="221" customWidth="1"/>
    <col min="10246" max="10246" width="0.5703125" style="221" customWidth="1"/>
    <col min="10247" max="10266" width="0.710937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14062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140625" style="221" customWidth="1"/>
    <col min="10303" max="10303" width="0.5703125" style="221" customWidth="1"/>
    <col min="10304" max="10304" width="2.140625" style="221" customWidth="1"/>
    <col min="10305" max="10305" width="0.5703125" style="221" customWidth="1"/>
    <col min="10306" max="10306" width="2.140625" style="221" customWidth="1"/>
    <col min="10307" max="10307" width="0.5703125" style="221" customWidth="1"/>
    <col min="10308" max="10308" width="2.140625" style="221" customWidth="1"/>
    <col min="10309" max="10309" width="0.5703125" style="221" customWidth="1"/>
    <col min="10310" max="10310" width="2.140625" style="221" customWidth="1"/>
    <col min="10311" max="10311" width="0.5703125" style="221" customWidth="1"/>
    <col min="10312" max="10312" width="2.140625" style="221" customWidth="1"/>
    <col min="10313" max="10313" width="0.5703125" style="221" customWidth="1"/>
    <col min="10314" max="10314" width="2.140625" style="221" customWidth="1"/>
    <col min="10315" max="10315" width="0.5703125" style="221" customWidth="1"/>
    <col min="10316" max="10316" width="2.140625" style="221" customWidth="1"/>
    <col min="10317" max="10317" width="0.5703125" style="221" customWidth="1"/>
    <col min="10318" max="10318" width="2.140625" style="221" customWidth="1"/>
    <col min="10319" max="10319" width="0.5703125" style="221" customWidth="1"/>
    <col min="10320" max="10320" width="2.140625" style="221" customWidth="1"/>
    <col min="10321" max="10321" width="0.5703125" style="221" customWidth="1"/>
    <col min="10322" max="10322" width="2.140625" style="221" customWidth="1"/>
    <col min="10323" max="10323" width="0.5703125" style="221" customWidth="1"/>
    <col min="10324" max="10324" width="2.140625" style="221" customWidth="1"/>
    <col min="10325" max="10325" width="0.5703125" style="221" customWidth="1"/>
    <col min="10326" max="10326" width="1.7109375" style="221" customWidth="1"/>
    <col min="10327" max="10496" width="9.140625" style="221"/>
    <col min="10497" max="10497" width="0.7109375" style="221" customWidth="1"/>
    <col min="10498" max="10498" width="0.42578125" style="221" customWidth="1"/>
    <col min="10499" max="10499" width="1.5703125" style="221" customWidth="1"/>
    <col min="10500" max="10500" width="0.28515625" style="221" customWidth="1"/>
    <col min="10501" max="10501" width="3.42578125" style="221" customWidth="1"/>
    <col min="10502" max="10502" width="0.5703125" style="221" customWidth="1"/>
    <col min="10503" max="10522" width="0.710937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14062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140625" style="221" customWidth="1"/>
    <col min="10559" max="10559" width="0.5703125" style="221" customWidth="1"/>
    <col min="10560" max="10560" width="2.140625" style="221" customWidth="1"/>
    <col min="10561" max="10561" width="0.5703125" style="221" customWidth="1"/>
    <col min="10562" max="10562" width="2.140625" style="221" customWidth="1"/>
    <col min="10563" max="10563" width="0.5703125" style="221" customWidth="1"/>
    <col min="10564" max="10564" width="2.140625" style="221" customWidth="1"/>
    <col min="10565" max="10565" width="0.5703125" style="221" customWidth="1"/>
    <col min="10566" max="10566" width="2.140625" style="221" customWidth="1"/>
    <col min="10567" max="10567" width="0.5703125" style="221" customWidth="1"/>
    <col min="10568" max="10568" width="2.140625" style="221" customWidth="1"/>
    <col min="10569" max="10569" width="0.5703125" style="221" customWidth="1"/>
    <col min="10570" max="10570" width="2.140625" style="221" customWidth="1"/>
    <col min="10571" max="10571" width="0.5703125" style="221" customWidth="1"/>
    <col min="10572" max="10572" width="2.140625" style="221" customWidth="1"/>
    <col min="10573" max="10573" width="0.5703125" style="221" customWidth="1"/>
    <col min="10574" max="10574" width="2.140625" style="221" customWidth="1"/>
    <col min="10575" max="10575" width="0.5703125" style="221" customWidth="1"/>
    <col min="10576" max="10576" width="2.140625" style="221" customWidth="1"/>
    <col min="10577" max="10577" width="0.5703125" style="221" customWidth="1"/>
    <col min="10578" max="10578" width="2.140625" style="221" customWidth="1"/>
    <col min="10579" max="10579" width="0.5703125" style="221" customWidth="1"/>
    <col min="10580" max="10580" width="2.140625" style="221" customWidth="1"/>
    <col min="10581" max="10581" width="0.5703125" style="221" customWidth="1"/>
    <col min="10582" max="10582" width="1.7109375" style="221" customWidth="1"/>
    <col min="10583" max="10752" width="9.140625" style="221"/>
    <col min="10753" max="10753" width="0.7109375" style="221" customWidth="1"/>
    <col min="10754" max="10754" width="0.42578125" style="221" customWidth="1"/>
    <col min="10755" max="10755" width="1.5703125" style="221" customWidth="1"/>
    <col min="10756" max="10756" width="0.28515625" style="221" customWidth="1"/>
    <col min="10757" max="10757" width="3.42578125" style="221" customWidth="1"/>
    <col min="10758" max="10758" width="0.5703125" style="221" customWidth="1"/>
    <col min="10759" max="10778" width="0.710937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14062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140625" style="221" customWidth="1"/>
    <col min="10815" max="10815" width="0.5703125" style="221" customWidth="1"/>
    <col min="10816" max="10816" width="2.140625" style="221" customWidth="1"/>
    <col min="10817" max="10817" width="0.5703125" style="221" customWidth="1"/>
    <col min="10818" max="10818" width="2.140625" style="221" customWidth="1"/>
    <col min="10819" max="10819" width="0.5703125" style="221" customWidth="1"/>
    <col min="10820" max="10820" width="2.140625" style="221" customWidth="1"/>
    <col min="10821" max="10821" width="0.5703125" style="221" customWidth="1"/>
    <col min="10822" max="10822" width="2.140625" style="221" customWidth="1"/>
    <col min="10823" max="10823" width="0.5703125" style="221" customWidth="1"/>
    <col min="10824" max="10824" width="2.140625" style="221" customWidth="1"/>
    <col min="10825" max="10825" width="0.5703125" style="221" customWidth="1"/>
    <col min="10826" max="10826" width="2.140625" style="221" customWidth="1"/>
    <col min="10827" max="10827" width="0.5703125" style="221" customWidth="1"/>
    <col min="10828" max="10828" width="2.140625" style="221" customWidth="1"/>
    <col min="10829" max="10829" width="0.5703125" style="221" customWidth="1"/>
    <col min="10830" max="10830" width="2.140625" style="221" customWidth="1"/>
    <col min="10831" max="10831" width="0.5703125" style="221" customWidth="1"/>
    <col min="10832" max="10832" width="2.140625" style="221" customWidth="1"/>
    <col min="10833" max="10833" width="0.5703125" style="221" customWidth="1"/>
    <col min="10834" max="10834" width="2.140625" style="221" customWidth="1"/>
    <col min="10835" max="10835" width="0.5703125" style="221" customWidth="1"/>
    <col min="10836" max="10836" width="2.140625" style="221" customWidth="1"/>
    <col min="10837" max="10837" width="0.5703125" style="221" customWidth="1"/>
    <col min="10838" max="10838" width="1.7109375" style="221" customWidth="1"/>
    <col min="10839" max="11008" width="9.140625" style="221"/>
    <col min="11009" max="11009" width="0.7109375" style="221" customWidth="1"/>
    <col min="11010" max="11010" width="0.42578125" style="221" customWidth="1"/>
    <col min="11011" max="11011" width="1.5703125" style="221" customWidth="1"/>
    <col min="11012" max="11012" width="0.28515625" style="221" customWidth="1"/>
    <col min="11013" max="11013" width="3.42578125" style="221" customWidth="1"/>
    <col min="11014" max="11014" width="0.5703125" style="221" customWidth="1"/>
    <col min="11015" max="11034" width="0.710937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14062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140625" style="221" customWidth="1"/>
    <col min="11071" max="11071" width="0.5703125" style="221" customWidth="1"/>
    <col min="11072" max="11072" width="2.140625" style="221" customWidth="1"/>
    <col min="11073" max="11073" width="0.5703125" style="221" customWidth="1"/>
    <col min="11074" max="11074" width="2.140625" style="221" customWidth="1"/>
    <col min="11075" max="11075" width="0.5703125" style="221" customWidth="1"/>
    <col min="11076" max="11076" width="2.140625" style="221" customWidth="1"/>
    <col min="11077" max="11077" width="0.5703125" style="221" customWidth="1"/>
    <col min="11078" max="11078" width="2.140625" style="221" customWidth="1"/>
    <col min="11079" max="11079" width="0.5703125" style="221" customWidth="1"/>
    <col min="11080" max="11080" width="2.140625" style="221" customWidth="1"/>
    <col min="11081" max="11081" width="0.5703125" style="221" customWidth="1"/>
    <col min="11082" max="11082" width="2.140625" style="221" customWidth="1"/>
    <col min="11083" max="11083" width="0.5703125" style="221" customWidth="1"/>
    <col min="11084" max="11084" width="2.140625" style="221" customWidth="1"/>
    <col min="11085" max="11085" width="0.5703125" style="221" customWidth="1"/>
    <col min="11086" max="11086" width="2.140625" style="221" customWidth="1"/>
    <col min="11087" max="11087" width="0.5703125" style="221" customWidth="1"/>
    <col min="11088" max="11088" width="2.140625" style="221" customWidth="1"/>
    <col min="11089" max="11089" width="0.5703125" style="221" customWidth="1"/>
    <col min="11090" max="11090" width="2.140625" style="221" customWidth="1"/>
    <col min="11091" max="11091" width="0.5703125" style="221" customWidth="1"/>
    <col min="11092" max="11092" width="2.140625" style="221" customWidth="1"/>
    <col min="11093" max="11093" width="0.5703125" style="221" customWidth="1"/>
    <col min="11094" max="11094" width="1.7109375" style="221" customWidth="1"/>
    <col min="11095" max="11264" width="9.140625" style="221"/>
    <col min="11265" max="11265" width="0.7109375" style="221" customWidth="1"/>
    <col min="11266" max="11266" width="0.42578125" style="221" customWidth="1"/>
    <col min="11267" max="11267" width="1.5703125" style="221" customWidth="1"/>
    <col min="11268" max="11268" width="0.28515625" style="221" customWidth="1"/>
    <col min="11269" max="11269" width="3.42578125" style="221" customWidth="1"/>
    <col min="11270" max="11270" width="0.5703125" style="221" customWidth="1"/>
    <col min="11271" max="11290" width="0.710937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14062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140625" style="221" customWidth="1"/>
    <col min="11327" max="11327" width="0.5703125" style="221" customWidth="1"/>
    <col min="11328" max="11328" width="2.140625" style="221" customWidth="1"/>
    <col min="11329" max="11329" width="0.5703125" style="221" customWidth="1"/>
    <col min="11330" max="11330" width="2.140625" style="221" customWidth="1"/>
    <col min="11331" max="11331" width="0.5703125" style="221" customWidth="1"/>
    <col min="11332" max="11332" width="2.140625" style="221" customWidth="1"/>
    <col min="11333" max="11333" width="0.5703125" style="221" customWidth="1"/>
    <col min="11334" max="11334" width="2.140625" style="221" customWidth="1"/>
    <col min="11335" max="11335" width="0.5703125" style="221" customWidth="1"/>
    <col min="11336" max="11336" width="2.140625" style="221" customWidth="1"/>
    <col min="11337" max="11337" width="0.5703125" style="221" customWidth="1"/>
    <col min="11338" max="11338" width="2.140625" style="221" customWidth="1"/>
    <col min="11339" max="11339" width="0.5703125" style="221" customWidth="1"/>
    <col min="11340" max="11340" width="2.140625" style="221" customWidth="1"/>
    <col min="11341" max="11341" width="0.5703125" style="221" customWidth="1"/>
    <col min="11342" max="11342" width="2.140625" style="221" customWidth="1"/>
    <col min="11343" max="11343" width="0.5703125" style="221" customWidth="1"/>
    <col min="11344" max="11344" width="2.140625" style="221" customWidth="1"/>
    <col min="11345" max="11345" width="0.5703125" style="221" customWidth="1"/>
    <col min="11346" max="11346" width="2.140625" style="221" customWidth="1"/>
    <col min="11347" max="11347" width="0.5703125" style="221" customWidth="1"/>
    <col min="11348" max="11348" width="2.140625" style="221" customWidth="1"/>
    <col min="11349" max="11349" width="0.5703125" style="221" customWidth="1"/>
    <col min="11350" max="11350" width="1.7109375" style="221" customWidth="1"/>
    <col min="11351" max="11520" width="9.140625" style="221"/>
    <col min="11521" max="11521" width="0.7109375" style="221" customWidth="1"/>
    <col min="11522" max="11522" width="0.42578125" style="221" customWidth="1"/>
    <col min="11523" max="11523" width="1.5703125" style="221" customWidth="1"/>
    <col min="11524" max="11524" width="0.28515625" style="221" customWidth="1"/>
    <col min="11525" max="11525" width="3.42578125" style="221" customWidth="1"/>
    <col min="11526" max="11526" width="0.5703125" style="221" customWidth="1"/>
    <col min="11527" max="11546" width="0.710937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14062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140625" style="221" customWidth="1"/>
    <col min="11583" max="11583" width="0.5703125" style="221" customWidth="1"/>
    <col min="11584" max="11584" width="2.140625" style="221" customWidth="1"/>
    <col min="11585" max="11585" width="0.5703125" style="221" customWidth="1"/>
    <col min="11586" max="11586" width="2.140625" style="221" customWidth="1"/>
    <col min="11587" max="11587" width="0.5703125" style="221" customWidth="1"/>
    <col min="11588" max="11588" width="2.140625" style="221" customWidth="1"/>
    <col min="11589" max="11589" width="0.5703125" style="221" customWidth="1"/>
    <col min="11590" max="11590" width="2.140625" style="221" customWidth="1"/>
    <col min="11591" max="11591" width="0.5703125" style="221" customWidth="1"/>
    <col min="11592" max="11592" width="2.140625" style="221" customWidth="1"/>
    <col min="11593" max="11593" width="0.5703125" style="221" customWidth="1"/>
    <col min="11594" max="11594" width="2.140625" style="221" customWidth="1"/>
    <col min="11595" max="11595" width="0.5703125" style="221" customWidth="1"/>
    <col min="11596" max="11596" width="2.140625" style="221" customWidth="1"/>
    <col min="11597" max="11597" width="0.5703125" style="221" customWidth="1"/>
    <col min="11598" max="11598" width="2.140625" style="221" customWidth="1"/>
    <col min="11599" max="11599" width="0.5703125" style="221" customWidth="1"/>
    <col min="11600" max="11600" width="2.140625" style="221" customWidth="1"/>
    <col min="11601" max="11601" width="0.5703125" style="221" customWidth="1"/>
    <col min="11602" max="11602" width="2.140625" style="221" customWidth="1"/>
    <col min="11603" max="11603" width="0.5703125" style="221" customWidth="1"/>
    <col min="11604" max="11604" width="2.140625" style="221" customWidth="1"/>
    <col min="11605" max="11605" width="0.5703125" style="221" customWidth="1"/>
    <col min="11606" max="11606" width="1.7109375" style="221" customWidth="1"/>
    <col min="11607" max="11776" width="9.140625" style="221"/>
    <col min="11777" max="11777" width="0.7109375" style="221" customWidth="1"/>
    <col min="11778" max="11778" width="0.42578125" style="221" customWidth="1"/>
    <col min="11779" max="11779" width="1.5703125" style="221" customWidth="1"/>
    <col min="11780" max="11780" width="0.28515625" style="221" customWidth="1"/>
    <col min="11781" max="11781" width="3.42578125" style="221" customWidth="1"/>
    <col min="11782" max="11782" width="0.5703125" style="221" customWidth="1"/>
    <col min="11783" max="11802" width="0.710937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14062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140625" style="221" customWidth="1"/>
    <col min="11839" max="11839" width="0.5703125" style="221" customWidth="1"/>
    <col min="11840" max="11840" width="2.140625" style="221" customWidth="1"/>
    <col min="11841" max="11841" width="0.5703125" style="221" customWidth="1"/>
    <col min="11842" max="11842" width="2.140625" style="221" customWidth="1"/>
    <col min="11843" max="11843" width="0.5703125" style="221" customWidth="1"/>
    <col min="11844" max="11844" width="2.140625" style="221" customWidth="1"/>
    <col min="11845" max="11845" width="0.5703125" style="221" customWidth="1"/>
    <col min="11846" max="11846" width="2.140625" style="221" customWidth="1"/>
    <col min="11847" max="11847" width="0.5703125" style="221" customWidth="1"/>
    <col min="11848" max="11848" width="2.140625" style="221" customWidth="1"/>
    <col min="11849" max="11849" width="0.5703125" style="221" customWidth="1"/>
    <col min="11850" max="11850" width="2.140625" style="221" customWidth="1"/>
    <col min="11851" max="11851" width="0.5703125" style="221" customWidth="1"/>
    <col min="11852" max="11852" width="2.140625" style="221" customWidth="1"/>
    <col min="11853" max="11853" width="0.5703125" style="221" customWidth="1"/>
    <col min="11854" max="11854" width="2.140625" style="221" customWidth="1"/>
    <col min="11855" max="11855" width="0.5703125" style="221" customWidth="1"/>
    <col min="11856" max="11856" width="2.140625" style="221" customWidth="1"/>
    <col min="11857" max="11857" width="0.5703125" style="221" customWidth="1"/>
    <col min="11858" max="11858" width="2.140625" style="221" customWidth="1"/>
    <col min="11859" max="11859" width="0.5703125" style="221" customWidth="1"/>
    <col min="11860" max="11860" width="2.140625" style="221" customWidth="1"/>
    <col min="11861" max="11861" width="0.5703125" style="221" customWidth="1"/>
    <col min="11862" max="11862" width="1.7109375" style="221" customWidth="1"/>
    <col min="11863" max="12032" width="9.140625" style="221"/>
    <col min="12033" max="12033" width="0.7109375" style="221" customWidth="1"/>
    <col min="12034" max="12034" width="0.42578125" style="221" customWidth="1"/>
    <col min="12035" max="12035" width="1.5703125" style="221" customWidth="1"/>
    <col min="12036" max="12036" width="0.28515625" style="221" customWidth="1"/>
    <col min="12037" max="12037" width="3.42578125" style="221" customWidth="1"/>
    <col min="12038" max="12038" width="0.5703125" style="221" customWidth="1"/>
    <col min="12039" max="12058" width="0.710937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14062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140625" style="221" customWidth="1"/>
    <col min="12095" max="12095" width="0.5703125" style="221" customWidth="1"/>
    <col min="12096" max="12096" width="2.140625" style="221" customWidth="1"/>
    <col min="12097" max="12097" width="0.5703125" style="221" customWidth="1"/>
    <col min="12098" max="12098" width="2.140625" style="221" customWidth="1"/>
    <col min="12099" max="12099" width="0.5703125" style="221" customWidth="1"/>
    <col min="12100" max="12100" width="2.140625" style="221" customWidth="1"/>
    <col min="12101" max="12101" width="0.5703125" style="221" customWidth="1"/>
    <col min="12102" max="12102" width="2.140625" style="221" customWidth="1"/>
    <col min="12103" max="12103" width="0.5703125" style="221" customWidth="1"/>
    <col min="12104" max="12104" width="2.140625" style="221" customWidth="1"/>
    <col min="12105" max="12105" width="0.5703125" style="221" customWidth="1"/>
    <col min="12106" max="12106" width="2.140625" style="221" customWidth="1"/>
    <col min="12107" max="12107" width="0.5703125" style="221" customWidth="1"/>
    <col min="12108" max="12108" width="2.140625" style="221" customWidth="1"/>
    <col min="12109" max="12109" width="0.5703125" style="221" customWidth="1"/>
    <col min="12110" max="12110" width="2.140625" style="221" customWidth="1"/>
    <col min="12111" max="12111" width="0.5703125" style="221" customWidth="1"/>
    <col min="12112" max="12112" width="2.140625" style="221" customWidth="1"/>
    <col min="12113" max="12113" width="0.5703125" style="221" customWidth="1"/>
    <col min="12114" max="12114" width="2.140625" style="221" customWidth="1"/>
    <col min="12115" max="12115" width="0.5703125" style="221" customWidth="1"/>
    <col min="12116" max="12116" width="2.140625" style="221" customWidth="1"/>
    <col min="12117" max="12117" width="0.5703125" style="221" customWidth="1"/>
    <col min="12118" max="12118" width="1.7109375" style="221" customWidth="1"/>
    <col min="12119" max="12288" width="9.140625" style="221"/>
    <col min="12289" max="12289" width="0.7109375" style="221" customWidth="1"/>
    <col min="12290" max="12290" width="0.42578125" style="221" customWidth="1"/>
    <col min="12291" max="12291" width="1.5703125" style="221" customWidth="1"/>
    <col min="12292" max="12292" width="0.28515625" style="221" customWidth="1"/>
    <col min="12293" max="12293" width="3.42578125" style="221" customWidth="1"/>
    <col min="12294" max="12294" width="0.5703125" style="221" customWidth="1"/>
    <col min="12295" max="12314" width="0.710937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14062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140625" style="221" customWidth="1"/>
    <col min="12351" max="12351" width="0.5703125" style="221" customWidth="1"/>
    <col min="12352" max="12352" width="2.140625" style="221" customWidth="1"/>
    <col min="12353" max="12353" width="0.5703125" style="221" customWidth="1"/>
    <col min="12354" max="12354" width="2.140625" style="221" customWidth="1"/>
    <col min="12355" max="12355" width="0.5703125" style="221" customWidth="1"/>
    <col min="12356" max="12356" width="2.140625" style="221" customWidth="1"/>
    <col min="12357" max="12357" width="0.5703125" style="221" customWidth="1"/>
    <col min="12358" max="12358" width="2.140625" style="221" customWidth="1"/>
    <col min="12359" max="12359" width="0.5703125" style="221" customWidth="1"/>
    <col min="12360" max="12360" width="2.140625" style="221" customWidth="1"/>
    <col min="12361" max="12361" width="0.5703125" style="221" customWidth="1"/>
    <col min="12362" max="12362" width="2.140625" style="221" customWidth="1"/>
    <col min="12363" max="12363" width="0.5703125" style="221" customWidth="1"/>
    <col min="12364" max="12364" width="2.140625" style="221" customWidth="1"/>
    <col min="12365" max="12365" width="0.5703125" style="221" customWidth="1"/>
    <col min="12366" max="12366" width="2.140625" style="221" customWidth="1"/>
    <col min="12367" max="12367" width="0.5703125" style="221" customWidth="1"/>
    <col min="12368" max="12368" width="2.140625" style="221" customWidth="1"/>
    <col min="12369" max="12369" width="0.5703125" style="221" customWidth="1"/>
    <col min="12370" max="12370" width="2.140625" style="221" customWidth="1"/>
    <col min="12371" max="12371" width="0.5703125" style="221" customWidth="1"/>
    <col min="12372" max="12372" width="2.140625" style="221" customWidth="1"/>
    <col min="12373" max="12373" width="0.5703125" style="221" customWidth="1"/>
    <col min="12374" max="12374" width="1.7109375" style="221" customWidth="1"/>
    <col min="12375" max="12544" width="9.140625" style="221"/>
    <col min="12545" max="12545" width="0.7109375" style="221" customWidth="1"/>
    <col min="12546" max="12546" width="0.42578125" style="221" customWidth="1"/>
    <col min="12547" max="12547" width="1.5703125" style="221" customWidth="1"/>
    <col min="12548" max="12548" width="0.28515625" style="221" customWidth="1"/>
    <col min="12549" max="12549" width="3.42578125" style="221" customWidth="1"/>
    <col min="12550" max="12550" width="0.5703125" style="221" customWidth="1"/>
    <col min="12551" max="12570" width="0.710937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14062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140625" style="221" customWidth="1"/>
    <col min="12607" max="12607" width="0.5703125" style="221" customWidth="1"/>
    <col min="12608" max="12608" width="2.140625" style="221" customWidth="1"/>
    <col min="12609" max="12609" width="0.5703125" style="221" customWidth="1"/>
    <col min="12610" max="12610" width="2.140625" style="221" customWidth="1"/>
    <col min="12611" max="12611" width="0.5703125" style="221" customWidth="1"/>
    <col min="12612" max="12612" width="2.140625" style="221" customWidth="1"/>
    <col min="12613" max="12613" width="0.5703125" style="221" customWidth="1"/>
    <col min="12614" max="12614" width="2.140625" style="221" customWidth="1"/>
    <col min="12615" max="12615" width="0.5703125" style="221" customWidth="1"/>
    <col min="12616" max="12616" width="2.140625" style="221" customWidth="1"/>
    <col min="12617" max="12617" width="0.5703125" style="221" customWidth="1"/>
    <col min="12618" max="12618" width="2.140625" style="221" customWidth="1"/>
    <col min="12619" max="12619" width="0.5703125" style="221" customWidth="1"/>
    <col min="12620" max="12620" width="2.140625" style="221" customWidth="1"/>
    <col min="12621" max="12621" width="0.5703125" style="221" customWidth="1"/>
    <col min="12622" max="12622" width="2.140625" style="221" customWidth="1"/>
    <col min="12623" max="12623" width="0.5703125" style="221" customWidth="1"/>
    <col min="12624" max="12624" width="2.140625" style="221" customWidth="1"/>
    <col min="12625" max="12625" width="0.5703125" style="221" customWidth="1"/>
    <col min="12626" max="12626" width="2.140625" style="221" customWidth="1"/>
    <col min="12627" max="12627" width="0.5703125" style="221" customWidth="1"/>
    <col min="12628" max="12628" width="2.140625" style="221" customWidth="1"/>
    <col min="12629" max="12629" width="0.5703125" style="221" customWidth="1"/>
    <col min="12630" max="12630" width="1.7109375" style="221" customWidth="1"/>
    <col min="12631" max="12800" width="9.140625" style="221"/>
    <col min="12801" max="12801" width="0.7109375" style="221" customWidth="1"/>
    <col min="12802" max="12802" width="0.42578125" style="221" customWidth="1"/>
    <col min="12803" max="12803" width="1.5703125" style="221" customWidth="1"/>
    <col min="12804" max="12804" width="0.28515625" style="221" customWidth="1"/>
    <col min="12805" max="12805" width="3.42578125" style="221" customWidth="1"/>
    <col min="12806" max="12806" width="0.5703125" style="221" customWidth="1"/>
    <col min="12807" max="12826" width="0.710937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14062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140625" style="221" customWidth="1"/>
    <col min="12863" max="12863" width="0.5703125" style="221" customWidth="1"/>
    <col min="12864" max="12864" width="2.140625" style="221" customWidth="1"/>
    <col min="12865" max="12865" width="0.5703125" style="221" customWidth="1"/>
    <col min="12866" max="12866" width="2.140625" style="221" customWidth="1"/>
    <col min="12867" max="12867" width="0.5703125" style="221" customWidth="1"/>
    <col min="12868" max="12868" width="2.140625" style="221" customWidth="1"/>
    <col min="12869" max="12869" width="0.5703125" style="221" customWidth="1"/>
    <col min="12870" max="12870" width="2.140625" style="221" customWidth="1"/>
    <col min="12871" max="12871" width="0.5703125" style="221" customWidth="1"/>
    <col min="12872" max="12872" width="2.140625" style="221" customWidth="1"/>
    <col min="12873" max="12873" width="0.5703125" style="221" customWidth="1"/>
    <col min="12874" max="12874" width="2.140625" style="221" customWidth="1"/>
    <col min="12875" max="12875" width="0.5703125" style="221" customWidth="1"/>
    <col min="12876" max="12876" width="2.140625" style="221" customWidth="1"/>
    <col min="12877" max="12877" width="0.5703125" style="221" customWidth="1"/>
    <col min="12878" max="12878" width="2.140625" style="221" customWidth="1"/>
    <col min="12879" max="12879" width="0.5703125" style="221" customWidth="1"/>
    <col min="12880" max="12880" width="2.140625" style="221" customWidth="1"/>
    <col min="12881" max="12881" width="0.5703125" style="221" customWidth="1"/>
    <col min="12882" max="12882" width="2.140625" style="221" customWidth="1"/>
    <col min="12883" max="12883" width="0.5703125" style="221" customWidth="1"/>
    <col min="12884" max="12884" width="2.140625" style="221" customWidth="1"/>
    <col min="12885" max="12885" width="0.5703125" style="221" customWidth="1"/>
    <col min="12886" max="12886" width="1.7109375" style="221" customWidth="1"/>
    <col min="12887" max="13056" width="9.140625" style="221"/>
    <col min="13057" max="13057" width="0.7109375" style="221" customWidth="1"/>
    <col min="13058" max="13058" width="0.42578125" style="221" customWidth="1"/>
    <col min="13059" max="13059" width="1.5703125" style="221" customWidth="1"/>
    <col min="13060" max="13060" width="0.28515625" style="221" customWidth="1"/>
    <col min="13061" max="13061" width="3.42578125" style="221" customWidth="1"/>
    <col min="13062" max="13062" width="0.5703125" style="221" customWidth="1"/>
    <col min="13063" max="13082" width="0.710937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14062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140625" style="221" customWidth="1"/>
    <col min="13119" max="13119" width="0.5703125" style="221" customWidth="1"/>
    <col min="13120" max="13120" width="2.140625" style="221" customWidth="1"/>
    <col min="13121" max="13121" width="0.5703125" style="221" customWidth="1"/>
    <col min="13122" max="13122" width="2.140625" style="221" customWidth="1"/>
    <col min="13123" max="13123" width="0.5703125" style="221" customWidth="1"/>
    <col min="13124" max="13124" width="2.140625" style="221" customWidth="1"/>
    <col min="13125" max="13125" width="0.5703125" style="221" customWidth="1"/>
    <col min="13126" max="13126" width="2.140625" style="221" customWidth="1"/>
    <col min="13127" max="13127" width="0.5703125" style="221" customWidth="1"/>
    <col min="13128" max="13128" width="2.140625" style="221" customWidth="1"/>
    <col min="13129" max="13129" width="0.5703125" style="221" customWidth="1"/>
    <col min="13130" max="13130" width="2.140625" style="221" customWidth="1"/>
    <col min="13131" max="13131" width="0.5703125" style="221" customWidth="1"/>
    <col min="13132" max="13132" width="2.140625" style="221" customWidth="1"/>
    <col min="13133" max="13133" width="0.5703125" style="221" customWidth="1"/>
    <col min="13134" max="13134" width="2.140625" style="221" customWidth="1"/>
    <col min="13135" max="13135" width="0.5703125" style="221" customWidth="1"/>
    <col min="13136" max="13136" width="2.140625" style="221" customWidth="1"/>
    <col min="13137" max="13137" width="0.5703125" style="221" customWidth="1"/>
    <col min="13138" max="13138" width="2.140625" style="221" customWidth="1"/>
    <col min="13139" max="13139" width="0.5703125" style="221" customWidth="1"/>
    <col min="13140" max="13140" width="2.140625" style="221" customWidth="1"/>
    <col min="13141" max="13141" width="0.5703125" style="221" customWidth="1"/>
    <col min="13142" max="13142" width="1.7109375" style="221" customWidth="1"/>
    <col min="13143" max="13312" width="9.140625" style="221"/>
    <col min="13313" max="13313" width="0.7109375" style="221" customWidth="1"/>
    <col min="13314" max="13314" width="0.42578125" style="221" customWidth="1"/>
    <col min="13315" max="13315" width="1.5703125" style="221" customWidth="1"/>
    <col min="13316" max="13316" width="0.28515625" style="221" customWidth="1"/>
    <col min="13317" max="13317" width="3.42578125" style="221" customWidth="1"/>
    <col min="13318" max="13318" width="0.5703125" style="221" customWidth="1"/>
    <col min="13319" max="13338" width="0.710937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14062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140625" style="221" customWidth="1"/>
    <col min="13375" max="13375" width="0.5703125" style="221" customWidth="1"/>
    <col min="13376" max="13376" width="2.140625" style="221" customWidth="1"/>
    <col min="13377" max="13377" width="0.5703125" style="221" customWidth="1"/>
    <col min="13378" max="13378" width="2.140625" style="221" customWidth="1"/>
    <col min="13379" max="13379" width="0.5703125" style="221" customWidth="1"/>
    <col min="13380" max="13380" width="2.140625" style="221" customWidth="1"/>
    <col min="13381" max="13381" width="0.5703125" style="221" customWidth="1"/>
    <col min="13382" max="13382" width="2.140625" style="221" customWidth="1"/>
    <col min="13383" max="13383" width="0.5703125" style="221" customWidth="1"/>
    <col min="13384" max="13384" width="2.140625" style="221" customWidth="1"/>
    <col min="13385" max="13385" width="0.5703125" style="221" customWidth="1"/>
    <col min="13386" max="13386" width="2.140625" style="221" customWidth="1"/>
    <col min="13387" max="13387" width="0.5703125" style="221" customWidth="1"/>
    <col min="13388" max="13388" width="2.140625" style="221" customWidth="1"/>
    <col min="13389" max="13389" width="0.5703125" style="221" customWidth="1"/>
    <col min="13390" max="13390" width="2.140625" style="221" customWidth="1"/>
    <col min="13391" max="13391" width="0.5703125" style="221" customWidth="1"/>
    <col min="13392" max="13392" width="2.140625" style="221" customWidth="1"/>
    <col min="13393" max="13393" width="0.5703125" style="221" customWidth="1"/>
    <col min="13394" max="13394" width="2.140625" style="221" customWidth="1"/>
    <col min="13395" max="13395" width="0.5703125" style="221" customWidth="1"/>
    <col min="13396" max="13396" width="2.140625" style="221" customWidth="1"/>
    <col min="13397" max="13397" width="0.5703125" style="221" customWidth="1"/>
    <col min="13398" max="13398" width="1.7109375" style="221" customWidth="1"/>
    <col min="13399" max="13568" width="9.140625" style="221"/>
    <col min="13569" max="13569" width="0.7109375" style="221" customWidth="1"/>
    <col min="13570" max="13570" width="0.42578125" style="221" customWidth="1"/>
    <col min="13571" max="13571" width="1.5703125" style="221" customWidth="1"/>
    <col min="13572" max="13572" width="0.28515625" style="221" customWidth="1"/>
    <col min="13573" max="13573" width="3.42578125" style="221" customWidth="1"/>
    <col min="13574" max="13574" width="0.5703125" style="221" customWidth="1"/>
    <col min="13575" max="13594" width="0.710937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14062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140625" style="221" customWidth="1"/>
    <col min="13631" max="13631" width="0.5703125" style="221" customWidth="1"/>
    <col min="13632" max="13632" width="2.140625" style="221" customWidth="1"/>
    <col min="13633" max="13633" width="0.5703125" style="221" customWidth="1"/>
    <col min="13634" max="13634" width="2.140625" style="221" customWidth="1"/>
    <col min="13635" max="13635" width="0.5703125" style="221" customWidth="1"/>
    <col min="13636" max="13636" width="2.140625" style="221" customWidth="1"/>
    <col min="13637" max="13637" width="0.5703125" style="221" customWidth="1"/>
    <col min="13638" max="13638" width="2.140625" style="221" customWidth="1"/>
    <col min="13639" max="13639" width="0.5703125" style="221" customWidth="1"/>
    <col min="13640" max="13640" width="2.140625" style="221" customWidth="1"/>
    <col min="13641" max="13641" width="0.5703125" style="221" customWidth="1"/>
    <col min="13642" max="13642" width="2.140625" style="221" customWidth="1"/>
    <col min="13643" max="13643" width="0.5703125" style="221" customWidth="1"/>
    <col min="13644" max="13644" width="2.140625" style="221" customWidth="1"/>
    <col min="13645" max="13645" width="0.5703125" style="221" customWidth="1"/>
    <col min="13646" max="13646" width="2.140625" style="221" customWidth="1"/>
    <col min="13647" max="13647" width="0.5703125" style="221" customWidth="1"/>
    <col min="13648" max="13648" width="2.140625" style="221" customWidth="1"/>
    <col min="13649" max="13649" width="0.5703125" style="221" customWidth="1"/>
    <col min="13650" max="13650" width="2.140625" style="221" customWidth="1"/>
    <col min="13651" max="13651" width="0.5703125" style="221" customWidth="1"/>
    <col min="13652" max="13652" width="2.140625" style="221" customWidth="1"/>
    <col min="13653" max="13653" width="0.5703125" style="221" customWidth="1"/>
    <col min="13654" max="13654" width="1.7109375" style="221" customWidth="1"/>
    <col min="13655" max="13824" width="9.140625" style="221"/>
    <col min="13825" max="13825" width="0.7109375" style="221" customWidth="1"/>
    <col min="13826" max="13826" width="0.42578125" style="221" customWidth="1"/>
    <col min="13827" max="13827" width="1.5703125" style="221" customWidth="1"/>
    <col min="13828" max="13828" width="0.28515625" style="221" customWidth="1"/>
    <col min="13829" max="13829" width="3.42578125" style="221" customWidth="1"/>
    <col min="13830" max="13830" width="0.5703125" style="221" customWidth="1"/>
    <col min="13831" max="13850" width="0.710937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14062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140625" style="221" customWidth="1"/>
    <col min="13887" max="13887" width="0.5703125" style="221" customWidth="1"/>
    <col min="13888" max="13888" width="2.140625" style="221" customWidth="1"/>
    <col min="13889" max="13889" width="0.5703125" style="221" customWidth="1"/>
    <col min="13890" max="13890" width="2.140625" style="221" customWidth="1"/>
    <col min="13891" max="13891" width="0.5703125" style="221" customWidth="1"/>
    <col min="13892" max="13892" width="2.140625" style="221" customWidth="1"/>
    <col min="13893" max="13893" width="0.5703125" style="221" customWidth="1"/>
    <col min="13894" max="13894" width="2.140625" style="221" customWidth="1"/>
    <col min="13895" max="13895" width="0.5703125" style="221" customWidth="1"/>
    <col min="13896" max="13896" width="2.140625" style="221" customWidth="1"/>
    <col min="13897" max="13897" width="0.5703125" style="221" customWidth="1"/>
    <col min="13898" max="13898" width="2.140625" style="221" customWidth="1"/>
    <col min="13899" max="13899" width="0.5703125" style="221" customWidth="1"/>
    <col min="13900" max="13900" width="2.140625" style="221" customWidth="1"/>
    <col min="13901" max="13901" width="0.5703125" style="221" customWidth="1"/>
    <col min="13902" max="13902" width="2.140625" style="221" customWidth="1"/>
    <col min="13903" max="13903" width="0.5703125" style="221" customWidth="1"/>
    <col min="13904" max="13904" width="2.140625" style="221" customWidth="1"/>
    <col min="13905" max="13905" width="0.5703125" style="221" customWidth="1"/>
    <col min="13906" max="13906" width="2.140625" style="221" customWidth="1"/>
    <col min="13907" max="13907" width="0.5703125" style="221" customWidth="1"/>
    <col min="13908" max="13908" width="2.140625" style="221" customWidth="1"/>
    <col min="13909" max="13909" width="0.5703125" style="221" customWidth="1"/>
    <col min="13910" max="13910" width="1.7109375" style="221" customWidth="1"/>
    <col min="13911" max="14080" width="9.140625" style="221"/>
    <col min="14081" max="14081" width="0.7109375" style="221" customWidth="1"/>
    <col min="14082" max="14082" width="0.42578125" style="221" customWidth="1"/>
    <col min="14083" max="14083" width="1.5703125" style="221" customWidth="1"/>
    <col min="14084" max="14084" width="0.28515625" style="221" customWidth="1"/>
    <col min="14085" max="14085" width="3.42578125" style="221" customWidth="1"/>
    <col min="14086" max="14086" width="0.5703125" style="221" customWidth="1"/>
    <col min="14087" max="14106" width="0.710937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14062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140625" style="221" customWidth="1"/>
    <col min="14143" max="14143" width="0.5703125" style="221" customWidth="1"/>
    <col min="14144" max="14144" width="2.140625" style="221" customWidth="1"/>
    <col min="14145" max="14145" width="0.5703125" style="221" customWidth="1"/>
    <col min="14146" max="14146" width="2.140625" style="221" customWidth="1"/>
    <col min="14147" max="14147" width="0.5703125" style="221" customWidth="1"/>
    <col min="14148" max="14148" width="2.140625" style="221" customWidth="1"/>
    <col min="14149" max="14149" width="0.5703125" style="221" customWidth="1"/>
    <col min="14150" max="14150" width="2.140625" style="221" customWidth="1"/>
    <col min="14151" max="14151" width="0.5703125" style="221" customWidth="1"/>
    <col min="14152" max="14152" width="2.140625" style="221" customWidth="1"/>
    <col min="14153" max="14153" width="0.5703125" style="221" customWidth="1"/>
    <col min="14154" max="14154" width="2.140625" style="221" customWidth="1"/>
    <col min="14155" max="14155" width="0.5703125" style="221" customWidth="1"/>
    <col min="14156" max="14156" width="2.140625" style="221" customWidth="1"/>
    <col min="14157" max="14157" width="0.5703125" style="221" customWidth="1"/>
    <col min="14158" max="14158" width="2.140625" style="221" customWidth="1"/>
    <col min="14159" max="14159" width="0.5703125" style="221" customWidth="1"/>
    <col min="14160" max="14160" width="2.140625" style="221" customWidth="1"/>
    <col min="14161" max="14161" width="0.5703125" style="221" customWidth="1"/>
    <col min="14162" max="14162" width="2.140625" style="221" customWidth="1"/>
    <col min="14163" max="14163" width="0.5703125" style="221" customWidth="1"/>
    <col min="14164" max="14164" width="2.140625" style="221" customWidth="1"/>
    <col min="14165" max="14165" width="0.5703125" style="221" customWidth="1"/>
    <col min="14166" max="14166" width="1.7109375" style="221" customWidth="1"/>
    <col min="14167" max="14336" width="9.140625" style="221"/>
    <col min="14337" max="14337" width="0.7109375" style="221" customWidth="1"/>
    <col min="14338" max="14338" width="0.42578125" style="221" customWidth="1"/>
    <col min="14339" max="14339" width="1.5703125" style="221" customWidth="1"/>
    <col min="14340" max="14340" width="0.28515625" style="221" customWidth="1"/>
    <col min="14341" max="14341" width="3.42578125" style="221" customWidth="1"/>
    <col min="14342" max="14342" width="0.5703125" style="221" customWidth="1"/>
    <col min="14343" max="14362" width="0.710937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14062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140625" style="221" customWidth="1"/>
    <col min="14399" max="14399" width="0.5703125" style="221" customWidth="1"/>
    <col min="14400" max="14400" width="2.140625" style="221" customWidth="1"/>
    <col min="14401" max="14401" width="0.5703125" style="221" customWidth="1"/>
    <col min="14402" max="14402" width="2.140625" style="221" customWidth="1"/>
    <col min="14403" max="14403" width="0.5703125" style="221" customWidth="1"/>
    <col min="14404" max="14404" width="2.140625" style="221" customWidth="1"/>
    <col min="14405" max="14405" width="0.5703125" style="221" customWidth="1"/>
    <col min="14406" max="14406" width="2.140625" style="221" customWidth="1"/>
    <col min="14407" max="14407" width="0.5703125" style="221" customWidth="1"/>
    <col min="14408" max="14408" width="2.140625" style="221" customWidth="1"/>
    <col min="14409" max="14409" width="0.5703125" style="221" customWidth="1"/>
    <col min="14410" max="14410" width="2.140625" style="221" customWidth="1"/>
    <col min="14411" max="14411" width="0.5703125" style="221" customWidth="1"/>
    <col min="14412" max="14412" width="2.140625" style="221" customWidth="1"/>
    <col min="14413" max="14413" width="0.5703125" style="221" customWidth="1"/>
    <col min="14414" max="14414" width="2.140625" style="221" customWidth="1"/>
    <col min="14415" max="14415" width="0.5703125" style="221" customWidth="1"/>
    <col min="14416" max="14416" width="2.140625" style="221" customWidth="1"/>
    <col min="14417" max="14417" width="0.5703125" style="221" customWidth="1"/>
    <col min="14418" max="14418" width="2.140625" style="221" customWidth="1"/>
    <col min="14419" max="14419" width="0.5703125" style="221" customWidth="1"/>
    <col min="14420" max="14420" width="2.140625" style="221" customWidth="1"/>
    <col min="14421" max="14421" width="0.5703125" style="221" customWidth="1"/>
    <col min="14422" max="14422" width="1.7109375" style="221" customWidth="1"/>
    <col min="14423" max="14592" width="9.140625" style="221"/>
    <col min="14593" max="14593" width="0.7109375" style="221" customWidth="1"/>
    <col min="14594" max="14594" width="0.42578125" style="221" customWidth="1"/>
    <col min="14595" max="14595" width="1.5703125" style="221" customWidth="1"/>
    <col min="14596" max="14596" width="0.28515625" style="221" customWidth="1"/>
    <col min="14597" max="14597" width="3.42578125" style="221" customWidth="1"/>
    <col min="14598" max="14598" width="0.5703125" style="221" customWidth="1"/>
    <col min="14599" max="14618" width="0.710937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14062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140625" style="221" customWidth="1"/>
    <col min="14655" max="14655" width="0.5703125" style="221" customWidth="1"/>
    <col min="14656" max="14656" width="2.140625" style="221" customWidth="1"/>
    <col min="14657" max="14657" width="0.5703125" style="221" customWidth="1"/>
    <col min="14658" max="14658" width="2.140625" style="221" customWidth="1"/>
    <col min="14659" max="14659" width="0.5703125" style="221" customWidth="1"/>
    <col min="14660" max="14660" width="2.140625" style="221" customWidth="1"/>
    <col min="14661" max="14661" width="0.5703125" style="221" customWidth="1"/>
    <col min="14662" max="14662" width="2.140625" style="221" customWidth="1"/>
    <col min="14663" max="14663" width="0.5703125" style="221" customWidth="1"/>
    <col min="14664" max="14664" width="2.140625" style="221" customWidth="1"/>
    <col min="14665" max="14665" width="0.5703125" style="221" customWidth="1"/>
    <col min="14666" max="14666" width="2.140625" style="221" customWidth="1"/>
    <col min="14667" max="14667" width="0.5703125" style="221" customWidth="1"/>
    <col min="14668" max="14668" width="2.140625" style="221" customWidth="1"/>
    <col min="14669" max="14669" width="0.5703125" style="221" customWidth="1"/>
    <col min="14670" max="14670" width="2.140625" style="221" customWidth="1"/>
    <col min="14671" max="14671" width="0.5703125" style="221" customWidth="1"/>
    <col min="14672" max="14672" width="2.140625" style="221" customWidth="1"/>
    <col min="14673" max="14673" width="0.5703125" style="221" customWidth="1"/>
    <col min="14674" max="14674" width="2.140625" style="221" customWidth="1"/>
    <col min="14675" max="14675" width="0.5703125" style="221" customWidth="1"/>
    <col min="14676" max="14676" width="2.140625" style="221" customWidth="1"/>
    <col min="14677" max="14677" width="0.5703125" style="221" customWidth="1"/>
    <col min="14678" max="14678" width="1.7109375" style="221" customWidth="1"/>
    <col min="14679" max="14848" width="9.140625" style="221"/>
    <col min="14849" max="14849" width="0.7109375" style="221" customWidth="1"/>
    <col min="14850" max="14850" width="0.42578125" style="221" customWidth="1"/>
    <col min="14851" max="14851" width="1.5703125" style="221" customWidth="1"/>
    <col min="14852" max="14852" width="0.28515625" style="221" customWidth="1"/>
    <col min="14853" max="14853" width="3.42578125" style="221" customWidth="1"/>
    <col min="14854" max="14854" width="0.5703125" style="221" customWidth="1"/>
    <col min="14855" max="14874" width="0.710937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14062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140625" style="221" customWidth="1"/>
    <col min="14911" max="14911" width="0.5703125" style="221" customWidth="1"/>
    <col min="14912" max="14912" width="2.140625" style="221" customWidth="1"/>
    <col min="14913" max="14913" width="0.5703125" style="221" customWidth="1"/>
    <col min="14914" max="14914" width="2.140625" style="221" customWidth="1"/>
    <col min="14915" max="14915" width="0.5703125" style="221" customWidth="1"/>
    <col min="14916" max="14916" width="2.140625" style="221" customWidth="1"/>
    <col min="14917" max="14917" width="0.5703125" style="221" customWidth="1"/>
    <col min="14918" max="14918" width="2.140625" style="221" customWidth="1"/>
    <col min="14919" max="14919" width="0.5703125" style="221" customWidth="1"/>
    <col min="14920" max="14920" width="2.140625" style="221" customWidth="1"/>
    <col min="14921" max="14921" width="0.5703125" style="221" customWidth="1"/>
    <col min="14922" max="14922" width="2.140625" style="221" customWidth="1"/>
    <col min="14923" max="14923" width="0.5703125" style="221" customWidth="1"/>
    <col min="14924" max="14924" width="2.140625" style="221" customWidth="1"/>
    <col min="14925" max="14925" width="0.5703125" style="221" customWidth="1"/>
    <col min="14926" max="14926" width="2.140625" style="221" customWidth="1"/>
    <col min="14927" max="14927" width="0.5703125" style="221" customWidth="1"/>
    <col min="14928" max="14928" width="2.140625" style="221" customWidth="1"/>
    <col min="14929" max="14929" width="0.5703125" style="221" customWidth="1"/>
    <col min="14930" max="14930" width="2.140625" style="221" customWidth="1"/>
    <col min="14931" max="14931" width="0.5703125" style="221" customWidth="1"/>
    <col min="14932" max="14932" width="2.140625" style="221" customWidth="1"/>
    <col min="14933" max="14933" width="0.5703125" style="221" customWidth="1"/>
    <col min="14934" max="14934" width="1.7109375" style="221" customWidth="1"/>
    <col min="14935" max="15104" width="9.140625" style="221"/>
    <col min="15105" max="15105" width="0.7109375" style="221" customWidth="1"/>
    <col min="15106" max="15106" width="0.42578125" style="221" customWidth="1"/>
    <col min="15107" max="15107" width="1.5703125" style="221" customWidth="1"/>
    <col min="15108" max="15108" width="0.28515625" style="221" customWidth="1"/>
    <col min="15109" max="15109" width="3.42578125" style="221" customWidth="1"/>
    <col min="15110" max="15110" width="0.5703125" style="221" customWidth="1"/>
    <col min="15111" max="15130" width="0.710937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14062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140625" style="221" customWidth="1"/>
    <col min="15167" max="15167" width="0.5703125" style="221" customWidth="1"/>
    <col min="15168" max="15168" width="2.140625" style="221" customWidth="1"/>
    <col min="15169" max="15169" width="0.5703125" style="221" customWidth="1"/>
    <col min="15170" max="15170" width="2.140625" style="221" customWidth="1"/>
    <col min="15171" max="15171" width="0.5703125" style="221" customWidth="1"/>
    <col min="15172" max="15172" width="2.140625" style="221" customWidth="1"/>
    <col min="15173" max="15173" width="0.5703125" style="221" customWidth="1"/>
    <col min="15174" max="15174" width="2.140625" style="221" customWidth="1"/>
    <col min="15175" max="15175" width="0.5703125" style="221" customWidth="1"/>
    <col min="15176" max="15176" width="2.140625" style="221" customWidth="1"/>
    <col min="15177" max="15177" width="0.5703125" style="221" customWidth="1"/>
    <col min="15178" max="15178" width="2.140625" style="221" customWidth="1"/>
    <col min="15179" max="15179" width="0.5703125" style="221" customWidth="1"/>
    <col min="15180" max="15180" width="2.140625" style="221" customWidth="1"/>
    <col min="15181" max="15181" width="0.5703125" style="221" customWidth="1"/>
    <col min="15182" max="15182" width="2.140625" style="221" customWidth="1"/>
    <col min="15183" max="15183" width="0.5703125" style="221" customWidth="1"/>
    <col min="15184" max="15184" width="2.140625" style="221" customWidth="1"/>
    <col min="15185" max="15185" width="0.5703125" style="221" customWidth="1"/>
    <col min="15186" max="15186" width="2.140625" style="221" customWidth="1"/>
    <col min="15187" max="15187" width="0.5703125" style="221" customWidth="1"/>
    <col min="15188" max="15188" width="2.140625" style="221" customWidth="1"/>
    <col min="15189" max="15189" width="0.5703125" style="221" customWidth="1"/>
    <col min="15190" max="15190" width="1.7109375" style="221" customWidth="1"/>
    <col min="15191" max="15360" width="9.140625" style="221"/>
    <col min="15361" max="15361" width="0.7109375" style="221" customWidth="1"/>
    <col min="15362" max="15362" width="0.42578125" style="221" customWidth="1"/>
    <col min="15363" max="15363" width="1.5703125" style="221" customWidth="1"/>
    <col min="15364" max="15364" width="0.28515625" style="221" customWidth="1"/>
    <col min="15365" max="15365" width="3.42578125" style="221" customWidth="1"/>
    <col min="15366" max="15366" width="0.5703125" style="221" customWidth="1"/>
    <col min="15367" max="15386" width="0.710937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14062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140625" style="221" customWidth="1"/>
    <col min="15423" max="15423" width="0.5703125" style="221" customWidth="1"/>
    <col min="15424" max="15424" width="2.140625" style="221" customWidth="1"/>
    <col min="15425" max="15425" width="0.5703125" style="221" customWidth="1"/>
    <col min="15426" max="15426" width="2.140625" style="221" customWidth="1"/>
    <col min="15427" max="15427" width="0.5703125" style="221" customWidth="1"/>
    <col min="15428" max="15428" width="2.140625" style="221" customWidth="1"/>
    <col min="15429" max="15429" width="0.5703125" style="221" customWidth="1"/>
    <col min="15430" max="15430" width="2.140625" style="221" customWidth="1"/>
    <col min="15431" max="15431" width="0.5703125" style="221" customWidth="1"/>
    <col min="15432" max="15432" width="2.140625" style="221" customWidth="1"/>
    <col min="15433" max="15433" width="0.5703125" style="221" customWidth="1"/>
    <col min="15434" max="15434" width="2.140625" style="221" customWidth="1"/>
    <col min="15435" max="15435" width="0.5703125" style="221" customWidth="1"/>
    <col min="15436" max="15436" width="2.140625" style="221" customWidth="1"/>
    <col min="15437" max="15437" width="0.5703125" style="221" customWidth="1"/>
    <col min="15438" max="15438" width="2.140625" style="221" customWidth="1"/>
    <col min="15439" max="15439" width="0.5703125" style="221" customWidth="1"/>
    <col min="15440" max="15440" width="2.140625" style="221" customWidth="1"/>
    <col min="15441" max="15441" width="0.5703125" style="221" customWidth="1"/>
    <col min="15442" max="15442" width="2.140625" style="221" customWidth="1"/>
    <col min="15443" max="15443" width="0.5703125" style="221" customWidth="1"/>
    <col min="15444" max="15444" width="2.140625" style="221" customWidth="1"/>
    <col min="15445" max="15445" width="0.5703125" style="221" customWidth="1"/>
    <col min="15446" max="15446" width="1.7109375" style="221" customWidth="1"/>
    <col min="15447" max="15616" width="9.140625" style="221"/>
    <col min="15617" max="15617" width="0.7109375" style="221" customWidth="1"/>
    <col min="15618" max="15618" width="0.42578125" style="221" customWidth="1"/>
    <col min="15619" max="15619" width="1.5703125" style="221" customWidth="1"/>
    <col min="15620" max="15620" width="0.28515625" style="221" customWidth="1"/>
    <col min="15621" max="15621" width="3.42578125" style="221" customWidth="1"/>
    <col min="15622" max="15622" width="0.5703125" style="221" customWidth="1"/>
    <col min="15623" max="15642" width="0.710937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14062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140625" style="221" customWidth="1"/>
    <col min="15679" max="15679" width="0.5703125" style="221" customWidth="1"/>
    <col min="15680" max="15680" width="2.140625" style="221" customWidth="1"/>
    <col min="15681" max="15681" width="0.5703125" style="221" customWidth="1"/>
    <col min="15682" max="15682" width="2.140625" style="221" customWidth="1"/>
    <col min="15683" max="15683" width="0.5703125" style="221" customWidth="1"/>
    <col min="15684" max="15684" width="2.140625" style="221" customWidth="1"/>
    <col min="15685" max="15685" width="0.5703125" style="221" customWidth="1"/>
    <col min="15686" max="15686" width="2.140625" style="221" customWidth="1"/>
    <col min="15687" max="15687" width="0.5703125" style="221" customWidth="1"/>
    <col min="15688" max="15688" width="2.140625" style="221" customWidth="1"/>
    <col min="15689" max="15689" width="0.5703125" style="221" customWidth="1"/>
    <col min="15690" max="15690" width="2.140625" style="221" customWidth="1"/>
    <col min="15691" max="15691" width="0.5703125" style="221" customWidth="1"/>
    <col min="15692" max="15692" width="2.140625" style="221" customWidth="1"/>
    <col min="15693" max="15693" width="0.5703125" style="221" customWidth="1"/>
    <col min="15694" max="15694" width="2.140625" style="221" customWidth="1"/>
    <col min="15695" max="15695" width="0.5703125" style="221" customWidth="1"/>
    <col min="15696" max="15696" width="2.140625" style="221" customWidth="1"/>
    <col min="15697" max="15697" width="0.5703125" style="221" customWidth="1"/>
    <col min="15698" max="15698" width="2.140625" style="221" customWidth="1"/>
    <col min="15699" max="15699" width="0.5703125" style="221" customWidth="1"/>
    <col min="15700" max="15700" width="2.140625" style="221" customWidth="1"/>
    <col min="15701" max="15701" width="0.5703125" style="221" customWidth="1"/>
    <col min="15702" max="15702" width="1.7109375" style="221" customWidth="1"/>
    <col min="15703" max="15872" width="9.140625" style="221"/>
    <col min="15873" max="15873" width="0.7109375" style="221" customWidth="1"/>
    <col min="15874" max="15874" width="0.42578125" style="221" customWidth="1"/>
    <col min="15875" max="15875" width="1.5703125" style="221" customWidth="1"/>
    <col min="15876" max="15876" width="0.28515625" style="221" customWidth="1"/>
    <col min="15877" max="15877" width="3.42578125" style="221" customWidth="1"/>
    <col min="15878" max="15878" width="0.5703125" style="221" customWidth="1"/>
    <col min="15879" max="15898" width="0.710937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14062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140625" style="221" customWidth="1"/>
    <col min="15935" max="15935" width="0.5703125" style="221" customWidth="1"/>
    <col min="15936" max="15936" width="2.140625" style="221" customWidth="1"/>
    <col min="15937" max="15937" width="0.5703125" style="221" customWidth="1"/>
    <col min="15938" max="15938" width="2.140625" style="221" customWidth="1"/>
    <col min="15939" max="15939" width="0.5703125" style="221" customWidth="1"/>
    <col min="15940" max="15940" width="2.140625" style="221" customWidth="1"/>
    <col min="15941" max="15941" width="0.5703125" style="221" customWidth="1"/>
    <col min="15942" max="15942" width="2.140625" style="221" customWidth="1"/>
    <col min="15943" max="15943" width="0.5703125" style="221" customWidth="1"/>
    <col min="15944" max="15944" width="2.140625" style="221" customWidth="1"/>
    <col min="15945" max="15945" width="0.5703125" style="221" customWidth="1"/>
    <col min="15946" max="15946" width="2.140625" style="221" customWidth="1"/>
    <col min="15947" max="15947" width="0.5703125" style="221" customWidth="1"/>
    <col min="15948" max="15948" width="2.140625" style="221" customWidth="1"/>
    <col min="15949" max="15949" width="0.5703125" style="221" customWidth="1"/>
    <col min="15950" max="15950" width="2.140625" style="221" customWidth="1"/>
    <col min="15951" max="15951" width="0.5703125" style="221" customWidth="1"/>
    <col min="15952" max="15952" width="2.140625" style="221" customWidth="1"/>
    <col min="15953" max="15953" width="0.5703125" style="221" customWidth="1"/>
    <col min="15954" max="15954" width="2.140625" style="221" customWidth="1"/>
    <col min="15955" max="15955" width="0.5703125" style="221" customWidth="1"/>
    <col min="15956" max="15956" width="2.140625" style="221" customWidth="1"/>
    <col min="15957" max="15957" width="0.5703125" style="221" customWidth="1"/>
    <col min="15958" max="15958" width="1.7109375" style="221" customWidth="1"/>
    <col min="15959" max="16128" width="9.140625" style="221"/>
    <col min="16129" max="16129" width="0.7109375" style="221" customWidth="1"/>
    <col min="16130" max="16130" width="0.42578125" style="221" customWidth="1"/>
    <col min="16131" max="16131" width="1.5703125" style="221" customWidth="1"/>
    <col min="16132" max="16132" width="0.28515625" style="221" customWidth="1"/>
    <col min="16133" max="16133" width="3.42578125" style="221" customWidth="1"/>
    <col min="16134" max="16134" width="0.5703125" style="221" customWidth="1"/>
    <col min="16135" max="16154" width="0.710937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14062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140625" style="221" customWidth="1"/>
    <col min="16191" max="16191" width="0.5703125" style="221" customWidth="1"/>
    <col min="16192" max="16192" width="2.140625" style="221" customWidth="1"/>
    <col min="16193" max="16193" width="0.5703125" style="221" customWidth="1"/>
    <col min="16194" max="16194" width="2.140625" style="221" customWidth="1"/>
    <col min="16195" max="16195" width="0.5703125" style="221" customWidth="1"/>
    <col min="16196" max="16196" width="2.140625" style="221" customWidth="1"/>
    <col min="16197" max="16197" width="0.5703125" style="221" customWidth="1"/>
    <col min="16198" max="16198" width="2.140625" style="221" customWidth="1"/>
    <col min="16199" max="16199" width="0.5703125" style="221" customWidth="1"/>
    <col min="16200" max="16200" width="2.140625" style="221" customWidth="1"/>
    <col min="16201" max="16201" width="0.5703125" style="221" customWidth="1"/>
    <col min="16202" max="16202" width="2.140625" style="221" customWidth="1"/>
    <col min="16203" max="16203" width="0.5703125" style="221" customWidth="1"/>
    <col min="16204" max="16204" width="2.140625" style="221" customWidth="1"/>
    <col min="16205" max="16205" width="0.5703125" style="221" customWidth="1"/>
    <col min="16206" max="16206" width="2.140625" style="221" customWidth="1"/>
    <col min="16207" max="16207" width="0.5703125" style="221" customWidth="1"/>
    <col min="16208" max="16208" width="2.140625" style="221" customWidth="1"/>
    <col min="16209" max="16209" width="0.5703125" style="221" customWidth="1"/>
    <col min="16210" max="16210" width="2.140625" style="221" customWidth="1"/>
    <col min="16211" max="16211" width="0.5703125" style="221" customWidth="1"/>
    <col min="16212" max="16212" width="2.140625" style="221" customWidth="1"/>
    <col min="16213" max="16213" width="0.5703125" style="221" customWidth="1"/>
    <col min="16214" max="16214" width="1.7109375" style="221" customWidth="1"/>
    <col min="16215" max="16384" width="9.140625" style="221"/>
  </cols>
  <sheetData>
    <row r="1" spans="1:88" s="97" customFormat="1" ht="14.25" customHeight="1" thickBot="1">
      <c r="F1" s="98" t="s">
        <v>1573</v>
      </c>
      <c r="G1" s="353"/>
      <c r="CJ1" s="221"/>
    </row>
    <row r="2" spans="1:88" ht="7.5" customHeight="1" thickTop="1">
      <c r="A2" s="220"/>
      <c r="B2" s="220"/>
      <c r="D2" s="220"/>
      <c r="E2" s="222"/>
      <c r="F2" s="220"/>
      <c r="G2" s="223"/>
      <c r="H2" s="912" t="str">
        <f>Index!C409</f>
        <v>Súvaha Úč POD 1 - 01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7"/>
      <c r="BT2" s="928"/>
      <c r="BU2" s="928"/>
      <c r="BV2" s="928"/>
      <c r="BW2" s="928"/>
      <c r="BX2" s="928"/>
      <c r="BY2" s="928"/>
      <c r="BZ2" s="928"/>
      <c r="CA2" s="928"/>
      <c r="CB2" s="928"/>
      <c r="CC2" s="928"/>
      <c r="CD2" s="928"/>
      <c r="CE2" s="220"/>
      <c r="CF2" s="220"/>
      <c r="CG2" s="220"/>
      <c r="CH2" s="220"/>
      <c r="CI2" s="220"/>
    </row>
    <row r="3" spans="1:88" ht="3.75" customHeight="1" thickBot="1">
      <c r="A3" s="220"/>
      <c r="B3" s="220"/>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227"/>
      <c r="BT3" s="928"/>
      <c r="BU3" s="928"/>
      <c r="BV3" s="928"/>
      <c r="BW3" s="928"/>
      <c r="BX3" s="928"/>
      <c r="BY3" s="928"/>
      <c r="BZ3" s="928"/>
      <c r="CA3" s="928"/>
      <c r="CB3" s="928"/>
      <c r="CC3" s="928"/>
      <c r="CD3" s="928"/>
      <c r="CE3" s="220"/>
      <c r="CF3" s="220"/>
      <c r="CG3" s="220"/>
      <c r="CH3" s="220"/>
      <c r="CI3" s="220"/>
    </row>
    <row r="4" spans="1:88" ht="16.5" customHeight="1" thickTop="1">
      <c r="A4" s="220"/>
      <c r="B4" s="220"/>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139" t="str">
        <f>'Závierka titulka'!$K$27</f>
        <v>2</v>
      </c>
      <c r="BM4" s="231"/>
      <c r="BN4" s="139" t="str">
        <f>'Závierka titulka'!$M$27</f>
        <v>9</v>
      </c>
      <c r="BO4" s="136"/>
      <c r="BP4" s="139" t="str">
        <f>'Závierka titulka'!$O$27</f>
        <v>9</v>
      </c>
      <c r="BQ4" s="136"/>
      <c r="BR4" s="139" t="str">
        <f>'Závierka titulka'!$Q$27</f>
        <v>1</v>
      </c>
      <c r="BS4" s="230"/>
      <c r="BT4" s="928"/>
      <c r="BU4" s="928"/>
      <c r="BV4" s="928"/>
      <c r="BW4" s="928"/>
      <c r="BX4" s="928"/>
      <c r="BY4" s="928"/>
      <c r="BZ4" s="928"/>
      <c r="CA4" s="928"/>
      <c r="CB4" s="928"/>
      <c r="CC4" s="928"/>
      <c r="CD4" s="928"/>
      <c r="CE4" s="220"/>
      <c r="CF4" s="232"/>
      <c r="CG4" s="233"/>
      <c r="CH4" s="220"/>
      <c r="CI4" s="220"/>
    </row>
    <row r="5" spans="1:88" ht="3" customHeight="1">
      <c r="A5" s="220"/>
      <c r="B5" s="220"/>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4"/>
      <c r="BM5" s="237"/>
      <c r="BN5" s="234"/>
      <c r="BO5" s="234"/>
      <c r="BP5" s="234"/>
      <c r="BQ5" s="234"/>
      <c r="BR5" s="234"/>
      <c r="BS5" s="235"/>
      <c r="BT5" s="928"/>
      <c r="BU5" s="928"/>
      <c r="BV5" s="928"/>
      <c r="BW5" s="928"/>
      <c r="BX5" s="928"/>
      <c r="BY5" s="928"/>
      <c r="BZ5" s="928"/>
      <c r="CA5" s="928"/>
      <c r="CB5" s="928"/>
      <c r="CC5" s="928"/>
      <c r="CD5" s="928"/>
      <c r="CE5" s="220"/>
      <c r="CF5" s="220"/>
      <c r="CG5" s="238"/>
      <c r="CH5" s="220"/>
      <c r="CI5" s="220"/>
    </row>
    <row r="6" spans="1:88" ht="4.5" customHeight="1" thickBot="1">
      <c r="A6" s="220"/>
      <c r="B6" s="220"/>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2"/>
      <c r="BX6" s="242"/>
      <c r="BY6" s="242"/>
      <c r="BZ6" s="242"/>
      <c r="CA6" s="242"/>
      <c r="CB6" s="242"/>
      <c r="CC6" s="242"/>
      <c r="CD6" s="242"/>
      <c r="CE6" s="242"/>
      <c r="CF6" s="242"/>
      <c r="CG6" s="242"/>
      <c r="CH6" s="220"/>
      <c r="CI6" s="220"/>
    </row>
    <row r="7" spans="1:88" ht="12.75" customHeight="1" thickBot="1">
      <c r="A7" s="220"/>
      <c r="B7" s="220"/>
      <c r="C7" s="224"/>
      <c r="D7" s="224"/>
      <c r="E7" s="941" t="str">
        <f>Index!C410</f>
        <v>Ozna-čenie</v>
      </c>
      <c r="F7" s="942"/>
      <c r="G7" s="362"/>
      <c r="H7" s="368"/>
      <c r="I7" s="368"/>
      <c r="J7" s="368"/>
      <c r="K7" s="368"/>
      <c r="L7" s="368"/>
      <c r="M7" s="368"/>
      <c r="N7" s="368"/>
      <c r="O7" s="368"/>
      <c r="P7" s="368"/>
      <c r="Q7" s="368"/>
      <c r="R7" s="368"/>
      <c r="S7" s="368"/>
      <c r="T7" s="368"/>
      <c r="U7" s="368"/>
      <c r="V7" s="368"/>
      <c r="W7" s="281"/>
      <c r="X7" s="281"/>
      <c r="Y7" s="281"/>
      <c r="Z7" s="282"/>
      <c r="AA7" s="281"/>
      <c r="AB7" s="281"/>
      <c r="AC7" s="282"/>
      <c r="AD7" s="955" t="str">
        <f>Index!C414</f>
        <v>Bežné účtovné obdobie</v>
      </c>
      <c r="AE7" s="955"/>
      <c r="AF7" s="955"/>
      <c r="AG7" s="955"/>
      <c r="AH7" s="955"/>
      <c r="AI7" s="955"/>
      <c r="AJ7" s="955"/>
      <c r="AK7" s="955"/>
      <c r="AL7" s="955"/>
      <c r="AM7" s="955"/>
      <c r="AN7" s="955"/>
      <c r="AO7" s="955"/>
      <c r="AP7" s="955"/>
      <c r="AQ7" s="955"/>
      <c r="AR7" s="955"/>
      <c r="AS7" s="955"/>
      <c r="AT7" s="955"/>
      <c r="AU7" s="955"/>
      <c r="AV7" s="955"/>
      <c r="AW7" s="955"/>
      <c r="AX7" s="955"/>
      <c r="AY7" s="955"/>
      <c r="AZ7" s="955"/>
      <c r="BA7" s="955"/>
      <c r="BB7" s="955"/>
      <c r="BC7" s="955"/>
      <c r="BD7" s="955"/>
      <c r="BE7" s="955"/>
      <c r="BF7" s="955"/>
      <c r="BG7" s="955"/>
      <c r="BH7" s="955"/>
      <c r="BI7" s="955"/>
      <c r="BJ7" s="955"/>
      <c r="BK7" s="955"/>
      <c r="BL7" s="955"/>
      <c r="BM7" s="955"/>
      <c r="BN7" s="955"/>
      <c r="BO7" s="955"/>
      <c r="BP7" s="955"/>
      <c r="BQ7" s="955"/>
      <c r="BR7" s="896" t="str">
        <f>Index!C415</f>
        <v>Bezprostredne predchádzajúce účtovné obdobie</v>
      </c>
      <c r="BS7" s="896"/>
      <c r="BT7" s="896"/>
      <c r="BU7" s="896"/>
      <c r="BV7" s="896"/>
      <c r="BW7" s="896"/>
      <c r="BX7" s="896"/>
      <c r="BY7" s="896"/>
      <c r="BZ7" s="896"/>
      <c r="CA7" s="896"/>
      <c r="CB7" s="896"/>
      <c r="CC7" s="896"/>
      <c r="CD7" s="896"/>
      <c r="CE7" s="896"/>
      <c r="CF7" s="896"/>
      <c r="CG7" s="896"/>
      <c r="CH7" s="220"/>
    </row>
    <row r="8" spans="1:88" ht="5.0999999999999996" customHeight="1" thickBot="1">
      <c r="A8" s="220"/>
      <c r="B8" s="878"/>
      <c r="C8" s="878"/>
      <c r="D8" s="878"/>
      <c r="E8" s="943"/>
      <c r="F8" s="885"/>
      <c r="G8" s="898" t="str">
        <f>Index!C411</f>
        <v>STRANA AKTÍV</v>
      </c>
      <c r="H8" s="898"/>
      <c r="I8" s="898"/>
      <c r="J8" s="898"/>
      <c r="K8" s="898"/>
      <c r="L8" s="898"/>
      <c r="M8" s="898"/>
      <c r="N8" s="898"/>
      <c r="O8" s="898"/>
      <c r="P8" s="898"/>
      <c r="Q8" s="898"/>
      <c r="R8" s="898"/>
      <c r="S8" s="898"/>
      <c r="T8" s="898"/>
      <c r="U8" s="898"/>
      <c r="V8" s="898"/>
      <c r="W8" s="898"/>
      <c r="X8" s="898"/>
      <c r="Y8" s="898"/>
      <c r="Z8" s="898"/>
      <c r="AA8" s="354"/>
      <c r="AB8" s="354"/>
      <c r="AC8" s="283"/>
      <c r="AD8" s="955"/>
      <c r="AE8" s="955"/>
      <c r="AF8" s="955"/>
      <c r="AG8" s="955"/>
      <c r="AH8" s="955"/>
      <c r="AI8" s="955"/>
      <c r="AJ8" s="955"/>
      <c r="AK8" s="955"/>
      <c r="AL8" s="955"/>
      <c r="AM8" s="955"/>
      <c r="AN8" s="955"/>
      <c r="AO8" s="955"/>
      <c r="AP8" s="955"/>
      <c r="AQ8" s="955"/>
      <c r="AR8" s="955"/>
      <c r="AS8" s="955"/>
      <c r="AT8" s="955"/>
      <c r="AU8" s="955"/>
      <c r="AV8" s="955"/>
      <c r="AW8" s="955"/>
      <c r="AX8" s="955"/>
      <c r="AY8" s="955"/>
      <c r="AZ8" s="955"/>
      <c r="BA8" s="955"/>
      <c r="BB8" s="955"/>
      <c r="BC8" s="955"/>
      <c r="BD8" s="955"/>
      <c r="BE8" s="955"/>
      <c r="BF8" s="955"/>
      <c r="BG8" s="955"/>
      <c r="BH8" s="955"/>
      <c r="BI8" s="955"/>
      <c r="BJ8" s="955"/>
      <c r="BK8" s="955"/>
      <c r="BL8" s="955"/>
      <c r="BM8" s="955"/>
      <c r="BN8" s="955"/>
      <c r="BO8" s="955"/>
      <c r="BP8" s="955"/>
      <c r="BQ8" s="955"/>
      <c r="BR8" s="896"/>
      <c r="BS8" s="896"/>
      <c r="BT8" s="896"/>
      <c r="BU8" s="896"/>
      <c r="BV8" s="896"/>
      <c r="BW8" s="896"/>
      <c r="BX8" s="896"/>
      <c r="BY8" s="896"/>
      <c r="BZ8" s="896"/>
      <c r="CA8" s="896"/>
      <c r="CB8" s="896"/>
      <c r="CC8" s="896"/>
      <c r="CD8" s="896"/>
      <c r="CE8" s="896"/>
      <c r="CF8" s="896"/>
      <c r="CG8" s="896"/>
    </row>
    <row r="9" spans="1:88" ht="6.95" customHeight="1" thickBot="1">
      <c r="A9" s="220"/>
      <c r="B9" s="900"/>
      <c r="C9" s="900"/>
      <c r="D9" s="878"/>
      <c r="E9" s="943"/>
      <c r="F9" s="885"/>
      <c r="G9" s="898"/>
      <c r="H9" s="898"/>
      <c r="I9" s="898"/>
      <c r="J9" s="898"/>
      <c r="K9" s="898"/>
      <c r="L9" s="898"/>
      <c r="M9" s="898"/>
      <c r="N9" s="898"/>
      <c r="O9" s="898"/>
      <c r="P9" s="898"/>
      <c r="Q9" s="898"/>
      <c r="R9" s="898"/>
      <c r="S9" s="898"/>
      <c r="T9" s="898"/>
      <c r="U9" s="898"/>
      <c r="V9" s="898"/>
      <c r="W9" s="898"/>
      <c r="X9" s="898"/>
      <c r="Y9" s="898"/>
      <c r="Z9" s="898"/>
      <c r="AA9" s="956" t="s">
        <v>2124</v>
      </c>
      <c r="AB9" s="956"/>
      <c r="AC9" s="956"/>
      <c r="AD9" s="903" t="s">
        <v>1536</v>
      </c>
      <c r="AE9" s="903"/>
      <c r="AF9" s="903"/>
      <c r="AG9" s="905" t="str">
        <f>Index!C416</f>
        <v>Brutto - časť 1</v>
      </c>
      <c r="AH9" s="905"/>
      <c r="AI9" s="905"/>
      <c r="AJ9" s="905"/>
      <c r="AK9" s="905"/>
      <c r="AL9" s="905"/>
      <c r="AM9" s="905"/>
      <c r="AN9" s="905"/>
      <c r="AO9" s="905"/>
      <c r="AP9" s="905"/>
      <c r="AQ9" s="905"/>
      <c r="AR9" s="905"/>
      <c r="AS9" s="905"/>
      <c r="AT9" s="905"/>
      <c r="AU9" s="905"/>
      <c r="AV9" s="905"/>
      <c r="AW9" s="905"/>
      <c r="AX9" s="905"/>
      <c r="AY9" s="905"/>
      <c r="AZ9" s="905"/>
      <c r="BA9" s="905" t="str">
        <f>Index!C417</f>
        <v>Netto 2</v>
      </c>
      <c r="BB9" s="905"/>
      <c r="BC9" s="905"/>
      <c r="BD9" s="905"/>
      <c r="BE9" s="905"/>
      <c r="BF9" s="905"/>
      <c r="BG9" s="905"/>
      <c r="BH9" s="905"/>
      <c r="BI9" s="905"/>
      <c r="BJ9" s="905"/>
      <c r="BK9" s="905"/>
      <c r="BL9" s="905"/>
      <c r="BM9" s="905"/>
      <c r="BN9" s="905"/>
      <c r="BO9" s="905"/>
      <c r="BP9" s="905"/>
      <c r="BQ9" s="905"/>
      <c r="BR9" s="896"/>
      <c r="BS9" s="896"/>
      <c r="BT9" s="896"/>
      <c r="BU9" s="896"/>
      <c r="BV9" s="896"/>
      <c r="BW9" s="896"/>
      <c r="BX9" s="896"/>
      <c r="BY9" s="896"/>
      <c r="BZ9" s="896"/>
      <c r="CA9" s="896"/>
      <c r="CB9" s="896"/>
      <c r="CC9" s="896"/>
      <c r="CD9" s="896"/>
      <c r="CE9" s="896"/>
      <c r="CF9" s="896"/>
      <c r="CG9" s="896"/>
      <c r="CH9" s="878"/>
    </row>
    <row r="10" spans="1:88" ht="6.95" customHeight="1">
      <c r="A10" s="220"/>
      <c r="B10" s="900"/>
      <c r="C10" s="900"/>
      <c r="D10" s="878"/>
      <c r="E10" s="943"/>
      <c r="F10" s="885"/>
      <c r="G10" s="248"/>
      <c r="H10" s="229"/>
      <c r="I10" s="229"/>
      <c r="J10" s="229"/>
      <c r="K10" s="229"/>
      <c r="L10" s="229"/>
      <c r="M10" s="229"/>
      <c r="N10" s="229"/>
      <c r="O10" s="229"/>
      <c r="P10" s="229"/>
      <c r="Q10" s="229"/>
      <c r="R10" s="229"/>
      <c r="S10" s="229"/>
      <c r="T10" s="229"/>
      <c r="U10" s="229"/>
      <c r="V10" s="229"/>
      <c r="W10" s="229"/>
      <c r="X10" s="229"/>
      <c r="Y10" s="229"/>
      <c r="Z10" s="249"/>
      <c r="AA10" s="954" t="s">
        <v>2125</v>
      </c>
      <c r="AB10" s="954"/>
      <c r="AC10" s="954"/>
      <c r="AD10" s="903"/>
      <c r="AE10" s="903"/>
      <c r="AF10" s="903"/>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896"/>
      <c r="BS10" s="896"/>
      <c r="BT10" s="896"/>
      <c r="BU10" s="896"/>
      <c r="BV10" s="896"/>
      <c r="BW10" s="896"/>
      <c r="BX10" s="896"/>
      <c r="BY10" s="896"/>
      <c r="BZ10" s="896"/>
      <c r="CA10" s="896"/>
      <c r="CB10" s="896"/>
      <c r="CC10" s="896"/>
      <c r="CD10" s="896"/>
      <c r="CE10" s="896"/>
      <c r="CF10" s="896"/>
      <c r="CG10" s="896"/>
      <c r="CH10" s="878"/>
    </row>
    <row r="11" spans="1:88" s="250" customFormat="1" ht="13.5" customHeight="1">
      <c r="A11" s="220"/>
      <c r="B11" s="900"/>
      <c r="C11" s="900"/>
      <c r="D11" s="878"/>
      <c r="E11" s="908" t="s">
        <v>491</v>
      </c>
      <c r="F11" s="908"/>
      <c r="G11" s="909" t="s">
        <v>492</v>
      </c>
      <c r="H11" s="909"/>
      <c r="I11" s="909"/>
      <c r="J11" s="909"/>
      <c r="K11" s="909"/>
      <c r="L11" s="909"/>
      <c r="M11" s="909"/>
      <c r="N11" s="909"/>
      <c r="O11" s="909"/>
      <c r="P11" s="909"/>
      <c r="Q11" s="909"/>
      <c r="R11" s="909"/>
      <c r="S11" s="909"/>
      <c r="T11" s="909"/>
      <c r="U11" s="909"/>
      <c r="V11" s="909"/>
      <c r="W11" s="909"/>
      <c r="X11" s="909"/>
      <c r="Y11" s="909"/>
      <c r="Z11" s="909"/>
      <c r="AA11" s="845" t="s">
        <v>493</v>
      </c>
      <c r="AB11" s="845"/>
      <c r="AC11" s="845"/>
      <c r="AD11" s="903"/>
      <c r="AE11" s="903"/>
      <c r="AF11" s="903"/>
      <c r="AG11" s="905" t="str">
        <f>Index!C418</f>
        <v>Korekcia - časť 2</v>
      </c>
      <c r="AH11" s="905"/>
      <c r="AI11" s="905"/>
      <c r="AJ11" s="905"/>
      <c r="AK11" s="905"/>
      <c r="AL11" s="905"/>
      <c r="AM11" s="905"/>
      <c r="AN11" s="905"/>
      <c r="AO11" s="905"/>
      <c r="AP11" s="905"/>
      <c r="AQ11" s="905"/>
      <c r="AR11" s="905"/>
      <c r="AS11" s="905"/>
      <c r="AT11" s="905"/>
      <c r="AU11" s="905"/>
      <c r="AV11" s="905"/>
      <c r="AW11" s="905"/>
      <c r="AX11" s="905"/>
      <c r="AY11" s="905"/>
      <c r="AZ11" s="905"/>
      <c r="BA11" s="902"/>
      <c r="BB11" s="902"/>
      <c r="BC11" s="902"/>
      <c r="BD11" s="902"/>
      <c r="BE11" s="902"/>
      <c r="BF11" s="902"/>
      <c r="BG11" s="902"/>
      <c r="BH11" s="902"/>
      <c r="BI11" s="902"/>
      <c r="BJ11" s="902"/>
      <c r="BK11" s="902"/>
      <c r="BL11" s="902"/>
      <c r="BM11" s="902"/>
      <c r="BN11" s="902"/>
      <c r="BO11" s="902"/>
      <c r="BP11" s="902"/>
      <c r="BQ11" s="902"/>
      <c r="BR11" s="910" t="str">
        <f>Index!C419</f>
        <v>Netto   3</v>
      </c>
      <c r="BS11" s="910"/>
      <c r="BT11" s="910"/>
      <c r="BU11" s="910"/>
      <c r="BV11" s="910"/>
      <c r="BW11" s="910"/>
      <c r="BX11" s="910"/>
      <c r="BY11" s="910"/>
      <c r="BZ11" s="910"/>
      <c r="CA11" s="910"/>
      <c r="CB11" s="910"/>
      <c r="CC11" s="910"/>
      <c r="CD11" s="910"/>
      <c r="CE11" s="910"/>
      <c r="CF11" s="910"/>
      <c r="CG11" s="910"/>
      <c r="CH11" s="878"/>
    </row>
    <row r="12" spans="1:88" s="250" customFormat="1" ht="3" customHeight="1">
      <c r="A12" s="220"/>
      <c r="B12" s="900"/>
      <c r="C12" s="900"/>
      <c r="D12" s="878"/>
      <c r="E12" s="877" t="s">
        <v>1559</v>
      </c>
      <c r="F12" s="877"/>
      <c r="G12" s="862"/>
      <c r="H12" s="948" t="str">
        <f>Index!C80</f>
        <v>Pôžičky a ostatný dlhodobý finančný majetok so zostatkovou dobou splatnosti najviac jeden rok (066A, 067A, 069A, 06XA) - 096A</v>
      </c>
      <c r="I12" s="948"/>
      <c r="J12" s="948"/>
      <c r="K12" s="948"/>
      <c r="L12" s="948"/>
      <c r="M12" s="948"/>
      <c r="N12" s="948"/>
      <c r="O12" s="948"/>
      <c r="P12" s="948"/>
      <c r="Q12" s="948"/>
      <c r="R12" s="948"/>
      <c r="S12" s="948"/>
      <c r="T12" s="948"/>
      <c r="U12" s="948"/>
      <c r="V12" s="948"/>
      <c r="W12" s="948"/>
      <c r="X12" s="948"/>
      <c r="Y12" s="948"/>
      <c r="Z12" s="949"/>
      <c r="AA12" s="866" t="s">
        <v>1575</v>
      </c>
      <c r="AB12" s="866"/>
      <c r="AC12" s="866"/>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4"/>
      <c r="BB12" s="844"/>
      <c r="BC12" s="844"/>
      <c r="BD12" s="844"/>
      <c r="BE12" s="844"/>
      <c r="BF12" s="844"/>
      <c r="BG12" s="844"/>
      <c r="BH12" s="844"/>
      <c r="BI12" s="844"/>
      <c r="BJ12" s="844"/>
      <c r="BK12" s="844"/>
      <c r="BL12" s="844"/>
      <c r="BM12" s="844"/>
      <c r="BN12" s="844"/>
      <c r="BO12" s="844"/>
      <c r="BP12" s="844"/>
      <c r="BQ12" s="844"/>
      <c r="BR12" s="251"/>
      <c r="BS12" s="251"/>
      <c r="BT12" s="251"/>
      <c r="BU12" s="251"/>
      <c r="BV12" s="251"/>
      <c r="BW12" s="252"/>
      <c r="BX12" s="251"/>
      <c r="BY12" s="251"/>
      <c r="BZ12" s="251"/>
      <c r="CA12" s="251"/>
      <c r="CB12" s="251"/>
      <c r="CC12" s="251"/>
      <c r="CD12" s="251"/>
      <c r="CE12" s="251"/>
      <c r="CF12" s="251"/>
      <c r="CG12" s="284"/>
      <c r="CH12" s="878"/>
    </row>
    <row r="13" spans="1:88" s="250" customFormat="1" ht="3" customHeight="1">
      <c r="A13" s="220"/>
      <c r="B13" s="900"/>
      <c r="C13" s="900"/>
      <c r="D13" s="878"/>
      <c r="E13" s="877"/>
      <c r="F13" s="877"/>
      <c r="G13" s="862"/>
      <c r="H13" s="950"/>
      <c r="I13" s="950"/>
      <c r="J13" s="950"/>
      <c r="K13" s="950"/>
      <c r="L13" s="950"/>
      <c r="M13" s="950"/>
      <c r="N13" s="950"/>
      <c r="O13" s="950"/>
      <c r="P13" s="950"/>
      <c r="Q13" s="950"/>
      <c r="R13" s="950"/>
      <c r="S13" s="950"/>
      <c r="T13" s="950"/>
      <c r="U13" s="950"/>
      <c r="V13" s="950"/>
      <c r="W13" s="950"/>
      <c r="X13" s="950"/>
      <c r="Y13" s="950"/>
      <c r="Z13" s="951"/>
      <c r="AA13" s="866"/>
      <c r="AB13" s="866"/>
      <c r="AC13" s="866"/>
      <c r="AD13" s="826"/>
      <c r="AE13" s="820"/>
      <c r="AF13" s="820"/>
      <c r="AG13" s="820"/>
      <c r="AH13" s="435"/>
      <c r="AI13" s="821"/>
      <c r="AJ13" s="821"/>
      <c r="AK13" s="821"/>
      <c r="AL13" s="821"/>
      <c r="AM13" s="821"/>
      <c r="AN13" s="818"/>
      <c r="AO13" s="822"/>
      <c r="AP13" s="822"/>
      <c r="AQ13" s="822"/>
      <c r="AR13" s="822"/>
      <c r="AS13" s="822"/>
      <c r="AT13" s="818"/>
      <c r="AU13" s="822"/>
      <c r="AV13" s="822"/>
      <c r="AW13" s="822"/>
      <c r="AX13" s="822"/>
      <c r="AY13" s="822"/>
      <c r="AZ13" s="827"/>
      <c r="BA13" s="826"/>
      <c r="BB13" s="820"/>
      <c r="BC13" s="820"/>
      <c r="BD13" s="820"/>
      <c r="BE13" s="435"/>
      <c r="BF13" s="821"/>
      <c r="BG13" s="821"/>
      <c r="BH13" s="821"/>
      <c r="BI13" s="821"/>
      <c r="BJ13" s="821"/>
      <c r="BK13" s="818"/>
      <c r="BL13" s="822"/>
      <c r="BM13" s="822"/>
      <c r="BN13" s="822"/>
      <c r="BO13" s="822"/>
      <c r="BP13" s="822"/>
      <c r="BQ13" s="819"/>
      <c r="BR13" s="822"/>
      <c r="BS13" s="822"/>
      <c r="BT13" s="822"/>
      <c r="BU13" s="822"/>
      <c r="BV13" s="822"/>
      <c r="BW13" s="441"/>
      <c r="BX13" s="442"/>
      <c r="BY13" s="442"/>
      <c r="BZ13" s="442"/>
      <c r="CA13" s="442"/>
      <c r="CB13" s="442"/>
      <c r="CC13" s="442"/>
      <c r="CD13" s="442"/>
      <c r="CE13" s="442"/>
      <c r="CF13" s="442"/>
      <c r="CG13" s="285"/>
      <c r="CH13" s="878"/>
    </row>
    <row r="14" spans="1:88" ht="15" customHeight="1">
      <c r="A14" s="220"/>
      <c r="B14" s="900"/>
      <c r="C14" s="900"/>
      <c r="D14" s="878"/>
      <c r="E14" s="877"/>
      <c r="F14" s="877"/>
      <c r="G14" s="862"/>
      <c r="H14" s="950"/>
      <c r="I14" s="950"/>
      <c r="J14" s="950"/>
      <c r="K14" s="950"/>
      <c r="L14" s="950"/>
      <c r="M14" s="950"/>
      <c r="N14" s="950"/>
      <c r="O14" s="950"/>
      <c r="P14" s="950"/>
      <c r="Q14" s="950"/>
      <c r="R14" s="950"/>
      <c r="S14" s="950"/>
      <c r="T14" s="950"/>
      <c r="U14" s="950"/>
      <c r="V14" s="950"/>
      <c r="W14" s="950"/>
      <c r="X14" s="950"/>
      <c r="Y14" s="950"/>
      <c r="Z14" s="951"/>
      <c r="AA14" s="866"/>
      <c r="AB14" s="866"/>
      <c r="AC14" s="866"/>
      <c r="AD14" s="826"/>
      <c r="AE14" s="432" t="str">
        <f>IF(LEN(VLOOKUP(AA12,suvaha!$D$8:$H$158,2,FALSE))&lt;11,"",LEFT(RIGHT(VLOOKUP(AA12,suvaha!$D$8:$H$158,2,FALSE),11),1))</f>
        <v/>
      </c>
      <c r="AF14" s="255"/>
      <c r="AG14" s="432" t="str">
        <f>IF(LEN(VLOOKUP(AA12,suvaha!$D$8:$H$158,2,FALSE))&lt;10,"",LEFT(RIGHT(VLOOKUP(AA12,suvaha!$D$8:$H$158,2,FALSE),10),1))</f>
        <v/>
      </c>
      <c r="AH14" s="434"/>
      <c r="AI14" s="432" t="str">
        <f>IF(LEN(VLOOKUP(AA12,suvaha!$D$8:$H$158,2,FALSE))&lt;9,"",LEFT(RIGHT(VLOOKUP(AA12,suvaha!$D$8:$H$158,2,FALSE),9),1))</f>
        <v/>
      </c>
      <c r="AJ14" s="255"/>
      <c r="AK14" s="432" t="str">
        <f>IF(LEN(VLOOKUP(AA12,suvaha!$D$8:$H$158,2,FALSE))&lt;8,"",LEFT(RIGHT(VLOOKUP(AA12,suvaha!$D$8:$H$158,2,FALSE),8),1))</f>
        <v/>
      </c>
      <c r="AL14" s="434"/>
      <c r="AM14" s="432" t="str">
        <f>IF(LEN(VLOOKUP(AA12,suvaha!$D$8:$H$158,2,FALSE))&lt;7,"",LEFT(RIGHT(VLOOKUP(AA12,suvaha!$D$8:$H$158,2,FALSE),7),1))</f>
        <v/>
      </c>
      <c r="AN14" s="818"/>
      <c r="AO14" s="432" t="str">
        <f>IF(LEN(VLOOKUP(AA12,suvaha!$D$8:$H$158,2,FALSE))&lt;6,"",LEFT(RIGHT(VLOOKUP(AA12,suvaha!$D$8:$H$158,2,FALSE),6),1))</f>
        <v/>
      </c>
      <c r="AP14" s="434"/>
      <c r="AQ14" s="432" t="str">
        <f>IF(LEN(VLOOKUP(AA12,suvaha!$D$8:$H$158,2,FALSE))&lt;5,"",LEFT(RIGHT(VLOOKUP(AA12,suvaha!$D$8:$H$158,2,FALSE),5),1))</f>
        <v/>
      </c>
      <c r="AR14" s="434"/>
      <c r="AS14" s="432" t="str">
        <f>IF(LEN(VLOOKUP(AA12,suvaha!$D$8:$H$158,2,FALSE))&lt;4,"",LEFT(RIGHT(VLOOKUP(AA12,suvaha!$D$8:$H$158,2,FALSE),4),1))</f>
        <v/>
      </c>
      <c r="AT14" s="818"/>
      <c r="AU14" s="432" t="str">
        <f>IF(LEN(VLOOKUP(AA12,suvaha!$D$8:$H$158,2,FALSE))&lt;3,"",LEFT(RIGHT(VLOOKUP(AA12,suvaha!$D$8:$H$158,2,FALSE),3),1))</f>
        <v/>
      </c>
      <c r="AV14" s="434"/>
      <c r="AW14" s="432" t="str">
        <f>IF(LEN(VLOOKUP(AA12,suvaha!$D$8:$H$158,2,FALSE))&lt;2,"",LEFT(RIGHT(VLOOKUP(AA12,suvaha!$D$8:$H$158,2,FALSE),2),1))</f>
        <v/>
      </c>
      <c r="AX14" s="434"/>
      <c r="AY14" s="432" t="str">
        <f>IF(VLOOKUP(AA12,suvaha!$D$8:$H$85,2,FALSE)=0,"",IF(LEN(VLOOKUP(AA12,suvaha!$D$8:$H$158,2,FALSE))&lt;1,"",LEFT(RIGHT(VLOOKUP(AA12,suvaha!$D$8:$H$158,2,FALSE),1),1)))</f>
        <v/>
      </c>
      <c r="AZ14" s="827"/>
      <c r="BA14" s="826"/>
      <c r="BB14" s="432" t="str">
        <f>IF(LEN(VLOOKUP(AA12,suvaha!$D$8:$H$158,4,FALSE))&lt;11,"",LEFT(RIGHT(VLOOKUP(AA12,suvaha!$D$8:$H$158,4,FALSE),11),1))</f>
        <v/>
      </c>
      <c r="BC14" s="255"/>
      <c r="BD14" s="432" t="str">
        <f>IF(LEN(VLOOKUP(AA12,suvaha!$D$8:$H$158,4,FALSE))&lt;10,"",LEFT(RIGHT(VLOOKUP(AA12,suvaha!$D$8:$H$158,4,FALSE),10),1))</f>
        <v/>
      </c>
      <c r="BE14" s="434"/>
      <c r="BF14" s="432" t="str">
        <f>IF(LEN(VLOOKUP(AA12,suvaha!$D$8:$H$158,4,FALSE))&lt;9,"",LEFT(RIGHT(VLOOKUP(AA12,suvaha!$D$8:$H$158,4,FALSE),9),1))</f>
        <v/>
      </c>
      <c r="BG14" s="255"/>
      <c r="BH14" s="432" t="str">
        <f>IF(LEN(VLOOKUP(AA12,suvaha!$D$8:$H$158,4,FALSE))&lt;8,"",LEFT(RIGHT(VLOOKUP(AA12,suvaha!$D$8:$H$158,4,FALSE),8),1))</f>
        <v/>
      </c>
      <c r="BI14" s="434"/>
      <c r="BJ14" s="432" t="str">
        <f>IF(LEN(VLOOKUP(AA12,suvaha!$D$8:$H$158,4,FALSE))&lt;7,"",LEFT(RIGHT(VLOOKUP(AA12,suvaha!$D$8:$H$158,4,FALSE),7),1))</f>
        <v/>
      </c>
      <c r="BK14" s="818"/>
      <c r="BL14" s="432" t="str">
        <f>IF(LEN(VLOOKUP(AA12,suvaha!$D$8:$H$158,4,FALSE))&lt;6,"",LEFT(RIGHT(VLOOKUP(AA12,suvaha!$D$8:$H$158,4,FALSE),6),1))</f>
        <v/>
      </c>
      <c r="BM14" s="434"/>
      <c r="BN14" s="432" t="str">
        <f>IF(LEN(VLOOKUP(AA12,suvaha!$D$8:$H$158,4,FALSE))&lt;5,"",LEFT(RIGHT(VLOOKUP(AA12,suvaha!$D$8:$H$158,4,FALSE),5),1))</f>
        <v/>
      </c>
      <c r="BO14" s="434"/>
      <c r="BP14" s="432" t="str">
        <f>IF(LEN(VLOOKUP(AA12,suvaha!$D$8:$H$158,4,FALSE))&lt;4,"",LEFT(RIGHT(VLOOKUP(AA12,suvaha!$D$8:$H$158,4,FALSE),4),1))</f>
        <v/>
      </c>
      <c r="BQ14" s="819"/>
      <c r="BR14" s="432" t="str">
        <f>IF(LEN(VLOOKUP(AA12,suvaha!$D$8:$H$158,4,FALSE))&lt;3,"",LEFT(RIGHT(VLOOKUP(AA12,suvaha!$D$8:$H$158,4,FALSE),3),1))</f>
        <v/>
      </c>
      <c r="BS14" s="434"/>
      <c r="BT14" s="432" t="str">
        <f>IF(LEN(VLOOKUP(AA12,suvaha!$D$8:$H$158,4,FALSE))&lt;2,"",LEFT(RIGHT(VLOOKUP(AA12,suvaha!$D$8:$H$158,4,FALSE),2),1))</f>
        <v/>
      </c>
      <c r="BU14" s="434"/>
      <c r="BV14" s="432" t="str">
        <f>IF(VLOOKUP(AA12,suvaha!$D$8:$H$85,4,FALSE)=0,"",IF(LEN(VLOOKUP(AA12,suvaha!$D$8:$H$158,4,FALSE))&lt;1,"",LEFT(RIGHT(VLOOKUP(AA12,suvaha!$D$8:$H$158,4,FALSE),1),1)))</f>
        <v/>
      </c>
      <c r="BW14" s="441"/>
      <c r="BX14" s="442"/>
      <c r="BY14" s="442"/>
      <c r="BZ14" s="442"/>
      <c r="CA14" s="442"/>
      <c r="CB14" s="442"/>
      <c r="CC14" s="442"/>
      <c r="CD14" s="442"/>
      <c r="CE14" s="442"/>
      <c r="CF14" s="442"/>
      <c r="CG14" s="285"/>
      <c r="CH14" s="878"/>
    </row>
    <row r="15" spans="1:88" ht="3" customHeight="1">
      <c r="A15" s="220"/>
      <c r="B15" s="900"/>
      <c r="C15" s="900"/>
      <c r="D15" s="878"/>
      <c r="E15" s="877"/>
      <c r="F15" s="877"/>
      <c r="G15" s="862"/>
      <c r="H15" s="950"/>
      <c r="I15" s="950"/>
      <c r="J15" s="950"/>
      <c r="K15" s="950"/>
      <c r="L15" s="950"/>
      <c r="M15" s="950"/>
      <c r="N15" s="950"/>
      <c r="O15" s="950"/>
      <c r="P15" s="950"/>
      <c r="Q15" s="950"/>
      <c r="R15" s="950"/>
      <c r="S15" s="950"/>
      <c r="T15" s="950"/>
      <c r="U15" s="950"/>
      <c r="V15" s="950"/>
      <c r="W15" s="950"/>
      <c r="X15" s="950"/>
      <c r="Y15" s="950"/>
      <c r="Z15" s="951"/>
      <c r="AA15" s="866"/>
      <c r="AB15" s="866"/>
      <c r="AC15" s="866"/>
      <c r="AD15" s="845"/>
      <c r="AE15" s="845"/>
      <c r="AF15" s="845"/>
      <c r="AG15" s="845"/>
      <c r="AH15" s="845"/>
      <c r="AI15" s="845"/>
      <c r="AJ15" s="845"/>
      <c r="AK15" s="845"/>
      <c r="AL15" s="845"/>
      <c r="AM15" s="845"/>
      <c r="AN15" s="845"/>
      <c r="AO15" s="845"/>
      <c r="AP15" s="845"/>
      <c r="AQ15" s="845"/>
      <c r="AR15" s="845"/>
      <c r="AS15" s="845"/>
      <c r="AT15" s="845"/>
      <c r="AU15" s="845"/>
      <c r="AV15" s="845"/>
      <c r="AW15" s="845"/>
      <c r="AX15" s="845"/>
      <c r="AY15" s="845"/>
      <c r="AZ15" s="845"/>
      <c r="BA15" s="846"/>
      <c r="BB15" s="846"/>
      <c r="BC15" s="846"/>
      <c r="BD15" s="846"/>
      <c r="BE15" s="846"/>
      <c r="BF15" s="846"/>
      <c r="BG15" s="846"/>
      <c r="BH15" s="846"/>
      <c r="BI15" s="846"/>
      <c r="BJ15" s="846"/>
      <c r="BK15" s="846"/>
      <c r="BL15" s="846"/>
      <c r="BM15" s="846"/>
      <c r="BN15" s="846"/>
      <c r="BO15" s="846"/>
      <c r="BP15" s="846"/>
      <c r="BQ15" s="846"/>
      <c r="BR15" s="310"/>
      <c r="BS15" s="310"/>
      <c r="BT15" s="310"/>
      <c r="BU15" s="310"/>
      <c r="BV15" s="310"/>
      <c r="BW15" s="443"/>
      <c r="BX15" s="310"/>
      <c r="BY15" s="310"/>
      <c r="BZ15" s="310"/>
      <c r="CA15" s="310"/>
      <c r="CB15" s="310"/>
      <c r="CC15" s="310"/>
      <c r="CD15" s="310"/>
      <c r="CE15" s="310"/>
      <c r="CF15" s="310"/>
      <c r="CG15" s="286"/>
      <c r="CH15" s="878"/>
    </row>
    <row r="16" spans="1:88" ht="3" customHeight="1">
      <c r="A16" s="220"/>
      <c r="B16" s="900"/>
      <c r="C16" s="900"/>
      <c r="D16" s="878"/>
      <c r="E16" s="877"/>
      <c r="F16" s="877"/>
      <c r="G16" s="862"/>
      <c r="H16" s="950"/>
      <c r="I16" s="950"/>
      <c r="J16" s="950"/>
      <c r="K16" s="950"/>
      <c r="L16" s="950"/>
      <c r="M16" s="950"/>
      <c r="N16" s="950"/>
      <c r="O16" s="950"/>
      <c r="P16" s="950"/>
      <c r="Q16" s="950"/>
      <c r="R16" s="950"/>
      <c r="S16" s="950"/>
      <c r="T16" s="950"/>
      <c r="U16" s="950"/>
      <c r="V16" s="950"/>
      <c r="W16" s="950"/>
      <c r="X16" s="950"/>
      <c r="Y16" s="950"/>
      <c r="Z16" s="951"/>
      <c r="AA16" s="866"/>
      <c r="AB16" s="866"/>
      <c r="AC16" s="866"/>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447"/>
      <c r="BB16" s="304"/>
      <c r="BC16" s="304"/>
      <c r="BD16" s="304"/>
      <c r="BE16" s="304"/>
      <c r="BF16" s="304"/>
      <c r="BG16" s="304"/>
      <c r="BH16" s="304"/>
      <c r="BI16" s="304"/>
      <c r="BJ16" s="446"/>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284"/>
      <c r="CH16" s="878"/>
    </row>
    <row r="17" spans="1:86" ht="3" customHeight="1">
      <c r="A17" s="220"/>
      <c r="B17" s="900"/>
      <c r="C17" s="900"/>
      <c r="D17" s="878"/>
      <c r="E17" s="877"/>
      <c r="F17" s="877"/>
      <c r="G17" s="862"/>
      <c r="H17" s="950"/>
      <c r="I17" s="950"/>
      <c r="J17" s="950"/>
      <c r="K17" s="950"/>
      <c r="L17" s="950"/>
      <c r="M17" s="950"/>
      <c r="N17" s="950"/>
      <c r="O17" s="950"/>
      <c r="P17" s="950"/>
      <c r="Q17" s="950"/>
      <c r="R17" s="950"/>
      <c r="S17" s="950"/>
      <c r="T17" s="950"/>
      <c r="U17" s="950"/>
      <c r="V17" s="950"/>
      <c r="W17" s="950"/>
      <c r="X17" s="950"/>
      <c r="Y17" s="950"/>
      <c r="Z17" s="951"/>
      <c r="AA17" s="866"/>
      <c r="AB17" s="866"/>
      <c r="AC17" s="866"/>
      <c r="AD17" s="826"/>
      <c r="AE17" s="820"/>
      <c r="AF17" s="820"/>
      <c r="AG17" s="820"/>
      <c r="AH17" s="435"/>
      <c r="AI17" s="821"/>
      <c r="AJ17" s="821"/>
      <c r="AK17" s="821"/>
      <c r="AL17" s="821"/>
      <c r="AM17" s="821"/>
      <c r="AN17" s="818"/>
      <c r="AO17" s="822"/>
      <c r="AP17" s="822"/>
      <c r="AQ17" s="822"/>
      <c r="AR17" s="822"/>
      <c r="AS17" s="822"/>
      <c r="AT17" s="818"/>
      <c r="AU17" s="822"/>
      <c r="AV17" s="822"/>
      <c r="AW17" s="822"/>
      <c r="AX17" s="822"/>
      <c r="AY17" s="822"/>
      <c r="AZ17" s="827"/>
      <c r="BA17" s="448"/>
      <c r="BB17" s="442"/>
      <c r="BC17" s="442"/>
      <c r="BD17" s="442"/>
      <c r="BE17" s="442"/>
      <c r="BF17" s="442"/>
      <c r="BG17" s="442"/>
      <c r="BH17" s="442"/>
      <c r="BI17" s="442"/>
      <c r="BJ17" s="441"/>
      <c r="BK17" s="442"/>
      <c r="BL17" s="820"/>
      <c r="BM17" s="820"/>
      <c r="BN17" s="820"/>
      <c r="BO17" s="435"/>
      <c r="BP17" s="821"/>
      <c r="BQ17" s="821"/>
      <c r="BR17" s="821"/>
      <c r="BS17" s="821"/>
      <c r="BT17" s="821"/>
      <c r="BU17" s="818"/>
      <c r="BV17" s="822"/>
      <c r="BW17" s="822"/>
      <c r="BX17" s="822"/>
      <c r="BY17" s="822"/>
      <c r="BZ17" s="822"/>
      <c r="CA17" s="818"/>
      <c r="CB17" s="822"/>
      <c r="CC17" s="822"/>
      <c r="CD17" s="822"/>
      <c r="CE17" s="822"/>
      <c r="CF17" s="822"/>
      <c r="CG17" s="287"/>
      <c r="CH17" s="878"/>
    </row>
    <row r="18" spans="1:86" ht="16.5" customHeight="1">
      <c r="A18" s="220"/>
      <c r="B18" s="900"/>
      <c r="C18" s="900"/>
      <c r="D18" s="878"/>
      <c r="E18" s="877"/>
      <c r="F18" s="877"/>
      <c r="G18" s="862"/>
      <c r="H18" s="950"/>
      <c r="I18" s="950"/>
      <c r="J18" s="950"/>
      <c r="K18" s="950"/>
      <c r="L18" s="950"/>
      <c r="M18" s="950"/>
      <c r="N18" s="950"/>
      <c r="O18" s="950"/>
      <c r="P18" s="950"/>
      <c r="Q18" s="950"/>
      <c r="R18" s="950"/>
      <c r="S18" s="950"/>
      <c r="T18" s="950"/>
      <c r="U18" s="950"/>
      <c r="V18" s="950"/>
      <c r="W18" s="950"/>
      <c r="X18" s="950"/>
      <c r="Y18" s="950"/>
      <c r="Z18" s="951"/>
      <c r="AA18" s="866"/>
      <c r="AB18" s="866"/>
      <c r="AC18" s="866"/>
      <c r="AD18" s="826"/>
      <c r="AE18" s="432" t="str">
        <f>IF(LEN(VLOOKUP(AA12,suvaha!$D$8:$H$158,3,FALSE))&lt;11,"",LEFT(RIGHT(VLOOKUP(AA12,suvaha!$D$8:$H$158,3,FALSE),11),1))</f>
        <v/>
      </c>
      <c r="AF18" s="255"/>
      <c r="AG18" s="432" t="str">
        <f>IF(LEN(VLOOKUP(AA12,suvaha!$D$8:$H$158,3,FALSE))&lt;10,"",LEFT(RIGHT(VLOOKUP(AA12,suvaha!$D$8:$H$158,3,FALSE),10),1))</f>
        <v/>
      </c>
      <c r="AH18" s="434"/>
      <c r="AI18" s="432" t="str">
        <f>IF(LEN(VLOOKUP(AA12,suvaha!$D$8:$H$158,3,FALSE))&lt;9,"",LEFT(RIGHT(VLOOKUP(AA12,suvaha!$D$8:$H$158,3,FALSE),9),1))</f>
        <v/>
      </c>
      <c r="AJ18" s="255"/>
      <c r="AK18" s="432" t="str">
        <f>IF(LEN(VLOOKUP(AA12,suvaha!$D$8:$H$158,3,FALSE))&lt;8,"",LEFT(RIGHT(VLOOKUP(AA12,suvaha!$D$8:$H$158,3,FALSE),8),1))</f>
        <v/>
      </c>
      <c r="AL18" s="434"/>
      <c r="AM18" s="432" t="str">
        <f>IF(LEN(VLOOKUP(AA12,suvaha!$D$8:$H$158,3,FALSE))&lt;7,"",LEFT(RIGHT(VLOOKUP(AA12,suvaha!$D$8:$H$158,3,FALSE),7),1))</f>
        <v/>
      </c>
      <c r="AN18" s="818"/>
      <c r="AO18" s="432" t="str">
        <f>IF(LEN(VLOOKUP(AA12,suvaha!$D$8:$H$158,3,FALSE))&lt;6,"",LEFT(RIGHT(VLOOKUP(AA12,suvaha!$D$8:$H$158,3,FALSE),6),1))</f>
        <v/>
      </c>
      <c r="AP18" s="434"/>
      <c r="AQ18" s="432" t="str">
        <f>IF(LEN(VLOOKUP(AA12,suvaha!$D$8:$H$158,3,FALSE))&lt;5,"",LEFT(RIGHT(VLOOKUP(AA12,suvaha!$D$8:$H$158,3,FALSE),5),1))</f>
        <v/>
      </c>
      <c r="AR18" s="434"/>
      <c r="AS18" s="432" t="str">
        <f>IF(LEN(VLOOKUP(AA12,suvaha!$D$8:$H$158,3,FALSE))&lt;4,"",LEFT(RIGHT(VLOOKUP(AA12,suvaha!$D$8:$H$158,3,FALSE),4),1))</f>
        <v/>
      </c>
      <c r="AT18" s="818"/>
      <c r="AU18" s="432" t="str">
        <f>IF(LEN(VLOOKUP(AA12,suvaha!$D$8:$H$158,3,FALSE))&lt;3,"",LEFT(RIGHT(VLOOKUP(AA12,suvaha!$D$8:$H$158,3,FALSE),3),1))</f>
        <v/>
      </c>
      <c r="AV18" s="434"/>
      <c r="AW18" s="432" t="str">
        <f>IF(LEN(VLOOKUP(AA12,suvaha!$D$8:$H$158,3,FALSE))&lt;2,"",LEFT(RIGHT(VLOOKUP(AA12,suvaha!$D$8:$H$158,3,FALSE),2),1))</f>
        <v/>
      </c>
      <c r="AX18" s="434"/>
      <c r="AY18" s="432" t="str">
        <f>IF(VLOOKUP(AA12,suvaha!$D$8:$H$85,3,FALSE)=0,"",IF(LEN(VLOOKUP(AA12,suvaha!$D$8:$H$158,3,FALSE))&lt;1,"",LEFT(RIGHT(VLOOKUP(AA12,suvaha!$D$8:$H$158,3,FALSE),1),1)))</f>
        <v/>
      </c>
      <c r="AZ18" s="827"/>
      <c r="BA18" s="448"/>
      <c r="BB18" s="442"/>
      <c r="BC18" s="442"/>
      <c r="BD18" s="442"/>
      <c r="BE18" s="442"/>
      <c r="BF18" s="442"/>
      <c r="BG18" s="442"/>
      <c r="BH18" s="442"/>
      <c r="BI18" s="442"/>
      <c r="BJ18" s="441"/>
      <c r="BK18" s="442"/>
      <c r="BL18" s="432" t="str">
        <f>IF(LEN(VLOOKUP(AA12,suvaha!$D$8:$H$158,5,FALSE))&lt;11,"",LEFT(RIGHT(VLOOKUP(AA12,suvaha!$D$8:$H$158,5,FALSE),11),1))</f>
        <v/>
      </c>
      <c r="BM18" s="255"/>
      <c r="BN18" s="432" t="str">
        <f>IF(LEN(VLOOKUP(AA12,suvaha!$D$8:$H$158,5,FALSE))&lt;10,"",LEFT(RIGHT(VLOOKUP(AA12,suvaha!$D$8:$H$158,5,FALSE),10),1))</f>
        <v/>
      </c>
      <c r="BO18" s="434"/>
      <c r="BP18" s="432" t="str">
        <f>IF(LEN(VLOOKUP(AA12,suvaha!$D$8:$H$158,5,FALSE))&lt;9,"",LEFT(RIGHT(VLOOKUP(AA12,suvaha!$D$8:$H$158,5,FALSE),9),1))</f>
        <v/>
      </c>
      <c r="BQ18" s="255"/>
      <c r="BR18" s="432" t="str">
        <f>IF(LEN(VLOOKUP(AA12,suvaha!$D$8:$H$158,5,FALSE))&lt;8,"",LEFT(RIGHT(VLOOKUP(AA12,suvaha!$D$8:$H$158,5,FALSE),8),1))</f>
        <v/>
      </c>
      <c r="BS18" s="434"/>
      <c r="BT18" s="432" t="str">
        <f>IF(LEN(VLOOKUP(AA12,suvaha!$D$8:$H$158,5,FALSE))&lt;7,"",LEFT(RIGHT(VLOOKUP(AA12,suvaha!$D$8:$H$158,5,FALSE),7),1))</f>
        <v/>
      </c>
      <c r="BU18" s="818"/>
      <c r="BV18" s="432" t="str">
        <f>IF(LEN(VLOOKUP(AA12,suvaha!$D$8:$H$158,5,FALSE))&lt;6,"",LEFT(RIGHT(VLOOKUP(AA12,suvaha!$D$8:$H$158,5,FALSE),6),1))</f>
        <v/>
      </c>
      <c r="BW18" s="434"/>
      <c r="BX18" s="432" t="str">
        <f>IF(LEN(VLOOKUP(AA12,suvaha!$D$8:$H$158,5,FALSE))&lt;5,"",LEFT(RIGHT(VLOOKUP(AA12,suvaha!$D$8:$H$158,5,FALSE),5),1))</f>
        <v/>
      </c>
      <c r="BY18" s="434"/>
      <c r="BZ18" s="432" t="str">
        <f>IF(LEN(VLOOKUP(AA12,suvaha!$D$8:$H$158,5,FALSE))&lt;4,"",LEFT(RIGHT(VLOOKUP(AA12,suvaha!$D$8:$H$158,5,FALSE),4),1))</f>
        <v/>
      </c>
      <c r="CA18" s="818"/>
      <c r="CB18" s="432" t="str">
        <f>IF(LEN(VLOOKUP(AA12,suvaha!$D$8:$H$158,5,FALSE))&lt;3,"",LEFT(RIGHT(VLOOKUP(AA12,suvaha!$D$8:$H$158,5,FALSE),3),1))</f>
        <v/>
      </c>
      <c r="CC18" s="434"/>
      <c r="CD18" s="432" t="str">
        <f>IF(LEN(VLOOKUP(AA12,suvaha!$D$8:$H$158,5,FALSE))&lt;2,"",LEFT(RIGHT(VLOOKUP(AA12,suvaha!$D$8:$H$158,5,FALSE),2),1))</f>
        <v/>
      </c>
      <c r="CE18" s="434"/>
      <c r="CF18" s="432" t="str">
        <f>IF(VLOOKUP(AA12,suvaha!$D$8:$H$85,5,FALSE)=0,"",IF(LEN(VLOOKUP(AA12,suvaha!$D$8:$H$158,5,FALSE))&lt;1,"",LEFT(RIGHT(VLOOKUP(AA12,suvaha!$D$8:$H$158,5,FALSE),1),1)))</f>
        <v/>
      </c>
      <c r="CG18" s="287"/>
      <c r="CH18" s="878"/>
    </row>
    <row r="19" spans="1:86" ht="3" customHeight="1">
      <c r="A19" s="220"/>
      <c r="B19" s="900"/>
      <c r="C19" s="900"/>
      <c r="D19" s="878"/>
      <c r="E19" s="877"/>
      <c r="F19" s="877"/>
      <c r="G19" s="862"/>
      <c r="H19" s="952"/>
      <c r="I19" s="952"/>
      <c r="J19" s="952"/>
      <c r="K19" s="952"/>
      <c r="L19" s="952"/>
      <c r="M19" s="952"/>
      <c r="N19" s="952"/>
      <c r="O19" s="952"/>
      <c r="P19" s="952"/>
      <c r="Q19" s="952"/>
      <c r="R19" s="952"/>
      <c r="S19" s="952"/>
      <c r="T19" s="952"/>
      <c r="U19" s="952"/>
      <c r="V19" s="952"/>
      <c r="W19" s="952"/>
      <c r="X19" s="952"/>
      <c r="Y19" s="952"/>
      <c r="Z19" s="953"/>
      <c r="AA19" s="866"/>
      <c r="AB19" s="866"/>
      <c r="AC19" s="866"/>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449"/>
      <c r="BB19" s="310"/>
      <c r="BC19" s="310"/>
      <c r="BD19" s="310"/>
      <c r="BE19" s="310"/>
      <c r="BF19" s="310"/>
      <c r="BG19" s="310"/>
      <c r="BH19" s="310"/>
      <c r="BI19" s="310"/>
      <c r="BJ19" s="443"/>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286"/>
      <c r="CH19" s="878"/>
    </row>
    <row r="20" spans="1:86" s="250" customFormat="1" ht="3" customHeight="1">
      <c r="A20" s="220"/>
      <c r="B20" s="900"/>
      <c r="C20" s="900"/>
      <c r="D20" s="878"/>
      <c r="E20" s="877" t="s">
        <v>1561</v>
      </c>
      <c r="F20" s="877"/>
      <c r="G20" s="862"/>
      <c r="H20" s="947" t="str">
        <f>Index!C81</f>
        <v>Účty v bankách s dobou viazanosti dlhšou ako jeden rok (22XA)</v>
      </c>
      <c r="I20" s="947"/>
      <c r="J20" s="947"/>
      <c r="K20" s="947"/>
      <c r="L20" s="947"/>
      <c r="M20" s="947"/>
      <c r="N20" s="947"/>
      <c r="O20" s="947"/>
      <c r="P20" s="947"/>
      <c r="Q20" s="947"/>
      <c r="R20" s="947"/>
      <c r="S20" s="947"/>
      <c r="T20" s="947"/>
      <c r="U20" s="947"/>
      <c r="V20" s="947"/>
      <c r="W20" s="947"/>
      <c r="X20" s="947"/>
      <c r="Y20" s="947"/>
      <c r="Z20" s="947"/>
      <c r="AA20" s="866" t="s">
        <v>1577</v>
      </c>
      <c r="AB20" s="866"/>
      <c r="AC20" s="866"/>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67"/>
      <c r="BB20" s="867"/>
      <c r="BC20" s="867"/>
      <c r="BD20" s="867"/>
      <c r="BE20" s="867"/>
      <c r="BF20" s="867"/>
      <c r="BG20" s="867"/>
      <c r="BH20" s="867"/>
      <c r="BI20" s="867"/>
      <c r="BJ20" s="867"/>
      <c r="BK20" s="867"/>
      <c r="BL20" s="867"/>
      <c r="BM20" s="867"/>
      <c r="BN20" s="867"/>
      <c r="BO20" s="867"/>
      <c r="BP20" s="867"/>
      <c r="BQ20" s="867"/>
      <c r="BR20" s="304"/>
      <c r="BS20" s="304"/>
      <c r="BT20" s="304"/>
      <c r="BU20" s="304"/>
      <c r="BV20" s="304"/>
      <c r="BW20" s="446"/>
      <c r="BX20" s="304"/>
      <c r="BY20" s="304"/>
      <c r="BZ20" s="304"/>
      <c r="CA20" s="304"/>
      <c r="CB20" s="304"/>
      <c r="CC20" s="304"/>
      <c r="CD20" s="304"/>
      <c r="CE20" s="304"/>
      <c r="CF20" s="304"/>
      <c r="CG20" s="284"/>
      <c r="CH20" s="878"/>
    </row>
    <row r="21" spans="1:86" s="250" customFormat="1" ht="3" customHeight="1">
      <c r="A21" s="220"/>
      <c r="B21" s="900"/>
      <c r="C21" s="900"/>
      <c r="D21" s="878"/>
      <c r="E21" s="877"/>
      <c r="F21" s="877"/>
      <c r="G21" s="862"/>
      <c r="H21" s="947"/>
      <c r="I21" s="947"/>
      <c r="J21" s="947"/>
      <c r="K21" s="947"/>
      <c r="L21" s="947"/>
      <c r="M21" s="947"/>
      <c r="N21" s="947"/>
      <c r="O21" s="947"/>
      <c r="P21" s="947"/>
      <c r="Q21" s="947"/>
      <c r="R21" s="947"/>
      <c r="S21" s="947"/>
      <c r="T21" s="947"/>
      <c r="U21" s="947"/>
      <c r="V21" s="947"/>
      <c r="W21" s="947"/>
      <c r="X21" s="947"/>
      <c r="Y21" s="947"/>
      <c r="Z21" s="947"/>
      <c r="AA21" s="866"/>
      <c r="AB21" s="866"/>
      <c r="AC21" s="866"/>
      <c r="AD21" s="826"/>
      <c r="AE21" s="820"/>
      <c r="AF21" s="820"/>
      <c r="AG21" s="820"/>
      <c r="AH21" s="435"/>
      <c r="AI21" s="821"/>
      <c r="AJ21" s="821"/>
      <c r="AK21" s="821"/>
      <c r="AL21" s="821"/>
      <c r="AM21" s="821"/>
      <c r="AN21" s="818"/>
      <c r="AO21" s="822"/>
      <c r="AP21" s="822"/>
      <c r="AQ21" s="822"/>
      <c r="AR21" s="822"/>
      <c r="AS21" s="822"/>
      <c r="AT21" s="818"/>
      <c r="AU21" s="822"/>
      <c r="AV21" s="822"/>
      <c r="AW21" s="822"/>
      <c r="AX21" s="822"/>
      <c r="AY21" s="822"/>
      <c r="AZ21" s="827"/>
      <c r="BA21" s="826"/>
      <c r="BB21" s="820"/>
      <c r="BC21" s="820"/>
      <c r="BD21" s="820"/>
      <c r="BE21" s="435"/>
      <c r="BF21" s="821"/>
      <c r="BG21" s="821"/>
      <c r="BH21" s="821"/>
      <c r="BI21" s="821"/>
      <c r="BJ21" s="821"/>
      <c r="BK21" s="818"/>
      <c r="BL21" s="822"/>
      <c r="BM21" s="822"/>
      <c r="BN21" s="822"/>
      <c r="BO21" s="822"/>
      <c r="BP21" s="822"/>
      <c r="BQ21" s="818"/>
      <c r="BR21" s="822"/>
      <c r="BS21" s="822"/>
      <c r="BT21" s="822"/>
      <c r="BU21" s="822"/>
      <c r="BV21" s="822"/>
      <c r="BW21" s="441"/>
      <c r="BX21" s="442"/>
      <c r="BY21" s="442"/>
      <c r="BZ21" s="442"/>
      <c r="CA21" s="442"/>
      <c r="CB21" s="442"/>
      <c r="CC21" s="442"/>
      <c r="CD21" s="442"/>
      <c r="CE21" s="442"/>
      <c r="CF21" s="442"/>
      <c r="CG21" s="285"/>
      <c r="CH21" s="878"/>
    </row>
    <row r="22" spans="1:86" ht="15" customHeight="1">
      <c r="A22" s="220"/>
      <c r="B22" s="900"/>
      <c r="C22" s="900"/>
      <c r="D22" s="878"/>
      <c r="E22" s="877"/>
      <c r="F22" s="877"/>
      <c r="G22" s="862"/>
      <c r="H22" s="947"/>
      <c r="I22" s="947"/>
      <c r="J22" s="947"/>
      <c r="K22" s="947"/>
      <c r="L22" s="947"/>
      <c r="M22" s="947"/>
      <c r="N22" s="947"/>
      <c r="O22" s="947"/>
      <c r="P22" s="947"/>
      <c r="Q22" s="947"/>
      <c r="R22" s="947"/>
      <c r="S22" s="947"/>
      <c r="T22" s="947"/>
      <c r="U22" s="947"/>
      <c r="V22" s="947"/>
      <c r="W22" s="947"/>
      <c r="X22" s="947"/>
      <c r="Y22" s="947"/>
      <c r="Z22" s="947"/>
      <c r="AA22" s="866"/>
      <c r="AB22" s="866"/>
      <c r="AC22" s="866"/>
      <c r="AD22" s="826"/>
      <c r="AE22" s="432" t="str">
        <f>IF(LEN(VLOOKUP(AA20,suvaha!$D$8:$H$158,2,FALSE))&lt;11,"",LEFT(RIGHT(VLOOKUP(AA20,suvaha!$D$8:$H$158,2,FALSE),11),1))</f>
        <v/>
      </c>
      <c r="AF22" s="255"/>
      <c r="AG22" s="432" t="str">
        <f>IF(LEN(VLOOKUP(AA20,suvaha!$D$8:$H$158,2,FALSE))&lt;10,"",LEFT(RIGHT(VLOOKUP(AA20,suvaha!$D$8:$H$158,2,FALSE),10),1))</f>
        <v/>
      </c>
      <c r="AH22" s="434"/>
      <c r="AI22" s="432" t="str">
        <f>IF(LEN(VLOOKUP(AA20,suvaha!$D$8:$H$158,2,FALSE))&lt;9,"",LEFT(RIGHT(VLOOKUP(AA20,suvaha!$D$8:$H$158,2,FALSE),9),1))</f>
        <v/>
      </c>
      <c r="AJ22" s="255"/>
      <c r="AK22" s="432" t="str">
        <f>IF(LEN(VLOOKUP(AA20,suvaha!$D$8:$H$158,2,FALSE))&lt;8,"",LEFT(RIGHT(VLOOKUP(AA20,suvaha!$D$8:$H$158,2,FALSE),8),1))</f>
        <v/>
      </c>
      <c r="AL22" s="434"/>
      <c r="AM22" s="432" t="str">
        <f>IF(LEN(VLOOKUP(AA20,suvaha!$D$8:$H$158,2,FALSE))&lt;7,"",LEFT(RIGHT(VLOOKUP(AA20,suvaha!$D$8:$H$158,2,FALSE),7),1))</f>
        <v/>
      </c>
      <c r="AN22" s="818"/>
      <c r="AO22" s="432" t="str">
        <f>IF(LEN(VLOOKUP(AA20,suvaha!$D$8:$H$158,2,FALSE))&lt;6,"",LEFT(RIGHT(VLOOKUP(AA20,suvaha!$D$8:$H$158,2,FALSE),6),1))</f>
        <v/>
      </c>
      <c r="AP22" s="434"/>
      <c r="AQ22" s="432" t="str">
        <f>IF(LEN(VLOOKUP(AA20,suvaha!$D$8:$H$158,2,FALSE))&lt;5,"",LEFT(RIGHT(VLOOKUP(AA20,suvaha!$D$8:$H$158,2,FALSE),5),1))</f>
        <v/>
      </c>
      <c r="AR22" s="434"/>
      <c r="AS22" s="432" t="str">
        <f>IF(LEN(VLOOKUP(AA20,suvaha!$D$8:$H$158,2,FALSE))&lt;4,"",LEFT(RIGHT(VLOOKUP(AA20,suvaha!$D$8:$H$158,2,FALSE),4),1))</f>
        <v/>
      </c>
      <c r="AT22" s="818"/>
      <c r="AU22" s="432" t="str">
        <f>IF(LEN(VLOOKUP(AA20,suvaha!$D$8:$H$158,2,FALSE))&lt;3,"",LEFT(RIGHT(VLOOKUP(AA20,suvaha!$D$8:$H$158,2,FALSE),3),1))</f>
        <v/>
      </c>
      <c r="AV22" s="434"/>
      <c r="AW22" s="432" t="str">
        <f>IF(LEN(VLOOKUP(AA20,suvaha!$D$8:$H$158,2,FALSE))&lt;2,"",LEFT(RIGHT(VLOOKUP(AA20,suvaha!$D$8:$H$158,2,FALSE),2),1))</f>
        <v/>
      </c>
      <c r="AX22" s="434"/>
      <c r="AY22" s="432" t="str">
        <f>IF(VLOOKUP(AA20,suvaha!$D$8:$H$85,2,FALSE)=0,"",IF(LEN(VLOOKUP(AA20,suvaha!$D$8:$H$158,2,FALSE))&lt;1,"",LEFT(RIGHT(VLOOKUP(AA20,suvaha!$D$8:$H$158,2,FALSE),1),1)))</f>
        <v/>
      </c>
      <c r="AZ22" s="827"/>
      <c r="BA22" s="826"/>
      <c r="BB22" s="432" t="str">
        <f>IF(LEN(VLOOKUP(AA20,suvaha!$D$8:$H$158,4,FALSE))&lt;11,"",LEFT(RIGHT(VLOOKUP(AA20,suvaha!$D$8:$H$158,4,FALSE),11),1))</f>
        <v/>
      </c>
      <c r="BC22" s="255"/>
      <c r="BD22" s="432" t="str">
        <f>IF(LEN(VLOOKUP(AA20,suvaha!$D$8:$H$158,4,FALSE))&lt;10,"",LEFT(RIGHT(VLOOKUP(AA20,suvaha!$D$8:$H$158,4,FALSE),10),1))</f>
        <v/>
      </c>
      <c r="BE22" s="434"/>
      <c r="BF22" s="432" t="str">
        <f>IF(LEN(VLOOKUP(AA20,suvaha!$D$8:$H$158,4,FALSE))&lt;9,"",LEFT(RIGHT(VLOOKUP(AA20,suvaha!$D$8:$H$158,4,FALSE),9),1))</f>
        <v/>
      </c>
      <c r="BG22" s="255"/>
      <c r="BH22" s="432" t="str">
        <f>IF(LEN(VLOOKUP(AA20,suvaha!$D$8:$H$158,4,FALSE))&lt;8,"",LEFT(RIGHT(VLOOKUP(AA20,suvaha!$D$8:$H$158,4,FALSE),8),1))</f>
        <v/>
      </c>
      <c r="BI22" s="434"/>
      <c r="BJ22" s="432" t="str">
        <f>IF(LEN(VLOOKUP(AA20,suvaha!$D$8:$H$158,4,FALSE))&lt;7,"",LEFT(RIGHT(VLOOKUP(AA20,suvaha!$D$8:$H$158,4,FALSE),7),1))</f>
        <v/>
      </c>
      <c r="BK22" s="818"/>
      <c r="BL22" s="432" t="str">
        <f>IF(LEN(VLOOKUP(AA20,suvaha!$D$8:$H$158,4,FALSE))&lt;6,"",LEFT(RIGHT(VLOOKUP(AA20,suvaha!$D$8:$H$158,4,FALSE),6),1))</f>
        <v/>
      </c>
      <c r="BM22" s="434"/>
      <c r="BN22" s="432" t="str">
        <f>IF(LEN(VLOOKUP(AA20,suvaha!$D$8:$H$158,4,FALSE))&lt;5,"",LEFT(RIGHT(VLOOKUP(AA20,suvaha!$D$8:$H$158,4,FALSE),5),1))</f>
        <v/>
      </c>
      <c r="BO22" s="434"/>
      <c r="BP22" s="432" t="str">
        <f>IF(LEN(VLOOKUP(AA20,suvaha!$D$8:$H$158,4,FALSE))&lt;4,"",LEFT(RIGHT(VLOOKUP(AA20,suvaha!$D$8:$H$158,4,FALSE),4),1))</f>
        <v/>
      </c>
      <c r="BQ22" s="818"/>
      <c r="BR22" s="432" t="str">
        <f>IF(LEN(VLOOKUP(AA20,suvaha!$D$8:$H$158,4,FALSE))&lt;3,"",LEFT(RIGHT(VLOOKUP(AA20,suvaha!$D$8:$H$158,4,FALSE),3),1))</f>
        <v/>
      </c>
      <c r="BS22" s="434"/>
      <c r="BT22" s="432" t="str">
        <f>IF(LEN(VLOOKUP(AA20,suvaha!$D$8:$H$158,4,FALSE))&lt;2,"",LEFT(RIGHT(VLOOKUP(AA20,suvaha!$D$8:$H$158,4,FALSE),2),1))</f>
        <v/>
      </c>
      <c r="BU22" s="434"/>
      <c r="BV22" s="432" t="str">
        <f>IF(VLOOKUP(AA20,suvaha!$D$8:$H$85,4,FALSE)=0,"",IF(LEN(VLOOKUP(AA20,suvaha!$D$8:$H$158,4,FALSE))&lt;1,"",LEFT(RIGHT(VLOOKUP(AA20,suvaha!$D$8:$H$158,4,FALSE),1),1)))</f>
        <v/>
      </c>
      <c r="BW22" s="441"/>
      <c r="BX22" s="442"/>
      <c r="BY22" s="442"/>
      <c r="BZ22" s="442"/>
      <c r="CA22" s="442"/>
      <c r="CB22" s="442"/>
      <c r="CC22" s="442"/>
      <c r="CD22" s="442"/>
      <c r="CE22" s="442"/>
      <c r="CF22" s="442"/>
      <c r="CG22" s="285"/>
      <c r="CH22" s="878"/>
    </row>
    <row r="23" spans="1:86" ht="2.25" customHeight="1">
      <c r="A23" s="220"/>
      <c r="B23" s="900"/>
      <c r="C23" s="900"/>
      <c r="D23" s="878"/>
      <c r="E23" s="877"/>
      <c r="F23" s="877"/>
      <c r="G23" s="862"/>
      <c r="H23" s="947"/>
      <c r="I23" s="947"/>
      <c r="J23" s="947"/>
      <c r="K23" s="947"/>
      <c r="L23" s="947"/>
      <c r="M23" s="947"/>
      <c r="N23" s="947"/>
      <c r="O23" s="947"/>
      <c r="P23" s="947"/>
      <c r="Q23" s="947"/>
      <c r="R23" s="947"/>
      <c r="S23" s="947"/>
      <c r="T23" s="947"/>
      <c r="U23" s="947"/>
      <c r="V23" s="947"/>
      <c r="W23" s="947"/>
      <c r="X23" s="947"/>
      <c r="Y23" s="947"/>
      <c r="Z23" s="947"/>
      <c r="AA23" s="866"/>
      <c r="AB23" s="866"/>
      <c r="AC23" s="866"/>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6"/>
      <c r="BB23" s="846"/>
      <c r="BC23" s="846"/>
      <c r="BD23" s="846"/>
      <c r="BE23" s="846"/>
      <c r="BF23" s="846"/>
      <c r="BG23" s="846"/>
      <c r="BH23" s="846"/>
      <c r="BI23" s="846"/>
      <c r="BJ23" s="846"/>
      <c r="BK23" s="846"/>
      <c r="BL23" s="846"/>
      <c r="BM23" s="846"/>
      <c r="BN23" s="846"/>
      <c r="BO23" s="846"/>
      <c r="BP23" s="846"/>
      <c r="BQ23" s="846"/>
      <c r="BR23" s="310"/>
      <c r="BS23" s="310"/>
      <c r="BT23" s="310"/>
      <c r="BU23" s="310"/>
      <c r="BV23" s="310"/>
      <c r="BW23" s="443"/>
      <c r="BX23" s="310"/>
      <c r="BY23" s="310"/>
      <c r="BZ23" s="310"/>
      <c r="CA23" s="310"/>
      <c r="CB23" s="310"/>
      <c r="CC23" s="310"/>
      <c r="CD23" s="310"/>
      <c r="CE23" s="310"/>
      <c r="CF23" s="310"/>
      <c r="CG23" s="286"/>
      <c r="CH23" s="878"/>
    </row>
    <row r="24" spans="1:86" ht="2.25" customHeight="1">
      <c r="A24" s="220"/>
      <c r="B24" s="900"/>
      <c r="C24" s="900"/>
      <c r="D24" s="878"/>
      <c r="E24" s="877"/>
      <c r="F24" s="877"/>
      <c r="G24" s="862"/>
      <c r="H24" s="947"/>
      <c r="I24" s="947"/>
      <c r="J24" s="947"/>
      <c r="K24" s="947"/>
      <c r="L24" s="947"/>
      <c r="M24" s="947"/>
      <c r="N24" s="947"/>
      <c r="O24" s="947"/>
      <c r="P24" s="947"/>
      <c r="Q24" s="947"/>
      <c r="R24" s="947"/>
      <c r="S24" s="947"/>
      <c r="T24" s="947"/>
      <c r="U24" s="947"/>
      <c r="V24" s="947"/>
      <c r="W24" s="947"/>
      <c r="X24" s="947"/>
      <c r="Y24" s="947"/>
      <c r="Z24" s="947"/>
      <c r="AA24" s="866"/>
      <c r="AB24" s="866"/>
      <c r="AC24" s="866"/>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447"/>
      <c r="BB24" s="304"/>
      <c r="BC24" s="304"/>
      <c r="BD24" s="304"/>
      <c r="BE24" s="304"/>
      <c r="BF24" s="304"/>
      <c r="BG24" s="304"/>
      <c r="BH24" s="304"/>
      <c r="BI24" s="304"/>
      <c r="BJ24" s="446"/>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284"/>
      <c r="CH24" s="878"/>
    </row>
    <row r="25" spans="1:86" ht="2.25" customHeight="1">
      <c r="A25" s="220"/>
      <c r="B25" s="900"/>
      <c r="C25" s="900"/>
      <c r="D25" s="878"/>
      <c r="E25" s="877"/>
      <c r="F25" s="877"/>
      <c r="G25" s="862"/>
      <c r="H25" s="947"/>
      <c r="I25" s="947"/>
      <c r="J25" s="947"/>
      <c r="K25" s="947"/>
      <c r="L25" s="947"/>
      <c r="M25" s="947"/>
      <c r="N25" s="947"/>
      <c r="O25" s="947"/>
      <c r="P25" s="947"/>
      <c r="Q25" s="947"/>
      <c r="R25" s="947"/>
      <c r="S25" s="947"/>
      <c r="T25" s="947"/>
      <c r="U25" s="947"/>
      <c r="V25" s="947"/>
      <c r="W25" s="947"/>
      <c r="X25" s="947"/>
      <c r="Y25" s="947"/>
      <c r="Z25" s="947"/>
      <c r="AA25" s="866"/>
      <c r="AB25" s="866"/>
      <c r="AC25" s="866"/>
      <c r="AD25" s="826"/>
      <c r="AE25" s="820"/>
      <c r="AF25" s="820"/>
      <c r="AG25" s="820"/>
      <c r="AH25" s="435"/>
      <c r="AI25" s="821"/>
      <c r="AJ25" s="821"/>
      <c r="AK25" s="821"/>
      <c r="AL25" s="821"/>
      <c r="AM25" s="821"/>
      <c r="AN25" s="818"/>
      <c r="AO25" s="822"/>
      <c r="AP25" s="822"/>
      <c r="AQ25" s="822"/>
      <c r="AR25" s="822"/>
      <c r="AS25" s="822"/>
      <c r="AT25" s="818"/>
      <c r="AU25" s="822"/>
      <c r="AV25" s="822"/>
      <c r="AW25" s="822"/>
      <c r="AX25" s="822"/>
      <c r="AY25" s="822"/>
      <c r="AZ25" s="827"/>
      <c r="BA25" s="448"/>
      <c r="BB25" s="442"/>
      <c r="BC25" s="442"/>
      <c r="BD25" s="442"/>
      <c r="BE25" s="442"/>
      <c r="BF25" s="442"/>
      <c r="BG25" s="442"/>
      <c r="BH25" s="442"/>
      <c r="BI25" s="442"/>
      <c r="BJ25" s="441"/>
      <c r="BK25" s="442"/>
      <c r="BL25" s="820"/>
      <c r="BM25" s="820"/>
      <c r="BN25" s="820"/>
      <c r="BO25" s="435"/>
      <c r="BP25" s="821"/>
      <c r="BQ25" s="821"/>
      <c r="BR25" s="821"/>
      <c r="BS25" s="821"/>
      <c r="BT25" s="821"/>
      <c r="BU25" s="818"/>
      <c r="BV25" s="822"/>
      <c r="BW25" s="822"/>
      <c r="BX25" s="822"/>
      <c r="BY25" s="822"/>
      <c r="BZ25" s="822"/>
      <c r="CA25" s="818"/>
      <c r="CB25" s="822"/>
      <c r="CC25" s="822"/>
      <c r="CD25" s="822"/>
      <c r="CE25" s="822"/>
      <c r="CF25" s="822"/>
      <c r="CG25" s="287"/>
      <c r="CH25" s="878"/>
    </row>
    <row r="26" spans="1:86" ht="15.75" customHeight="1">
      <c r="A26" s="220"/>
      <c r="B26" s="900"/>
      <c r="C26" s="900"/>
      <c r="D26" s="878"/>
      <c r="E26" s="877"/>
      <c r="F26" s="877"/>
      <c r="G26" s="862"/>
      <c r="H26" s="947"/>
      <c r="I26" s="947"/>
      <c r="J26" s="947"/>
      <c r="K26" s="947"/>
      <c r="L26" s="947"/>
      <c r="M26" s="947"/>
      <c r="N26" s="947"/>
      <c r="O26" s="947"/>
      <c r="P26" s="947"/>
      <c r="Q26" s="947"/>
      <c r="R26" s="947"/>
      <c r="S26" s="947"/>
      <c r="T26" s="947"/>
      <c r="U26" s="947"/>
      <c r="V26" s="947"/>
      <c r="W26" s="947"/>
      <c r="X26" s="947"/>
      <c r="Y26" s="947"/>
      <c r="Z26" s="947"/>
      <c r="AA26" s="866"/>
      <c r="AB26" s="866"/>
      <c r="AC26" s="866"/>
      <c r="AD26" s="826"/>
      <c r="AE26" s="432" t="str">
        <f>IF(LEN(VLOOKUP(AA20,suvaha!$D$8:$H$158,3,FALSE))&lt;11,"",LEFT(RIGHT(VLOOKUP(AA20,suvaha!$D$8:$H$158,3,FALSE),11),1))</f>
        <v/>
      </c>
      <c r="AF26" s="255"/>
      <c r="AG26" s="432" t="str">
        <f>IF(LEN(VLOOKUP(AA20,suvaha!$D$8:$H$158,3,FALSE))&lt;10,"",LEFT(RIGHT(VLOOKUP(AA20,suvaha!$D$8:$H$158,3,FALSE),10),1))</f>
        <v/>
      </c>
      <c r="AH26" s="434"/>
      <c r="AI26" s="432" t="str">
        <f>IF(LEN(VLOOKUP(AA20,suvaha!$D$8:$H$158,3,FALSE))&lt;9,"",LEFT(RIGHT(VLOOKUP(AA20,suvaha!$D$8:$H$158,3,FALSE),9),1))</f>
        <v/>
      </c>
      <c r="AJ26" s="255"/>
      <c r="AK26" s="432" t="str">
        <f>IF(LEN(VLOOKUP(AA20,suvaha!$D$8:$H$158,3,FALSE))&lt;8,"",LEFT(RIGHT(VLOOKUP(AA20,suvaha!$D$8:$H$158,3,FALSE),8),1))</f>
        <v/>
      </c>
      <c r="AL26" s="434"/>
      <c r="AM26" s="432" t="str">
        <f>IF(LEN(VLOOKUP(AA20,suvaha!$D$8:$H$158,3,FALSE))&lt;7,"",LEFT(RIGHT(VLOOKUP(AA20,suvaha!$D$8:$H$158,3,FALSE),7),1))</f>
        <v/>
      </c>
      <c r="AN26" s="818"/>
      <c r="AO26" s="432" t="str">
        <f>IF(LEN(VLOOKUP(AA20,suvaha!$D$8:$H$158,3,FALSE))&lt;6,"",LEFT(RIGHT(VLOOKUP(AA20,suvaha!$D$8:$H$158,3,FALSE),6),1))</f>
        <v/>
      </c>
      <c r="AP26" s="434"/>
      <c r="AQ26" s="432" t="str">
        <f>IF(LEN(VLOOKUP(AA20,suvaha!$D$8:$H$158,3,FALSE))&lt;5,"",LEFT(RIGHT(VLOOKUP(AA20,suvaha!$D$8:$H$158,3,FALSE),5),1))</f>
        <v/>
      </c>
      <c r="AR26" s="434"/>
      <c r="AS26" s="432" t="str">
        <f>IF(LEN(VLOOKUP(AA20,suvaha!$D$8:$H$158,3,FALSE))&lt;4,"",LEFT(RIGHT(VLOOKUP(AA20,suvaha!$D$8:$H$158,3,FALSE),4),1))</f>
        <v/>
      </c>
      <c r="AT26" s="818"/>
      <c r="AU26" s="432" t="str">
        <f>IF(LEN(VLOOKUP(AA20,suvaha!$D$8:$H$158,3,FALSE))&lt;3,"",LEFT(RIGHT(VLOOKUP(AA20,suvaha!$D$8:$H$158,3,FALSE),3),1))</f>
        <v/>
      </c>
      <c r="AV26" s="434"/>
      <c r="AW26" s="432" t="str">
        <f>IF(LEN(VLOOKUP(AA20,suvaha!$D$8:$H$158,3,FALSE))&lt;2,"",LEFT(RIGHT(VLOOKUP(AA20,suvaha!$D$8:$H$158,3,FALSE),2),1))</f>
        <v/>
      </c>
      <c r="AX26" s="434"/>
      <c r="AY26" s="432" t="str">
        <f>IF(VLOOKUP(AA20,suvaha!$D$8:$H$85,3,FALSE)=0,"",IF(LEN(VLOOKUP(AA20,suvaha!$D$8:$H$158,3,FALSE))&lt;1,"",LEFT(RIGHT(VLOOKUP(AA20,suvaha!$D$8:$H$158,3,FALSE),1),1)))</f>
        <v/>
      </c>
      <c r="AZ26" s="827"/>
      <c r="BA26" s="448"/>
      <c r="BB26" s="442"/>
      <c r="BC26" s="442"/>
      <c r="BD26" s="442"/>
      <c r="BE26" s="442"/>
      <c r="BF26" s="442"/>
      <c r="BG26" s="442"/>
      <c r="BH26" s="442"/>
      <c r="BI26" s="442"/>
      <c r="BJ26" s="441"/>
      <c r="BK26" s="442"/>
      <c r="BL26" s="432" t="str">
        <f>IF(LEN(VLOOKUP(AA20,suvaha!$D$8:$H$158,5,FALSE))&lt;11,"",LEFT(RIGHT(VLOOKUP(AA20,suvaha!$D$8:$H$158,5,FALSE),11),1))</f>
        <v/>
      </c>
      <c r="BM26" s="255"/>
      <c r="BN26" s="432" t="str">
        <f>IF(LEN(VLOOKUP(AA20,suvaha!$D$8:$H$158,5,FALSE))&lt;10,"",LEFT(RIGHT(VLOOKUP(AA20,suvaha!$D$8:$H$158,5,FALSE),10),1))</f>
        <v/>
      </c>
      <c r="BO26" s="434"/>
      <c r="BP26" s="432" t="str">
        <f>IF(LEN(VLOOKUP(AA20,suvaha!$D$8:$H$158,5,FALSE))&lt;9,"",LEFT(RIGHT(VLOOKUP(AA20,suvaha!$D$8:$H$158,5,FALSE),9),1))</f>
        <v/>
      </c>
      <c r="BQ26" s="255"/>
      <c r="BR26" s="432" t="str">
        <f>IF(LEN(VLOOKUP(AA20,suvaha!$D$8:$H$158,5,FALSE))&lt;8,"",LEFT(RIGHT(VLOOKUP(AA20,suvaha!$D$8:$H$158,5,FALSE),8),1))</f>
        <v/>
      </c>
      <c r="BS26" s="434"/>
      <c r="BT26" s="432" t="str">
        <f>IF(LEN(VLOOKUP(AA20,suvaha!$D$8:$H$158,5,FALSE))&lt;7,"",LEFT(RIGHT(VLOOKUP(AA20,suvaha!$D$8:$H$158,5,FALSE),7),1))</f>
        <v/>
      </c>
      <c r="BU26" s="818"/>
      <c r="BV26" s="432" t="str">
        <f>IF(LEN(VLOOKUP(AA20,suvaha!$D$8:$H$158,5,FALSE))&lt;6,"",LEFT(RIGHT(VLOOKUP(AA20,suvaha!$D$8:$H$158,5,FALSE),6),1))</f>
        <v/>
      </c>
      <c r="BW26" s="434"/>
      <c r="BX26" s="432" t="str">
        <f>IF(LEN(VLOOKUP(AA20,suvaha!$D$8:$H$158,5,FALSE))&lt;5,"",LEFT(RIGHT(VLOOKUP(AA20,suvaha!$D$8:$H$158,5,FALSE),5),1))</f>
        <v/>
      </c>
      <c r="BY26" s="434"/>
      <c r="BZ26" s="432" t="str">
        <f>IF(LEN(VLOOKUP(AA20,suvaha!$D$8:$H$158,5,FALSE))&lt;4,"",LEFT(RIGHT(VLOOKUP(AA20,suvaha!$D$8:$H$158,5,FALSE),4),1))</f>
        <v/>
      </c>
      <c r="CA26" s="818"/>
      <c r="CB26" s="432" t="str">
        <f>IF(LEN(VLOOKUP(AA20,suvaha!$D$8:$H$158,5,FALSE))&lt;3,"",LEFT(RIGHT(VLOOKUP(AA20,suvaha!$D$8:$H$158,5,FALSE),3),1))</f>
        <v/>
      </c>
      <c r="CC26" s="434"/>
      <c r="CD26" s="432" t="str">
        <f>IF(LEN(VLOOKUP(AA20,suvaha!$D$8:$H$158,5,FALSE))&lt;2,"",LEFT(RIGHT(VLOOKUP(AA20,suvaha!$D$8:$H$158,5,FALSE),2),1))</f>
        <v/>
      </c>
      <c r="CE26" s="434"/>
      <c r="CF26" s="432" t="str">
        <f>IF(VLOOKUP(AA20,suvaha!$D$8:$H$85,5,FALSE)=0,"",IF(LEN(VLOOKUP(AA20,suvaha!$D$8:$H$158,5,FALSE))&lt;1,"",LEFT(RIGHT(VLOOKUP(AA20,suvaha!$D$8:$H$158,5,FALSE),1),1)))</f>
        <v/>
      </c>
      <c r="CG26" s="287"/>
      <c r="CH26" s="878"/>
    </row>
    <row r="27" spans="1:86" ht="3.75" customHeight="1">
      <c r="A27" s="220"/>
      <c r="B27" s="900"/>
      <c r="C27" s="900"/>
      <c r="D27" s="878"/>
      <c r="E27" s="877"/>
      <c r="F27" s="877"/>
      <c r="G27" s="862"/>
      <c r="H27" s="947"/>
      <c r="I27" s="947"/>
      <c r="J27" s="947"/>
      <c r="K27" s="947"/>
      <c r="L27" s="947"/>
      <c r="M27" s="947"/>
      <c r="N27" s="947"/>
      <c r="O27" s="947"/>
      <c r="P27" s="947"/>
      <c r="Q27" s="947"/>
      <c r="R27" s="947"/>
      <c r="S27" s="947"/>
      <c r="T27" s="947"/>
      <c r="U27" s="947"/>
      <c r="V27" s="947"/>
      <c r="W27" s="947"/>
      <c r="X27" s="947"/>
      <c r="Y27" s="947"/>
      <c r="Z27" s="947"/>
      <c r="AA27" s="866"/>
      <c r="AB27" s="866"/>
      <c r="AC27" s="866"/>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449"/>
      <c r="BB27" s="310"/>
      <c r="BC27" s="310"/>
      <c r="BD27" s="310"/>
      <c r="BE27" s="310"/>
      <c r="BF27" s="310"/>
      <c r="BG27" s="310"/>
      <c r="BH27" s="310"/>
      <c r="BI27" s="310"/>
      <c r="BJ27" s="443"/>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286"/>
      <c r="CH27" s="878"/>
    </row>
    <row r="28" spans="1:86" s="250" customFormat="1" ht="3" customHeight="1">
      <c r="A28" s="220"/>
      <c r="B28" s="900"/>
      <c r="C28" s="900"/>
      <c r="D28" s="878"/>
      <c r="E28" s="877" t="s">
        <v>1578</v>
      </c>
      <c r="F28" s="877"/>
      <c r="G28" s="862"/>
      <c r="H28" s="947" t="str">
        <f>Index!C82</f>
        <v>Obstarávaný dlhodobý finančný majetok (043) - /096A/</v>
      </c>
      <c r="I28" s="947"/>
      <c r="J28" s="947"/>
      <c r="K28" s="947"/>
      <c r="L28" s="947"/>
      <c r="M28" s="947"/>
      <c r="N28" s="947"/>
      <c r="O28" s="947"/>
      <c r="P28" s="947"/>
      <c r="Q28" s="947"/>
      <c r="R28" s="947"/>
      <c r="S28" s="947"/>
      <c r="T28" s="947"/>
      <c r="U28" s="947"/>
      <c r="V28" s="947"/>
      <c r="W28" s="947"/>
      <c r="X28" s="947"/>
      <c r="Y28" s="947"/>
      <c r="Z28" s="947"/>
      <c r="AA28" s="866" t="s">
        <v>1579</v>
      </c>
      <c r="AB28" s="866"/>
      <c r="AC28" s="866"/>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67"/>
      <c r="BB28" s="867"/>
      <c r="BC28" s="867"/>
      <c r="BD28" s="867"/>
      <c r="BE28" s="867"/>
      <c r="BF28" s="867"/>
      <c r="BG28" s="867"/>
      <c r="BH28" s="867"/>
      <c r="BI28" s="867"/>
      <c r="BJ28" s="867"/>
      <c r="BK28" s="867"/>
      <c r="BL28" s="867"/>
      <c r="BM28" s="867"/>
      <c r="BN28" s="867"/>
      <c r="BO28" s="867"/>
      <c r="BP28" s="867"/>
      <c r="BQ28" s="867"/>
      <c r="BR28" s="304"/>
      <c r="BS28" s="304"/>
      <c r="BT28" s="304"/>
      <c r="BU28" s="304"/>
      <c r="BV28" s="304"/>
      <c r="BW28" s="446"/>
      <c r="BX28" s="304"/>
      <c r="BY28" s="304"/>
      <c r="BZ28" s="304"/>
      <c r="CA28" s="304"/>
      <c r="CB28" s="304"/>
      <c r="CC28" s="304"/>
      <c r="CD28" s="304"/>
      <c r="CE28" s="304"/>
      <c r="CF28" s="304"/>
      <c r="CG28" s="284"/>
      <c r="CH28" s="878"/>
    </row>
    <row r="29" spans="1:86" s="250" customFormat="1" ht="3" customHeight="1">
      <c r="A29" s="220"/>
      <c r="B29" s="900"/>
      <c r="C29" s="900"/>
      <c r="D29" s="878"/>
      <c r="E29" s="877"/>
      <c r="F29" s="877"/>
      <c r="G29" s="862"/>
      <c r="H29" s="947"/>
      <c r="I29" s="947"/>
      <c r="J29" s="947"/>
      <c r="K29" s="947"/>
      <c r="L29" s="947"/>
      <c r="M29" s="947"/>
      <c r="N29" s="947"/>
      <c r="O29" s="947"/>
      <c r="P29" s="947"/>
      <c r="Q29" s="947"/>
      <c r="R29" s="947"/>
      <c r="S29" s="947"/>
      <c r="T29" s="947"/>
      <c r="U29" s="947"/>
      <c r="V29" s="947"/>
      <c r="W29" s="947"/>
      <c r="X29" s="947"/>
      <c r="Y29" s="947"/>
      <c r="Z29" s="947"/>
      <c r="AA29" s="866"/>
      <c r="AB29" s="866"/>
      <c r="AC29" s="866"/>
      <c r="AD29" s="826"/>
      <c r="AE29" s="820"/>
      <c r="AF29" s="820"/>
      <c r="AG29" s="820"/>
      <c r="AH29" s="435"/>
      <c r="AI29" s="821"/>
      <c r="AJ29" s="821"/>
      <c r="AK29" s="821"/>
      <c r="AL29" s="821"/>
      <c r="AM29" s="821"/>
      <c r="AN29" s="818"/>
      <c r="AO29" s="822"/>
      <c r="AP29" s="822"/>
      <c r="AQ29" s="822"/>
      <c r="AR29" s="822"/>
      <c r="AS29" s="822"/>
      <c r="AT29" s="818"/>
      <c r="AU29" s="822"/>
      <c r="AV29" s="822"/>
      <c r="AW29" s="822"/>
      <c r="AX29" s="822"/>
      <c r="AY29" s="822"/>
      <c r="AZ29" s="827"/>
      <c r="BA29" s="826"/>
      <c r="BB29" s="820"/>
      <c r="BC29" s="820"/>
      <c r="BD29" s="820"/>
      <c r="BE29" s="435"/>
      <c r="BF29" s="821"/>
      <c r="BG29" s="821"/>
      <c r="BH29" s="821"/>
      <c r="BI29" s="821"/>
      <c r="BJ29" s="821"/>
      <c r="BK29" s="818"/>
      <c r="BL29" s="822"/>
      <c r="BM29" s="822"/>
      <c r="BN29" s="822"/>
      <c r="BO29" s="822"/>
      <c r="BP29" s="822"/>
      <c r="BQ29" s="818"/>
      <c r="BR29" s="822"/>
      <c r="BS29" s="822"/>
      <c r="BT29" s="822"/>
      <c r="BU29" s="822"/>
      <c r="BV29" s="822"/>
      <c r="BW29" s="441"/>
      <c r="BX29" s="442"/>
      <c r="BY29" s="442"/>
      <c r="BZ29" s="442"/>
      <c r="CA29" s="442"/>
      <c r="CB29" s="442"/>
      <c r="CC29" s="442"/>
      <c r="CD29" s="442"/>
      <c r="CE29" s="442"/>
      <c r="CF29" s="442"/>
      <c r="CG29" s="285"/>
      <c r="CH29" s="878"/>
    </row>
    <row r="30" spans="1:86" ht="15" customHeight="1">
      <c r="A30" s="220"/>
      <c r="B30" s="900"/>
      <c r="C30" s="900"/>
      <c r="D30" s="878"/>
      <c r="E30" s="877"/>
      <c r="F30" s="877"/>
      <c r="G30" s="862"/>
      <c r="H30" s="947"/>
      <c r="I30" s="947"/>
      <c r="J30" s="947"/>
      <c r="K30" s="947"/>
      <c r="L30" s="947"/>
      <c r="M30" s="947"/>
      <c r="N30" s="947"/>
      <c r="O30" s="947"/>
      <c r="P30" s="947"/>
      <c r="Q30" s="947"/>
      <c r="R30" s="947"/>
      <c r="S30" s="947"/>
      <c r="T30" s="947"/>
      <c r="U30" s="947"/>
      <c r="V30" s="947"/>
      <c r="W30" s="947"/>
      <c r="X30" s="947"/>
      <c r="Y30" s="947"/>
      <c r="Z30" s="947"/>
      <c r="AA30" s="866"/>
      <c r="AB30" s="866"/>
      <c r="AC30" s="866"/>
      <c r="AD30" s="826"/>
      <c r="AE30" s="432" t="str">
        <f>IF(LEN(VLOOKUP(AA28,suvaha!$D$8:$H$158,2,FALSE))&lt;11,"",LEFT(RIGHT(VLOOKUP(AA28,suvaha!$D$8:$H$158,2,FALSE),11),1))</f>
        <v/>
      </c>
      <c r="AF30" s="255"/>
      <c r="AG30" s="432" t="str">
        <f>IF(LEN(VLOOKUP(AA28,suvaha!$D$8:$H$158,2,FALSE))&lt;10,"",LEFT(RIGHT(VLOOKUP(AA28,suvaha!$D$8:$H$158,2,FALSE),10),1))</f>
        <v/>
      </c>
      <c r="AH30" s="434"/>
      <c r="AI30" s="432" t="str">
        <f>IF(LEN(VLOOKUP(AA28,suvaha!$D$8:$H$158,2,FALSE))&lt;9,"",LEFT(RIGHT(VLOOKUP(AA28,suvaha!$D$8:$H$158,2,FALSE),9),1))</f>
        <v/>
      </c>
      <c r="AJ30" s="255"/>
      <c r="AK30" s="432" t="str">
        <f>IF(LEN(VLOOKUP(AA28,suvaha!$D$8:$H$158,2,FALSE))&lt;8,"",LEFT(RIGHT(VLOOKUP(AA28,suvaha!$D$8:$H$158,2,FALSE),8),1))</f>
        <v/>
      </c>
      <c r="AL30" s="434"/>
      <c r="AM30" s="432" t="str">
        <f>IF(LEN(VLOOKUP(AA28,suvaha!$D$8:$H$158,2,FALSE))&lt;7,"",LEFT(RIGHT(VLOOKUP(AA28,suvaha!$D$8:$H$158,2,FALSE),7),1))</f>
        <v/>
      </c>
      <c r="AN30" s="818"/>
      <c r="AO30" s="432" t="str">
        <f>IF(LEN(VLOOKUP(AA28,suvaha!$D$8:$H$158,2,FALSE))&lt;6,"",LEFT(RIGHT(VLOOKUP(AA28,suvaha!$D$8:$H$158,2,FALSE),6),1))</f>
        <v/>
      </c>
      <c r="AP30" s="434"/>
      <c r="AQ30" s="432" t="str">
        <f>IF(LEN(VLOOKUP(AA28,suvaha!$D$8:$H$158,2,FALSE))&lt;5,"",LEFT(RIGHT(VLOOKUP(AA28,suvaha!$D$8:$H$158,2,FALSE),5),1))</f>
        <v/>
      </c>
      <c r="AR30" s="434"/>
      <c r="AS30" s="432" t="str">
        <f>IF(LEN(VLOOKUP(AA28,suvaha!$D$8:$H$158,2,FALSE))&lt;4,"",LEFT(RIGHT(VLOOKUP(AA28,suvaha!$D$8:$H$158,2,FALSE),4),1))</f>
        <v/>
      </c>
      <c r="AT30" s="818"/>
      <c r="AU30" s="432" t="str">
        <f>IF(LEN(VLOOKUP(AA28,suvaha!$D$8:$H$158,2,FALSE))&lt;3,"",LEFT(RIGHT(VLOOKUP(AA28,suvaha!$D$8:$H$158,2,FALSE),3),1))</f>
        <v/>
      </c>
      <c r="AV30" s="434"/>
      <c r="AW30" s="432" t="str">
        <f>IF(LEN(VLOOKUP(AA28,suvaha!$D$8:$H$158,2,FALSE))&lt;2,"",LEFT(RIGHT(VLOOKUP(AA28,suvaha!$D$8:$H$158,2,FALSE),2),1))</f>
        <v/>
      </c>
      <c r="AX30" s="434"/>
      <c r="AY30" s="432" t="str">
        <f>IF(VLOOKUP(AA28,suvaha!$D$8:$H$85,2,FALSE)=0,"",IF(LEN(VLOOKUP(AA28,suvaha!$D$8:$H$158,2,FALSE))&lt;1,"",LEFT(RIGHT(VLOOKUP(AA28,suvaha!$D$8:$H$158,2,FALSE),1),1)))</f>
        <v/>
      </c>
      <c r="AZ30" s="827"/>
      <c r="BA30" s="826"/>
      <c r="BB30" s="432" t="str">
        <f>IF(LEN(VLOOKUP(AA28,suvaha!$D$8:$H$158,4,FALSE))&lt;11,"",LEFT(RIGHT(VLOOKUP(AA28,suvaha!$D$8:$H$158,4,FALSE),11),1))</f>
        <v/>
      </c>
      <c r="BC30" s="255"/>
      <c r="BD30" s="432" t="str">
        <f>IF(LEN(VLOOKUP(AA28,suvaha!$D$8:$H$158,4,FALSE))&lt;10,"",LEFT(RIGHT(VLOOKUP(AA28,suvaha!$D$8:$H$158,4,FALSE),10),1))</f>
        <v/>
      </c>
      <c r="BE30" s="434"/>
      <c r="BF30" s="432" t="str">
        <f>IF(LEN(VLOOKUP(AA28,suvaha!$D$8:$H$158,4,FALSE))&lt;9,"",LEFT(RIGHT(VLOOKUP(AA28,suvaha!$D$8:$H$158,4,FALSE),9),1))</f>
        <v/>
      </c>
      <c r="BG30" s="255"/>
      <c r="BH30" s="432" t="str">
        <f>IF(LEN(VLOOKUP(AA28,suvaha!$D$8:$H$158,4,FALSE))&lt;8,"",LEFT(RIGHT(VLOOKUP(AA28,suvaha!$D$8:$H$158,4,FALSE),8),1))</f>
        <v/>
      </c>
      <c r="BI30" s="434"/>
      <c r="BJ30" s="432" t="str">
        <f>IF(LEN(VLOOKUP(AA28,suvaha!$D$8:$H$158,4,FALSE))&lt;7,"",LEFT(RIGHT(VLOOKUP(AA28,suvaha!$D$8:$H$158,4,FALSE),7),1))</f>
        <v/>
      </c>
      <c r="BK30" s="818"/>
      <c r="BL30" s="432" t="str">
        <f>IF(LEN(VLOOKUP(AA28,suvaha!$D$8:$H$158,4,FALSE))&lt;6,"",LEFT(RIGHT(VLOOKUP(AA28,suvaha!$D$8:$H$158,4,FALSE),6),1))</f>
        <v/>
      </c>
      <c r="BM30" s="434"/>
      <c r="BN30" s="432" t="str">
        <f>IF(LEN(VLOOKUP(AA28,suvaha!$D$8:$H$158,4,FALSE))&lt;5,"",LEFT(RIGHT(VLOOKUP(AA28,suvaha!$D$8:$H$158,4,FALSE),5),1))</f>
        <v/>
      </c>
      <c r="BO30" s="434"/>
      <c r="BP30" s="432" t="str">
        <f>IF(LEN(VLOOKUP(AA28,suvaha!$D$8:$H$158,4,FALSE))&lt;4,"",LEFT(RIGHT(VLOOKUP(AA28,suvaha!$D$8:$H$158,4,FALSE),4),1))</f>
        <v/>
      </c>
      <c r="BQ30" s="818"/>
      <c r="BR30" s="432" t="str">
        <f>IF(LEN(VLOOKUP(AA28,suvaha!$D$8:$H$158,4,FALSE))&lt;3,"",LEFT(RIGHT(VLOOKUP(AA28,suvaha!$D$8:$H$158,4,FALSE),3),1))</f>
        <v/>
      </c>
      <c r="BS30" s="434"/>
      <c r="BT30" s="432" t="str">
        <f>IF(LEN(VLOOKUP(AA28,suvaha!$D$8:$H$158,4,FALSE))&lt;2,"",LEFT(RIGHT(VLOOKUP(AA28,suvaha!$D$8:$H$158,4,FALSE),2),1))</f>
        <v/>
      </c>
      <c r="BU30" s="434"/>
      <c r="BV30" s="432" t="str">
        <f>IF(VLOOKUP(AA28,suvaha!$D$8:$H$85,4,FALSE)=0,"",IF(LEN(VLOOKUP(AA28,suvaha!$D$8:$H$158,4,FALSE))&lt;1,"",LEFT(RIGHT(VLOOKUP(AA28,suvaha!$D$8:$H$158,4,FALSE),1),1)))</f>
        <v/>
      </c>
      <c r="BW30" s="441"/>
      <c r="BX30" s="442"/>
      <c r="BY30" s="442"/>
      <c r="BZ30" s="442"/>
      <c r="CA30" s="442"/>
      <c r="CB30" s="442"/>
      <c r="CC30" s="442"/>
      <c r="CD30" s="442"/>
      <c r="CE30" s="442"/>
      <c r="CF30" s="442"/>
      <c r="CG30" s="285"/>
      <c r="CH30" s="878"/>
    </row>
    <row r="31" spans="1:86" ht="2.25" customHeight="1">
      <c r="A31" s="220"/>
      <c r="B31" s="900"/>
      <c r="C31" s="900"/>
      <c r="D31" s="878"/>
      <c r="E31" s="877"/>
      <c r="F31" s="877"/>
      <c r="G31" s="862"/>
      <c r="H31" s="947"/>
      <c r="I31" s="947"/>
      <c r="J31" s="947"/>
      <c r="K31" s="947"/>
      <c r="L31" s="947"/>
      <c r="M31" s="947"/>
      <c r="N31" s="947"/>
      <c r="O31" s="947"/>
      <c r="P31" s="947"/>
      <c r="Q31" s="947"/>
      <c r="R31" s="947"/>
      <c r="S31" s="947"/>
      <c r="T31" s="947"/>
      <c r="U31" s="947"/>
      <c r="V31" s="947"/>
      <c r="W31" s="947"/>
      <c r="X31" s="947"/>
      <c r="Y31" s="947"/>
      <c r="Z31" s="947"/>
      <c r="AA31" s="866"/>
      <c r="AB31" s="866"/>
      <c r="AC31" s="866"/>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6"/>
      <c r="BB31" s="846"/>
      <c r="BC31" s="846"/>
      <c r="BD31" s="846"/>
      <c r="BE31" s="846"/>
      <c r="BF31" s="846"/>
      <c r="BG31" s="846"/>
      <c r="BH31" s="846"/>
      <c r="BI31" s="846"/>
      <c r="BJ31" s="846"/>
      <c r="BK31" s="846"/>
      <c r="BL31" s="846"/>
      <c r="BM31" s="846"/>
      <c r="BN31" s="846"/>
      <c r="BO31" s="846"/>
      <c r="BP31" s="846"/>
      <c r="BQ31" s="846"/>
      <c r="BR31" s="310"/>
      <c r="BS31" s="310"/>
      <c r="BT31" s="310"/>
      <c r="BU31" s="310"/>
      <c r="BV31" s="310"/>
      <c r="BW31" s="443"/>
      <c r="BX31" s="310"/>
      <c r="BY31" s="310"/>
      <c r="BZ31" s="310"/>
      <c r="CA31" s="310"/>
      <c r="CB31" s="310"/>
      <c r="CC31" s="310"/>
      <c r="CD31" s="310"/>
      <c r="CE31" s="310"/>
      <c r="CF31" s="310"/>
      <c r="CG31" s="286"/>
      <c r="CH31" s="878"/>
    </row>
    <row r="32" spans="1:86" ht="2.25" customHeight="1">
      <c r="A32" s="220"/>
      <c r="B32" s="900"/>
      <c r="C32" s="900"/>
      <c r="D32" s="878"/>
      <c r="E32" s="877"/>
      <c r="F32" s="877"/>
      <c r="G32" s="862"/>
      <c r="H32" s="947"/>
      <c r="I32" s="947"/>
      <c r="J32" s="947"/>
      <c r="K32" s="947"/>
      <c r="L32" s="947"/>
      <c r="M32" s="947"/>
      <c r="N32" s="947"/>
      <c r="O32" s="947"/>
      <c r="P32" s="947"/>
      <c r="Q32" s="947"/>
      <c r="R32" s="947"/>
      <c r="S32" s="947"/>
      <c r="T32" s="947"/>
      <c r="U32" s="947"/>
      <c r="V32" s="947"/>
      <c r="W32" s="947"/>
      <c r="X32" s="947"/>
      <c r="Y32" s="947"/>
      <c r="Z32" s="947"/>
      <c r="AA32" s="866"/>
      <c r="AB32" s="866"/>
      <c r="AC32" s="866"/>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447"/>
      <c r="BB32" s="304"/>
      <c r="BC32" s="304"/>
      <c r="BD32" s="304"/>
      <c r="BE32" s="304"/>
      <c r="BF32" s="304"/>
      <c r="BG32" s="304"/>
      <c r="BH32" s="304"/>
      <c r="BI32" s="304"/>
      <c r="BJ32" s="446"/>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284"/>
      <c r="CH32" s="878"/>
    </row>
    <row r="33" spans="1:86" ht="2.25" customHeight="1">
      <c r="A33" s="220"/>
      <c r="B33" s="900"/>
      <c r="C33" s="900"/>
      <c r="D33" s="878"/>
      <c r="E33" s="877"/>
      <c r="F33" s="877"/>
      <c r="G33" s="862"/>
      <c r="H33" s="947"/>
      <c r="I33" s="947"/>
      <c r="J33" s="947"/>
      <c r="K33" s="947"/>
      <c r="L33" s="947"/>
      <c r="M33" s="947"/>
      <c r="N33" s="947"/>
      <c r="O33" s="947"/>
      <c r="P33" s="947"/>
      <c r="Q33" s="947"/>
      <c r="R33" s="947"/>
      <c r="S33" s="947"/>
      <c r="T33" s="947"/>
      <c r="U33" s="947"/>
      <c r="V33" s="947"/>
      <c r="W33" s="947"/>
      <c r="X33" s="947"/>
      <c r="Y33" s="947"/>
      <c r="Z33" s="947"/>
      <c r="AA33" s="866"/>
      <c r="AB33" s="866"/>
      <c r="AC33" s="866"/>
      <c r="AD33" s="826"/>
      <c r="AE33" s="820"/>
      <c r="AF33" s="820"/>
      <c r="AG33" s="820"/>
      <c r="AH33" s="435"/>
      <c r="AI33" s="821"/>
      <c r="AJ33" s="821"/>
      <c r="AK33" s="821"/>
      <c r="AL33" s="821"/>
      <c r="AM33" s="821"/>
      <c r="AN33" s="818"/>
      <c r="AO33" s="822"/>
      <c r="AP33" s="822"/>
      <c r="AQ33" s="822"/>
      <c r="AR33" s="822"/>
      <c r="AS33" s="822"/>
      <c r="AT33" s="818"/>
      <c r="AU33" s="822"/>
      <c r="AV33" s="822"/>
      <c r="AW33" s="822"/>
      <c r="AX33" s="822"/>
      <c r="AY33" s="822"/>
      <c r="AZ33" s="827"/>
      <c r="BA33" s="448"/>
      <c r="BB33" s="442"/>
      <c r="BC33" s="442"/>
      <c r="BD33" s="442"/>
      <c r="BE33" s="442"/>
      <c r="BF33" s="442"/>
      <c r="BG33" s="442"/>
      <c r="BH33" s="442"/>
      <c r="BI33" s="442"/>
      <c r="BJ33" s="441"/>
      <c r="BK33" s="442"/>
      <c r="BL33" s="820"/>
      <c r="BM33" s="820"/>
      <c r="BN33" s="820"/>
      <c r="BO33" s="435"/>
      <c r="BP33" s="821"/>
      <c r="BQ33" s="821"/>
      <c r="BR33" s="821"/>
      <c r="BS33" s="821"/>
      <c r="BT33" s="821"/>
      <c r="BU33" s="818"/>
      <c r="BV33" s="822"/>
      <c r="BW33" s="822"/>
      <c r="BX33" s="822"/>
      <c r="BY33" s="822"/>
      <c r="BZ33" s="822"/>
      <c r="CA33" s="818"/>
      <c r="CB33" s="822"/>
      <c r="CC33" s="822"/>
      <c r="CD33" s="822"/>
      <c r="CE33" s="822"/>
      <c r="CF33" s="822"/>
      <c r="CG33" s="287"/>
      <c r="CH33" s="878"/>
    </row>
    <row r="34" spans="1:86" ht="15.75" customHeight="1">
      <c r="A34" s="220"/>
      <c r="B34" s="900"/>
      <c r="C34" s="900"/>
      <c r="D34" s="878"/>
      <c r="E34" s="877"/>
      <c r="F34" s="877"/>
      <c r="G34" s="862"/>
      <c r="H34" s="947"/>
      <c r="I34" s="947"/>
      <c r="J34" s="947"/>
      <c r="K34" s="947"/>
      <c r="L34" s="947"/>
      <c r="M34" s="947"/>
      <c r="N34" s="947"/>
      <c r="O34" s="947"/>
      <c r="P34" s="947"/>
      <c r="Q34" s="947"/>
      <c r="R34" s="947"/>
      <c r="S34" s="947"/>
      <c r="T34" s="947"/>
      <c r="U34" s="947"/>
      <c r="V34" s="947"/>
      <c r="W34" s="947"/>
      <c r="X34" s="947"/>
      <c r="Y34" s="947"/>
      <c r="Z34" s="947"/>
      <c r="AA34" s="866"/>
      <c r="AB34" s="866"/>
      <c r="AC34" s="866"/>
      <c r="AD34" s="826"/>
      <c r="AE34" s="432" t="str">
        <f>IF(LEN(VLOOKUP(AA28,suvaha!$D$8:$H$158,3,FALSE))&lt;11,"",LEFT(RIGHT(VLOOKUP(AA28,suvaha!$D$8:$H$158,3,FALSE),11),1))</f>
        <v/>
      </c>
      <c r="AF34" s="255"/>
      <c r="AG34" s="432" t="str">
        <f>IF(LEN(VLOOKUP(AA28,suvaha!$D$8:$H$158,3,FALSE))&lt;10,"",LEFT(RIGHT(VLOOKUP(AA28,suvaha!$D$8:$H$158,3,FALSE),10),1))</f>
        <v/>
      </c>
      <c r="AH34" s="434"/>
      <c r="AI34" s="432" t="str">
        <f>IF(LEN(VLOOKUP(AA28,suvaha!$D$8:$H$158,3,FALSE))&lt;9,"",LEFT(RIGHT(VLOOKUP(AA28,suvaha!$D$8:$H$158,3,FALSE),9),1))</f>
        <v/>
      </c>
      <c r="AJ34" s="255"/>
      <c r="AK34" s="432" t="str">
        <f>IF(LEN(VLOOKUP(AA28,suvaha!$D$8:$H$158,3,FALSE))&lt;8,"",LEFT(RIGHT(VLOOKUP(AA28,suvaha!$D$8:$H$158,3,FALSE),8),1))</f>
        <v/>
      </c>
      <c r="AL34" s="434"/>
      <c r="AM34" s="432" t="str">
        <f>IF(LEN(VLOOKUP(AA28,suvaha!$D$8:$H$158,3,FALSE))&lt;7,"",LEFT(RIGHT(VLOOKUP(AA28,suvaha!$D$8:$H$158,3,FALSE),7),1))</f>
        <v/>
      </c>
      <c r="AN34" s="818"/>
      <c r="AO34" s="432" t="str">
        <f>IF(LEN(VLOOKUP(AA28,suvaha!$D$8:$H$158,3,FALSE))&lt;6,"",LEFT(RIGHT(VLOOKUP(AA28,suvaha!$D$8:$H$158,3,FALSE),6),1))</f>
        <v/>
      </c>
      <c r="AP34" s="434"/>
      <c r="AQ34" s="432" t="str">
        <f>IF(LEN(VLOOKUP(AA28,suvaha!$D$8:$H$158,3,FALSE))&lt;5,"",LEFT(RIGHT(VLOOKUP(AA28,suvaha!$D$8:$H$158,3,FALSE),5),1))</f>
        <v/>
      </c>
      <c r="AR34" s="434"/>
      <c r="AS34" s="432" t="str">
        <f>IF(LEN(VLOOKUP(AA28,suvaha!$D$8:$H$158,3,FALSE))&lt;4,"",LEFT(RIGHT(VLOOKUP(AA28,suvaha!$D$8:$H$158,3,FALSE),4),1))</f>
        <v/>
      </c>
      <c r="AT34" s="818"/>
      <c r="AU34" s="432" t="str">
        <f>IF(LEN(VLOOKUP(AA28,suvaha!$D$8:$H$158,3,FALSE))&lt;3,"",LEFT(RIGHT(VLOOKUP(AA28,suvaha!$D$8:$H$158,3,FALSE),3),1))</f>
        <v/>
      </c>
      <c r="AV34" s="434"/>
      <c r="AW34" s="432" t="str">
        <f>IF(LEN(VLOOKUP(AA28,suvaha!$D$8:$H$158,3,FALSE))&lt;2,"",LEFT(RIGHT(VLOOKUP(AA28,suvaha!$D$8:$H$158,3,FALSE),2),1))</f>
        <v/>
      </c>
      <c r="AX34" s="434"/>
      <c r="AY34" s="432" t="str">
        <f>IF(VLOOKUP(AA28,suvaha!$D$8:$H$85,3,FALSE)=0,"",IF(LEN(VLOOKUP(AA28,suvaha!$D$8:$H$158,3,FALSE))&lt;1,"",LEFT(RIGHT(VLOOKUP(AA28,suvaha!$D$8:$H$158,3,FALSE),1),1)))</f>
        <v/>
      </c>
      <c r="AZ34" s="827"/>
      <c r="BA34" s="448"/>
      <c r="BB34" s="442"/>
      <c r="BC34" s="442"/>
      <c r="BD34" s="442"/>
      <c r="BE34" s="442"/>
      <c r="BF34" s="442"/>
      <c r="BG34" s="442"/>
      <c r="BH34" s="442"/>
      <c r="BI34" s="442"/>
      <c r="BJ34" s="441"/>
      <c r="BK34" s="442"/>
      <c r="BL34" s="432" t="str">
        <f>IF(LEN(VLOOKUP(AA28,suvaha!$D$8:$H$158,5,FALSE))&lt;11,"",LEFT(RIGHT(VLOOKUP(AA28,suvaha!$D$8:$H$158,5,FALSE),11),1))</f>
        <v/>
      </c>
      <c r="BM34" s="255"/>
      <c r="BN34" s="432" t="str">
        <f>IF(LEN(VLOOKUP(AA28,suvaha!$D$8:$H$158,5,FALSE))&lt;10,"",LEFT(RIGHT(VLOOKUP(AA28,suvaha!$D$8:$H$158,5,FALSE),10),1))</f>
        <v/>
      </c>
      <c r="BO34" s="434"/>
      <c r="BP34" s="432" t="str">
        <f>IF(LEN(VLOOKUP(AA28,suvaha!$D$8:$H$158,5,FALSE))&lt;9,"",LEFT(RIGHT(VLOOKUP(AA28,suvaha!$D$8:$H$158,5,FALSE),9),1))</f>
        <v/>
      </c>
      <c r="BQ34" s="255"/>
      <c r="BR34" s="432" t="str">
        <f>IF(LEN(VLOOKUP(AA28,suvaha!$D$8:$H$158,5,FALSE))&lt;8,"",LEFT(RIGHT(VLOOKUP(AA28,suvaha!$D$8:$H$158,5,FALSE),8),1))</f>
        <v/>
      </c>
      <c r="BS34" s="434"/>
      <c r="BT34" s="432" t="str">
        <f>IF(LEN(VLOOKUP(AA28,suvaha!$D$8:$H$158,5,FALSE))&lt;7,"",LEFT(RIGHT(VLOOKUP(AA28,suvaha!$D$8:$H$158,5,FALSE),7),1))</f>
        <v/>
      </c>
      <c r="BU34" s="818"/>
      <c r="BV34" s="432" t="str">
        <f>IF(LEN(VLOOKUP(AA28,suvaha!$D$8:$H$158,5,FALSE))&lt;6,"",LEFT(RIGHT(VLOOKUP(AA28,suvaha!$D$8:$H$158,5,FALSE),6),1))</f>
        <v/>
      </c>
      <c r="BW34" s="434"/>
      <c r="BX34" s="432" t="str">
        <f>IF(LEN(VLOOKUP(AA28,suvaha!$D$8:$H$158,5,FALSE))&lt;5,"",LEFT(RIGHT(VLOOKUP(AA28,suvaha!$D$8:$H$158,5,FALSE),5),1))</f>
        <v/>
      </c>
      <c r="BY34" s="434"/>
      <c r="BZ34" s="432" t="str">
        <f>IF(LEN(VLOOKUP(AA28,suvaha!$D$8:$H$158,5,FALSE))&lt;4,"",LEFT(RIGHT(VLOOKUP(AA28,suvaha!$D$8:$H$158,5,FALSE),4),1))</f>
        <v/>
      </c>
      <c r="CA34" s="818"/>
      <c r="CB34" s="432" t="str">
        <f>IF(LEN(VLOOKUP(AA28,suvaha!$D$8:$H$158,5,FALSE))&lt;3,"",LEFT(RIGHT(VLOOKUP(AA28,suvaha!$D$8:$H$158,5,FALSE),3),1))</f>
        <v/>
      </c>
      <c r="CC34" s="434"/>
      <c r="CD34" s="432" t="str">
        <f>IF(LEN(VLOOKUP(AA28,suvaha!$D$8:$H$158,5,FALSE))&lt;2,"",LEFT(RIGHT(VLOOKUP(AA28,suvaha!$D$8:$H$158,5,FALSE),2),1))</f>
        <v/>
      </c>
      <c r="CE34" s="434"/>
      <c r="CF34" s="432" t="str">
        <f>IF(VLOOKUP(AA28,suvaha!$D$8:$H$85,5,FALSE)=0,"",IF(LEN(VLOOKUP(AA28,suvaha!$D$8:$H$158,5,FALSE))&lt;1,"",LEFT(RIGHT(VLOOKUP(AA28,suvaha!$D$8:$H$158,5,FALSE),1),1)))</f>
        <v/>
      </c>
      <c r="CG34" s="287"/>
      <c r="CH34" s="878"/>
    </row>
    <row r="35" spans="1:86" ht="3.75" customHeight="1">
      <c r="A35" s="220"/>
      <c r="B35" s="900"/>
      <c r="C35" s="900"/>
      <c r="D35" s="878"/>
      <c r="E35" s="877"/>
      <c r="F35" s="877"/>
      <c r="G35" s="862"/>
      <c r="H35" s="947"/>
      <c r="I35" s="947"/>
      <c r="J35" s="947"/>
      <c r="K35" s="947"/>
      <c r="L35" s="947"/>
      <c r="M35" s="947"/>
      <c r="N35" s="947"/>
      <c r="O35" s="947"/>
      <c r="P35" s="947"/>
      <c r="Q35" s="947"/>
      <c r="R35" s="947"/>
      <c r="S35" s="947"/>
      <c r="T35" s="947"/>
      <c r="U35" s="947"/>
      <c r="V35" s="947"/>
      <c r="W35" s="947"/>
      <c r="X35" s="947"/>
      <c r="Y35" s="947"/>
      <c r="Z35" s="947"/>
      <c r="AA35" s="866"/>
      <c r="AB35" s="866"/>
      <c r="AC35" s="866"/>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449"/>
      <c r="BB35" s="310"/>
      <c r="BC35" s="310"/>
      <c r="BD35" s="310"/>
      <c r="BE35" s="310"/>
      <c r="BF35" s="310"/>
      <c r="BG35" s="310"/>
      <c r="BH35" s="310"/>
      <c r="BI35" s="310"/>
      <c r="BJ35" s="443"/>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286"/>
      <c r="CH35" s="878"/>
    </row>
    <row r="36" spans="1:86" s="250" customFormat="1" ht="3" customHeight="1">
      <c r="A36" s="220"/>
      <c r="B36" s="900"/>
      <c r="C36" s="900"/>
      <c r="D36" s="878"/>
      <c r="E36" s="877" t="s">
        <v>1580</v>
      </c>
      <c r="F36" s="877"/>
      <c r="G36" s="862"/>
      <c r="H36" s="947" t="str">
        <f>Index!C83</f>
        <v>Poskytnuté preddavky na dlhodobý finančný majetok (053) - /095A/</v>
      </c>
      <c r="I36" s="947"/>
      <c r="J36" s="947"/>
      <c r="K36" s="947"/>
      <c r="L36" s="947"/>
      <c r="M36" s="947"/>
      <c r="N36" s="947"/>
      <c r="O36" s="947"/>
      <c r="P36" s="947"/>
      <c r="Q36" s="947"/>
      <c r="R36" s="947"/>
      <c r="S36" s="947"/>
      <c r="T36" s="947"/>
      <c r="U36" s="947"/>
      <c r="V36" s="947"/>
      <c r="W36" s="947"/>
      <c r="X36" s="947"/>
      <c r="Y36" s="947"/>
      <c r="Z36" s="947"/>
      <c r="AA36" s="866" t="s">
        <v>1581</v>
      </c>
      <c r="AB36" s="866"/>
      <c r="AC36" s="866"/>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67"/>
      <c r="BB36" s="867"/>
      <c r="BC36" s="867"/>
      <c r="BD36" s="867"/>
      <c r="BE36" s="867"/>
      <c r="BF36" s="867"/>
      <c r="BG36" s="867"/>
      <c r="BH36" s="867"/>
      <c r="BI36" s="867"/>
      <c r="BJ36" s="867"/>
      <c r="BK36" s="867"/>
      <c r="BL36" s="867"/>
      <c r="BM36" s="867"/>
      <c r="BN36" s="867"/>
      <c r="BO36" s="867"/>
      <c r="BP36" s="867"/>
      <c r="BQ36" s="867"/>
      <c r="BR36" s="304"/>
      <c r="BS36" s="304"/>
      <c r="BT36" s="304"/>
      <c r="BU36" s="304"/>
      <c r="BV36" s="304"/>
      <c r="BW36" s="446"/>
      <c r="BX36" s="304"/>
      <c r="BY36" s="304"/>
      <c r="BZ36" s="304"/>
      <c r="CA36" s="304"/>
      <c r="CB36" s="304"/>
      <c r="CC36" s="304"/>
      <c r="CD36" s="304"/>
      <c r="CE36" s="304"/>
      <c r="CF36" s="304"/>
      <c r="CG36" s="284"/>
      <c r="CH36" s="878"/>
    </row>
    <row r="37" spans="1:86" s="250" customFormat="1" ht="3" customHeight="1">
      <c r="A37" s="220"/>
      <c r="B37" s="900"/>
      <c r="C37" s="900"/>
      <c r="D37" s="878"/>
      <c r="E37" s="877"/>
      <c r="F37" s="877"/>
      <c r="G37" s="862"/>
      <c r="H37" s="947"/>
      <c r="I37" s="947"/>
      <c r="J37" s="947"/>
      <c r="K37" s="947"/>
      <c r="L37" s="947"/>
      <c r="M37" s="947"/>
      <c r="N37" s="947"/>
      <c r="O37" s="947"/>
      <c r="P37" s="947"/>
      <c r="Q37" s="947"/>
      <c r="R37" s="947"/>
      <c r="S37" s="947"/>
      <c r="T37" s="947"/>
      <c r="U37" s="947"/>
      <c r="V37" s="947"/>
      <c r="W37" s="947"/>
      <c r="X37" s="947"/>
      <c r="Y37" s="947"/>
      <c r="Z37" s="947"/>
      <c r="AA37" s="866"/>
      <c r="AB37" s="866"/>
      <c r="AC37" s="866"/>
      <c r="AD37" s="826"/>
      <c r="AE37" s="820"/>
      <c r="AF37" s="820"/>
      <c r="AG37" s="820"/>
      <c r="AH37" s="435"/>
      <c r="AI37" s="821"/>
      <c r="AJ37" s="821"/>
      <c r="AK37" s="821"/>
      <c r="AL37" s="821"/>
      <c r="AM37" s="821"/>
      <c r="AN37" s="818"/>
      <c r="AO37" s="822"/>
      <c r="AP37" s="822"/>
      <c r="AQ37" s="822"/>
      <c r="AR37" s="822"/>
      <c r="AS37" s="822"/>
      <c r="AT37" s="818"/>
      <c r="AU37" s="822"/>
      <c r="AV37" s="822"/>
      <c r="AW37" s="822"/>
      <c r="AX37" s="822"/>
      <c r="AY37" s="822"/>
      <c r="AZ37" s="827"/>
      <c r="BA37" s="826"/>
      <c r="BB37" s="820"/>
      <c r="BC37" s="820"/>
      <c r="BD37" s="820"/>
      <c r="BE37" s="435"/>
      <c r="BF37" s="821"/>
      <c r="BG37" s="821"/>
      <c r="BH37" s="821"/>
      <c r="BI37" s="821"/>
      <c r="BJ37" s="821"/>
      <c r="BK37" s="818"/>
      <c r="BL37" s="822"/>
      <c r="BM37" s="822"/>
      <c r="BN37" s="822"/>
      <c r="BO37" s="822"/>
      <c r="BP37" s="822"/>
      <c r="BQ37" s="818"/>
      <c r="BR37" s="822"/>
      <c r="BS37" s="822"/>
      <c r="BT37" s="822"/>
      <c r="BU37" s="822"/>
      <c r="BV37" s="822"/>
      <c r="BW37" s="441"/>
      <c r="BX37" s="442"/>
      <c r="BY37" s="442"/>
      <c r="BZ37" s="442"/>
      <c r="CA37" s="442"/>
      <c r="CB37" s="442"/>
      <c r="CC37" s="442"/>
      <c r="CD37" s="442"/>
      <c r="CE37" s="442"/>
      <c r="CF37" s="442"/>
      <c r="CG37" s="285"/>
      <c r="CH37" s="878"/>
    </row>
    <row r="38" spans="1:86" ht="15" customHeight="1">
      <c r="A38" s="220"/>
      <c r="B38" s="900"/>
      <c r="C38" s="900"/>
      <c r="D38" s="878"/>
      <c r="E38" s="877"/>
      <c r="F38" s="877"/>
      <c r="G38" s="862"/>
      <c r="H38" s="947"/>
      <c r="I38" s="947"/>
      <c r="J38" s="947"/>
      <c r="K38" s="947"/>
      <c r="L38" s="947"/>
      <c r="M38" s="947"/>
      <c r="N38" s="947"/>
      <c r="O38" s="947"/>
      <c r="P38" s="947"/>
      <c r="Q38" s="947"/>
      <c r="R38" s="947"/>
      <c r="S38" s="947"/>
      <c r="T38" s="947"/>
      <c r="U38" s="947"/>
      <c r="V38" s="947"/>
      <c r="W38" s="947"/>
      <c r="X38" s="947"/>
      <c r="Y38" s="947"/>
      <c r="Z38" s="947"/>
      <c r="AA38" s="866"/>
      <c r="AB38" s="866"/>
      <c r="AC38" s="866"/>
      <c r="AD38" s="826"/>
      <c r="AE38" s="432" t="str">
        <f>IF(LEN(VLOOKUP(AA36,suvaha!$D$8:$H$158,2,FALSE))&lt;11,"",LEFT(RIGHT(VLOOKUP(AA36,suvaha!$D$8:$H$158,2,FALSE),11),1))</f>
        <v/>
      </c>
      <c r="AF38" s="255"/>
      <c r="AG38" s="432" t="str">
        <f>IF(LEN(VLOOKUP(AA36,suvaha!$D$8:$H$158,2,FALSE))&lt;10,"",LEFT(RIGHT(VLOOKUP(AA36,suvaha!$D$8:$H$158,2,FALSE),10),1))</f>
        <v/>
      </c>
      <c r="AH38" s="434"/>
      <c r="AI38" s="432" t="str">
        <f>IF(LEN(VLOOKUP(AA36,suvaha!$D$8:$H$158,2,FALSE))&lt;9,"",LEFT(RIGHT(VLOOKUP(AA36,suvaha!$D$8:$H$158,2,FALSE),9),1))</f>
        <v/>
      </c>
      <c r="AJ38" s="255"/>
      <c r="AK38" s="432" t="str">
        <f>IF(LEN(VLOOKUP(AA36,suvaha!$D$8:$H$158,2,FALSE))&lt;8,"",LEFT(RIGHT(VLOOKUP(AA36,suvaha!$D$8:$H$158,2,FALSE),8),1))</f>
        <v/>
      </c>
      <c r="AL38" s="434"/>
      <c r="AM38" s="432" t="str">
        <f>IF(LEN(VLOOKUP(AA36,suvaha!$D$8:$H$158,2,FALSE))&lt;7,"",LEFT(RIGHT(VLOOKUP(AA36,suvaha!$D$8:$H$158,2,FALSE),7),1))</f>
        <v/>
      </c>
      <c r="AN38" s="818"/>
      <c r="AO38" s="432" t="str">
        <f>IF(LEN(VLOOKUP(AA36,suvaha!$D$8:$H$158,2,FALSE))&lt;6,"",LEFT(RIGHT(VLOOKUP(AA36,suvaha!$D$8:$H$158,2,FALSE),6),1))</f>
        <v/>
      </c>
      <c r="AP38" s="434"/>
      <c r="AQ38" s="432" t="str">
        <f>IF(LEN(VLOOKUP(AA36,suvaha!$D$8:$H$158,2,FALSE))&lt;5,"",LEFT(RIGHT(VLOOKUP(AA36,suvaha!$D$8:$H$158,2,FALSE),5),1))</f>
        <v/>
      </c>
      <c r="AR38" s="434"/>
      <c r="AS38" s="432" t="str">
        <f>IF(LEN(VLOOKUP(AA36,suvaha!$D$8:$H$158,2,FALSE))&lt;4,"",LEFT(RIGHT(VLOOKUP(AA36,suvaha!$D$8:$H$158,2,FALSE),4),1))</f>
        <v/>
      </c>
      <c r="AT38" s="818"/>
      <c r="AU38" s="432" t="str">
        <f>IF(LEN(VLOOKUP(AA36,suvaha!$D$8:$H$158,2,FALSE))&lt;3,"",LEFT(RIGHT(VLOOKUP(AA36,suvaha!$D$8:$H$158,2,FALSE),3),1))</f>
        <v/>
      </c>
      <c r="AV38" s="434"/>
      <c r="AW38" s="432" t="str">
        <f>IF(LEN(VLOOKUP(AA36,suvaha!$D$8:$H$158,2,FALSE))&lt;2,"",LEFT(RIGHT(VLOOKUP(AA36,suvaha!$D$8:$H$158,2,FALSE),2),1))</f>
        <v/>
      </c>
      <c r="AX38" s="434"/>
      <c r="AY38" s="432" t="str">
        <f>IF(VLOOKUP(AA36,suvaha!$D$8:$H$85,2,FALSE)=0,"",IF(LEN(VLOOKUP(AA36,suvaha!$D$8:$H$158,2,FALSE))&lt;1,"",LEFT(RIGHT(VLOOKUP(AA36,suvaha!$D$8:$H$158,2,FALSE),1),1)))</f>
        <v/>
      </c>
      <c r="AZ38" s="827"/>
      <c r="BA38" s="826"/>
      <c r="BB38" s="432" t="str">
        <f>IF(LEN(VLOOKUP(AA36,suvaha!$D$8:$H$158,4,FALSE))&lt;11,"",LEFT(RIGHT(VLOOKUP(AA36,suvaha!$D$8:$H$158,4,FALSE),11),1))</f>
        <v/>
      </c>
      <c r="BC38" s="255"/>
      <c r="BD38" s="432" t="str">
        <f>IF(LEN(VLOOKUP(AA36,suvaha!$D$8:$H$158,4,FALSE))&lt;10,"",LEFT(RIGHT(VLOOKUP(AA36,suvaha!$D$8:$H$158,4,FALSE),10),1))</f>
        <v/>
      </c>
      <c r="BE38" s="434"/>
      <c r="BF38" s="432" t="str">
        <f>IF(LEN(VLOOKUP(AA36,suvaha!$D$8:$H$158,4,FALSE))&lt;9,"",LEFT(RIGHT(VLOOKUP(AA36,suvaha!$D$8:$H$158,4,FALSE),9),1))</f>
        <v/>
      </c>
      <c r="BG38" s="255"/>
      <c r="BH38" s="432" t="str">
        <f>IF(LEN(VLOOKUP(AA36,suvaha!$D$8:$H$158,4,FALSE))&lt;8,"",LEFT(RIGHT(VLOOKUP(AA36,suvaha!$D$8:$H$158,4,FALSE),8),1))</f>
        <v/>
      </c>
      <c r="BI38" s="434"/>
      <c r="BJ38" s="432" t="str">
        <f>IF(LEN(VLOOKUP(AA36,suvaha!$D$8:$H$158,4,FALSE))&lt;7,"",LEFT(RIGHT(VLOOKUP(AA36,suvaha!$D$8:$H$158,4,FALSE),7),1))</f>
        <v/>
      </c>
      <c r="BK38" s="818"/>
      <c r="BL38" s="432" t="str">
        <f>IF(LEN(VLOOKUP(AA36,suvaha!$D$8:$H$158,4,FALSE))&lt;6,"",LEFT(RIGHT(VLOOKUP(AA36,suvaha!$D$8:$H$158,4,FALSE),6),1))</f>
        <v/>
      </c>
      <c r="BM38" s="434"/>
      <c r="BN38" s="432" t="str">
        <f>IF(LEN(VLOOKUP(AA36,suvaha!$D$8:$H$158,4,FALSE))&lt;5,"",LEFT(RIGHT(VLOOKUP(AA36,suvaha!$D$8:$H$158,4,FALSE),5),1))</f>
        <v/>
      </c>
      <c r="BO38" s="434"/>
      <c r="BP38" s="432" t="str">
        <f>IF(LEN(VLOOKUP(AA36,suvaha!$D$8:$H$158,4,FALSE))&lt;4,"",LEFT(RIGHT(VLOOKUP(AA36,suvaha!$D$8:$H$158,4,FALSE),4),1))</f>
        <v/>
      </c>
      <c r="BQ38" s="818"/>
      <c r="BR38" s="432" t="str">
        <f>IF(LEN(VLOOKUP(AA36,suvaha!$D$8:$H$158,4,FALSE))&lt;3,"",LEFT(RIGHT(VLOOKUP(AA36,suvaha!$D$8:$H$158,4,FALSE),3),1))</f>
        <v/>
      </c>
      <c r="BS38" s="434"/>
      <c r="BT38" s="432" t="str">
        <f>IF(LEN(VLOOKUP(AA36,suvaha!$D$8:$H$158,4,FALSE))&lt;2,"",LEFT(RIGHT(VLOOKUP(AA36,suvaha!$D$8:$H$158,4,FALSE),2),1))</f>
        <v/>
      </c>
      <c r="BU38" s="434"/>
      <c r="BV38" s="432" t="str">
        <f>IF(VLOOKUP(AA36,suvaha!$D$8:$H$85,4,FALSE)=0,"",IF(LEN(VLOOKUP(AA36,suvaha!$D$8:$H$158,4,FALSE))&lt;1,"",LEFT(RIGHT(VLOOKUP(AA36,suvaha!$D$8:$H$158,4,FALSE),1),1)))</f>
        <v/>
      </c>
      <c r="BW38" s="441"/>
      <c r="BX38" s="442"/>
      <c r="BY38" s="442"/>
      <c r="BZ38" s="442"/>
      <c r="CA38" s="442"/>
      <c r="CB38" s="442"/>
      <c r="CC38" s="442"/>
      <c r="CD38" s="442"/>
      <c r="CE38" s="442"/>
      <c r="CF38" s="442"/>
      <c r="CG38" s="285"/>
      <c r="CH38" s="878"/>
    </row>
    <row r="39" spans="1:86" ht="2.25" customHeight="1">
      <c r="A39" s="220"/>
      <c r="B39" s="900"/>
      <c r="C39" s="900"/>
      <c r="D39" s="878"/>
      <c r="E39" s="877"/>
      <c r="F39" s="877"/>
      <c r="G39" s="862"/>
      <c r="H39" s="947"/>
      <c r="I39" s="947"/>
      <c r="J39" s="947"/>
      <c r="K39" s="947"/>
      <c r="L39" s="947"/>
      <c r="M39" s="947"/>
      <c r="N39" s="947"/>
      <c r="O39" s="947"/>
      <c r="P39" s="947"/>
      <c r="Q39" s="947"/>
      <c r="R39" s="947"/>
      <c r="S39" s="947"/>
      <c r="T39" s="947"/>
      <c r="U39" s="947"/>
      <c r="V39" s="947"/>
      <c r="W39" s="947"/>
      <c r="X39" s="947"/>
      <c r="Y39" s="947"/>
      <c r="Z39" s="947"/>
      <c r="AA39" s="866"/>
      <c r="AB39" s="866"/>
      <c r="AC39" s="866"/>
      <c r="AD39" s="845"/>
      <c r="AE39" s="845"/>
      <c r="AF39" s="845"/>
      <c r="AG39" s="845"/>
      <c r="AH39" s="845"/>
      <c r="AI39" s="845"/>
      <c r="AJ39" s="845"/>
      <c r="AK39" s="845"/>
      <c r="AL39" s="845"/>
      <c r="AM39" s="845"/>
      <c r="AN39" s="845"/>
      <c r="AO39" s="845"/>
      <c r="AP39" s="845"/>
      <c r="AQ39" s="845"/>
      <c r="AR39" s="845"/>
      <c r="AS39" s="845"/>
      <c r="AT39" s="845"/>
      <c r="AU39" s="845"/>
      <c r="AV39" s="845"/>
      <c r="AW39" s="845"/>
      <c r="AX39" s="845"/>
      <c r="AY39" s="845"/>
      <c r="AZ39" s="845"/>
      <c r="BA39" s="846"/>
      <c r="BB39" s="846"/>
      <c r="BC39" s="846"/>
      <c r="BD39" s="846"/>
      <c r="BE39" s="846"/>
      <c r="BF39" s="846"/>
      <c r="BG39" s="846"/>
      <c r="BH39" s="846"/>
      <c r="BI39" s="846"/>
      <c r="BJ39" s="846"/>
      <c r="BK39" s="846"/>
      <c r="BL39" s="846"/>
      <c r="BM39" s="846"/>
      <c r="BN39" s="846"/>
      <c r="BO39" s="846"/>
      <c r="BP39" s="846"/>
      <c r="BQ39" s="846"/>
      <c r="BR39" s="310"/>
      <c r="BS39" s="310"/>
      <c r="BT39" s="310"/>
      <c r="BU39" s="310"/>
      <c r="BV39" s="310"/>
      <c r="BW39" s="443"/>
      <c r="BX39" s="310"/>
      <c r="BY39" s="310"/>
      <c r="BZ39" s="310"/>
      <c r="CA39" s="310"/>
      <c r="CB39" s="310"/>
      <c r="CC39" s="310"/>
      <c r="CD39" s="310"/>
      <c r="CE39" s="310"/>
      <c r="CF39" s="310"/>
      <c r="CG39" s="286"/>
      <c r="CH39" s="878"/>
    </row>
    <row r="40" spans="1:86" ht="2.25" customHeight="1">
      <c r="A40" s="220"/>
      <c r="B40" s="900"/>
      <c r="C40" s="900"/>
      <c r="D40" s="878"/>
      <c r="E40" s="877"/>
      <c r="F40" s="877"/>
      <c r="G40" s="862"/>
      <c r="H40" s="947"/>
      <c r="I40" s="947"/>
      <c r="J40" s="947"/>
      <c r="K40" s="947"/>
      <c r="L40" s="947"/>
      <c r="M40" s="947"/>
      <c r="N40" s="947"/>
      <c r="O40" s="947"/>
      <c r="P40" s="947"/>
      <c r="Q40" s="947"/>
      <c r="R40" s="947"/>
      <c r="S40" s="947"/>
      <c r="T40" s="947"/>
      <c r="U40" s="947"/>
      <c r="V40" s="947"/>
      <c r="W40" s="947"/>
      <c r="X40" s="947"/>
      <c r="Y40" s="947"/>
      <c r="Z40" s="947"/>
      <c r="AA40" s="866"/>
      <c r="AB40" s="866"/>
      <c r="AC40" s="866"/>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447"/>
      <c r="BB40" s="304"/>
      <c r="BC40" s="304"/>
      <c r="BD40" s="304"/>
      <c r="BE40" s="304"/>
      <c r="BF40" s="304"/>
      <c r="BG40" s="304"/>
      <c r="BH40" s="304"/>
      <c r="BI40" s="304"/>
      <c r="BJ40" s="446"/>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284"/>
      <c r="CH40" s="878"/>
    </row>
    <row r="41" spans="1:86" ht="2.25" customHeight="1">
      <c r="A41" s="220"/>
      <c r="B41" s="900"/>
      <c r="C41" s="900"/>
      <c r="D41" s="878"/>
      <c r="E41" s="877"/>
      <c r="F41" s="877"/>
      <c r="G41" s="862"/>
      <c r="H41" s="947"/>
      <c r="I41" s="947"/>
      <c r="J41" s="947"/>
      <c r="K41" s="947"/>
      <c r="L41" s="947"/>
      <c r="M41" s="947"/>
      <c r="N41" s="947"/>
      <c r="O41" s="947"/>
      <c r="P41" s="947"/>
      <c r="Q41" s="947"/>
      <c r="R41" s="947"/>
      <c r="S41" s="947"/>
      <c r="T41" s="947"/>
      <c r="U41" s="947"/>
      <c r="V41" s="947"/>
      <c r="W41" s="947"/>
      <c r="X41" s="947"/>
      <c r="Y41" s="947"/>
      <c r="Z41" s="947"/>
      <c r="AA41" s="866"/>
      <c r="AB41" s="866"/>
      <c r="AC41" s="866"/>
      <c r="AD41" s="826"/>
      <c r="AE41" s="820"/>
      <c r="AF41" s="820"/>
      <c r="AG41" s="820"/>
      <c r="AH41" s="435"/>
      <c r="AI41" s="821"/>
      <c r="AJ41" s="821"/>
      <c r="AK41" s="821"/>
      <c r="AL41" s="821"/>
      <c r="AM41" s="821"/>
      <c r="AN41" s="818"/>
      <c r="AO41" s="822"/>
      <c r="AP41" s="822"/>
      <c r="AQ41" s="822"/>
      <c r="AR41" s="822"/>
      <c r="AS41" s="822"/>
      <c r="AT41" s="818"/>
      <c r="AU41" s="822"/>
      <c r="AV41" s="822"/>
      <c r="AW41" s="822"/>
      <c r="AX41" s="822"/>
      <c r="AY41" s="822"/>
      <c r="AZ41" s="827"/>
      <c r="BA41" s="448"/>
      <c r="BB41" s="442"/>
      <c r="BC41" s="442"/>
      <c r="BD41" s="442"/>
      <c r="BE41" s="442"/>
      <c r="BF41" s="442"/>
      <c r="BG41" s="442"/>
      <c r="BH41" s="442"/>
      <c r="BI41" s="442"/>
      <c r="BJ41" s="441"/>
      <c r="BK41" s="442"/>
      <c r="BL41" s="820"/>
      <c r="BM41" s="820"/>
      <c r="BN41" s="820"/>
      <c r="BO41" s="435"/>
      <c r="BP41" s="821"/>
      <c r="BQ41" s="821"/>
      <c r="BR41" s="821"/>
      <c r="BS41" s="821"/>
      <c r="BT41" s="821"/>
      <c r="BU41" s="818"/>
      <c r="BV41" s="822"/>
      <c r="BW41" s="822"/>
      <c r="BX41" s="822"/>
      <c r="BY41" s="822"/>
      <c r="BZ41" s="822"/>
      <c r="CA41" s="818"/>
      <c r="CB41" s="822"/>
      <c r="CC41" s="822"/>
      <c r="CD41" s="822"/>
      <c r="CE41" s="822"/>
      <c r="CF41" s="822"/>
      <c r="CG41" s="287"/>
      <c r="CH41" s="878"/>
    </row>
    <row r="42" spans="1:86" ht="15.75" customHeight="1">
      <c r="A42" s="220"/>
      <c r="B42" s="900"/>
      <c r="C42" s="900"/>
      <c r="D42" s="878"/>
      <c r="E42" s="877"/>
      <c r="F42" s="877"/>
      <c r="G42" s="862"/>
      <c r="H42" s="947"/>
      <c r="I42" s="947"/>
      <c r="J42" s="947"/>
      <c r="K42" s="947"/>
      <c r="L42" s="947"/>
      <c r="M42" s="947"/>
      <c r="N42" s="947"/>
      <c r="O42" s="947"/>
      <c r="P42" s="947"/>
      <c r="Q42" s="947"/>
      <c r="R42" s="947"/>
      <c r="S42" s="947"/>
      <c r="T42" s="947"/>
      <c r="U42" s="947"/>
      <c r="V42" s="947"/>
      <c r="W42" s="947"/>
      <c r="X42" s="947"/>
      <c r="Y42" s="947"/>
      <c r="Z42" s="947"/>
      <c r="AA42" s="866"/>
      <c r="AB42" s="866"/>
      <c r="AC42" s="866"/>
      <c r="AD42" s="826"/>
      <c r="AE42" s="432" t="str">
        <f>IF(LEN(VLOOKUP(AA36,suvaha!$D$8:$H$158,3,FALSE))&lt;11,"",LEFT(RIGHT(VLOOKUP(AA36,suvaha!$D$8:$H$158,3,FALSE),11),1))</f>
        <v/>
      </c>
      <c r="AF42" s="255"/>
      <c r="AG42" s="432" t="str">
        <f>IF(LEN(VLOOKUP(AA36,suvaha!$D$8:$H$158,3,FALSE))&lt;10,"",LEFT(RIGHT(VLOOKUP(AA36,suvaha!$D$8:$H$158,3,FALSE),10),1))</f>
        <v/>
      </c>
      <c r="AH42" s="434"/>
      <c r="AI42" s="432" t="str">
        <f>IF(LEN(VLOOKUP(AA36,suvaha!$D$8:$H$158,3,FALSE))&lt;9,"",LEFT(RIGHT(VLOOKUP(AA36,suvaha!$D$8:$H$158,3,FALSE),9),1))</f>
        <v/>
      </c>
      <c r="AJ42" s="255"/>
      <c r="AK42" s="432" t="str">
        <f>IF(LEN(VLOOKUP(AA36,suvaha!$D$8:$H$158,3,FALSE))&lt;8,"",LEFT(RIGHT(VLOOKUP(AA36,suvaha!$D$8:$H$158,3,FALSE),8),1))</f>
        <v/>
      </c>
      <c r="AL42" s="434"/>
      <c r="AM42" s="432" t="str">
        <f>IF(LEN(VLOOKUP(AA36,suvaha!$D$8:$H$158,3,FALSE))&lt;7,"",LEFT(RIGHT(VLOOKUP(AA36,suvaha!$D$8:$H$158,3,FALSE),7),1))</f>
        <v/>
      </c>
      <c r="AN42" s="818"/>
      <c r="AO42" s="432" t="str">
        <f>IF(LEN(VLOOKUP(AA36,suvaha!$D$8:$H$158,3,FALSE))&lt;6,"",LEFT(RIGHT(VLOOKUP(AA36,suvaha!$D$8:$H$158,3,FALSE),6),1))</f>
        <v/>
      </c>
      <c r="AP42" s="434"/>
      <c r="AQ42" s="432" t="str">
        <f>IF(LEN(VLOOKUP(AA36,suvaha!$D$8:$H$158,3,FALSE))&lt;5,"",LEFT(RIGHT(VLOOKUP(AA36,suvaha!$D$8:$H$158,3,FALSE),5),1))</f>
        <v/>
      </c>
      <c r="AR42" s="434"/>
      <c r="AS42" s="432" t="str">
        <f>IF(LEN(VLOOKUP(AA36,suvaha!$D$8:$H$158,3,FALSE))&lt;4,"",LEFT(RIGHT(VLOOKUP(AA36,suvaha!$D$8:$H$158,3,FALSE),4),1))</f>
        <v/>
      </c>
      <c r="AT42" s="818"/>
      <c r="AU42" s="432" t="str">
        <f>IF(LEN(VLOOKUP(AA36,suvaha!$D$8:$H$158,3,FALSE))&lt;3,"",LEFT(RIGHT(VLOOKUP(AA36,suvaha!$D$8:$H$158,3,FALSE),3),1))</f>
        <v/>
      </c>
      <c r="AV42" s="434"/>
      <c r="AW42" s="432" t="str">
        <f>IF(LEN(VLOOKUP(AA36,suvaha!$D$8:$H$158,3,FALSE))&lt;2,"",LEFT(RIGHT(VLOOKUP(AA36,suvaha!$D$8:$H$158,3,FALSE),2),1))</f>
        <v/>
      </c>
      <c r="AX42" s="434"/>
      <c r="AY42" s="432" t="str">
        <f>IF(VLOOKUP(AA36,suvaha!$D$8:$H$85,3,FALSE)=0,"",IF(LEN(VLOOKUP(AA36,suvaha!$D$8:$H$158,3,FALSE))&lt;1,"",LEFT(RIGHT(VLOOKUP(AA36,suvaha!$D$8:$H$158,3,FALSE),1),1)))</f>
        <v/>
      </c>
      <c r="AZ42" s="827"/>
      <c r="BA42" s="448"/>
      <c r="BB42" s="442"/>
      <c r="BC42" s="442"/>
      <c r="BD42" s="442"/>
      <c r="BE42" s="442"/>
      <c r="BF42" s="442"/>
      <c r="BG42" s="442"/>
      <c r="BH42" s="442"/>
      <c r="BI42" s="442"/>
      <c r="BJ42" s="441"/>
      <c r="BK42" s="442"/>
      <c r="BL42" s="432" t="str">
        <f>IF(LEN(VLOOKUP(AA36,suvaha!$D$8:$H$158,5,FALSE))&lt;11,"",LEFT(RIGHT(VLOOKUP(AA36,suvaha!$D$8:$H$158,5,FALSE),11),1))</f>
        <v/>
      </c>
      <c r="BM42" s="255"/>
      <c r="BN42" s="432" t="str">
        <f>IF(LEN(VLOOKUP(AA36,suvaha!$D$8:$H$158,5,FALSE))&lt;10,"",LEFT(RIGHT(VLOOKUP(AA36,suvaha!$D$8:$H$158,5,FALSE),10),1))</f>
        <v/>
      </c>
      <c r="BO42" s="434"/>
      <c r="BP42" s="432" t="str">
        <f>IF(LEN(VLOOKUP(AA36,suvaha!$D$8:$H$158,5,FALSE))&lt;9,"",LEFT(RIGHT(VLOOKUP(AA36,suvaha!$D$8:$H$158,5,FALSE),9),1))</f>
        <v/>
      </c>
      <c r="BQ42" s="255"/>
      <c r="BR42" s="432" t="str">
        <f>IF(LEN(VLOOKUP(AA36,suvaha!$D$8:$H$158,5,FALSE))&lt;8,"",LEFT(RIGHT(VLOOKUP(AA36,suvaha!$D$8:$H$158,5,FALSE),8),1))</f>
        <v/>
      </c>
      <c r="BS42" s="434"/>
      <c r="BT42" s="432" t="str">
        <f>IF(LEN(VLOOKUP(AA36,suvaha!$D$8:$H$158,5,FALSE))&lt;7,"",LEFT(RIGHT(VLOOKUP(AA36,suvaha!$D$8:$H$158,5,FALSE),7),1))</f>
        <v/>
      </c>
      <c r="BU42" s="818"/>
      <c r="BV42" s="432" t="str">
        <f>IF(LEN(VLOOKUP(AA36,suvaha!$D$8:$H$158,5,FALSE))&lt;6,"",LEFT(RIGHT(VLOOKUP(AA36,suvaha!$D$8:$H$158,5,FALSE),6),1))</f>
        <v/>
      </c>
      <c r="BW42" s="434"/>
      <c r="BX42" s="432" t="str">
        <f>IF(LEN(VLOOKUP(AA36,suvaha!$D$8:$H$158,5,FALSE))&lt;5,"",LEFT(RIGHT(VLOOKUP(AA36,suvaha!$D$8:$H$158,5,FALSE),5),1))</f>
        <v/>
      </c>
      <c r="BY42" s="434"/>
      <c r="BZ42" s="432" t="str">
        <f>IF(LEN(VLOOKUP(AA36,suvaha!$D$8:$H$158,5,FALSE))&lt;4,"",LEFT(RIGHT(VLOOKUP(AA36,suvaha!$D$8:$H$158,5,FALSE),4),1))</f>
        <v/>
      </c>
      <c r="CA42" s="818"/>
      <c r="CB42" s="432" t="str">
        <f>IF(LEN(VLOOKUP(AA36,suvaha!$D$8:$H$158,5,FALSE))&lt;3,"",LEFT(RIGHT(VLOOKUP(AA36,suvaha!$D$8:$H$158,5,FALSE),3),1))</f>
        <v/>
      </c>
      <c r="CC42" s="434"/>
      <c r="CD42" s="432" t="str">
        <f>IF(LEN(VLOOKUP(AA36,suvaha!$D$8:$H$158,5,FALSE))&lt;2,"",LEFT(RIGHT(VLOOKUP(AA36,suvaha!$D$8:$H$158,5,FALSE),2),1))</f>
        <v/>
      </c>
      <c r="CE42" s="434"/>
      <c r="CF42" s="432" t="str">
        <f>IF(VLOOKUP(AA36,suvaha!$D$8:$H$85,5,FALSE)=0,"",IF(LEN(VLOOKUP(AA36,suvaha!$D$8:$H$158,5,FALSE))&lt;1,"",LEFT(RIGHT(VLOOKUP(AA36,suvaha!$D$8:$H$158,5,FALSE),1),1)))</f>
        <v/>
      </c>
      <c r="CG42" s="287"/>
      <c r="CH42" s="878"/>
    </row>
    <row r="43" spans="1:86" ht="3.75" customHeight="1">
      <c r="A43" s="220"/>
      <c r="B43" s="900"/>
      <c r="C43" s="900"/>
      <c r="D43" s="878"/>
      <c r="E43" s="877"/>
      <c r="F43" s="877"/>
      <c r="G43" s="862"/>
      <c r="H43" s="947"/>
      <c r="I43" s="947"/>
      <c r="J43" s="947"/>
      <c r="K43" s="947"/>
      <c r="L43" s="947"/>
      <c r="M43" s="947"/>
      <c r="N43" s="947"/>
      <c r="O43" s="947"/>
      <c r="P43" s="947"/>
      <c r="Q43" s="947"/>
      <c r="R43" s="947"/>
      <c r="S43" s="947"/>
      <c r="T43" s="947"/>
      <c r="U43" s="947"/>
      <c r="V43" s="947"/>
      <c r="W43" s="947"/>
      <c r="X43" s="947"/>
      <c r="Y43" s="947"/>
      <c r="Z43" s="947"/>
      <c r="AA43" s="866"/>
      <c r="AB43" s="866"/>
      <c r="AC43" s="866"/>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449"/>
      <c r="BB43" s="310"/>
      <c r="BC43" s="310"/>
      <c r="BD43" s="310"/>
      <c r="BE43" s="310"/>
      <c r="BF43" s="310"/>
      <c r="BG43" s="310"/>
      <c r="BH43" s="310"/>
      <c r="BI43" s="310"/>
      <c r="BJ43" s="443"/>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286"/>
      <c r="CH43" s="878"/>
    </row>
    <row r="44" spans="1:86" s="250" customFormat="1" ht="3" customHeight="1">
      <c r="A44" s="220"/>
      <c r="B44" s="900"/>
      <c r="C44" s="900"/>
      <c r="D44" s="878"/>
      <c r="E44" s="939" t="s">
        <v>536</v>
      </c>
      <c r="F44" s="939"/>
      <c r="G44" s="862"/>
      <c r="H44" s="874" t="str">
        <f>Index!C84</f>
        <v>Obežný majetok (r. 34 + r. 41 + r. 53 + r. 66 + r. 71)</v>
      </c>
      <c r="I44" s="874"/>
      <c r="J44" s="874"/>
      <c r="K44" s="874"/>
      <c r="L44" s="874"/>
      <c r="M44" s="874"/>
      <c r="N44" s="874"/>
      <c r="O44" s="874"/>
      <c r="P44" s="874"/>
      <c r="Q44" s="874"/>
      <c r="R44" s="874"/>
      <c r="S44" s="874"/>
      <c r="T44" s="874"/>
      <c r="U44" s="874"/>
      <c r="V44" s="874"/>
      <c r="W44" s="874"/>
      <c r="X44" s="874"/>
      <c r="Y44" s="874"/>
      <c r="Z44" s="874"/>
      <c r="AA44" s="875" t="s">
        <v>1582</v>
      </c>
      <c r="AB44" s="875"/>
      <c r="AC44" s="875"/>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67"/>
      <c r="BB44" s="867"/>
      <c r="BC44" s="867"/>
      <c r="BD44" s="867"/>
      <c r="BE44" s="867"/>
      <c r="BF44" s="867"/>
      <c r="BG44" s="867"/>
      <c r="BH44" s="867"/>
      <c r="BI44" s="867"/>
      <c r="BJ44" s="867"/>
      <c r="BK44" s="867"/>
      <c r="BL44" s="867"/>
      <c r="BM44" s="867"/>
      <c r="BN44" s="867"/>
      <c r="BO44" s="867"/>
      <c r="BP44" s="867"/>
      <c r="BQ44" s="867"/>
      <c r="BR44" s="304"/>
      <c r="BS44" s="304"/>
      <c r="BT44" s="304"/>
      <c r="BU44" s="304"/>
      <c r="BV44" s="304"/>
      <c r="BW44" s="446"/>
      <c r="BX44" s="304"/>
      <c r="BY44" s="304"/>
      <c r="BZ44" s="304"/>
      <c r="CA44" s="304"/>
      <c r="CB44" s="304"/>
      <c r="CC44" s="304"/>
      <c r="CD44" s="304"/>
      <c r="CE44" s="304"/>
      <c r="CF44" s="304"/>
      <c r="CG44" s="284"/>
      <c r="CH44" s="878"/>
    </row>
    <row r="45" spans="1:86" s="250" customFormat="1" ht="3" customHeight="1">
      <c r="A45" s="220"/>
      <c r="B45" s="900"/>
      <c r="C45" s="900"/>
      <c r="D45" s="878"/>
      <c r="E45" s="939"/>
      <c r="F45" s="939"/>
      <c r="G45" s="862"/>
      <c r="H45" s="874"/>
      <c r="I45" s="874"/>
      <c r="J45" s="874"/>
      <c r="K45" s="874"/>
      <c r="L45" s="874"/>
      <c r="M45" s="874"/>
      <c r="N45" s="874"/>
      <c r="O45" s="874"/>
      <c r="P45" s="874"/>
      <c r="Q45" s="874"/>
      <c r="R45" s="874"/>
      <c r="S45" s="874"/>
      <c r="T45" s="874"/>
      <c r="U45" s="874"/>
      <c r="V45" s="874"/>
      <c r="W45" s="874"/>
      <c r="X45" s="874"/>
      <c r="Y45" s="874"/>
      <c r="Z45" s="874"/>
      <c r="AA45" s="875"/>
      <c r="AB45" s="875"/>
      <c r="AC45" s="875"/>
      <c r="AD45" s="826"/>
      <c r="AE45" s="820"/>
      <c r="AF45" s="820"/>
      <c r="AG45" s="820"/>
      <c r="AH45" s="435"/>
      <c r="AI45" s="821"/>
      <c r="AJ45" s="821"/>
      <c r="AK45" s="821"/>
      <c r="AL45" s="821"/>
      <c r="AM45" s="821"/>
      <c r="AN45" s="818"/>
      <c r="AO45" s="822"/>
      <c r="AP45" s="822"/>
      <c r="AQ45" s="822"/>
      <c r="AR45" s="822"/>
      <c r="AS45" s="822"/>
      <c r="AT45" s="818"/>
      <c r="AU45" s="822"/>
      <c r="AV45" s="822"/>
      <c r="AW45" s="822"/>
      <c r="AX45" s="822"/>
      <c r="AY45" s="822"/>
      <c r="AZ45" s="827"/>
      <c r="BA45" s="826"/>
      <c r="BB45" s="820"/>
      <c r="BC45" s="820"/>
      <c r="BD45" s="820"/>
      <c r="BE45" s="435"/>
      <c r="BF45" s="821"/>
      <c r="BG45" s="821"/>
      <c r="BH45" s="821"/>
      <c r="BI45" s="821"/>
      <c r="BJ45" s="821"/>
      <c r="BK45" s="818"/>
      <c r="BL45" s="822"/>
      <c r="BM45" s="822"/>
      <c r="BN45" s="822"/>
      <c r="BO45" s="822"/>
      <c r="BP45" s="822"/>
      <c r="BQ45" s="818"/>
      <c r="BR45" s="822"/>
      <c r="BS45" s="822"/>
      <c r="BT45" s="822"/>
      <c r="BU45" s="822"/>
      <c r="BV45" s="822"/>
      <c r="BW45" s="441"/>
      <c r="BX45" s="442"/>
      <c r="BY45" s="442"/>
      <c r="BZ45" s="442"/>
      <c r="CA45" s="442"/>
      <c r="CB45" s="442"/>
      <c r="CC45" s="442"/>
      <c r="CD45" s="442"/>
      <c r="CE45" s="442"/>
      <c r="CF45" s="442"/>
      <c r="CG45" s="285"/>
      <c r="CH45" s="878"/>
    </row>
    <row r="46" spans="1:86" ht="15" customHeight="1">
      <c r="A46" s="220"/>
      <c r="B46" s="879"/>
      <c r="C46" s="879"/>
      <c r="D46" s="879"/>
      <c r="E46" s="939"/>
      <c r="F46" s="939"/>
      <c r="G46" s="862"/>
      <c r="H46" s="874"/>
      <c r="I46" s="874"/>
      <c r="J46" s="874"/>
      <c r="K46" s="874"/>
      <c r="L46" s="874"/>
      <c r="M46" s="874"/>
      <c r="N46" s="874"/>
      <c r="O46" s="874"/>
      <c r="P46" s="874"/>
      <c r="Q46" s="874"/>
      <c r="R46" s="874"/>
      <c r="S46" s="874"/>
      <c r="T46" s="874"/>
      <c r="U46" s="874"/>
      <c r="V46" s="874"/>
      <c r="W46" s="874"/>
      <c r="X46" s="874"/>
      <c r="Y46" s="874"/>
      <c r="Z46" s="874"/>
      <c r="AA46" s="875"/>
      <c r="AB46" s="875"/>
      <c r="AC46" s="875"/>
      <c r="AD46" s="826"/>
      <c r="AE46" s="432" t="str">
        <f>IF(LEN(VLOOKUP(AA44,suvaha!$D$8:$H$158,2,FALSE))&lt;11,"",LEFT(RIGHT(VLOOKUP(AA44,suvaha!$D$8:$H$158,2,FALSE),11),1))</f>
        <v/>
      </c>
      <c r="AF46" s="255"/>
      <c r="AG46" s="432" t="str">
        <f>IF(LEN(VLOOKUP(AA44,suvaha!$D$8:$H$158,2,FALSE))&lt;10,"",LEFT(RIGHT(VLOOKUP(AA44,suvaha!$D$8:$H$158,2,FALSE),10),1))</f>
        <v/>
      </c>
      <c r="AH46" s="434"/>
      <c r="AI46" s="432" t="str">
        <f>IF(LEN(VLOOKUP(AA44,suvaha!$D$8:$H$158,2,FALSE))&lt;9,"",LEFT(RIGHT(VLOOKUP(AA44,suvaha!$D$8:$H$158,2,FALSE),9),1))</f>
        <v/>
      </c>
      <c r="AJ46" s="255"/>
      <c r="AK46" s="432" t="str">
        <f>IF(LEN(VLOOKUP(AA44,suvaha!$D$8:$H$158,2,FALSE))&lt;8,"",LEFT(RIGHT(VLOOKUP(AA44,suvaha!$D$8:$H$158,2,FALSE),8),1))</f>
        <v>2</v>
      </c>
      <c r="AL46" s="434"/>
      <c r="AM46" s="432" t="str">
        <f>IF(LEN(VLOOKUP(AA44,suvaha!$D$8:$H$158,2,FALSE))&lt;7,"",LEFT(RIGHT(VLOOKUP(AA44,suvaha!$D$8:$H$158,2,FALSE),7),1))</f>
        <v>4</v>
      </c>
      <c r="AN46" s="818"/>
      <c r="AO46" s="432" t="str">
        <f>IF(LEN(VLOOKUP(AA44,suvaha!$D$8:$H$158,2,FALSE))&lt;6,"",LEFT(RIGHT(VLOOKUP(AA44,suvaha!$D$8:$H$158,2,FALSE),6),1))</f>
        <v>3</v>
      </c>
      <c r="AP46" s="434"/>
      <c r="AQ46" s="432" t="str">
        <f>IF(LEN(VLOOKUP(AA44,suvaha!$D$8:$H$158,2,FALSE))&lt;5,"",LEFT(RIGHT(VLOOKUP(AA44,suvaha!$D$8:$H$158,2,FALSE),5),1))</f>
        <v>9</v>
      </c>
      <c r="AR46" s="434"/>
      <c r="AS46" s="432" t="str">
        <f>IF(LEN(VLOOKUP(AA44,suvaha!$D$8:$H$158,2,FALSE))&lt;4,"",LEFT(RIGHT(VLOOKUP(AA44,suvaha!$D$8:$H$158,2,FALSE),4),1))</f>
        <v>2</v>
      </c>
      <c r="AT46" s="818"/>
      <c r="AU46" s="432" t="str">
        <f>IF(LEN(VLOOKUP(AA44,suvaha!$D$8:$H$158,2,FALSE))&lt;3,"",LEFT(RIGHT(VLOOKUP(AA44,suvaha!$D$8:$H$158,2,FALSE),3),1))</f>
        <v>6</v>
      </c>
      <c r="AV46" s="434"/>
      <c r="AW46" s="432" t="str">
        <f>IF(LEN(VLOOKUP(AA44,suvaha!$D$8:$H$158,2,FALSE))&lt;2,"",LEFT(RIGHT(VLOOKUP(AA44,suvaha!$D$8:$H$158,2,FALSE),2),1))</f>
        <v>4</v>
      </c>
      <c r="AX46" s="434"/>
      <c r="AY46" s="432" t="str">
        <f>IF(VLOOKUP(AA44,suvaha!$D$8:$H$85,2,FALSE)=0,"",IF(LEN(VLOOKUP(AA44,suvaha!$D$8:$H$158,2,FALSE))&lt;1,"",LEFT(RIGHT(VLOOKUP(AA44,suvaha!$D$8:$H$158,2,FALSE),1),1)))</f>
        <v>6</v>
      </c>
      <c r="AZ46" s="827"/>
      <c r="BA46" s="826"/>
      <c r="BB46" s="432" t="str">
        <f>IF(LEN(VLOOKUP(AA44,suvaha!$D$8:$H$158,4,FALSE))&lt;11,"",LEFT(RIGHT(VLOOKUP(AA44,suvaha!$D$8:$H$158,4,FALSE),11),1))</f>
        <v/>
      </c>
      <c r="BC46" s="255"/>
      <c r="BD46" s="432" t="str">
        <f>IF(LEN(VLOOKUP(AA44,suvaha!$D$8:$H$158,4,FALSE))&lt;10,"",LEFT(RIGHT(VLOOKUP(AA44,suvaha!$D$8:$H$158,4,FALSE),10),1))</f>
        <v/>
      </c>
      <c r="BE46" s="434"/>
      <c r="BF46" s="432" t="str">
        <f>IF(LEN(VLOOKUP(AA44,suvaha!$D$8:$H$158,4,FALSE))&lt;9,"",LEFT(RIGHT(VLOOKUP(AA44,suvaha!$D$8:$H$158,4,FALSE),9),1))</f>
        <v/>
      </c>
      <c r="BG46" s="255"/>
      <c r="BH46" s="432" t="str">
        <f>IF(LEN(VLOOKUP(AA44,suvaha!$D$8:$H$158,4,FALSE))&lt;8,"",LEFT(RIGHT(VLOOKUP(AA44,suvaha!$D$8:$H$158,4,FALSE),8),1))</f>
        <v>2</v>
      </c>
      <c r="BI46" s="434"/>
      <c r="BJ46" s="432" t="str">
        <f>IF(LEN(VLOOKUP(AA44,suvaha!$D$8:$H$158,4,FALSE))&lt;7,"",LEFT(RIGHT(VLOOKUP(AA44,suvaha!$D$8:$H$158,4,FALSE),7),1))</f>
        <v>2</v>
      </c>
      <c r="BK46" s="818"/>
      <c r="BL46" s="432" t="str">
        <f>IF(LEN(VLOOKUP(AA44,suvaha!$D$8:$H$158,4,FALSE))&lt;6,"",LEFT(RIGHT(VLOOKUP(AA44,suvaha!$D$8:$H$158,4,FALSE),6),1))</f>
        <v>4</v>
      </c>
      <c r="BM46" s="434"/>
      <c r="BN46" s="432" t="str">
        <f>IF(LEN(VLOOKUP(AA44,suvaha!$D$8:$H$158,4,FALSE))&lt;5,"",LEFT(RIGHT(VLOOKUP(AA44,suvaha!$D$8:$H$158,4,FALSE),5),1))</f>
        <v>2</v>
      </c>
      <c r="BO46" s="434"/>
      <c r="BP46" s="432" t="str">
        <f>IF(LEN(VLOOKUP(AA44,suvaha!$D$8:$H$158,4,FALSE))&lt;4,"",LEFT(RIGHT(VLOOKUP(AA44,suvaha!$D$8:$H$158,4,FALSE),4),1))</f>
        <v>4</v>
      </c>
      <c r="BQ46" s="818"/>
      <c r="BR46" s="432" t="str">
        <f>IF(LEN(VLOOKUP(AA44,suvaha!$D$8:$H$158,4,FALSE))&lt;3,"",LEFT(RIGHT(VLOOKUP(AA44,suvaha!$D$8:$H$158,4,FALSE),3),1))</f>
        <v>6</v>
      </c>
      <c r="BS46" s="434"/>
      <c r="BT46" s="432" t="str">
        <f>IF(LEN(VLOOKUP(AA44,suvaha!$D$8:$H$158,4,FALSE))&lt;2,"",LEFT(RIGHT(VLOOKUP(AA44,suvaha!$D$8:$H$158,4,FALSE),2),1))</f>
        <v>0</v>
      </c>
      <c r="BU46" s="434"/>
      <c r="BV46" s="432" t="str">
        <f>IF(VLOOKUP(AA44,suvaha!$D$8:$H$85,4,FALSE)=0,"",IF(LEN(VLOOKUP(AA44,suvaha!$D$8:$H$158,4,FALSE))&lt;1,"",LEFT(RIGHT(VLOOKUP(AA44,suvaha!$D$8:$H$158,4,FALSE),1),1)))</f>
        <v>8</v>
      </c>
      <c r="BW46" s="441"/>
      <c r="BX46" s="442"/>
      <c r="BY46" s="442"/>
      <c r="BZ46" s="442"/>
      <c r="CA46" s="442"/>
      <c r="CB46" s="442"/>
      <c r="CC46" s="442"/>
      <c r="CD46" s="442"/>
      <c r="CE46" s="442"/>
      <c r="CF46" s="442"/>
      <c r="CG46" s="285"/>
      <c r="CH46" s="878"/>
    </row>
    <row r="47" spans="1:86" ht="2.25" customHeight="1">
      <c r="A47" s="220"/>
      <c r="B47" s="879"/>
      <c r="C47" s="879"/>
      <c r="D47" s="879"/>
      <c r="E47" s="939"/>
      <c r="F47" s="939"/>
      <c r="G47" s="862"/>
      <c r="H47" s="874"/>
      <c r="I47" s="874"/>
      <c r="J47" s="874"/>
      <c r="K47" s="874"/>
      <c r="L47" s="874"/>
      <c r="M47" s="874"/>
      <c r="N47" s="874"/>
      <c r="O47" s="874"/>
      <c r="P47" s="874"/>
      <c r="Q47" s="874"/>
      <c r="R47" s="874"/>
      <c r="S47" s="874"/>
      <c r="T47" s="874"/>
      <c r="U47" s="874"/>
      <c r="V47" s="874"/>
      <c r="W47" s="874"/>
      <c r="X47" s="874"/>
      <c r="Y47" s="874"/>
      <c r="Z47" s="874"/>
      <c r="AA47" s="875"/>
      <c r="AB47" s="875"/>
      <c r="AC47" s="875"/>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6"/>
      <c r="BB47" s="846"/>
      <c r="BC47" s="846"/>
      <c r="BD47" s="846"/>
      <c r="BE47" s="846"/>
      <c r="BF47" s="846"/>
      <c r="BG47" s="846"/>
      <c r="BH47" s="846"/>
      <c r="BI47" s="846"/>
      <c r="BJ47" s="846"/>
      <c r="BK47" s="846"/>
      <c r="BL47" s="846"/>
      <c r="BM47" s="846"/>
      <c r="BN47" s="846"/>
      <c r="BO47" s="846"/>
      <c r="BP47" s="846"/>
      <c r="BQ47" s="846"/>
      <c r="BR47" s="310"/>
      <c r="BS47" s="310"/>
      <c r="BT47" s="310"/>
      <c r="BU47" s="310"/>
      <c r="BV47" s="310"/>
      <c r="BW47" s="443"/>
      <c r="BX47" s="310"/>
      <c r="BY47" s="310"/>
      <c r="BZ47" s="310"/>
      <c r="CA47" s="310"/>
      <c r="CB47" s="310"/>
      <c r="CC47" s="310"/>
      <c r="CD47" s="310"/>
      <c r="CE47" s="310"/>
      <c r="CF47" s="310"/>
      <c r="CG47" s="286"/>
      <c r="CH47" s="878"/>
    </row>
    <row r="48" spans="1:86" ht="2.25" customHeight="1">
      <c r="A48" s="220"/>
      <c r="B48" s="879"/>
      <c r="C48" s="879"/>
      <c r="D48" s="879"/>
      <c r="E48" s="939"/>
      <c r="F48" s="939"/>
      <c r="G48" s="862"/>
      <c r="H48" s="874"/>
      <c r="I48" s="874"/>
      <c r="J48" s="874"/>
      <c r="K48" s="874"/>
      <c r="L48" s="874"/>
      <c r="M48" s="874"/>
      <c r="N48" s="874"/>
      <c r="O48" s="874"/>
      <c r="P48" s="874"/>
      <c r="Q48" s="874"/>
      <c r="R48" s="874"/>
      <c r="S48" s="874"/>
      <c r="T48" s="874"/>
      <c r="U48" s="874"/>
      <c r="V48" s="874"/>
      <c r="W48" s="874"/>
      <c r="X48" s="874"/>
      <c r="Y48" s="874"/>
      <c r="Z48" s="874"/>
      <c r="AA48" s="875"/>
      <c r="AB48" s="875"/>
      <c r="AC48" s="875"/>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447"/>
      <c r="BB48" s="304"/>
      <c r="BC48" s="304"/>
      <c r="BD48" s="304"/>
      <c r="BE48" s="304"/>
      <c r="BF48" s="304"/>
      <c r="BG48" s="304"/>
      <c r="BH48" s="304"/>
      <c r="BI48" s="304"/>
      <c r="BJ48" s="446"/>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284"/>
      <c r="CH48" s="878"/>
    </row>
    <row r="49" spans="1:86" ht="2.25" customHeight="1">
      <c r="A49" s="220"/>
      <c r="B49" s="879"/>
      <c r="C49" s="879"/>
      <c r="D49" s="879"/>
      <c r="E49" s="939"/>
      <c r="F49" s="939"/>
      <c r="G49" s="862"/>
      <c r="H49" s="874"/>
      <c r="I49" s="874"/>
      <c r="J49" s="874"/>
      <c r="K49" s="874"/>
      <c r="L49" s="874"/>
      <c r="M49" s="874"/>
      <c r="N49" s="874"/>
      <c r="O49" s="874"/>
      <c r="P49" s="874"/>
      <c r="Q49" s="874"/>
      <c r="R49" s="874"/>
      <c r="S49" s="874"/>
      <c r="T49" s="874"/>
      <c r="U49" s="874"/>
      <c r="V49" s="874"/>
      <c r="W49" s="874"/>
      <c r="X49" s="874"/>
      <c r="Y49" s="874"/>
      <c r="Z49" s="874"/>
      <c r="AA49" s="875"/>
      <c r="AB49" s="875"/>
      <c r="AC49" s="875"/>
      <c r="AD49" s="826"/>
      <c r="AE49" s="820"/>
      <c r="AF49" s="820"/>
      <c r="AG49" s="820"/>
      <c r="AH49" s="435"/>
      <c r="AI49" s="821"/>
      <c r="AJ49" s="821"/>
      <c r="AK49" s="821"/>
      <c r="AL49" s="821"/>
      <c r="AM49" s="821"/>
      <c r="AN49" s="818"/>
      <c r="AO49" s="822"/>
      <c r="AP49" s="822"/>
      <c r="AQ49" s="822"/>
      <c r="AR49" s="822"/>
      <c r="AS49" s="822"/>
      <c r="AT49" s="818"/>
      <c r="AU49" s="822"/>
      <c r="AV49" s="822"/>
      <c r="AW49" s="822"/>
      <c r="AX49" s="822"/>
      <c r="AY49" s="822"/>
      <c r="AZ49" s="827"/>
      <c r="BA49" s="448"/>
      <c r="BB49" s="442"/>
      <c r="BC49" s="442"/>
      <c r="BD49" s="442"/>
      <c r="BE49" s="442"/>
      <c r="BF49" s="442"/>
      <c r="BG49" s="442"/>
      <c r="BH49" s="442"/>
      <c r="BI49" s="442"/>
      <c r="BJ49" s="441"/>
      <c r="BK49" s="442"/>
      <c r="BL49" s="820"/>
      <c r="BM49" s="820"/>
      <c r="BN49" s="820"/>
      <c r="BO49" s="435"/>
      <c r="BP49" s="821"/>
      <c r="BQ49" s="821"/>
      <c r="BR49" s="821"/>
      <c r="BS49" s="821"/>
      <c r="BT49" s="821"/>
      <c r="BU49" s="818"/>
      <c r="BV49" s="822"/>
      <c r="BW49" s="822"/>
      <c r="BX49" s="822"/>
      <c r="BY49" s="822"/>
      <c r="BZ49" s="822"/>
      <c r="CA49" s="818"/>
      <c r="CB49" s="822"/>
      <c r="CC49" s="822"/>
      <c r="CD49" s="822"/>
      <c r="CE49" s="822"/>
      <c r="CF49" s="822"/>
      <c r="CG49" s="287"/>
      <c r="CH49" s="878"/>
    </row>
    <row r="50" spans="1:86" ht="15" customHeight="1">
      <c r="A50" s="220"/>
      <c r="B50" s="879"/>
      <c r="C50" s="879"/>
      <c r="D50" s="879"/>
      <c r="E50" s="939"/>
      <c r="F50" s="939"/>
      <c r="G50" s="862"/>
      <c r="H50" s="874"/>
      <c r="I50" s="874"/>
      <c r="J50" s="874"/>
      <c r="K50" s="874"/>
      <c r="L50" s="874"/>
      <c r="M50" s="874"/>
      <c r="N50" s="874"/>
      <c r="O50" s="874"/>
      <c r="P50" s="874"/>
      <c r="Q50" s="874"/>
      <c r="R50" s="874"/>
      <c r="S50" s="874"/>
      <c r="T50" s="874"/>
      <c r="U50" s="874"/>
      <c r="V50" s="874"/>
      <c r="W50" s="874"/>
      <c r="X50" s="874"/>
      <c r="Y50" s="874"/>
      <c r="Z50" s="874"/>
      <c r="AA50" s="875"/>
      <c r="AB50" s="875"/>
      <c r="AC50" s="875"/>
      <c r="AD50" s="826"/>
      <c r="AE50" s="432" t="str">
        <f>IF(LEN(VLOOKUP(AA44,suvaha!$D$8:$H$158,3,FALSE))&lt;11,"",LEFT(RIGHT(VLOOKUP(AA44,suvaha!$D$8:$H$158,3,FALSE),11),1))</f>
        <v/>
      </c>
      <c r="AF50" s="255"/>
      <c r="AG50" s="432" t="str">
        <f>IF(LEN(VLOOKUP(AA44,suvaha!$D$8:$H$158,3,FALSE))&lt;10,"",LEFT(RIGHT(VLOOKUP(AA44,suvaha!$D$8:$H$158,3,FALSE),10),1))</f>
        <v/>
      </c>
      <c r="AH50" s="434"/>
      <c r="AI50" s="432" t="str">
        <f>IF(LEN(VLOOKUP(AA44,suvaha!$D$8:$H$158,3,FALSE))&lt;9,"",LEFT(RIGHT(VLOOKUP(AA44,suvaha!$D$8:$H$158,3,FALSE),9),1))</f>
        <v/>
      </c>
      <c r="AJ50" s="255"/>
      <c r="AK50" s="432" t="str">
        <f>IF(LEN(VLOOKUP(AA44,suvaha!$D$8:$H$158,3,FALSE))&lt;8,"",LEFT(RIGHT(VLOOKUP(AA44,suvaha!$D$8:$H$158,3,FALSE),8),1))</f>
        <v/>
      </c>
      <c r="AL50" s="434"/>
      <c r="AM50" s="432" t="str">
        <f>IF(LEN(VLOOKUP(AA44,suvaha!$D$8:$H$158,3,FALSE))&lt;7,"",LEFT(RIGHT(VLOOKUP(AA44,suvaha!$D$8:$H$158,3,FALSE),7),1))</f>
        <v>1</v>
      </c>
      <c r="AN50" s="818"/>
      <c r="AO50" s="432" t="str">
        <f>IF(LEN(VLOOKUP(AA44,suvaha!$D$8:$H$158,3,FALSE))&lt;6,"",LEFT(RIGHT(VLOOKUP(AA44,suvaha!$D$8:$H$158,3,FALSE),6),1))</f>
        <v>9</v>
      </c>
      <c r="AP50" s="434"/>
      <c r="AQ50" s="432" t="str">
        <f>IF(LEN(VLOOKUP(AA44,suvaha!$D$8:$H$158,3,FALSE))&lt;5,"",LEFT(RIGHT(VLOOKUP(AA44,suvaha!$D$8:$H$158,3,FALSE),5),1))</f>
        <v>6</v>
      </c>
      <c r="AR50" s="434"/>
      <c r="AS50" s="432" t="str">
        <f>IF(LEN(VLOOKUP(AA44,suvaha!$D$8:$H$158,3,FALSE))&lt;4,"",LEFT(RIGHT(VLOOKUP(AA44,suvaha!$D$8:$H$158,3,FALSE),4),1))</f>
        <v>8</v>
      </c>
      <c r="AT50" s="818"/>
      <c r="AU50" s="432" t="str">
        <f>IF(LEN(VLOOKUP(AA44,suvaha!$D$8:$H$158,3,FALSE))&lt;3,"",LEFT(RIGHT(VLOOKUP(AA44,suvaha!$D$8:$H$158,3,FALSE),3),1))</f>
        <v>0</v>
      </c>
      <c r="AV50" s="434"/>
      <c r="AW50" s="432" t="str">
        <f>IF(LEN(VLOOKUP(AA44,suvaha!$D$8:$H$158,3,FALSE))&lt;2,"",LEFT(RIGHT(VLOOKUP(AA44,suvaha!$D$8:$H$158,3,FALSE),2),1))</f>
        <v>3</v>
      </c>
      <c r="AX50" s="434"/>
      <c r="AY50" s="432" t="str">
        <f>IF(VLOOKUP(AA44,suvaha!$D$8:$H$85,3,FALSE)=0,"",IF(LEN(VLOOKUP(AA44,suvaha!$D$8:$H$158,3,FALSE))&lt;1,"",LEFT(RIGHT(VLOOKUP(AA44,suvaha!$D$8:$H$158,3,FALSE),1),1)))</f>
        <v>8</v>
      </c>
      <c r="AZ50" s="827"/>
      <c r="BA50" s="448"/>
      <c r="BB50" s="442"/>
      <c r="BC50" s="442"/>
      <c r="BD50" s="442"/>
      <c r="BE50" s="442"/>
      <c r="BF50" s="442"/>
      <c r="BG50" s="442"/>
      <c r="BH50" s="442"/>
      <c r="BI50" s="442"/>
      <c r="BJ50" s="441"/>
      <c r="BK50" s="442"/>
      <c r="BL50" s="432" t="str">
        <f>IF(LEN(VLOOKUP(AA44,suvaha!$D$8:$H$158,5,FALSE))&lt;11,"",LEFT(RIGHT(VLOOKUP(AA44,suvaha!$D$8:$H$158,5,FALSE),11),1))</f>
        <v/>
      </c>
      <c r="BM50" s="255"/>
      <c r="BN50" s="432" t="str">
        <f>IF(LEN(VLOOKUP(AA44,suvaha!$D$8:$H$158,5,FALSE))&lt;10,"",LEFT(RIGHT(VLOOKUP(AA44,suvaha!$D$8:$H$158,5,FALSE),10),1))</f>
        <v/>
      </c>
      <c r="BO50" s="434"/>
      <c r="BP50" s="432" t="str">
        <f>IF(LEN(VLOOKUP(AA44,suvaha!$D$8:$H$158,5,FALSE))&lt;9,"",LEFT(RIGHT(VLOOKUP(AA44,suvaha!$D$8:$H$158,5,FALSE),9),1))</f>
        <v/>
      </c>
      <c r="BQ50" s="255"/>
      <c r="BR50" s="432" t="str">
        <f>IF(LEN(VLOOKUP(AA44,suvaha!$D$8:$H$158,5,FALSE))&lt;8,"",LEFT(RIGHT(VLOOKUP(AA44,suvaha!$D$8:$H$158,5,FALSE),8),1))</f>
        <v>2</v>
      </c>
      <c r="BS50" s="434"/>
      <c r="BT50" s="432" t="str">
        <f>IF(LEN(VLOOKUP(AA44,suvaha!$D$8:$H$158,5,FALSE))&lt;7,"",LEFT(RIGHT(VLOOKUP(AA44,suvaha!$D$8:$H$158,5,FALSE),7),1))</f>
        <v>7</v>
      </c>
      <c r="BU50" s="818"/>
      <c r="BV50" s="432" t="str">
        <f>IF(LEN(VLOOKUP(AA44,suvaha!$D$8:$H$158,5,FALSE))&lt;6,"",LEFT(RIGHT(VLOOKUP(AA44,suvaha!$D$8:$H$158,5,FALSE),6),1))</f>
        <v>9</v>
      </c>
      <c r="BW50" s="434"/>
      <c r="BX50" s="432" t="str">
        <f>IF(LEN(VLOOKUP(AA44,suvaha!$D$8:$H$158,5,FALSE))&lt;5,"",LEFT(RIGHT(VLOOKUP(AA44,suvaha!$D$8:$H$158,5,FALSE),5),1))</f>
        <v>8</v>
      </c>
      <c r="BY50" s="434"/>
      <c r="BZ50" s="432" t="str">
        <f>IF(LEN(VLOOKUP(AA44,suvaha!$D$8:$H$158,5,FALSE))&lt;4,"",LEFT(RIGHT(VLOOKUP(AA44,suvaha!$D$8:$H$158,5,FALSE),4),1))</f>
        <v>5</v>
      </c>
      <c r="CA50" s="818"/>
      <c r="CB50" s="432" t="str">
        <f>IF(LEN(VLOOKUP(AA44,suvaha!$D$8:$H$158,5,FALSE))&lt;3,"",LEFT(RIGHT(VLOOKUP(AA44,suvaha!$D$8:$H$158,5,FALSE),3),1))</f>
        <v>9</v>
      </c>
      <c r="CC50" s="434"/>
      <c r="CD50" s="432" t="str">
        <f>IF(LEN(VLOOKUP(AA44,suvaha!$D$8:$H$158,5,FALSE))&lt;2,"",LEFT(RIGHT(VLOOKUP(AA44,suvaha!$D$8:$H$158,5,FALSE),2),1))</f>
        <v>0</v>
      </c>
      <c r="CE50" s="434"/>
      <c r="CF50" s="432" t="str">
        <f>IF(VLOOKUP(AA44,suvaha!$D$8:$H$85,5,FALSE)=0,"",IF(LEN(VLOOKUP(AA44,suvaha!$D$8:$H$158,5,FALSE))&lt;1,"",LEFT(RIGHT(VLOOKUP(AA44,suvaha!$D$8:$H$158,5,FALSE),1),1)))</f>
        <v>5</v>
      </c>
      <c r="CG50" s="287"/>
      <c r="CH50" s="878"/>
    </row>
    <row r="51" spans="1:86" ht="3" customHeight="1">
      <c r="A51" s="220"/>
      <c r="B51" s="879"/>
      <c r="C51" s="879"/>
      <c r="D51" s="879"/>
      <c r="E51" s="939"/>
      <c r="F51" s="939"/>
      <c r="G51" s="862"/>
      <c r="H51" s="874"/>
      <c r="I51" s="874"/>
      <c r="J51" s="874"/>
      <c r="K51" s="874"/>
      <c r="L51" s="874"/>
      <c r="M51" s="874"/>
      <c r="N51" s="874"/>
      <c r="O51" s="874"/>
      <c r="P51" s="874"/>
      <c r="Q51" s="874"/>
      <c r="R51" s="874"/>
      <c r="S51" s="874"/>
      <c r="T51" s="874"/>
      <c r="U51" s="874"/>
      <c r="V51" s="874"/>
      <c r="W51" s="874"/>
      <c r="X51" s="874"/>
      <c r="Y51" s="874"/>
      <c r="Z51" s="874"/>
      <c r="AA51" s="875"/>
      <c r="AB51" s="875"/>
      <c r="AC51" s="875"/>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449"/>
      <c r="BB51" s="310"/>
      <c r="BC51" s="310"/>
      <c r="BD51" s="310"/>
      <c r="BE51" s="310"/>
      <c r="BF51" s="310"/>
      <c r="BG51" s="310"/>
      <c r="BH51" s="310"/>
      <c r="BI51" s="310"/>
      <c r="BJ51" s="443"/>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286"/>
      <c r="CH51" s="878"/>
    </row>
    <row r="52" spans="1:86" s="250" customFormat="1" ht="3" customHeight="1">
      <c r="A52" s="220"/>
      <c r="B52" s="879"/>
      <c r="C52" s="879"/>
      <c r="D52" s="879"/>
      <c r="E52" s="881" t="s">
        <v>537</v>
      </c>
      <c r="F52" s="881"/>
      <c r="G52" s="862"/>
      <c r="H52" s="874" t="str">
        <f>Index!C85</f>
        <v>Zásoby súčet (r. 35 až r. 40)</v>
      </c>
      <c r="I52" s="874"/>
      <c r="J52" s="874"/>
      <c r="K52" s="874"/>
      <c r="L52" s="874"/>
      <c r="M52" s="874"/>
      <c r="N52" s="874"/>
      <c r="O52" s="874"/>
      <c r="P52" s="874"/>
      <c r="Q52" s="874"/>
      <c r="R52" s="874"/>
      <c r="S52" s="874"/>
      <c r="T52" s="874"/>
      <c r="U52" s="874"/>
      <c r="V52" s="874"/>
      <c r="W52" s="874"/>
      <c r="X52" s="874"/>
      <c r="Y52" s="874"/>
      <c r="Z52" s="874"/>
      <c r="AA52" s="875" t="s">
        <v>1583</v>
      </c>
      <c r="AB52" s="875"/>
      <c r="AC52" s="875"/>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67"/>
      <c r="BB52" s="867"/>
      <c r="BC52" s="867"/>
      <c r="BD52" s="867"/>
      <c r="BE52" s="867"/>
      <c r="BF52" s="867"/>
      <c r="BG52" s="867"/>
      <c r="BH52" s="867"/>
      <c r="BI52" s="867"/>
      <c r="BJ52" s="867"/>
      <c r="BK52" s="867"/>
      <c r="BL52" s="867"/>
      <c r="BM52" s="867"/>
      <c r="BN52" s="867"/>
      <c r="BO52" s="867"/>
      <c r="BP52" s="867"/>
      <c r="BQ52" s="867"/>
      <c r="BR52" s="304"/>
      <c r="BS52" s="304"/>
      <c r="BT52" s="304"/>
      <c r="BU52" s="304"/>
      <c r="BV52" s="304"/>
      <c r="BW52" s="446"/>
      <c r="BX52" s="304"/>
      <c r="BY52" s="304"/>
      <c r="BZ52" s="304"/>
      <c r="CA52" s="304"/>
      <c r="CB52" s="304"/>
      <c r="CC52" s="304"/>
      <c r="CD52" s="304"/>
      <c r="CE52" s="304"/>
      <c r="CF52" s="304"/>
      <c r="CG52" s="284"/>
      <c r="CH52" s="878"/>
    </row>
    <row r="53" spans="1:86" s="250" customFormat="1" ht="3" customHeight="1">
      <c r="A53" s="220"/>
      <c r="B53" s="879"/>
      <c r="C53" s="879"/>
      <c r="D53" s="879"/>
      <c r="E53" s="881"/>
      <c r="F53" s="881"/>
      <c r="G53" s="862"/>
      <c r="H53" s="874"/>
      <c r="I53" s="874"/>
      <c r="J53" s="874"/>
      <c r="K53" s="874"/>
      <c r="L53" s="874"/>
      <c r="M53" s="874"/>
      <c r="N53" s="874"/>
      <c r="O53" s="874"/>
      <c r="P53" s="874"/>
      <c r="Q53" s="874"/>
      <c r="R53" s="874"/>
      <c r="S53" s="874"/>
      <c r="T53" s="874"/>
      <c r="U53" s="874"/>
      <c r="V53" s="874"/>
      <c r="W53" s="874"/>
      <c r="X53" s="874"/>
      <c r="Y53" s="874"/>
      <c r="Z53" s="874"/>
      <c r="AA53" s="875"/>
      <c r="AB53" s="875"/>
      <c r="AC53" s="875"/>
      <c r="AD53" s="826"/>
      <c r="AE53" s="820"/>
      <c r="AF53" s="820"/>
      <c r="AG53" s="820"/>
      <c r="AH53" s="435"/>
      <c r="AI53" s="821"/>
      <c r="AJ53" s="821"/>
      <c r="AK53" s="821"/>
      <c r="AL53" s="821"/>
      <c r="AM53" s="821"/>
      <c r="AN53" s="818"/>
      <c r="AO53" s="822"/>
      <c r="AP53" s="822"/>
      <c r="AQ53" s="822"/>
      <c r="AR53" s="822"/>
      <c r="AS53" s="822"/>
      <c r="AT53" s="818"/>
      <c r="AU53" s="822"/>
      <c r="AV53" s="822"/>
      <c r="AW53" s="822"/>
      <c r="AX53" s="822"/>
      <c r="AY53" s="822"/>
      <c r="AZ53" s="827"/>
      <c r="BA53" s="826"/>
      <c r="BB53" s="820"/>
      <c r="BC53" s="820"/>
      <c r="BD53" s="820"/>
      <c r="BE53" s="435"/>
      <c r="BF53" s="821"/>
      <c r="BG53" s="821"/>
      <c r="BH53" s="821"/>
      <c r="BI53" s="821"/>
      <c r="BJ53" s="821"/>
      <c r="BK53" s="818"/>
      <c r="BL53" s="822"/>
      <c r="BM53" s="822"/>
      <c r="BN53" s="822"/>
      <c r="BO53" s="822"/>
      <c r="BP53" s="822"/>
      <c r="BQ53" s="818"/>
      <c r="BR53" s="822"/>
      <c r="BS53" s="822"/>
      <c r="BT53" s="822"/>
      <c r="BU53" s="822"/>
      <c r="BV53" s="822"/>
      <c r="BW53" s="441"/>
      <c r="BX53" s="442"/>
      <c r="BY53" s="442"/>
      <c r="BZ53" s="442"/>
      <c r="CA53" s="442"/>
      <c r="CB53" s="442"/>
      <c r="CC53" s="442"/>
      <c r="CD53" s="442"/>
      <c r="CE53" s="442"/>
      <c r="CF53" s="442"/>
      <c r="CG53" s="285"/>
      <c r="CH53" s="878"/>
    </row>
    <row r="54" spans="1:86" ht="15" customHeight="1">
      <c r="A54" s="220"/>
      <c r="B54" s="879"/>
      <c r="C54" s="879"/>
      <c r="D54" s="879"/>
      <c r="E54" s="881"/>
      <c r="F54" s="881"/>
      <c r="G54" s="862"/>
      <c r="H54" s="874"/>
      <c r="I54" s="874"/>
      <c r="J54" s="874"/>
      <c r="K54" s="874"/>
      <c r="L54" s="874"/>
      <c r="M54" s="874"/>
      <c r="N54" s="874"/>
      <c r="O54" s="874"/>
      <c r="P54" s="874"/>
      <c r="Q54" s="874"/>
      <c r="R54" s="874"/>
      <c r="S54" s="874"/>
      <c r="T54" s="874"/>
      <c r="U54" s="874"/>
      <c r="V54" s="874"/>
      <c r="W54" s="874"/>
      <c r="X54" s="874"/>
      <c r="Y54" s="874"/>
      <c r="Z54" s="874"/>
      <c r="AA54" s="875"/>
      <c r="AB54" s="875"/>
      <c r="AC54" s="875"/>
      <c r="AD54" s="826"/>
      <c r="AE54" s="432" t="str">
        <f>IF(LEN(VLOOKUP(AA52,suvaha!$D$8:$H$158,2,FALSE))&lt;11,"",LEFT(RIGHT(VLOOKUP(AA52,suvaha!$D$8:$H$158,2,FALSE),11),1))</f>
        <v/>
      </c>
      <c r="AF54" s="255"/>
      <c r="AG54" s="432" t="str">
        <f>IF(LEN(VLOOKUP(AA52,suvaha!$D$8:$H$158,2,FALSE))&lt;10,"",LEFT(RIGHT(VLOOKUP(AA52,suvaha!$D$8:$H$158,2,FALSE),10),1))</f>
        <v/>
      </c>
      <c r="AH54" s="434"/>
      <c r="AI54" s="432" t="str">
        <f>IF(LEN(VLOOKUP(AA52,suvaha!$D$8:$H$158,2,FALSE))&lt;9,"",LEFT(RIGHT(VLOOKUP(AA52,suvaha!$D$8:$H$158,2,FALSE),9),1))</f>
        <v/>
      </c>
      <c r="AJ54" s="255"/>
      <c r="AK54" s="432" t="str">
        <f>IF(LEN(VLOOKUP(AA52,suvaha!$D$8:$H$158,2,FALSE))&lt;8,"",LEFT(RIGHT(VLOOKUP(AA52,suvaha!$D$8:$H$158,2,FALSE),8),1))</f>
        <v/>
      </c>
      <c r="AL54" s="434"/>
      <c r="AM54" s="432" t="str">
        <f>IF(LEN(VLOOKUP(AA52,suvaha!$D$8:$H$158,2,FALSE))&lt;7,"",LEFT(RIGHT(VLOOKUP(AA52,suvaha!$D$8:$H$158,2,FALSE),7),1))</f>
        <v>1</v>
      </c>
      <c r="AN54" s="818"/>
      <c r="AO54" s="432" t="str">
        <f>IF(LEN(VLOOKUP(AA52,suvaha!$D$8:$H$158,2,FALSE))&lt;6,"",LEFT(RIGHT(VLOOKUP(AA52,suvaha!$D$8:$H$158,2,FALSE),6),1))</f>
        <v>4</v>
      </c>
      <c r="AP54" s="434"/>
      <c r="AQ54" s="432" t="str">
        <f>IF(LEN(VLOOKUP(AA52,suvaha!$D$8:$H$158,2,FALSE))&lt;5,"",LEFT(RIGHT(VLOOKUP(AA52,suvaha!$D$8:$H$158,2,FALSE),5),1))</f>
        <v>0</v>
      </c>
      <c r="AR54" s="434"/>
      <c r="AS54" s="432" t="str">
        <f>IF(LEN(VLOOKUP(AA52,suvaha!$D$8:$H$158,2,FALSE))&lt;4,"",LEFT(RIGHT(VLOOKUP(AA52,suvaha!$D$8:$H$158,2,FALSE),4),1))</f>
        <v>8</v>
      </c>
      <c r="AT54" s="818"/>
      <c r="AU54" s="432" t="str">
        <f>IF(LEN(VLOOKUP(AA52,suvaha!$D$8:$H$158,2,FALSE))&lt;3,"",LEFT(RIGHT(VLOOKUP(AA52,suvaha!$D$8:$H$158,2,FALSE),3),1))</f>
        <v>0</v>
      </c>
      <c r="AV54" s="434"/>
      <c r="AW54" s="432" t="str">
        <f>IF(LEN(VLOOKUP(AA52,suvaha!$D$8:$H$158,2,FALSE))&lt;2,"",LEFT(RIGHT(VLOOKUP(AA52,suvaha!$D$8:$H$158,2,FALSE),2),1))</f>
        <v>8</v>
      </c>
      <c r="AX54" s="434"/>
      <c r="AY54" s="432" t="str">
        <f>IF(VLOOKUP(AA52,suvaha!$D$8:$H$85,2,FALSE)=0,"",IF(LEN(VLOOKUP(AA52,suvaha!$D$8:$H$158,2,FALSE))&lt;1,"",LEFT(RIGHT(VLOOKUP(AA52,suvaha!$D$8:$H$158,2,FALSE),1),1)))</f>
        <v>3</v>
      </c>
      <c r="AZ54" s="827"/>
      <c r="BA54" s="826"/>
      <c r="BB54" s="432" t="str">
        <f>IF(LEN(VLOOKUP(AA52,suvaha!$D$8:$H$158,4,FALSE))&lt;11,"",LEFT(RIGHT(VLOOKUP(AA52,suvaha!$D$8:$H$158,4,FALSE),11),1))</f>
        <v/>
      </c>
      <c r="BC54" s="255"/>
      <c r="BD54" s="432" t="str">
        <f>IF(LEN(VLOOKUP(AA52,suvaha!$D$8:$H$158,4,FALSE))&lt;10,"",LEFT(RIGHT(VLOOKUP(AA52,suvaha!$D$8:$H$158,4,FALSE),10),1))</f>
        <v/>
      </c>
      <c r="BE54" s="434"/>
      <c r="BF54" s="432" t="str">
        <f>IF(LEN(VLOOKUP(AA52,suvaha!$D$8:$H$158,4,FALSE))&lt;9,"",LEFT(RIGHT(VLOOKUP(AA52,suvaha!$D$8:$H$158,4,FALSE),9),1))</f>
        <v/>
      </c>
      <c r="BG54" s="255"/>
      <c r="BH54" s="432" t="str">
        <f>IF(LEN(VLOOKUP(AA52,suvaha!$D$8:$H$158,4,FALSE))&lt;8,"",LEFT(RIGHT(VLOOKUP(AA52,suvaha!$D$8:$H$158,4,FALSE),8),1))</f>
        <v/>
      </c>
      <c r="BI54" s="434"/>
      <c r="BJ54" s="432" t="str">
        <f>IF(LEN(VLOOKUP(AA52,suvaha!$D$8:$H$158,4,FALSE))&lt;7,"",LEFT(RIGHT(VLOOKUP(AA52,suvaha!$D$8:$H$158,4,FALSE),7),1))</f>
        <v>1</v>
      </c>
      <c r="BK54" s="818"/>
      <c r="BL54" s="432" t="str">
        <f>IF(LEN(VLOOKUP(AA52,suvaha!$D$8:$H$158,4,FALSE))&lt;6,"",LEFT(RIGHT(VLOOKUP(AA52,suvaha!$D$8:$H$158,4,FALSE),6),1))</f>
        <v>4</v>
      </c>
      <c r="BM54" s="434"/>
      <c r="BN54" s="432" t="str">
        <f>IF(LEN(VLOOKUP(AA52,suvaha!$D$8:$H$158,4,FALSE))&lt;5,"",LEFT(RIGHT(VLOOKUP(AA52,suvaha!$D$8:$H$158,4,FALSE),5),1))</f>
        <v>0</v>
      </c>
      <c r="BO54" s="434"/>
      <c r="BP54" s="432" t="str">
        <f>IF(LEN(VLOOKUP(AA52,suvaha!$D$8:$H$158,4,FALSE))&lt;4,"",LEFT(RIGHT(VLOOKUP(AA52,suvaha!$D$8:$H$158,4,FALSE),4),1))</f>
        <v>8</v>
      </c>
      <c r="BQ54" s="818"/>
      <c r="BR54" s="432" t="str">
        <f>IF(LEN(VLOOKUP(AA52,suvaha!$D$8:$H$158,4,FALSE))&lt;3,"",LEFT(RIGHT(VLOOKUP(AA52,suvaha!$D$8:$H$158,4,FALSE),3),1))</f>
        <v>0</v>
      </c>
      <c r="BS54" s="434"/>
      <c r="BT54" s="432" t="str">
        <f>IF(LEN(VLOOKUP(AA52,suvaha!$D$8:$H$158,4,FALSE))&lt;2,"",LEFT(RIGHT(VLOOKUP(AA52,suvaha!$D$8:$H$158,4,FALSE),2),1))</f>
        <v>8</v>
      </c>
      <c r="BU54" s="434"/>
      <c r="BV54" s="432" t="str">
        <f>IF(VLOOKUP(AA52,suvaha!$D$8:$H$85,4,FALSE)=0,"",IF(LEN(VLOOKUP(AA52,suvaha!$D$8:$H$158,4,FALSE))&lt;1,"",LEFT(RIGHT(VLOOKUP(AA52,suvaha!$D$8:$H$158,4,FALSE),1),1)))</f>
        <v>3</v>
      </c>
      <c r="BW54" s="441"/>
      <c r="BX54" s="442"/>
      <c r="BY54" s="442"/>
      <c r="BZ54" s="442"/>
      <c r="CA54" s="442"/>
      <c r="CB54" s="442"/>
      <c r="CC54" s="442"/>
      <c r="CD54" s="442"/>
      <c r="CE54" s="442"/>
      <c r="CF54" s="442"/>
      <c r="CG54" s="285"/>
      <c r="CH54" s="878"/>
    </row>
    <row r="55" spans="1:86" ht="3" customHeight="1">
      <c r="A55" s="220"/>
      <c r="B55" s="879"/>
      <c r="C55" s="879"/>
      <c r="D55" s="879"/>
      <c r="E55" s="881"/>
      <c r="F55" s="881"/>
      <c r="G55" s="862"/>
      <c r="H55" s="874"/>
      <c r="I55" s="874"/>
      <c r="J55" s="874"/>
      <c r="K55" s="874"/>
      <c r="L55" s="874"/>
      <c r="M55" s="874"/>
      <c r="N55" s="874"/>
      <c r="O55" s="874"/>
      <c r="P55" s="874"/>
      <c r="Q55" s="874"/>
      <c r="R55" s="874"/>
      <c r="S55" s="874"/>
      <c r="T55" s="874"/>
      <c r="U55" s="874"/>
      <c r="V55" s="874"/>
      <c r="W55" s="874"/>
      <c r="X55" s="874"/>
      <c r="Y55" s="874"/>
      <c r="Z55" s="874"/>
      <c r="AA55" s="875"/>
      <c r="AB55" s="875"/>
      <c r="AC55" s="875"/>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6"/>
      <c r="BB55" s="846"/>
      <c r="BC55" s="846"/>
      <c r="BD55" s="846"/>
      <c r="BE55" s="846"/>
      <c r="BF55" s="846"/>
      <c r="BG55" s="846"/>
      <c r="BH55" s="846"/>
      <c r="BI55" s="846"/>
      <c r="BJ55" s="846"/>
      <c r="BK55" s="846"/>
      <c r="BL55" s="846"/>
      <c r="BM55" s="846"/>
      <c r="BN55" s="846"/>
      <c r="BO55" s="846"/>
      <c r="BP55" s="846"/>
      <c r="BQ55" s="846"/>
      <c r="BR55" s="310"/>
      <c r="BS55" s="310"/>
      <c r="BT55" s="310"/>
      <c r="BU55" s="310"/>
      <c r="BV55" s="310"/>
      <c r="BW55" s="443"/>
      <c r="BX55" s="310"/>
      <c r="BY55" s="310"/>
      <c r="BZ55" s="310"/>
      <c r="CA55" s="310"/>
      <c r="CB55" s="310"/>
      <c r="CC55" s="310"/>
      <c r="CD55" s="310"/>
      <c r="CE55" s="310"/>
      <c r="CF55" s="310"/>
      <c r="CG55" s="286"/>
      <c r="CH55" s="220"/>
    </row>
    <row r="56" spans="1:86" ht="3" customHeight="1">
      <c r="A56" s="220"/>
      <c r="B56" s="879"/>
      <c r="C56" s="879"/>
      <c r="D56" s="879"/>
      <c r="E56" s="881"/>
      <c r="F56" s="881"/>
      <c r="G56" s="862"/>
      <c r="H56" s="874"/>
      <c r="I56" s="874"/>
      <c r="J56" s="874"/>
      <c r="K56" s="874"/>
      <c r="L56" s="874"/>
      <c r="M56" s="874"/>
      <c r="N56" s="874"/>
      <c r="O56" s="874"/>
      <c r="P56" s="874"/>
      <c r="Q56" s="874"/>
      <c r="R56" s="874"/>
      <c r="S56" s="874"/>
      <c r="T56" s="874"/>
      <c r="U56" s="874"/>
      <c r="V56" s="874"/>
      <c r="W56" s="874"/>
      <c r="X56" s="874"/>
      <c r="Y56" s="874"/>
      <c r="Z56" s="874"/>
      <c r="AA56" s="875"/>
      <c r="AB56" s="875"/>
      <c r="AC56" s="875"/>
      <c r="AD56" s="825"/>
      <c r="AE56" s="825"/>
      <c r="AF56" s="825"/>
      <c r="AG56" s="825"/>
      <c r="AH56" s="825"/>
      <c r="AI56" s="825"/>
      <c r="AJ56" s="825"/>
      <c r="AK56" s="825"/>
      <c r="AL56" s="825"/>
      <c r="AM56" s="825"/>
      <c r="AN56" s="825"/>
      <c r="AO56" s="825"/>
      <c r="AP56" s="825"/>
      <c r="AQ56" s="825"/>
      <c r="AR56" s="825"/>
      <c r="AS56" s="825"/>
      <c r="AT56" s="825"/>
      <c r="AU56" s="825"/>
      <c r="AV56" s="825"/>
      <c r="AW56" s="825"/>
      <c r="AX56" s="825"/>
      <c r="AY56" s="825"/>
      <c r="AZ56" s="825"/>
      <c r="BA56" s="447"/>
      <c r="BB56" s="304"/>
      <c r="BC56" s="304"/>
      <c r="BD56" s="304"/>
      <c r="BE56" s="304"/>
      <c r="BF56" s="304"/>
      <c r="BG56" s="304"/>
      <c r="BH56" s="304"/>
      <c r="BI56" s="304"/>
      <c r="BJ56" s="446"/>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284"/>
      <c r="CH56" s="220"/>
    </row>
    <row r="57" spans="1:86" ht="3" customHeight="1">
      <c r="A57" s="220"/>
      <c r="B57" s="879"/>
      <c r="C57" s="879"/>
      <c r="D57" s="879"/>
      <c r="E57" s="881"/>
      <c r="F57" s="881"/>
      <c r="G57" s="862"/>
      <c r="H57" s="874"/>
      <c r="I57" s="874"/>
      <c r="J57" s="874"/>
      <c r="K57" s="874"/>
      <c r="L57" s="874"/>
      <c r="M57" s="874"/>
      <c r="N57" s="874"/>
      <c r="O57" s="874"/>
      <c r="P57" s="874"/>
      <c r="Q57" s="874"/>
      <c r="R57" s="874"/>
      <c r="S57" s="874"/>
      <c r="T57" s="874"/>
      <c r="U57" s="874"/>
      <c r="V57" s="874"/>
      <c r="W57" s="874"/>
      <c r="X57" s="874"/>
      <c r="Y57" s="874"/>
      <c r="Z57" s="874"/>
      <c r="AA57" s="875"/>
      <c r="AB57" s="875"/>
      <c r="AC57" s="875"/>
      <c r="AD57" s="826"/>
      <c r="AE57" s="820"/>
      <c r="AF57" s="820"/>
      <c r="AG57" s="820"/>
      <c r="AH57" s="435"/>
      <c r="AI57" s="821"/>
      <c r="AJ57" s="821"/>
      <c r="AK57" s="821"/>
      <c r="AL57" s="821"/>
      <c r="AM57" s="821"/>
      <c r="AN57" s="818"/>
      <c r="AO57" s="822"/>
      <c r="AP57" s="822"/>
      <c r="AQ57" s="822"/>
      <c r="AR57" s="822"/>
      <c r="AS57" s="822"/>
      <c r="AT57" s="818"/>
      <c r="AU57" s="822"/>
      <c r="AV57" s="822"/>
      <c r="AW57" s="822"/>
      <c r="AX57" s="822"/>
      <c r="AY57" s="822"/>
      <c r="AZ57" s="827"/>
      <c r="BA57" s="448"/>
      <c r="BB57" s="442"/>
      <c r="BC57" s="442"/>
      <c r="BD57" s="442"/>
      <c r="BE57" s="442"/>
      <c r="BF57" s="442"/>
      <c r="BG57" s="442"/>
      <c r="BH57" s="442"/>
      <c r="BI57" s="442"/>
      <c r="BJ57" s="441"/>
      <c r="BK57" s="442"/>
      <c r="BL57" s="820"/>
      <c r="BM57" s="820"/>
      <c r="BN57" s="820"/>
      <c r="BO57" s="435"/>
      <c r="BP57" s="821"/>
      <c r="BQ57" s="821"/>
      <c r="BR57" s="821"/>
      <c r="BS57" s="821"/>
      <c r="BT57" s="821"/>
      <c r="BU57" s="818"/>
      <c r="BV57" s="822"/>
      <c r="BW57" s="822"/>
      <c r="BX57" s="822"/>
      <c r="BY57" s="822"/>
      <c r="BZ57" s="822"/>
      <c r="CA57" s="818"/>
      <c r="CB57" s="822"/>
      <c r="CC57" s="822"/>
      <c r="CD57" s="822"/>
      <c r="CE57" s="822"/>
      <c r="CF57" s="822"/>
      <c r="CG57" s="287"/>
      <c r="CH57" s="220"/>
    </row>
    <row r="58" spans="1:86" ht="15" customHeight="1">
      <c r="A58" s="220"/>
      <c r="B58" s="879"/>
      <c r="C58" s="879"/>
      <c r="D58" s="879"/>
      <c r="E58" s="881"/>
      <c r="F58" s="881"/>
      <c r="G58" s="862"/>
      <c r="H58" s="874"/>
      <c r="I58" s="874"/>
      <c r="J58" s="874"/>
      <c r="K58" s="874"/>
      <c r="L58" s="874"/>
      <c r="M58" s="874"/>
      <c r="N58" s="874"/>
      <c r="O58" s="874"/>
      <c r="P58" s="874"/>
      <c r="Q58" s="874"/>
      <c r="R58" s="874"/>
      <c r="S58" s="874"/>
      <c r="T58" s="874"/>
      <c r="U58" s="874"/>
      <c r="V58" s="874"/>
      <c r="W58" s="874"/>
      <c r="X58" s="874"/>
      <c r="Y58" s="874"/>
      <c r="Z58" s="874"/>
      <c r="AA58" s="875"/>
      <c r="AB58" s="875"/>
      <c r="AC58" s="875"/>
      <c r="AD58" s="826"/>
      <c r="AE58" s="432" t="str">
        <f>IF(LEN(VLOOKUP(AA52,suvaha!$D$8:$H$158,3,FALSE))&lt;11,"",LEFT(RIGHT(VLOOKUP(AA52,suvaha!$D$8:$H$158,3,FALSE),11),1))</f>
        <v/>
      </c>
      <c r="AF58" s="255"/>
      <c r="AG58" s="432" t="str">
        <f>IF(LEN(VLOOKUP(AA52,suvaha!$D$8:$H$158,3,FALSE))&lt;10,"",LEFT(RIGHT(VLOOKUP(AA52,suvaha!$D$8:$H$158,3,FALSE),10),1))</f>
        <v/>
      </c>
      <c r="AH58" s="434"/>
      <c r="AI58" s="432" t="str">
        <f>IF(LEN(VLOOKUP(AA52,suvaha!$D$8:$H$158,3,FALSE))&lt;9,"",LEFT(RIGHT(VLOOKUP(AA52,suvaha!$D$8:$H$158,3,FALSE),9),1))</f>
        <v/>
      </c>
      <c r="AJ58" s="255"/>
      <c r="AK58" s="432" t="str">
        <f>IF(LEN(VLOOKUP(AA52,suvaha!$D$8:$H$158,3,FALSE))&lt;8,"",LEFT(RIGHT(VLOOKUP(AA52,suvaha!$D$8:$H$158,3,FALSE),8),1))</f>
        <v/>
      </c>
      <c r="AL58" s="434"/>
      <c r="AM58" s="432" t="str">
        <f>IF(LEN(VLOOKUP(AA52,suvaha!$D$8:$H$158,3,FALSE))&lt;7,"",LEFT(RIGHT(VLOOKUP(AA52,suvaha!$D$8:$H$158,3,FALSE),7),1))</f>
        <v/>
      </c>
      <c r="AN58" s="818"/>
      <c r="AO58" s="432" t="str">
        <f>IF(LEN(VLOOKUP(AA52,suvaha!$D$8:$H$158,3,FALSE))&lt;6,"",LEFT(RIGHT(VLOOKUP(AA52,suvaha!$D$8:$H$158,3,FALSE),6),1))</f>
        <v/>
      </c>
      <c r="AP58" s="434"/>
      <c r="AQ58" s="432" t="str">
        <f>IF(LEN(VLOOKUP(AA52,suvaha!$D$8:$H$158,3,FALSE))&lt;5,"",LEFT(RIGHT(VLOOKUP(AA52,suvaha!$D$8:$H$158,3,FALSE),5),1))</f>
        <v/>
      </c>
      <c r="AR58" s="434"/>
      <c r="AS58" s="432" t="str">
        <f>IF(LEN(VLOOKUP(AA52,suvaha!$D$8:$H$158,3,FALSE))&lt;4,"",LEFT(RIGHT(VLOOKUP(AA52,suvaha!$D$8:$H$158,3,FALSE),4),1))</f>
        <v/>
      </c>
      <c r="AT58" s="818"/>
      <c r="AU58" s="432" t="str">
        <f>IF(LEN(VLOOKUP(AA52,suvaha!$D$8:$H$158,3,FALSE))&lt;3,"",LEFT(RIGHT(VLOOKUP(AA52,suvaha!$D$8:$H$158,3,FALSE),3),1))</f>
        <v/>
      </c>
      <c r="AV58" s="434"/>
      <c r="AW58" s="432" t="str">
        <f>IF(LEN(VLOOKUP(AA52,suvaha!$D$8:$H$158,3,FALSE))&lt;2,"",LEFT(RIGHT(VLOOKUP(AA52,suvaha!$D$8:$H$158,3,FALSE),2),1))</f>
        <v/>
      </c>
      <c r="AX58" s="434"/>
      <c r="AY58" s="432" t="str">
        <f>IF(VLOOKUP(AA52,suvaha!$D$8:$H$85,3,FALSE)=0,"",IF(LEN(VLOOKUP(AA52,suvaha!$D$8:$H$158,3,FALSE))&lt;1,"",LEFT(RIGHT(VLOOKUP(AA52,suvaha!$D$8:$H$158,3,FALSE),1),1)))</f>
        <v/>
      </c>
      <c r="AZ58" s="827"/>
      <c r="BA58" s="448"/>
      <c r="BB58" s="442"/>
      <c r="BC58" s="442"/>
      <c r="BD58" s="442"/>
      <c r="BE58" s="442"/>
      <c r="BF58" s="442"/>
      <c r="BG58" s="442"/>
      <c r="BH58" s="442"/>
      <c r="BI58" s="442"/>
      <c r="BJ58" s="441"/>
      <c r="BK58" s="442"/>
      <c r="BL58" s="432" t="str">
        <f>IF(LEN(VLOOKUP(AA52,suvaha!$D$8:$H$158,5,FALSE))&lt;11,"",LEFT(RIGHT(VLOOKUP(AA52,suvaha!$D$8:$H$158,5,FALSE),11),1))</f>
        <v/>
      </c>
      <c r="BM58" s="255"/>
      <c r="BN58" s="432" t="str">
        <f>IF(LEN(VLOOKUP(AA52,suvaha!$D$8:$H$158,5,FALSE))&lt;10,"",LEFT(RIGHT(VLOOKUP(AA52,suvaha!$D$8:$H$158,5,FALSE),10),1))</f>
        <v/>
      </c>
      <c r="BO58" s="434"/>
      <c r="BP58" s="432" t="str">
        <f>IF(LEN(VLOOKUP(AA52,suvaha!$D$8:$H$158,5,FALSE))&lt;9,"",LEFT(RIGHT(VLOOKUP(AA52,suvaha!$D$8:$H$158,5,FALSE),9),1))</f>
        <v/>
      </c>
      <c r="BQ58" s="255"/>
      <c r="BR58" s="432" t="str">
        <f>IF(LEN(VLOOKUP(AA52,suvaha!$D$8:$H$158,5,FALSE))&lt;8,"",LEFT(RIGHT(VLOOKUP(AA52,suvaha!$D$8:$H$158,5,FALSE),8),1))</f>
        <v/>
      </c>
      <c r="BS58" s="434"/>
      <c r="BT58" s="432" t="str">
        <f>IF(LEN(VLOOKUP(AA52,suvaha!$D$8:$H$158,5,FALSE))&lt;7,"",LEFT(RIGHT(VLOOKUP(AA52,suvaha!$D$8:$H$158,5,FALSE),7),1))</f>
        <v>2</v>
      </c>
      <c r="BU58" s="818"/>
      <c r="BV58" s="432" t="str">
        <f>IF(LEN(VLOOKUP(AA52,suvaha!$D$8:$H$158,5,FALSE))&lt;6,"",LEFT(RIGHT(VLOOKUP(AA52,suvaha!$D$8:$H$158,5,FALSE),6),1))</f>
        <v>1</v>
      </c>
      <c r="BW58" s="434"/>
      <c r="BX58" s="432" t="str">
        <f>IF(LEN(VLOOKUP(AA52,suvaha!$D$8:$H$158,5,FALSE))&lt;5,"",LEFT(RIGHT(VLOOKUP(AA52,suvaha!$D$8:$H$158,5,FALSE),5),1))</f>
        <v>5</v>
      </c>
      <c r="BY58" s="434"/>
      <c r="BZ58" s="432" t="str">
        <f>IF(LEN(VLOOKUP(AA52,suvaha!$D$8:$H$158,5,FALSE))&lt;4,"",LEFT(RIGHT(VLOOKUP(AA52,suvaha!$D$8:$H$158,5,FALSE),4),1))</f>
        <v>4</v>
      </c>
      <c r="CA58" s="818"/>
      <c r="CB58" s="432" t="str">
        <f>IF(LEN(VLOOKUP(AA52,suvaha!$D$8:$H$158,5,FALSE))&lt;3,"",LEFT(RIGHT(VLOOKUP(AA52,suvaha!$D$8:$H$158,5,FALSE),3),1))</f>
        <v>4</v>
      </c>
      <c r="CC58" s="434"/>
      <c r="CD58" s="432" t="str">
        <f>IF(LEN(VLOOKUP(AA52,suvaha!$D$8:$H$158,5,FALSE))&lt;2,"",LEFT(RIGHT(VLOOKUP(AA52,suvaha!$D$8:$H$158,5,FALSE),2),1))</f>
        <v>0</v>
      </c>
      <c r="CE58" s="434"/>
      <c r="CF58" s="432" t="str">
        <f>IF(VLOOKUP(AA52,suvaha!$D$8:$H$85,5,FALSE)=0,"",IF(LEN(VLOOKUP(AA52,suvaha!$D$8:$H$158,5,FALSE))&lt;1,"",LEFT(RIGHT(VLOOKUP(AA52,suvaha!$D$8:$H$158,5,FALSE),1),1)))</f>
        <v>0</v>
      </c>
      <c r="CG58" s="287"/>
      <c r="CH58" s="220"/>
    </row>
    <row r="59" spans="1:86" ht="3" customHeight="1">
      <c r="A59" s="220"/>
      <c r="B59" s="879"/>
      <c r="C59" s="879"/>
      <c r="D59" s="879"/>
      <c r="E59" s="881"/>
      <c r="F59" s="881"/>
      <c r="G59" s="862"/>
      <c r="H59" s="874"/>
      <c r="I59" s="874"/>
      <c r="J59" s="874"/>
      <c r="K59" s="874"/>
      <c r="L59" s="874"/>
      <c r="M59" s="874"/>
      <c r="N59" s="874"/>
      <c r="O59" s="874"/>
      <c r="P59" s="874"/>
      <c r="Q59" s="874"/>
      <c r="R59" s="874"/>
      <c r="S59" s="874"/>
      <c r="T59" s="874"/>
      <c r="U59" s="874"/>
      <c r="V59" s="874"/>
      <c r="W59" s="874"/>
      <c r="X59" s="874"/>
      <c r="Y59" s="874"/>
      <c r="Z59" s="874"/>
      <c r="AA59" s="875"/>
      <c r="AB59" s="875"/>
      <c r="AC59" s="875"/>
      <c r="AD59" s="848"/>
      <c r="AE59" s="848"/>
      <c r="AF59" s="848"/>
      <c r="AG59" s="848"/>
      <c r="AH59" s="848"/>
      <c r="AI59" s="848"/>
      <c r="AJ59" s="848"/>
      <c r="AK59" s="848"/>
      <c r="AL59" s="848"/>
      <c r="AM59" s="848"/>
      <c r="AN59" s="848"/>
      <c r="AO59" s="848"/>
      <c r="AP59" s="848"/>
      <c r="AQ59" s="848"/>
      <c r="AR59" s="848"/>
      <c r="AS59" s="848"/>
      <c r="AT59" s="848"/>
      <c r="AU59" s="848"/>
      <c r="AV59" s="848"/>
      <c r="AW59" s="848"/>
      <c r="AX59" s="848"/>
      <c r="AY59" s="848"/>
      <c r="AZ59" s="848"/>
      <c r="BA59" s="261"/>
      <c r="BB59" s="256"/>
      <c r="BC59" s="256"/>
      <c r="BD59" s="256"/>
      <c r="BE59" s="256"/>
      <c r="BF59" s="256"/>
      <c r="BG59" s="256"/>
      <c r="BH59" s="256"/>
      <c r="BI59" s="256"/>
      <c r="BJ59" s="257"/>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86"/>
    </row>
    <row r="60" spans="1:86" s="250" customFormat="1" ht="3" customHeight="1">
      <c r="A60" s="220"/>
      <c r="B60" s="879"/>
      <c r="C60" s="879"/>
      <c r="D60" s="879"/>
      <c r="E60" s="859" t="s">
        <v>538</v>
      </c>
      <c r="F60" s="859"/>
      <c r="G60" s="862"/>
      <c r="H60" s="864" t="str">
        <f>Index!C86</f>
        <v>Materiál (112, 119, 11X) - /191, 19X/</v>
      </c>
      <c r="I60" s="864"/>
      <c r="J60" s="864"/>
      <c r="K60" s="864"/>
      <c r="L60" s="864"/>
      <c r="M60" s="864"/>
      <c r="N60" s="864"/>
      <c r="O60" s="864"/>
      <c r="P60" s="864"/>
      <c r="Q60" s="864"/>
      <c r="R60" s="864"/>
      <c r="S60" s="864"/>
      <c r="T60" s="864"/>
      <c r="U60" s="864"/>
      <c r="V60" s="864"/>
      <c r="W60" s="864"/>
      <c r="X60" s="864"/>
      <c r="Y60" s="864"/>
      <c r="Z60" s="864"/>
      <c r="AA60" s="866" t="s">
        <v>1584</v>
      </c>
      <c r="AB60" s="866"/>
      <c r="AC60" s="866"/>
      <c r="AD60" s="843"/>
      <c r="AE60" s="843"/>
      <c r="AF60" s="843"/>
      <c r="AG60" s="843"/>
      <c r="AH60" s="843"/>
      <c r="AI60" s="843"/>
      <c r="AJ60" s="843"/>
      <c r="AK60" s="843"/>
      <c r="AL60" s="843"/>
      <c r="AM60" s="843"/>
      <c r="AN60" s="843"/>
      <c r="AO60" s="843"/>
      <c r="AP60" s="843"/>
      <c r="AQ60" s="843"/>
      <c r="AR60" s="843"/>
      <c r="AS60" s="843"/>
      <c r="AT60" s="843"/>
      <c r="AU60" s="843"/>
      <c r="AV60" s="843"/>
      <c r="AW60" s="843"/>
      <c r="AX60" s="843"/>
      <c r="AY60" s="843"/>
      <c r="AZ60" s="843"/>
      <c r="BA60" s="844"/>
      <c r="BB60" s="844"/>
      <c r="BC60" s="844"/>
      <c r="BD60" s="844"/>
      <c r="BE60" s="844"/>
      <c r="BF60" s="844"/>
      <c r="BG60" s="844"/>
      <c r="BH60" s="844"/>
      <c r="BI60" s="844"/>
      <c r="BJ60" s="844"/>
      <c r="BK60" s="844"/>
      <c r="BL60" s="844"/>
      <c r="BM60" s="844"/>
      <c r="BN60" s="844"/>
      <c r="BO60" s="844"/>
      <c r="BP60" s="844"/>
      <c r="BQ60" s="844"/>
      <c r="BR60" s="251"/>
      <c r="BS60" s="251"/>
      <c r="BT60" s="251"/>
      <c r="BU60" s="251"/>
      <c r="BV60" s="251"/>
      <c r="BW60" s="252"/>
      <c r="BX60" s="251"/>
      <c r="BY60" s="251"/>
      <c r="BZ60" s="251"/>
      <c r="CA60" s="251"/>
      <c r="CB60" s="251"/>
      <c r="CC60" s="251"/>
      <c r="CD60" s="251"/>
      <c r="CE60" s="251"/>
      <c r="CF60" s="251"/>
      <c r="CG60" s="284"/>
    </row>
    <row r="61" spans="1:86" s="250" customFormat="1" ht="3" customHeight="1">
      <c r="A61" s="220"/>
      <c r="B61" s="879"/>
      <c r="C61" s="879"/>
      <c r="D61" s="879"/>
      <c r="E61" s="859"/>
      <c r="F61" s="859"/>
      <c r="G61" s="862"/>
      <c r="H61" s="864"/>
      <c r="I61" s="864"/>
      <c r="J61" s="864"/>
      <c r="K61" s="864"/>
      <c r="L61" s="864"/>
      <c r="M61" s="864"/>
      <c r="N61" s="864"/>
      <c r="O61" s="864"/>
      <c r="P61" s="864"/>
      <c r="Q61" s="864"/>
      <c r="R61" s="864"/>
      <c r="S61" s="864"/>
      <c r="T61" s="864"/>
      <c r="U61" s="864"/>
      <c r="V61" s="864"/>
      <c r="W61" s="864"/>
      <c r="X61" s="864"/>
      <c r="Y61" s="864"/>
      <c r="Z61" s="864"/>
      <c r="AA61" s="866"/>
      <c r="AB61" s="866"/>
      <c r="AC61" s="866"/>
      <c r="AD61" s="826"/>
      <c r="AE61" s="820"/>
      <c r="AF61" s="820"/>
      <c r="AG61" s="820"/>
      <c r="AH61" s="435"/>
      <c r="AI61" s="821"/>
      <c r="AJ61" s="821"/>
      <c r="AK61" s="821"/>
      <c r="AL61" s="821"/>
      <c r="AM61" s="821"/>
      <c r="AN61" s="818"/>
      <c r="AO61" s="822"/>
      <c r="AP61" s="822"/>
      <c r="AQ61" s="822"/>
      <c r="AR61" s="822"/>
      <c r="AS61" s="822"/>
      <c r="AT61" s="818"/>
      <c r="AU61" s="822"/>
      <c r="AV61" s="822"/>
      <c r="AW61" s="822"/>
      <c r="AX61" s="822"/>
      <c r="AY61" s="822"/>
      <c r="AZ61" s="827"/>
      <c r="BA61" s="826"/>
      <c r="BB61" s="820"/>
      <c r="BC61" s="820"/>
      <c r="BD61" s="820"/>
      <c r="BE61" s="435"/>
      <c r="BF61" s="821"/>
      <c r="BG61" s="821"/>
      <c r="BH61" s="821"/>
      <c r="BI61" s="821"/>
      <c r="BJ61" s="821"/>
      <c r="BK61" s="818"/>
      <c r="BL61" s="822"/>
      <c r="BM61" s="822"/>
      <c r="BN61" s="822"/>
      <c r="BO61" s="822"/>
      <c r="BP61" s="822"/>
      <c r="BQ61" s="818"/>
      <c r="BR61" s="822"/>
      <c r="BS61" s="822"/>
      <c r="BT61" s="822"/>
      <c r="BU61" s="822"/>
      <c r="BV61" s="822"/>
      <c r="BW61" s="441"/>
      <c r="BX61" s="442"/>
      <c r="BY61" s="442"/>
      <c r="BZ61" s="442"/>
      <c r="CA61" s="442"/>
      <c r="CB61" s="442"/>
      <c r="CC61" s="442"/>
      <c r="CD61" s="442"/>
      <c r="CE61" s="442"/>
      <c r="CF61" s="442"/>
      <c r="CG61" s="285"/>
    </row>
    <row r="62" spans="1:86" ht="15" customHeight="1">
      <c r="A62" s="220"/>
      <c r="B62" s="879"/>
      <c r="C62" s="879"/>
      <c r="D62" s="879"/>
      <c r="E62" s="859"/>
      <c r="F62" s="859"/>
      <c r="G62" s="862"/>
      <c r="H62" s="864"/>
      <c r="I62" s="864"/>
      <c r="J62" s="864"/>
      <c r="K62" s="864"/>
      <c r="L62" s="864"/>
      <c r="M62" s="864"/>
      <c r="N62" s="864"/>
      <c r="O62" s="864"/>
      <c r="P62" s="864"/>
      <c r="Q62" s="864"/>
      <c r="R62" s="864"/>
      <c r="S62" s="864"/>
      <c r="T62" s="864"/>
      <c r="U62" s="864"/>
      <c r="V62" s="864"/>
      <c r="W62" s="864"/>
      <c r="X62" s="864"/>
      <c r="Y62" s="864"/>
      <c r="Z62" s="864"/>
      <c r="AA62" s="866"/>
      <c r="AB62" s="866"/>
      <c r="AC62" s="866"/>
      <c r="AD62" s="826"/>
      <c r="AE62" s="432" t="str">
        <f>IF(LEN(VLOOKUP(AA60,suvaha!$D$8:$H$158,2,FALSE))&lt;11,"",LEFT(RIGHT(VLOOKUP(AA60,suvaha!$D$8:$H$158,2,FALSE),11),1))</f>
        <v/>
      </c>
      <c r="AF62" s="255"/>
      <c r="AG62" s="432" t="str">
        <f>IF(LEN(VLOOKUP(AA60,suvaha!$D$8:$H$158,2,FALSE))&lt;10,"",LEFT(RIGHT(VLOOKUP(AA60,suvaha!$D$8:$H$158,2,FALSE),10),1))</f>
        <v/>
      </c>
      <c r="AH62" s="434"/>
      <c r="AI62" s="432" t="str">
        <f>IF(LEN(VLOOKUP(AA60,suvaha!$D$8:$H$158,2,FALSE))&lt;9,"",LEFT(RIGHT(VLOOKUP(AA60,suvaha!$D$8:$H$158,2,FALSE),9),1))</f>
        <v/>
      </c>
      <c r="AJ62" s="255"/>
      <c r="AK62" s="432" t="str">
        <f>IF(LEN(VLOOKUP(AA60,suvaha!$D$8:$H$158,2,FALSE))&lt;8,"",LEFT(RIGHT(VLOOKUP(AA60,suvaha!$D$8:$H$158,2,FALSE),8),1))</f>
        <v/>
      </c>
      <c r="AL62" s="434"/>
      <c r="AM62" s="432" t="str">
        <f>IF(LEN(VLOOKUP(AA60,suvaha!$D$8:$H$158,2,FALSE))&lt;7,"",LEFT(RIGHT(VLOOKUP(AA60,suvaha!$D$8:$H$158,2,FALSE),7),1))</f>
        <v>1</v>
      </c>
      <c r="AN62" s="818"/>
      <c r="AO62" s="432" t="str">
        <f>IF(LEN(VLOOKUP(AA60,suvaha!$D$8:$H$158,2,FALSE))&lt;6,"",LEFT(RIGHT(VLOOKUP(AA60,suvaha!$D$8:$H$158,2,FALSE),6),1))</f>
        <v>0</v>
      </c>
      <c r="AP62" s="434"/>
      <c r="AQ62" s="432" t="str">
        <f>IF(LEN(VLOOKUP(AA60,suvaha!$D$8:$H$158,2,FALSE))&lt;5,"",LEFT(RIGHT(VLOOKUP(AA60,suvaha!$D$8:$H$158,2,FALSE),5),1))</f>
        <v>1</v>
      </c>
      <c r="AR62" s="434"/>
      <c r="AS62" s="432" t="str">
        <f>IF(LEN(VLOOKUP(AA60,suvaha!$D$8:$H$158,2,FALSE))&lt;4,"",LEFT(RIGHT(VLOOKUP(AA60,suvaha!$D$8:$H$158,2,FALSE),4),1))</f>
        <v>8</v>
      </c>
      <c r="AT62" s="818"/>
      <c r="AU62" s="432" t="str">
        <f>IF(LEN(VLOOKUP(AA60,suvaha!$D$8:$H$158,2,FALSE))&lt;3,"",LEFT(RIGHT(VLOOKUP(AA60,suvaha!$D$8:$H$158,2,FALSE),3),1))</f>
        <v>8</v>
      </c>
      <c r="AV62" s="434"/>
      <c r="AW62" s="432" t="str">
        <f>IF(LEN(VLOOKUP(AA60,suvaha!$D$8:$H$158,2,FALSE))&lt;2,"",LEFT(RIGHT(VLOOKUP(AA60,suvaha!$D$8:$H$158,2,FALSE),2),1))</f>
        <v>4</v>
      </c>
      <c r="AX62" s="434"/>
      <c r="AY62" s="432" t="str">
        <f>IF(VLOOKUP(AA60,suvaha!$D$8:$H$85,2,FALSE)=0,"",IF(LEN(VLOOKUP(AA60,suvaha!$D$8:$H$158,2,FALSE))&lt;1,"",LEFT(RIGHT(VLOOKUP(AA60,suvaha!$D$8:$H$158,2,FALSE),1),1)))</f>
        <v>1</v>
      </c>
      <c r="AZ62" s="827"/>
      <c r="BA62" s="826"/>
      <c r="BB62" s="432" t="str">
        <f>IF(LEN(VLOOKUP(AA60,suvaha!$D$8:$H$158,4,FALSE))&lt;11,"",LEFT(RIGHT(VLOOKUP(AA60,suvaha!$D$8:$H$158,4,FALSE),11),1))</f>
        <v/>
      </c>
      <c r="BC62" s="255"/>
      <c r="BD62" s="432" t="str">
        <f>IF(LEN(VLOOKUP(AA60,suvaha!$D$8:$H$158,4,FALSE))&lt;10,"",LEFT(RIGHT(VLOOKUP(AA60,suvaha!$D$8:$H$158,4,FALSE),10),1))</f>
        <v/>
      </c>
      <c r="BE62" s="434"/>
      <c r="BF62" s="432" t="str">
        <f>IF(LEN(VLOOKUP(AA60,suvaha!$D$8:$H$158,4,FALSE))&lt;9,"",LEFT(RIGHT(VLOOKUP(AA60,suvaha!$D$8:$H$158,4,FALSE),9),1))</f>
        <v/>
      </c>
      <c r="BG62" s="255"/>
      <c r="BH62" s="432" t="str">
        <f>IF(LEN(VLOOKUP(AA60,suvaha!$D$8:$H$158,4,FALSE))&lt;8,"",LEFT(RIGHT(VLOOKUP(AA60,suvaha!$D$8:$H$158,4,FALSE),8),1))</f>
        <v/>
      </c>
      <c r="BI62" s="434"/>
      <c r="BJ62" s="432" t="str">
        <f>IF(LEN(VLOOKUP(AA60,suvaha!$D$8:$H$158,4,FALSE))&lt;7,"",LEFT(RIGHT(VLOOKUP(AA60,suvaha!$D$8:$H$158,4,FALSE),7),1))</f>
        <v>1</v>
      </c>
      <c r="BK62" s="818"/>
      <c r="BL62" s="432" t="str">
        <f>IF(LEN(VLOOKUP(AA60,suvaha!$D$8:$H$158,4,FALSE))&lt;6,"",LEFT(RIGHT(VLOOKUP(AA60,suvaha!$D$8:$H$158,4,FALSE),6),1))</f>
        <v>0</v>
      </c>
      <c r="BM62" s="434"/>
      <c r="BN62" s="432" t="str">
        <f>IF(LEN(VLOOKUP(AA60,suvaha!$D$8:$H$158,4,FALSE))&lt;5,"",LEFT(RIGHT(VLOOKUP(AA60,suvaha!$D$8:$H$158,4,FALSE),5),1))</f>
        <v>1</v>
      </c>
      <c r="BO62" s="434"/>
      <c r="BP62" s="432" t="str">
        <f>IF(LEN(VLOOKUP(AA60,suvaha!$D$8:$H$158,4,FALSE))&lt;4,"",LEFT(RIGHT(VLOOKUP(AA60,suvaha!$D$8:$H$158,4,FALSE),4),1))</f>
        <v>8</v>
      </c>
      <c r="BQ62" s="818"/>
      <c r="BR62" s="432" t="str">
        <f>IF(LEN(VLOOKUP(AA60,suvaha!$D$8:$H$158,4,FALSE))&lt;3,"",LEFT(RIGHT(VLOOKUP(AA60,suvaha!$D$8:$H$158,4,FALSE),3),1))</f>
        <v>8</v>
      </c>
      <c r="BS62" s="434"/>
      <c r="BT62" s="432" t="str">
        <f>IF(LEN(VLOOKUP(AA60,suvaha!$D$8:$H$158,4,FALSE))&lt;2,"",LEFT(RIGHT(VLOOKUP(AA60,suvaha!$D$8:$H$158,4,FALSE),2),1))</f>
        <v>4</v>
      </c>
      <c r="BU62" s="434"/>
      <c r="BV62" s="432" t="str">
        <f>IF(VLOOKUP(AA60,suvaha!$D$8:$H$85,4,FALSE)=0,"",IF(LEN(VLOOKUP(AA60,suvaha!$D$8:$H$158,4,FALSE))&lt;1,"",LEFT(RIGHT(VLOOKUP(AA60,suvaha!$D$8:$H$158,4,FALSE),1),1)))</f>
        <v>1</v>
      </c>
      <c r="BW62" s="441"/>
      <c r="BX62" s="442"/>
      <c r="BY62" s="442"/>
      <c r="BZ62" s="442"/>
      <c r="CA62" s="442"/>
      <c r="CB62" s="442"/>
      <c r="CC62" s="442"/>
      <c r="CD62" s="442"/>
      <c r="CE62" s="442"/>
      <c r="CF62" s="442"/>
      <c r="CG62" s="285"/>
    </row>
    <row r="63" spans="1:86" ht="3" customHeight="1">
      <c r="A63" s="220"/>
      <c r="B63" s="879"/>
      <c r="C63" s="879"/>
      <c r="D63" s="879"/>
      <c r="E63" s="859"/>
      <c r="F63" s="859"/>
      <c r="G63" s="862"/>
      <c r="H63" s="864"/>
      <c r="I63" s="864"/>
      <c r="J63" s="864"/>
      <c r="K63" s="864"/>
      <c r="L63" s="864"/>
      <c r="M63" s="864"/>
      <c r="N63" s="864"/>
      <c r="O63" s="864"/>
      <c r="P63" s="864"/>
      <c r="Q63" s="864"/>
      <c r="R63" s="864"/>
      <c r="S63" s="864"/>
      <c r="T63" s="864"/>
      <c r="U63" s="864"/>
      <c r="V63" s="864"/>
      <c r="W63" s="864"/>
      <c r="X63" s="864"/>
      <c r="Y63" s="864"/>
      <c r="Z63" s="864"/>
      <c r="AA63" s="866"/>
      <c r="AB63" s="866"/>
      <c r="AC63" s="866"/>
      <c r="AD63" s="845"/>
      <c r="AE63" s="845"/>
      <c r="AF63" s="845"/>
      <c r="AG63" s="845"/>
      <c r="AH63" s="845"/>
      <c r="AI63" s="845"/>
      <c r="AJ63" s="845"/>
      <c r="AK63" s="845"/>
      <c r="AL63" s="845"/>
      <c r="AM63" s="845"/>
      <c r="AN63" s="845"/>
      <c r="AO63" s="845"/>
      <c r="AP63" s="845"/>
      <c r="AQ63" s="845"/>
      <c r="AR63" s="845"/>
      <c r="AS63" s="845"/>
      <c r="AT63" s="845"/>
      <c r="AU63" s="845"/>
      <c r="AV63" s="845"/>
      <c r="AW63" s="845"/>
      <c r="AX63" s="845"/>
      <c r="AY63" s="845"/>
      <c r="AZ63" s="845"/>
      <c r="BA63" s="846"/>
      <c r="BB63" s="846"/>
      <c r="BC63" s="846"/>
      <c r="BD63" s="846"/>
      <c r="BE63" s="846"/>
      <c r="BF63" s="846"/>
      <c r="BG63" s="846"/>
      <c r="BH63" s="846"/>
      <c r="BI63" s="846"/>
      <c r="BJ63" s="846"/>
      <c r="BK63" s="846"/>
      <c r="BL63" s="846"/>
      <c r="BM63" s="846"/>
      <c r="BN63" s="846"/>
      <c r="BO63" s="846"/>
      <c r="BP63" s="846"/>
      <c r="BQ63" s="846"/>
      <c r="BR63" s="310"/>
      <c r="BS63" s="310"/>
      <c r="BT63" s="310"/>
      <c r="BU63" s="310"/>
      <c r="BV63" s="310"/>
      <c r="BW63" s="443"/>
      <c r="BX63" s="310"/>
      <c r="BY63" s="310"/>
      <c r="BZ63" s="310"/>
      <c r="CA63" s="310"/>
      <c r="CB63" s="310"/>
      <c r="CC63" s="310"/>
      <c r="CD63" s="310"/>
      <c r="CE63" s="310"/>
      <c r="CF63" s="310"/>
      <c r="CG63" s="286"/>
    </row>
    <row r="64" spans="1:86" ht="3" customHeight="1">
      <c r="A64" s="220"/>
      <c r="B64" s="879"/>
      <c r="C64" s="879"/>
      <c r="D64" s="879"/>
      <c r="E64" s="859"/>
      <c r="F64" s="859"/>
      <c r="G64" s="862"/>
      <c r="H64" s="864"/>
      <c r="I64" s="864"/>
      <c r="J64" s="864"/>
      <c r="K64" s="864"/>
      <c r="L64" s="864"/>
      <c r="M64" s="864"/>
      <c r="N64" s="864"/>
      <c r="O64" s="864"/>
      <c r="P64" s="864"/>
      <c r="Q64" s="864"/>
      <c r="R64" s="864"/>
      <c r="S64" s="864"/>
      <c r="T64" s="864"/>
      <c r="U64" s="864"/>
      <c r="V64" s="864"/>
      <c r="W64" s="864"/>
      <c r="X64" s="864"/>
      <c r="Y64" s="864"/>
      <c r="Z64" s="864"/>
      <c r="AA64" s="866"/>
      <c r="AB64" s="866"/>
      <c r="AC64" s="866"/>
      <c r="AD64" s="825"/>
      <c r="AE64" s="825"/>
      <c r="AF64" s="825"/>
      <c r="AG64" s="825"/>
      <c r="AH64" s="825"/>
      <c r="AI64" s="825"/>
      <c r="AJ64" s="825"/>
      <c r="AK64" s="825"/>
      <c r="AL64" s="825"/>
      <c r="AM64" s="825"/>
      <c r="AN64" s="825"/>
      <c r="AO64" s="825"/>
      <c r="AP64" s="825"/>
      <c r="AQ64" s="825"/>
      <c r="AR64" s="825"/>
      <c r="AS64" s="825"/>
      <c r="AT64" s="825"/>
      <c r="AU64" s="825"/>
      <c r="AV64" s="825"/>
      <c r="AW64" s="825"/>
      <c r="AX64" s="825"/>
      <c r="AY64" s="825"/>
      <c r="AZ64" s="825"/>
      <c r="BA64" s="447"/>
      <c r="BB64" s="304"/>
      <c r="BC64" s="304"/>
      <c r="BD64" s="304"/>
      <c r="BE64" s="304"/>
      <c r="BF64" s="304"/>
      <c r="BG64" s="304"/>
      <c r="BH64" s="304"/>
      <c r="BI64" s="304"/>
      <c r="BJ64" s="446"/>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284"/>
    </row>
    <row r="65" spans="1:85" ht="3" customHeight="1">
      <c r="A65" s="220"/>
      <c r="B65" s="879"/>
      <c r="C65" s="879"/>
      <c r="D65" s="879"/>
      <c r="E65" s="859"/>
      <c r="F65" s="859"/>
      <c r="G65" s="862"/>
      <c r="H65" s="864"/>
      <c r="I65" s="864"/>
      <c r="J65" s="864"/>
      <c r="K65" s="864"/>
      <c r="L65" s="864"/>
      <c r="M65" s="864"/>
      <c r="N65" s="864"/>
      <c r="O65" s="864"/>
      <c r="P65" s="864"/>
      <c r="Q65" s="864"/>
      <c r="R65" s="864"/>
      <c r="S65" s="864"/>
      <c r="T65" s="864"/>
      <c r="U65" s="864"/>
      <c r="V65" s="864"/>
      <c r="W65" s="864"/>
      <c r="X65" s="864"/>
      <c r="Y65" s="864"/>
      <c r="Z65" s="864"/>
      <c r="AA65" s="866"/>
      <c r="AB65" s="866"/>
      <c r="AC65" s="866"/>
      <c r="AD65" s="826"/>
      <c r="AE65" s="820"/>
      <c r="AF65" s="820"/>
      <c r="AG65" s="820"/>
      <c r="AH65" s="435"/>
      <c r="AI65" s="821"/>
      <c r="AJ65" s="821"/>
      <c r="AK65" s="821"/>
      <c r="AL65" s="821"/>
      <c r="AM65" s="821"/>
      <c r="AN65" s="818"/>
      <c r="AO65" s="822"/>
      <c r="AP65" s="822"/>
      <c r="AQ65" s="822"/>
      <c r="AR65" s="822"/>
      <c r="AS65" s="822"/>
      <c r="AT65" s="818"/>
      <c r="AU65" s="822"/>
      <c r="AV65" s="822"/>
      <c r="AW65" s="822"/>
      <c r="AX65" s="822"/>
      <c r="AY65" s="822"/>
      <c r="AZ65" s="827"/>
      <c r="BA65" s="448"/>
      <c r="BB65" s="442"/>
      <c r="BC65" s="442"/>
      <c r="BD65" s="442"/>
      <c r="BE65" s="442"/>
      <c r="BF65" s="442"/>
      <c r="BG65" s="442"/>
      <c r="BH65" s="442"/>
      <c r="BI65" s="442"/>
      <c r="BJ65" s="441"/>
      <c r="BK65" s="442"/>
      <c r="BL65" s="820"/>
      <c r="BM65" s="820"/>
      <c r="BN65" s="820"/>
      <c r="BO65" s="435"/>
      <c r="BP65" s="821"/>
      <c r="BQ65" s="821"/>
      <c r="BR65" s="821"/>
      <c r="BS65" s="821"/>
      <c r="BT65" s="821"/>
      <c r="BU65" s="818"/>
      <c r="BV65" s="822"/>
      <c r="BW65" s="822"/>
      <c r="BX65" s="822"/>
      <c r="BY65" s="822"/>
      <c r="BZ65" s="822"/>
      <c r="CA65" s="818"/>
      <c r="CB65" s="822"/>
      <c r="CC65" s="822"/>
      <c r="CD65" s="822"/>
      <c r="CE65" s="822"/>
      <c r="CF65" s="822"/>
      <c r="CG65" s="287"/>
    </row>
    <row r="66" spans="1:85" ht="15" customHeight="1">
      <c r="A66" s="220"/>
      <c r="B66" s="879"/>
      <c r="C66" s="879"/>
      <c r="D66" s="879"/>
      <c r="E66" s="859"/>
      <c r="F66" s="859"/>
      <c r="G66" s="862"/>
      <c r="H66" s="864"/>
      <c r="I66" s="864"/>
      <c r="J66" s="864"/>
      <c r="K66" s="864"/>
      <c r="L66" s="864"/>
      <c r="M66" s="864"/>
      <c r="N66" s="864"/>
      <c r="O66" s="864"/>
      <c r="P66" s="864"/>
      <c r="Q66" s="864"/>
      <c r="R66" s="864"/>
      <c r="S66" s="864"/>
      <c r="T66" s="864"/>
      <c r="U66" s="864"/>
      <c r="V66" s="864"/>
      <c r="W66" s="864"/>
      <c r="X66" s="864"/>
      <c r="Y66" s="864"/>
      <c r="Z66" s="864"/>
      <c r="AA66" s="866"/>
      <c r="AB66" s="866"/>
      <c r="AC66" s="866"/>
      <c r="AD66" s="826"/>
      <c r="AE66" s="432" t="str">
        <f>IF(LEN(VLOOKUP(AA60,suvaha!$D$8:$H$158,3,FALSE))&lt;11,"",LEFT(RIGHT(VLOOKUP(AA60,suvaha!$D$8:$H$158,3,FALSE),11),1))</f>
        <v/>
      </c>
      <c r="AF66" s="255"/>
      <c r="AG66" s="432" t="str">
        <f>IF(LEN(VLOOKUP(AA60,suvaha!$D$8:$H$158,3,FALSE))&lt;10,"",LEFT(RIGHT(VLOOKUP(AA60,suvaha!$D$8:$H$158,3,FALSE),10),1))</f>
        <v/>
      </c>
      <c r="AH66" s="434"/>
      <c r="AI66" s="432" t="str">
        <f>IF(LEN(VLOOKUP(AA60,suvaha!$D$8:$H$158,3,FALSE))&lt;9,"",LEFT(RIGHT(VLOOKUP(AA60,suvaha!$D$8:$H$158,3,FALSE),9),1))</f>
        <v/>
      </c>
      <c r="AJ66" s="255"/>
      <c r="AK66" s="432" t="str">
        <f>IF(LEN(VLOOKUP(AA60,suvaha!$D$8:$H$158,3,FALSE))&lt;8,"",LEFT(RIGHT(VLOOKUP(AA60,suvaha!$D$8:$H$158,3,FALSE),8),1))</f>
        <v/>
      </c>
      <c r="AL66" s="434"/>
      <c r="AM66" s="432" t="str">
        <f>IF(LEN(VLOOKUP(AA60,suvaha!$D$8:$H$158,3,FALSE))&lt;7,"",LEFT(RIGHT(VLOOKUP(AA60,suvaha!$D$8:$H$158,3,FALSE),7),1))</f>
        <v/>
      </c>
      <c r="AN66" s="818"/>
      <c r="AO66" s="432" t="str">
        <f>IF(LEN(VLOOKUP(AA60,suvaha!$D$8:$H$158,3,FALSE))&lt;6,"",LEFT(RIGHT(VLOOKUP(AA60,suvaha!$D$8:$H$158,3,FALSE),6),1))</f>
        <v/>
      </c>
      <c r="AP66" s="434"/>
      <c r="AQ66" s="432" t="str">
        <f>IF(LEN(VLOOKUP(AA60,suvaha!$D$8:$H$158,3,FALSE))&lt;5,"",LEFT(RIGHT(VLOOKUP(AA60,suvaha!$D$8:$H$158,3,FALSE),5),1))</f>
        <v/>
      </c>
      <c r="AR66" s="434"/>
      <c r="AS66" s="432" t="str">
        <f>IF(LEN(VLOOKUP(AA60,suvaha!$D$8:$H$158,3,FALSE))&lt;4,"",LEFT(RIGHT(VLOOKUP(AA60,suvaha!$D$8:$H$158,3,FALSE),4),1))</f>
        <v/>
      </c>
      <c r="AT66" s="818"/>
      <c r="AU66" s="432" t="str">
        <f>IF(LEN(VLOOKUP(AA60,suvaha!$D$8:$H$158,3,FALSE))&lt;3,"",LEFT(RIGHT(VLOOKUP(AA60,suvaha!$D$8:$H$158,3,FALSE),3),1))</f>
        <v/>
      </c>
      <c r="AV66" s="434"/>
      <c r="AW66" s="432" t="str">
        <f>IF(LEN(VLOOKUP(AA60,suvaha!$D$8:$H$158,3,FALSE))&lt;2,"",LEFT(RIGHT(VLOOKUP(AA60,suvaha!$D$8:$H$158,3,FALSE),2),1))</f>
        <v/>
      </c>
      <c r="AX66" s="434"/>
      <c r="AY66" s="432" t="str">
        <f>IF(VLOOKUP(AA60,suvaha!$D$8:$H$85,3,FALSE)=0,"",IF(LEN(VLOOKUP(AA60,suvaha!$D$8:$H$158,3,FALSE))&lt;1,"",LEFT(RIGHT(VLOOKUP(AA60,suvaha!$D$8:$H$158,3,FALSE),1),1)))</f>
        <v/>
      </c>
      <c r="AZ66" s="827"/>
      <c r="BA66" s="448"/>
      <c r="BB66" s="442"/>
      <c r="BC66" s="442"/>
      <c r="BD66" s="442"/>
      <c r="BE66" s="442"/>
      <c r="BF66" s="442"/>
      <c r="BG66" s="442"/>
      <c r="BH66" s="442"/>
      <c r="BI66" s="442"/>
      <c r="BJ66" s="441"/>
      <c r="BK66" s="442"/>
      <c r="BL66" s="432" t="str">
        <f>IF(LEN(VLOOKUP(AA60,suvaha!$D$8:$H$158,5,FALSE))&lt;11,"",LEFT(RIGHT(VLOOKUP(AA60,suvaha!$D$8:$H$158,5,FALSE),11),1))</f>
        <v/>
      </c>
      <c r="BM66" s="255"/>
      <c r="BN66" s="432" t="str">
        <f>IF(LEN(VLOOKUP(AA60,suvaha!$D$8:$H$158,5,FALSE))&lt;10,"",LEFT(RIGHT(VLOOKUP(AA60,suvaha!$D$8:$H$158,5,FALSE),10),1))</f>
        <v/>
      </c>
      <c r="BO66" s="434"/>
      <c r="BP66" s="432" t="str">
        <f>IF(LEN(VLOOKUP(AA60,suvaha!$D$8:$H$158,5,FALSE))&lt;9,"",LEFT(RIGHT(VLOOKUP(AA60,suvaha!$D$8:$H$158,5,FALSE),9),1))</f>
        <v/>
      </c>
      <c r="BQ66" s="255"/>
      <c r="BR66" s="432" t="str">
        <f>IF(LEN(VLOOKUP(AA60,suvaha!$D$8:$H$158,5,FALSE))&lt;8,"",LEFT(RIGHT(VLOOKUP(AA60,suvaha!$D$8:$H$158,5,FALSE),8),1))</f>
        <v/>
      </c>
      <c r="BS66" s="434"/>
      <c r="BT66" s="432" t="str">
        <f>IF(LEN(VLOOKUP(AA60,suvaha!$D$8:$H$158,5,FALSE))&lt;7,"",LEFT(RIGHT(VLOOKUP(AA60,suvaha!$D$8:$H$158,5,FALSE),7),1))</f>
        <v>1</v>
      </c>
      <c r="BU66" s="818"/>
      <c r="BV66" s="432" t="str">
        <f>IF(LEN(VLOOKUP(AA60,suvaha!$D$8:$H$158,5,FALSE))&lt;6,"",LEFT(RIGHT(VLOOKUP(AA60,suvaha!$D$8:$H$158,5,FALSE),6),1))</f>
        <v>2</v>
      </c>
      <c r="BW66" s="434"/>
      <c r="BX66" s="432" t="str">
        <f>IF(LEN(VLOOKUP(AA60,suvaha!$D$8:$H$158,5,FALSE))&lt;5,"",LEFT(RIGHT(VLOOKUP(AA60,suvaha!$D$8:$H$158,5,FALSE),5),1))</f>
        <v>9</v>
      </c>
      <c r="BY66" s="434"/>
      <c r="BZ66" s="432" t="str">
        <f>IF(LEN(VLOOKUP(AA60,suvaha!$D$8:$H$158,5,FALSE))&lt;4,"",LEFT(RIGHT(VLOOKUP(AA60,suvaha!$D$8:$H$158,5,FALSE),4),1))</f>
        <v>6</v>
      </c>
      <c r="CA66" s="818"/>
      <c r="CB66" s="432" t="str">
        <f>IF(LEN(VLOOKUP(AA60,suvaha!$D$8:$H$158,5,FALSE))&lt;3,"",LEFT(RIGHT(VLOOKUP(AA60,suvaha!$D$8:$H$158,5,FALSE),3),1))</f>
        <v>5</v>
      </c>
      <c r="CC66" s="434"/>
      <c r="CD66" s="432" t="str">
        <f>IF(LEN(VLOOKUP(AA60,suvaha!$D$8:$H$158,5,FALSE))&lt;2,"",LEFT(RIGHT(VLOOKUP(AA60,suvaha!$D$8:$H$158,5,FALSE),2),1))</f>
        <v>7</v>
      </c>
      <c r="CE66" s="434"/>
      <c r="CF66" s="432" t="str">
        <f>IF(VLOOKUP(AA60,suvaha!$D$8:$H$85,5,FALSE)=0,"",IF(LEN(VLOOKUP(AA60,suvaha!$D$8:$H$158,5,FALSE))&lt;1,"",LEFT(RIGHT(VLOOKUP(AA60,suvaha!$D$8:$H$158,5,FALSE),1),1)))</f>
        <v>9</v>
      </c>
      <c r="CG66" s="287"/>
    </row>
    <row r="67" spans="1:85" ht="3" customHeight="1">
      <c r="A67" s="220"/>
      <c r="B67" s="879"/>
      <c r="C67" s="879"/>
      <c r="D67" s="879"/>
      <c r="E67" s="859"/>
      <c r="F67" s="859"/>
      <c r="G67" s="862"/>
      <c r="H67" s="864"/>
      <c r="I67" s="864"/>
      <c r="J67" s="864"/>
      <c r="K67" s="864"/>
      <c r="L67" s="864"/>
      <c r="M67" s="864"/>
      <c r="N67" s="864"/>
      <c r="O67" s="864"/>
      <c r="P67" s="864"/>
      <c r="Q67" s="864"/>
      <c r="R67" s="864"/>
      <c r="S67" s="864"/>
      <c r="T67" s="864"/>
      <c r="U67" s="864"/>
      <c r="V67" s="864"/>
      <c r="W67" s="864"/>
      <c r="X67" s="864"/>
      <c r="Y67" s="864"/>
      <c r="Z67" s="864"/>
      <c r="AA67" s="866"/>
      <c r="AB67" s="866"/>
      <c r="AC67" s="866"/>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449"/>
      <c r="BB67" s="310"/>
      <c r="BC67" s="310"/>
      <c r="BD67" s="310"/>
      <c r="BE67" s="310"/>
      <c r="BF67" s="310"/>
      <c r="BG67" s="310"/>
      <c r="BH67" s="310"/>
      <c r="BI67" s="310"/>
      <c r="BJ67" s="443"/>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286"/>
    </row>
    <row r="68" spans="1:85" s="250" customFormat="1" ht="3" customHeight="1">
      <c r="A68" s="220"/>
      <c r="B68" s="879"/>
      <c r="C68" s="879"/>
      <c r="D68" s="879"/>
      <c r="E68" s="877" t="s">
        <v>1542</v>
      </c>
      <c r="F68" s="877"/>
      <c r="G68" s="862"/>
      <c r="H68" s="864" t="str">
        <f>Index!C87</f>
        <v>Nedokončená výroba a polotovary vlastnej výroby (121, 122, 12X) - /192, 193, 19X/</v>
      </c>
      <c r="I68" s="864"/>
      <c r="J68" s="864"/>
      <c r="K68" s="864"/>
      <c r="L68" s="864"/>
      <c r="M68" s="864"/>
      <c r="N68" s="864"/>
      <c r="O68" s="864"/>
      <c r="P68" s="864"/>
      <c r="Q68" s="864"/>
      <c r="R68" s="864"/>
      <c r="S68" s="864"/>
      <c r="T68" s="864"/>
      <c r="U68" s="864"/>
      <c r="V68" s="864"/>
      <c r="W68" s="864"/>
      <c r="X68" s="864"/>
      <c r="Y68" s="864"/>
      <c r="Z68" s="864"/>
      <c r="AA68" s="866" t="s">
        <v>1585</v>
      </c>
      <c r="AB68" s="866"/>
      <c r="AC68" s="866"/>
      <c r="AD68" s="825"/>
      <c r="AE68" s="825"/>
      <c r="AF68" s="825"/>
      <c r="AG68" s="825"/>
      <c r="AH68" s="825"/>
      <c r="AI68" s="825"/>
      <c r="AJ68" s="825"/>
      <c r="AK68" s="825"/>
      <c r="AL68" s="825"/>
      <c r="AM68" s="825"/>
      <c r="AN68" s="825"/>
      <c r="AO68" s="825"/>
      <c r="AP68" s="825"/>
      <c r="AQ68" s="825"/>
      <c r="AR68" s="825"/>
      <c r="AS68" s="825"/>
      <c r="AT68" s="825"/>
      <c r="AU68" s="825"/>
      <c r="AV68" s="825"/>
      <c r="AW68" s="825"/>
      <c r="AX68" s="825"/>
      <c r="AY68" s="825"/>
      <c r="AZ68" s="825"/>
      <c r="BA68" s="867"/>
      <c r="BB68" s="867"/>
      <c r="BC68" s="867"/>
      <c r="BD68" s="867"/>
      <c r="BE68" s="867"/>
      <c r="BF68" s="867"/>
      <c r="BG68" s="867"/>
      <c r="BH68" s="867"/>
      <c r="BI68" s="867"/>
      <c r="BJ68" s="867"/>
      <c r="BK68" s="867"/>
      <c r="BL68" s="867"/>
      <c r="BM68" s="867"/>
      <c r="BN68" s="867"/>
      <c r="BO68" s="867"/>
      <c r="BP68" s="867"/>
      <c r="BQ68" s="867"/>
      <c r="BR68" s="304"/>
      <c r="BS68" s="304"/>
      <c r="BT68" s="304"/>
      <c r="BU68" s="304"/>
      <c r="BV68" s="304"/>
      <c r="BW68" s="446"/>
      <c r="BX68" s="304"/>
      <c r="BY68" s="304"/>
      <c r="BZ68" s="304"/>
      <c r="CA68" s="304"/>
      <c r="CB68" s="304"/>
      <c r="CC68" s="304"/>
      <c r="CD68" s="304"/>
      <c r="CE68" s="304"/>
      <c r="CF68" s="304"/>
      <c r="CG68" s="284"/>
    </row>
    <row r="69" spans="1:85" s="250" customFormat="1" ht="3" customHeight="1">
      <c r="A69" s="220"/>
      <c r="B69" s="879"/>
      <c r="C69" s="879"/>
      <c r="D69" s="879"/>
      <c r="E69" s="877"/>
      <c r="F69" s="877"/>
      <c r="G69" s="862"/>
      <c r="H69" s="864"/>
      <c r="I69" s="864"/>
      <c r="J69" s="864"/>
      <c r="K69" s="864"/>
      <c r="L69" s="864"/>
      <c r="M69" s="864"/>
      <c r="N69" s="864"/>
      <c r="O69" s="864"/>
      <c r="P69" s="864"/>
      <c r="Q69" s="864"/>
      <c r="R69" s="864"/>
      <c r="S69" s="864"/>
      <c r="T69" s="864"/>
      <c r="U69" s="864"/>
      <c r="V69" s="864"/>
      <c r="W69" s="864"/>
      <c r="X69" s="864"/>
      <c r="Y69" s="864"/>
      <c r="Z69" s="864"/>
      <c r="AA69" s="866"/>
      <c r="AB69" s="866"/>
      <c r="AC69" s="866"/>
      <c r="AD69" s="826"/>
      <c r="AE69" s="820"/>
      <c r="AF69" s="820"/>
      <c r="AG69" s="820"/>
      <c r="AH69" s="435"/>
      <c r="AI69" s="821"/>
      <c r="AJ69" s="821"/>
      <c r="AK69" s="821"/>
      <c r="AL69" s="821"/>
      <c r="AM69" s="821"/>
      <c r="AN69" s="818"/>
      <c r="AO69" s="822"/>
      <c r="AP69" s="822"/>
      <c r="AQ69" s="822"/>
      <c r="AR69" s="822"/>
      <c r="AS69" s="822"/>
      <c r="AT69" s="818"/>
      <c r="AU69" s="822"/>
      <c r="AV69" s="822"/>
      <c r="AW69" s="822"/>
      <c r="AX69" s="822"/>
      <c r="AY69" s="822"/>
      <c r="AZ69" s="827"/>
      <c r="BA69" s="826"/>
      <c r="BB69" s="820"/>
      <c r="BC69" s="820"/>
      <c r="BD69" s="820"/>
      <c r="BE69" s="435"/>
      <c r="BF69" s="821"/>
      <c r="BG69" s="821"/>
      <c r="BH69" s="821"/>
      <c r="BI69" s="821"/>
      <c r="BJ69" s="821"/>
      <c r="BK69" s="818"/>
      <c r="BL69" s="822"/>
      <c r="BM69" s="822"/>
      <c r="BN69" s="822"/>
      <c r="BO69" s="822"/>
      <c r="BP69" s="822"/>
      <c r="BQ69" s="818"/>
      <c r="BR69" s="822"/>
      <c r="BS69" s="822"/>
      <c r="BT69" s="822"/>
      <c r="BU69" s="822"/>
      <c r="BV69" s="822"/>
      <c r="BW69" s="441"/>
      <c r="BX69" s="442"/>
      <c r="BY69" s="442"/>
      <c r="BZ69" s="442"/>
      <c r="CA69" s="442"/>
      <c r="CB69" s="442"/>
      <c r="CC69" s="442"/>
      <c r="CD69" s="442"/>
      <c r="CE69" s="442"/>
      <c r="CF69" s="442"/>
      <c r="CG69" s="285"/>
    </row>
    <row r="70" spans="1:85" ht="15" customHeight="1">
      <c r="A70" s="220"/>
      <c r="B70" s="879"/>
      <c r="C70" s="879"/>
      <c r="D70" s="879"/>
      <c r="E70" s="877"/>
      <c r="F70" s="877"/>
      <c r="G70" s="862"/>
      <c r="H70" s="864"/>
      <c r="I70" s="864"/>
      <c r="J70" s="864"/>
      <c r="K70" s="864"/>
      <c r="L70" s="864"/>
      <c r="M70" s="864"/>
      <c r="N70" s="864"/>
      <c r="O70" s="864"/>
      <c r="P70" s="864"/>
      <c r="Q70" s="864"/>
      <c r="R70" s="864"/>
      <c r="S70" s="864"/>
      <c r="T70" s="864"/>
      <c r="U70" s="864"/>
      <c r="V70" s="864"/>
      <c r="W70" s="864"/>
      <c r="X70" s="864"/>
      <c r="Y70" s="864"/>
      <c r="Z70" s="864"/>
      <c r="AA70" s="866"/>
      <c r="AB70" s="866"/>
      <c r="AC70" s="866"/>
      <c r="AD70" s="826"/>
      <c r="AE70" s="432" t="str">
        <f>IF(LEN(VLOOKUP(AA68,suvaha!$D$8:$H$158,2,FALSE))&lt;11,"",LEFT(RIGHT(VLOOKUP(AA68,suvaha!$D$8:$H$158,2,FALSE),11),1))</f>
        <v/>
      </c>
      <c r="AF70" s="255"/>
      <c r="AG70" s="432" t="str">
        <f>IF(LEN(VLOOKUP(AA68,suvaha!$D$8:$H$158,2,FALSE))&lt;10,"",LEFT(RIGHT(VLOOKUP(AA68,suvaha!$D$8:$H$158,2,FALSE),10),1))</f>
        <v/>
      </c>
      <c r="AH70" s="434"/>
      <c r="AI70" s="432" t="str">
        <f>IF(LEN(VLOOKUP(AA68,suvaha!$D$8:$H$158,2,FALSE))&lt;9,"",LEFT(RIGHT(VLOOKUP(AA68,suvaha!$D$8:$H$158,2,FALSE),9),1))</f>
        <v/>
      </c>
      <c r="AJ70" s="255"/>
      <c r="AK70" s="432" t="str">
        <f>IF(LEN(VLOOKUP(AA68,suvaha!$D$8:$H$158,2,FALSE))&lt;8,"",LEFT(RIGHT(VLOOKUP(AA68,suvaha!$D$8:$H$158,2,FALSE),8),1))</f>
        <v/>
      </c>
      <c r="AL70" s="434"/>
      <c r="AM70" s="432" t="str">
        <f>IF(LEN(VLOOKUP(AA68,suvaha!$D$8:$H$158,2,FALSE))&lt;7,"",LEFT(RIGHT(VLOOKUP(AA68,suvaha!$D$8:$H$158,2,FALSE),7),1))</f>
        <v/>
      </c>
      <c r="AN70" s="818"/>
      <c r="AO70" s="432" t="str">
        <f>IF(LEN(VLOOKUP(AA68,suvaha!$D$8:$H$158,2,FALSE))&lt;6,"",LEFT(RIGHT(VLOOKUP(AA68,suvaha!$D$8:$H$158,2,FALSE),6),1))</f>
        <v/>
      </c>
      <c r="AP70" s="434"/>
      <c r="AQ70" s="432" t="str">
        <f>IF(LEN(VLOOKUP(AA68,suvaha!$D$8:$H$158,2,FALSE))&lt;5,"",LEFT(RIGHT(VLOOKUP(AA68,suvaha!$D$8:$H$158,2,FALSE),5),1))</f>
        <v/>
      </c>
      <c r="AR70" s="434"/>
      <c r="AS70" s="432" t="str">
        <f>IF(LEN(VLOOKUP(AA68,suvaha!$D$8:$H$158,2,FALSE))&lt;4,"",LEFT(RIGHT(VLOOKUP(AA68,suvaha!$D$8:$H$158,2,FALSE),4),1))</f>
        <v/>
      </c>
      <c r="AT70" s="818"/>
      <c r="AU70" s="432" t="str">
        <f>IF(LEN(VLOOKUP(AA68,suvaha!$D$8:$H$158,2,FALSE))&lt;3,"",LEFT(RIGHT(VLOOKUP(AA68,suvaha!$D$8:$H$158,2,FALSE),3),1))</f>
        <v/>
      </c>
      <c r="AV70" s="434"/>
      <c r="AW70" s="432" t="str">
        <f>IF(LEN(VLOOKUP(AA68,suvaha!$D$8:$H$158,2,FALSE))&lt;2,"",LEFT(RIGHT(VLOOKUP(AA68,suvaha!$D$8:$H$158,2,FALSE),2),1))</f>
        <v/>
      </c>
      <c r="AX70" s="434"/>
      <c r="AY70" s="432" t="str">
        <f>IF(VLOOKUP(AA68,suvaha!$D$8:$H$85,2,FALSE)=0,"",IF(LEN(VLOOKUP(AA68,suvaha!$D$8:$H$158,2,FALSE))&lt;1,"",LEFT(RIGHT(VLOOKUP(AA68,suvaha!$D$8:$H$158,2,FALSE),1),1)))</f>
        <v/>
      </c>
      <c r="AZ70" s="827"/>
      <c r="BA70" s="826"/>
      <c r="BB70" s="432" t="str">
        <f>IF(LEN(VLOOKUP(AA68,suvaha!$D$8:$H$158,4,FALSE))&lt;11,"",LEFT(RIGHT(VLOOKUP(AA68,suvaha!$D$8:$H$158,4,FALSE),11),1))</f>
        <v/>
      </c>
      <c r="BC70" s="255"/>
      <c r="BD70" s="432" t="str">
        <f>IF(LEN(VLOOKUP(AA68,suvaha!$D$8:$H$158,4,FALSE))&lt;10,"",LEFT(RIGHT(VLOOKUP(AA68,suvaha!$D$8:$H$158,4,FALSE),10),1))</f>
        <v/>
      </c>
      <c r="BE70" s="434"/>
      <c r="BF70" s="432" t="str">
        <f>IF(LEN(VLOOKUP(AA68,suvaha!$D$8:$H$158,4,FALSE))&lt;9,"",LEFT(RIGHT(VLOOKUP(AA68,suvaha!$D$8:$H$158,4,FALSE),9),1))</f>
        <v/>
      </c>
      <c r="BG70" s="255"/>
      <c r="BH70" s="432" t="str">
        <f>IF(LEN(VLOOKUP(AA68,suvaha!$D$8:$H$158,4,FALSE))&lt;8,"",LEFT(RIGHT(VLOOKUP(AA68,suvaha!$D$8:$H$158,4,FALSE),8),1))</f>
        <v/>
      </c>
      <c r="BI70" s="434"/>
      <c r="BJ70" s="432" t="str">
        <f>IF(LEN(VLOOKUP(AA68,suvaha!$D$8:$H$158,4,FALSE))&lt;7,"",LEFT(RIGHT(VLOOKUP(AA68,suvaha!$D$8:$H$158,4,FALSE),7),1))</f>
        <v/>
      </c>
      <c r="BK70" s="818"/>
      <c r="BL70" s="432" t="str">
        <f>IF(LEN(VLOOKUP(AA68,suvaha!$D$8:$H$158,4,FALSE))&lt;6,"",LEFT(RIGHT(VLOOKUP(AA68,suvaha!$D$8:$H$158,4,FALSE),6),1))</f>
        <v/>
      </c>
      <c r="BM70" s="434"/>
      <c r="BN70" s="432" t="str">
        <f>IF(LEN(VLOOKUP(AA68,suvaha!$D$8:$H$158,4,FALSE))&lt;5,"",LEFT(RIGHT(VLOOKUP(AA68,suvaha!$D$8:$H$158,4,FALSE),5),1))</f>
        <v/>
      </c>
      <c r="BO70" s="434"/>
      <c r="BP70" s="432" t="str">
        <f>IF(LEN(VLOOKUP(AA68,suvaha!$D$8:$H$158,4,FALSE))&lt;4,"",LEFT(RIGHT(VLOOKUP(AA68,suvaha!$D$8:$H$158,4,FALSE),4),1))</f>
        <v/>
      </c>
      <c r="BQ70" s="818"/>
      <c r="BR70" s="432" t="str">
        <f>IF(LEN(VLOOKUP(AA68,suvaha!$D$8:$H$158,4,FALSE))&lt;3,"",LEFT(RIGHT(VLOOKUP(AA68,suvaha!$D$8:$H$158,4,FALSE),3),1))</f>
        <v/>
      </c>
      <c r="BS70" s="434"/>
      <c r="BT70" s="432" t="str">
        <f>IF(LEN(VLOOKUP(AA68,suvaha!$D$8:$H$158,4,FALSE))&lt;2,"",LEFT(RIGHT(VLOOKUP(AA68,suvaha!$D$8:$H$158,4,FALSE),2),1))</f>
        <v/>
      </c>
      <c r="BU70" s="434"/>
      <c r="BV70" s="432" t="str">
        <f>IF(VLOOKUP(AA68,suvaha!$D$8:$H$85,4,FALSE)=0,"",IF(LEN(VLOOKUP(AA68,suvaha!$D$8:$H$158,4,FALSE))&lt;1,"",LEFT(RIGHT(VLOOKUP(AA68,suvaha!$D$8:$H$158,4,FALSE),1),1)))</f>
        <v/>
      </c>
      <c r="BW70" s="441"/>
      <c r="BX70" s="442"/>
      <c r="BY70" s="442"/>
      <c r="BZ70" s="442"/>
      <c r="CA70" s="442"/>
      <c r="CB70" s="442"/>
      <c r="CC70" s="442"/>
      <c r="CD70" s="442"/>
      <c r="CE70" s="442"/>
      <c r="CF70" s="442"/>
      <c r="CG70" s="285"/>
    </row>
    <row r="71" spans="1:85" ht="3" customHeight="1">
      <c r="A71" s="220"/>
      <c r="B71" s="879"/>
      <c r="C71" s="879"/>
      <c r="D71" s="879"/>
      <c r="E71" s="877"/>
      <c r="F71" s="877"/>
      <c r="G71" s="862"/>
      <c r="H71" s="864"/>
      <c r="I71" s="864"/>
      <c r="J71" s="864"/>
      <c r="K71" s="864"/>
      <c r="L71" s="864"/>
      <c r="M71" s="864"/>
      <c r="N71" s="864"/>
      <c r="O71" s="864"/>
      <c r="P71" s="864"/>
      <c r="Q71" s="864"/>
      <c r="R71" s="864"/>
      <c r="S71" s="864"/>
      <c r="T71" s="864"/>
      <c r="U71" s="864"/>
      <c r="V71" s="864"/>
      <c r="W71" s="864"/>
      <c r="X71" s="864"/>
      <c r="Y71" s="864"/>
      <c r="Z71" s="864"/>
      <c r="AA71" s="866"/>
      <c r="AB71" s="866"/>
      <c r="AC71" s="866"/>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6"/>
      <c r="BB71" s="846"/>
      <c r="BC71" s="846"/>
      <c r="BD71" s="846"/>
      <c r="BE71" s="846"/>
      <c r="BF71" s="846"/>
      <c r="BG71" s="846"/>
      <c r="BH71" s="846"/>
      <c r="BI71" s="846"/>
      <c r="BJ71" s="846"/>
      <c r="BK71" s="846"/>
      <c r="BL71" s="846"/>
      <c r="BM71" s="846"/>
      <c r="BN71" s="846"/>
      <c r="BO71" s="846"/>
      <c r="BP71" s="846"/>
      <c r="BQ71" s="846"/>
      <c r="BR71" s="310"/>
      <c r="BS71" s="310"/>
      <c r="BT71" s="310"/>
      <c r="BU71" s="310"/>
      <c r="BV71" s="310"/>
      <c r="BW71" s="443"/>
      <c r="BX71" s="310"/>
      <c r="BY71" s="310"/>
      <c r="BZ71" s="310"/>
      <c r="CA71" s="310"/>
      <c r="CB71" s="310"/>
      <c r="CC71" s="310"/>
      <c r="CD71" s="310"/>
      <c r="CE71" s="310"/>
      <c r="CF71" s="310"/>
      <c r="CG71" s="286"/>
    </row>
    <row r="72" spans="1:85" ht="3" customHeight="1">
      <c r="A72" s="220"/>
      <c r="B72" s="879"/>
      <c r="C72" s="879"/>
      <c r="D72" s="879"/>
      <c r="E72" s="877"/>
      <c r="F72" s="877"/>
      <c r="G72" s="862"/>
      <c r="H72" s="864"/>
      <c r="I72" s="864"/>
      <c r="J72" s="864"/>
      <c r="K72" s="864"/>
      <c r="L72" s="864"/>
      <c r="M72" s="864"/>
      <c r="N72" s="864"/>
      <c r="O72" s="864"/>
      <c r="P72" s="864"/>
      <c r="Q72" s="864"/>
      <c r="R72" s="864"/>
      <c r="S72" s="864"/>
      <c r="T72" s="864"/>
      <c r="U72" s="864"/>
      <c r="V72" s="864"/>
      <c r="W72" s="864"/>
      <c r="X72" s="864"/>
      <c r="Y72" s="864"/>
      <c r="Z72" s="864"/>
      <c r="AA72" s="866"/>
      <c r="AB72" s="866"/>
      <c r="AC72" s="866"/>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25"/>
      <c r="BA72" s="447"/>
      <c r="BB72" s="304"/>
      <c r="BC72" s="304"/>
      <c r="BD72" s="304"/>
      <c r="BE72" s="304"/>
      <c r="BF72" s="304"/>
      <c r="BG72" s="304"/>
      <c r="BH72" s="304"/>
      <c r="BI72" s="304"/>
      <c r="BJ72" s="446"/>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284"/>
    </row>
    <row r="73" spans="1:85" ht="3" customHeight="1">
      <c r="A73" s="220"/>
      <c r="B73" s="879"/>
      <c r="C73" s="879"/>
      <c r="D73" s="879"/>
      <c r="E73" s="877"/>
      <c r="F73" s="877"/>
      <c r="G73" s="862"/>
      <c r="H73" s="864"/>
      <c r="I73" s="864"/>
      <c r="J73" s="864"/>
      <c r="K73" s="864"/>
      <c r="L73" s="864"/>
      <c r="M73" s="864"/>
      <c r="N73" s="864"/>
      <c r="O73" s="864"/>
      <c r="P73" s="864"/>
      <c r="Q73" s="864"/>
      <c r="R73" s="864"/>
      <c r="S73" s="864"/>
      <c r="T73" s="864"/>
      <c r="U73" s="864"/>
      <c r="V73" s="864"/>
      <c r="W73" s="864"/>
      <c r="X73" s="864"/>
      <c r="Y73" s="864"/>
      <c r="Z73" s="864"/>
      <c r="AA73" s="866"/>
      <c r="AB73" s="866"/>
      <c r="AC73" s="866"/>
      <c r="AD73" s="826"/>
      <c r="AE73" s="820"/>
      <c r="AF73" s="820"/>
      <c r="AG73" s="820"/>
      <c r="AH73" s="435"/>
      <c r="AI73" s="821"/>
      <c r="AJ73" s="821"/>
      <c r="AK73" s="821"/>
      <c r="AL73" s="821"/>
      <c r="AM73" s="821"/>
      <c r="AN73" s="818"/>
      <c r="AO73" s="822"/>
      <c r="AP73" s="822"/>
      <c r="AQ73" s="822"/>
      <c r="AR73" s="822"/>
      <c r="AS73" s="822"/>
      <c r="AT73" s="818"/>
      <c r="AU73" s="822"/>
      <c r="AV73" s="822"/>
      <c r="AW73" s="822"/>
      <c r="AX73" s="822"/>
      <c r="AY73" s="822"/>
      <c r="AZ73" s="827"/>
      <c r="BA73" s="448"/>
      <c r="BB73" s="442"/>
      <c r="BC73" s="442"/>
      <c r="BD73" s="442"/>
      <c r="BE73" s="442"/>
      <c r="BF73" s="442"/>
      <c r="BG73" s="442"/>
      <c r="BH73" s="442"/>
      <c r="BI73" s="442"/>
      <c r="BJ73" s="441"/>
      <c r="BK73" s="442"/>
      <c r="BL73" s="820"/>
      <c r="BM73" s="820"/>
      <c r="BN73" s="820"/>
      <c r="BO73" s="435"/>
      <c r="BP73" s="821"/>
      <c r="BQ73" s="821"/>
      <c r="BR73" s="821"/>
      <c r="BS73" s="821"/>
      <c r="BT73" s="821"/>
      <c r="BU73" s="818"/>
      <c r="BV73" s="822"/>
      <c r="BW73" s="822"/>
      <c r="BX73" s="822"/>
      <c r="BY73" s="822"/>
      <c r="BZ73" s="822"/>
      <c r="CA73" s="818"/>
      <c r="CB73" s="822"/>
      <c r="CC73" s="822"/>
      <c r="CD73" s="822"/>
      <c r="CE73" s="822"/>
      <c r="CF73" s="822"/>
      <c r="CG73" s="287"/>
    </row>
    <row r="74" spans="1:85" ht="15" customHeight="1">
      <c r="A74" s="220"/>
      <c r="B74" s="879"/>
      <c r="C74" s="879"/>
      <c r="D74" s="879"/>
      <c r="E74" s="877"/>
      <c r="F74" s="877"/>
      <c r="G74" s="862"/>
      <c r="H74" s="864"/>
      <c r="I74" s="864"/>
      <c r="J74" s="864"/>
      <c r="K74" s="864"/>
      <c r="L74" s="864"/>
      <c r="M74" s="864"/>
      <c r="N74" s="864"/>
      <c r="O74" s="864"/>
      <c r="P74" s="864"/>
      <c r="Q74" s="864"/>
      <c r="R74" s="864"/>
      <c r="S74" s="864"/>
      <c r="T74" s="864"/>
      <c r="U74" s="864"/>
      <c r="V74" s="864"/>
      <c r="W74" s="864"/>
      <c r="X74" s="864"/>
      <c r="Y74" s="864"/>
      <c r="Z74" s="864"/>
      <c r="AA74" s="866"/>
      <c r="AB74" s="866"/>
      <c r="AC74" s="866"/>
      <c r="AD74" s="826"/>
      <c r="AE74" s="432" t="str">
        <f>IF(LEN(VLOOKUP(AA68,suvaha!$D$8:$H$158,3,FALSE))&lt;11,"",LEFT(RIGHT(VLOOKUP(AA68,suvaha!$D$8:$H$158,3,FALSE),11),1))</f>
        <v/>
      </c>
      <c r="AF74" s="255"/>
      <c r="AG74" s="432" t="str">
        <f>IF(LEN(VLOOKUP(AA68,suvaha!$D$8:$H$158,3,FALSE))&lt;10,"",LEFT(RIGHT(VLOOKUP(AA68,suvaha!$D$8:$H$158,3,FALSE),10),1))</f>
        <v/>
      </c>
      <c r="AH74" s="434"/>
      <c r="AI74" s="432" t="str">
        <f>IF(LEN(VLOOKUP(AA68,suvaha!$D$8:$H$158,3,FALSE))&lt;9,"",LEFT(RIGHT(VLOOKUP(AA68,suvaha!$D$8:$H$158,3,FALSE),9),1))</f>
        <v/>
      </c>
      <c r="AJ74" s="255"/>
      <c r="AK74" s="432" t="str">
        <f>IF(LEN(VLOOKUP(AA68,suvaha!$D$8:$H$158,3,FALSE))&lt;8,"",LEFT(RIGHT(VLOOKUP(AA68,suvaha!$D$8:$H$158,3,FALSE),8),1))</f>
        <v/>
      </c>
      <c r="AL74" s="434"/>
      <c r="AM74" s="432" t="str">
        <f>IF(LEN(VLOOKUP(AA68,suvaha!$D$8:$H$158,3,FALSE))&lt;7,"",LEFT(RIGHT(VLOOKUP(AA68,suvaha!$D$8:$H$158,3,FALSE),7),1))</f>
        <v/>
      </c>
      <c r="AN74" s="818"/>
      <c r="AO74" s="432" t="str">
        <f>IF(LEN(VLOOKUP(AA68,suvaha!$D$8:$H$158,3,FALSE))&lt;6,"",LEFT(RIGHT(VLOOKUP(AA68,suvaha!$D$8:$H$158,3,FALSE),6),1))</f>
        <v/>
      </c>
      <c r="AP74" s="434"/>
      <c r="AQ74" s="432" t="str">
        <f>IF(LEN(VLOOKUP(AA68,suvaha!$D$8:$H$158,3,FALSE))&lt;5,"",LEFT(RIGHT(VLOOKUP(AA68,suvaha!$D$8:$H$158,3,FALSE),5),1))</f>
        <v/>
      </c>
      <c r="AR74" s="434"/>
      <c r="AS74" s="432" t="str">
        <f>IF(LEN(VLOOKUP(AA68,suvaha!$D$8:$H$158,3,FALSE))&lt;4,"",LEFT(RIGHT(VLOOKUP(AA68,suvaha!$D$8:$H$158,3,FALSE),4),1))</f>
        <v/>
      </c>
      <c r="AT74" s="818"/>
      <c r="AU74" s="432" t="str">
        <f>IF(LEN(VLOOKUP(AA68,suvaha!$D$8:$H$158,3,FALSE))&lt;3,"",LEFT(RIGHT(VLOOKUP(AA68,suvaha!$D$8:$H$158,3,FALSE),3),1))</f>
        <v/>
      </c>
      <c r="AV74" s="434"/>
      <c r="AW74" s="432" t="str">
        <f>IF(LEN(VLOOKUP(AA68,suvaha!$D$8:$H$158,3,FALSE))&lt;2,"",LEFT(RIGHT(VLOOKUP(AA68,suvaha!$D$8:$H$158,3,FALSE),2),1))</f>
        <v/>
      </c>
      <c r="AX74" s="434"/>
      <c r="AY74" s="432" t="str">
        <f>IF(VLOOKUP(AA68,suvaha!$D$8:$H$85,3,FALSE)=0,"",IF(LEN(VLOOKUP(AA68,suvaha!$D$8:$H$158,3,FALSE))&lt;1,"",LEFT(RIGHT(VLOOKUP(AA68,suvaha!$D$8:$H$158,3,FALSE),1),1)))</f>
        <v/>
      </c>
      <c r="AZ74" s="827"/>
      <c r="BA74" s="448"/>
      <c r="BB74" s="442"/>
      <c r="BC74" s="442"/>
      <c r="BD74" s="442"/>
      <c r="BE74" s="442"/>
      <c r="BF74" s="442"/>
      <c r="BG74" s="442"/>
      <c r="BH74" s="442"/>
      <c r="BI74" s="442"/>
      <c r="BJ74" s="441"/>
      <c r="BK74" s="442"/>
      <c r="BL74" s="432" t="str">
        <f>IF(LEN(VLOOKUP(AA68,suvaha!$D$8:$H$158,5,FALSE))&lt;11,"",LEFT(RIGHT(VLOOKUP(AA68,suvaha!$D$8:$H$158,5,FALSE),11),1))</f>
        <v/>
      </c>
      <c r="BM74" s="255"/>
      <c r="BN74" s="432" t="str">
        <f>IF(LEN(VLOOKUP(AA68,suvaha!$D$8:$H$158,5,FALSE))&lt;10,"",LEFT(RIGHT(VLOOKUP(AA68,suvaha!$D$8:$H$158,5,FALSE),10),1))</f>
        <v/>
      </c>
      <c r="BO74" s="434"/>
      <c r="BP74" s="432" t="str">
        <f>IF(LEN(VLOOKUP(AA68,suvaha!$D$8:$H$158,5,FALSE))&lt;9,"",LEFT(RIGHT(VLOOKUP(AA68,suvaha!$D$8:$H$158,5,FALSE),9),1))</f>
        <v/>
      </c>
      <c r="BQ74" s="255"/>
      <c r="BR74" s="432" t="str">
        <f>IF(LEN(VLOOKUP(AA68,suvaha!$D$8:$H$158,5,FALSE))&lt;8,"",LEFT(RIGHT(VLOOKUP(AA68,suvaha!$D$8:$H$158,5,FALSE),8),1))</f>
        <v/>
      </c>
      <c r="BS74" s="434"/>
      <c r="BT74" s="432" t="str">
        <f>IF(LEN(VLOOKUP(AA68,suvaha!$D$8:$H$158,5,FALSE))&lt;7,"",LEFT(RIGHT(VLOOKUP(AA68,suvaha!$D$8:$H$158,5,FALSE),7),1))</f>
        <v/>
      </c>
      <c r="BU74" s="818"/>
      <c r="BV74" s="432" t="str">
        <f>IF(LEN(VLOOKUP(AA68,suvaha!$D$8:$H$158,5,FALSE))&lt;6,"",LEFT(RIGHT(VLOOKUP(AA68,suvaha!$D$8:$H$158,5,FALSE),6),1))</f>
        <v/>
      </c>
      <c r="BW74" s="434"/>
      <c r="BX74" s="432" t="str">
        <f>IF(LEN(VLOOKUP(AA68,suvaha!$D$8:$H$158,5,FALSE))&lt;5,"",LEFT(RIGHT(VLOOKUP(AA68,suvaha!$D$8:$H$158,5,FALSE),5),1))</f>
        <v/>
      </c>
      <c r="BY74" s="434"/>
      <c r="BZ74" s="432" t="str">
        <f>IF(LEN(VLOOKUP(AA68,suvaha!$D$8:$H$158,5,FALSE))&lt;4,"",LEFT(RIGHT(VLOOKUP(AA68,suvaha!$D$8:$H$158,5,FALSE),4),1))</f>
        <v/>
      </c>
      <c r="CA74" s="818"/>
      <c r="CB74" s="432" t="str">
        <f>IF(LEN(VLOOKUP(AA68,suvaha!$D$8:$H$158,5,FALSE))&lt;3,"",LEFT(RIGHT(VLOOKUP(AA68,suvaha!$D$8:$H$158,5,FALSE),3),1))</f>
        <v/>
      </c>
      <c r="CC74" s="434"/>
      <c r="CD74" s="432" t="str">
        <f>IF(LEN(VLOOKUP(AA68,suvaha!$D$8:$H$158,5,FALSE))&lt;2,"",LEFT(RIGHT(VLOOKUP(AA68,suvaha!$D$8:$H$158,5,FALSE),2),1))</f>
        <v/>
      </c>
      <c r="CE74" s="434"/>
      <c r="CF74" s="432" t="str">
        <f>IF(VLOOKUP(AA68,suvaha!$D$8:$H$85,5,FALSE)=0,"",IF(LEN(VLOOKUP(AA68,suvaha!$D$8:$H$158,5,FALSE))&lt;1,"",LEFT(RIGHT(VLOOKUP(AA68,suvaha!$D$8:$H$158,5,FALSE),1),1)))</f>
        <v/>
      </c>
      <c r="CG74" s="287"/>
    </row>
    <row r="75" spans="1:85" ht="3" customHeight="1">
      <c r="A75" s="220"/>
      <c r="B75" s="879"/>
      <c r="C75" s="879"/>
      <c r="D75" s="879"/>
      <c r="E75" s="877"/>
      <c r="F75" s="877"/>
      <c r="G75" s="862"/>
      <c r="H75" s="864"/>
      <c r="I75" s="864"/>
      <c r="J75" s="864"/>
      <c r="K75" s="864"/>
      <c r="L75" s="864"/>
      <c r="M75" s="864"/>
      <c r="N75" s="864"/>
      <c r="O75" s="864"/>
      <c r="P75" s="864"/>
      <c r="Q75" s="864"/>
      <c r="R75" s="864"/>
      <c r="S75" s="864"/>
      <c r="T75" s="864"/>
      <c r="U75" s="864"/>
      <c r="V75" s="864"/>
      <c r="W75" s="864"/>
      <c r="X75" s="864"/>
      <c r="Y75" s="864"/>
      <c r="Z75" s="864"/>
      <c r="AA75" s="866"/>
      <c r="AB75" s="866"/>
      <c r="AC75" s="866"/>
      <c r="AD75" s="845"/>
      <c r="AE75" s="845"/>
      <c r="AF75" s="845"/>
      <c r="AG75" s="845"/>
      <c r="AH75" s="845"/>
      <c r="AI75" s="845"/>
      <c r="AJ75" s="845"/>
      <c r="AK75" s="845"/>
      <c r="AL75" s="845"/>
      <c r="AM75" s="845"/>
      <c r="AN75" s="845"/>
      <c r="AO75" s="845"/>
      <c r="AP75" s="845"/>
      <c r="AQ75" s="845"/>
      <c r="AR75" s="845"/>
      <c r="AS75" s="845"/>
      <c r="AT75" s="845"/>
      <c r="AU75" s="845"/>
      <c r="AV75" s="845"/>
      <c r="AW75" s="845"/>
      <c r="AX75" s="845"/>
      <c r="AY75" s="845"/>
      <c r="AZ75" s="845"/>
      <c r="BA75" s="449"/>
      <c r="BB75" s="310"/>
      <c r="BC75" s="310"/>
      <c r="BD75" s="310"/>
      <c r="BE75" s="310"/>
      <c r="BF75" s="310"/>
      <c r="BG75" s="310"/>
      <c r="BH75" s="310"/>
      <c r="BI75" s="310"/>
      <c r="BJ75" s="443"/>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286"/>
    </row>
    <row r="76" spans="1:85" s="250" customFormat="1" ht="3" customHeight="1">
      <c r="A76" s="220"/>
      <c r="B76" s="879"/>
      <c r="C76" s="879"/>
      <c r="D76" s="879"/>
      <c r="E76" s="877" t="s">
        <v>1543</v>
      </c>
      <c r="F76" s="877"/>
      <c r="G76" s="862"/>
      <c r="H76" s="864" t="str">
        <f>Index!C88</f>
        <v>Výrobky (123) - 194</v>
      </c>
      <c r="I76" s="864"/>
      <c r="J76" s="864"/>
      <c r="K76" s="864"/>
      <c r="L76" s="864"/>
      <c r="M76" s="864"/>
      <c r="N76" s="864"/>
      <c r="O76" s="864"/>
      <c r="P76" s="864"/>
      <c r="Q76" s="864"/>
      <c r="R76" s="864"/>
      <c r="S76" s="864"/>
      <c r="T76" s="864"/>
      <c r="U76" s="864"/>
      <c r="V76" s="864"/>
      <c r="W76" s="864"/>
      <c r="X76" s="864"/>
      <c r="Y76" s="864"/>
      <c r="Z76" s="864"/>
      <c r="AA76" s="866" t="s">
        <v>1586</v>
      </c>
      <c r="AB76" s="866"/>
      <c r="AC76" s="866"/>
      <c r="AD76" s="825"/>
      <c r="AE76" s="825"/>
      <c r="AF76" s="825"/>
      <c r="AG76" s="825"/>
      <c r="AH76" s="825"/>
      <c r="AI76" s="825"/>
      <c r="AJ76" s="825"/>
      <c r="AK76" s="825"/>
      <c r="AL76" s="825"/>
      <c r="AM76" s="825"/>
      <c r="AN76" s="825"/>
      <c r="AO76" s="825"/>
      <c r="AP76" s="825"/>
      <c r="AQ76" s="825"/>
      <c r="AR76" s="825"/>
      <c r="AS76" s="825"/>
      <c r="AT76" s="825"/>
      <c r="AU76" s="825"/>
      <c r="AV76" s="825"/>
      <c r="AW76" s="825"/>
      <c r="AX76" s="825"/>
      <c r="AY76" s="825"/>
      <c r="AZ76" s="825"/>
      <c r="BA76" s="867"/>
      <c r="BB76" s="867"/>
      <c r="BC76" s="867"/>
      <c r="BD76" s="867"/>
      <c r="BE76" s="867"/>
      <c r="BF76" s="867"/>
      <c r="BG76" s="867"/>
      <c r="BH76" s="867"/>
      <c r="BI76" s="867"/>
      <c r="BJ76" s="867"/>
      <c r="BK76" s="867"/>
      <c r="BL76" s="867"/>
      <c r="BM76" s="867"/>
      <c r="BN76" s="867"/>
      <c r="BO76" s="867"/>
      <c r="BP76" s="867"/>
      <c r="BQ76" s="867"/>
      <c r="BR76" s="304"/>
      <c r="BS76" s="304"/>
      <c r="BT76" s="304"/>
      <c r="BU76" s="304"/>
      <c r="BV76" s="304"/>
      <c r="BW76" s="446"/>
      <c r="BX76" s="304"/>
      <c r="BY76" s="304"/>
      <c r="BZ76" s="304"/>
      <c r="CA76" s="304"/>
      <c r="CB76" s="304"/>
      <c r="CC76" s="304"/>
      <c r="CD76" s="304"/>
      <c r="CE76" s="304"/>
      <c r="CF76" s="304"/>
      <c r="CG76" s="284"/>
    </row>
    <row r="77" spans="1:85" s="250" customFormat="1" ht="3" customHeight="1">
      <c r="A77" s="220"/>
      <c r="B77" s="879"/>
      <c r="C77" s="879"/>
      <c r="D77" s="879"/>
      <c r="E77" s="877"/>
      <c r="F77" s="877"/>
      <c r="G77" s="862"/>
      <c r="H77" s="864"/>
      <c r="I77" s="864"/>
      <c r="J77" s="864"/>
      <c r="K77" s="864"/>
      <c r="L77" s="864"/>
      <c r="M77" s="864"/>
      <c r="N77" s="864"/>
      <c r="O77" s="864"/>
      <c r="P77" s="864"/>
      <c r="Q77" s="864"/>
      <c r="R77" s="864"/>
      <c r="S77" s="864"/>
      <c r="T77" s="864"/>
      <c r="U77" s="864"/>
      <c r="V77" s="864"/>
      <c r="W77" s="864"/>
      <c r="X77" s="864"/>
      <c r="Y77" s="864"/>
      <c r="Z77" s="864"/>
      <c r="AA77" s="866"/>
      <c r="AB77" s="866"/>
      <c r="AC77" s="866"/>
      <c r="AD77" s="826"/>
      <c r="AE77" s="820"/>
      <c r="AF77" s="820"/>
      <c r="AG77" s="820"/>
      <c r="AH77" s="435"/>
      <c r="AI77" s="821"/>
      <c r="AJ77" s="821"/>
      <c r="AK77" s="821"/>
      <c r="AL77" s="821"/>
      <c r="AM77" s="821"/>
      <c r="AN77" s="818"/>
      <c r="AO77" s="822"/>
      <c r="AP77" s="822"/>
      <c r="AQ77" s="822"/>
      <c r="AR77" s="822"/>
      <c r="AS77" s="822"/>
      <c r="AT77" s="818"/>
      <c r="AU77" s="822"/>
      <c r="AV77" s="822"/>
      <c r="AW77" s="822"/>
      <c r="AX77" s="822"/>
      <c r="AY77" s="822"/>
      <c r="AZ77" s="827"/>
      <c r="BA77" s="826"/>
      <c r="BB77" s="820"/>
      <c r="BC77" s="820"/>
      <c r="BD77" s="820"/>
      <c r="BE77" s="435"/>
      <c r="BF77" s="821"/>
      <c r="BG77" s="821"/>
      <c r="BH77" s="821"/>
      <c r="BI77" s="821"/>
      <c r="BJ77" s="821"/>
      <c r="BK77" s="818"/>
      <c r="BL77" s="822"/>
      <c r="BM77" s="822"/>
      <c r="BN77" s="822"/>
      <c r="BO77" s="822"/>
      <c r="BP77" s="822"/>
      <c r="BQ77" s="818"/>
      <c r="BR77" s="822"/>
      <c r="BS77" s="822"/>
      <c r="BT77" s="822"/>
      <c r="BU77" s="822"/>
      <c r="BV77" s="822"/>
      <c r="BW77" s="441"/>
      <c r="BX77" s="442"/>
      <c r="BY77" s="442"/>
      <c r="BZ77" s="442"/>
      <c r="CA77" s="442"/>
      <c r="CB77" s="442"/>
      <c r="CC77" s="442"/>
      <c r="CD77" s="442"/>
      <c r="CE77" s="442"/>
      <c r="CF77" s="442"/>
      <c r="CG77" s="285"/>
    </row>
    <row r="78" spans="1:85" ht="15" customHeight="1">
      <c r="A78" s="220"/>
      <c r="B78" s="879"/>
      <c r="C78" s="879"/>
      <c r="D78" s="879"/>
      <c r="E78" s="877"/>
      <c r="F78" s="877"/>
      <c r="G78" s="862"/>
      <c r="H78" s="864"/>
      <c r="I78" s="864"/>
      <c r="J78" s="864"/>
      <c r="K78" s="864"/>
      <c r="L78" s="864"/>
      <c r="M78" s="864"/>
      <c r="N78" s="864"/>
      <c r="O78" s="864"/>
      <c r="P78" s="864"/>
      <c r="Q78" s="864"/>
      <c r="R78" s="864"/>
      <c r="S78" s="864"/>
      <c r="T78" s="864"/>
      <c r="U78" s="864"/>
      <c r="V78" s="864"/>
      <c r="W78" s="864"/>
      <c r="X78" s="864"/>
      <c r="Y78" s="864"/>
      <c r="Z78" s="864"/>
      <c r="AA78" s="866"/>
      <c r="AB78" s="866"/>
      <c r="AC78" s="866"/>
      <c r="AD78" s="826"/>
      <c r="AE78" s="432" t="str">
        <f>IF(LEN(VLOOKUP(AA76,suvaha!$D$8:$H$158,2,FALSE))&lt;11,"",LEFT(RIGHT(VLOOKUP(AA76,suvaha!$D$8:$H$158,2,FALSE),11),1))</f>
        <v/>
      </c>
      <c r="AF78" s="255"/>
      <c r="AG78" s="432" t="str">
        <f>IF(LEN(VLOOKUP(AA76,suvaha!$D$8:$H$158,2,FALSE))&lt;10,"",LEFT(RIGHT(VLOOKUP(AA76,suvaha!$D$8:$H$158,2,FALSE),10),1))</f>
        <v/>
      </c>
      <c r="AH78" s="434"/>
      <c r="AI78" s="432" t="str">
        <f>IF(LEN(VLOOKUP(AA76,suvaha!$D$8:$H$158,2,FALSE))&lt;9,"",LEFT(RIGHT(VLOOKUP(AA76,suvaha!$D$8:$H$158,2,FALSE),9),1))</f>
        <v/>
      </c>
      <c r="AJ78" s="255"/>
      <c r="AK78" s="432" t="str">
        <f>IF(LEN(VLOOKUP(AA76,suvaha!$D$8:$H$158,2,FALSE))&lt;8,"",LEFT(RIGHT(VLOOKUP(AA76,suvaha!$D$8:$H$158,2,FALSE),8),1))</f>
        <v/>
      </c>
      <c r="AL78" s="434"/>
      <c r="AM78" s="432" t="str">
        <f>IF(LEN(VLOOKUP(AA76,suvaha!$D$8:$H$158,2,FALSE))&lt;7,"",LEFT(RIGHT(VLOOKUP(AA76,suvaha!$D$8:$H$158,2,FALSE),7),1))</f>
        <v/>
      </c>
      <c r="AN78" s="818"/>
      <c r="AO78" s="432" t="str">
        <f>IF(LEN(VLOOKUP(AA76,suvaha!$D$8:$H$158,2,FALSE))&lt;6,"",LEFT(RIGHT(VLOOKUP(AA76,suvaha!$D$8:$H$158,2,FALSE),6),1))</f>
        <v/>
      </c>
      <c r="AP78" s="434"/>
      <c r="AQ78" s="432" t="str">
        <f>IF(LEN(VLOOKUP(AA76,suvaha!$D$8:$H$158,2,FALSE))&lt;5,"",LEFT(RIGHT(VLOOKUP(AA76,suvaha!$D$8:$H$158,2,FALSE),5),1))</f>
        <v/>
      </c>
      <c r="AR78" s="434"/>
      <c r="AS78" s="432" t="str">
        <f>IF(LEN(VLOOKUP(AA76,suvaha!$D$8:$H$158,2,FALSE))&lt;4,"",LEFT(RIGHT(VLOOKUP(AA76,suvaha!$D$8:$H$158,2,FALSE),4),1))</f>
        <v/>
      </c>
      <c r="AT78" s="818"/>
      <c r="AU78" s="432" t="str">
        <f>IF(LEN(VLOOKUP(AA76,suvaha!$D$8:$H$158,2,FALSE))&lt;3,"",LEFT(RIGHT(VLOOKUP(AA76,suvaha!$D$8:$H$158,2,FALSE),3),1))</f>
        <v/>
      </c>
      <c r="AV78" s="434"/>
      <c r="AW78" s="432" t="str">
        <f>IF(LEN(VLOOKUP(AA76,suvaha!$D$8:$H$158,2,FALSE))&lt;2,"",LEFT(RIGHT(VLOOKUP(AA76,suvaha!$D$8:$H$158,2,FALSE),2),1))</f>
        <v/>
      </c>
      <c r="AX78" s="434"/>
      <c r="AY78" s="432" t="str">
        <f>IF(VLOOKUP(AA76,suvaha!$D$8:$H$85,2,FALSE)=0,"",IF(LEN(VLOOKUP(AA76,suvaha!$D$8:$H$158,2,FALSE))&lt;1,"",LEFT(RIGHT(VLOOKUP(AA76,suvaha!$D$8:$H$158,2,FALSE),1),1)))</f>
        <v/>
      </c>
      <c r="AZ78" s="827"/>
      <c r="BA78" s="826"/>
      <c r="BB78" s="432" t="str">
        <f>IF(LEN(VLOOKUP(AA76,suvaha!$D$8:$H$158,4,FALSE))&lt;11,"",LEFT(RIGHT(VLOOKUP(AA76,suvaha!$D$8:$H$158,4,FALSE),11),1))</f>
        <v/>
      </c>
      <c r="BC78" s="255"/>
      <c r="BD78" s="432" t="str">
        <f>IF(LEN(VLOOKUP(AA76,suvaha!$D$8:$H$158,4,FALSE))&lt;10,"",LEFT(RIGHT(VLOOKUP(AA76,suvaha!$D$8:$H$158,4,FALSE),10),1))</f>
        <v/>
      </c>
      <c r="BE78" s="434"/>
      <c r="BF78" s="432" t="str">
        <f>IF(LEN(VLOOKUP(AA76,suvaha!$D$8:$H$158,4,FALSE))&lt;9,"",LEFT(RIGHT(VLOOKUP(AA76,suvaha!$D$8:$H$158,4,FALSE),9),1))</f>
        <v/>
      </c>
      <c r="BG78" s="255"/>
      <c r="BH78" s="432" t="str">
        <f>IF(LEN(VLOOKUP(AA76,suvaha!$D$8:$H$158,4,FALSE))&lt;8,"",LEFT(RIGHT(VLOOKUP(AA76,suvaha!$D$8:$H$158,4,FALSE),8),1))</f>
        <v/>
      </c>
      <c r="BI78" s="434"/>
      <c r="BJ78" s="432" t="str">
        <f>IF(LEN(VLOOKUP(AA76,suvaha!$D$8:$H$158,4,FALSE))&lt;7,"",LEFT(RIGHT(VLOOKUP(AA76,suvaha!$D$8:$H$158,4,FALSE),7),1))</f>
        <v/>
      </c>
      <c r="BK78" s="818"/>
      <c r="BL78" s="432" t="str">
        <f>IF(LEN(VLOOKUP(AA76,suvaha!$D$8:$H$158,4,FALSE))&lt;6,"",LEFT(RIGHT(VLOOKUP(AA76,suvaha!$D$8:$H$158,4,FALSE),6),1))</f>
        <v/>
      </c>
      <c r="BM78" s="434"/>
      <c r="BN78" s="432" t="str">
        <f>IF(LEN(VLOOKUP(AA76,suvaha!$D$8:$H$158,4,FALSE))&lt;5,"",LEFT(RIGHT(VLOOKUP(AA76,suvaha!$D$8:$H$158,4,FALSE),5),1))</f>
        <v/>
      </c>
      <c r="BO78" s="434"/>
      <c r="BP78" s="432" t="str">
        <f>IF(LEN(VLOOKUP(AA76,suvaha!$D$8:$H$158,4,FALSE))&lt;4,"",LEFT(RIGHT(VLOOKUP(AA76,suvaha!$D$8:$H$158,4,FALSE),4),1))</f>
        <v/>
      </c>
      <c r="BQ78" s="818"/>
      <c r="BR78" s="432" t="str">
        <f>IF(LEN(VLOOKUP(AA76,suvaha!$D$8:$H$158,4,FALSE))&lt;3,"",LEFT(RIGHT(VLOOKUP(AA76,suvaha!$D$8:$H$158,4,FALSE),3),1))</f>
        <v/>
      </c>
      <c r="BS78" s="434"/>
      <c r="BT78" s="432" t="str">
        <f>IF(LEN(VLOOKUP(AA76,suvaha!$D$8:$H$158,4,FALSE))&lt;2,"",LEFT(RIGHT(VLOOKUP(AA76,suvaha!$D$8:$H$158,4,FALSE),2),1))</f>
        <v/>
      </c>
      <c r="BU78" s="434"/>
      <c r="BV78" s="432" t="str">
        <f>IF(VLOOKUP(AA76,suvaha!$D$8:$H$85,4,FALSE)=0,"",IF(LEN(VLOOKUP(AA76,suvaha!$D$8:$H$158,4,FALSE))&lt;1,"",LEFT(RIGHT(VLOOKUP(AA76,suvaha!$D$8:$H$158,4,FALSE),1),1)))</f>
        <v/>
      </c>
      <c r="BW78" s="441"/>
      <c r="BX78" s="442"/>
      <c r="BY78" s="442"/>
      <c r="BZ78" s="442"/>
      <c r="CA78" s="442"/>
      <c r="CB78" s="442"/>
      <c r="CC78" s="442"/>
      <c r="CD78" s="442"/>
      <c r="CE78" s="442"/>
      <c r="CF78" s="442"/>
      <c r="CG78" s="285"/>
    </row>
    <row r="79" spans="1:85" ht="2.25" customHeight="1">
      <c r="A79" s="220"/>
      <c r="B79" s="879"/>
      <c r="C79" s="879"/>
      <c r="D79" s="879"/>
      <c r="E79" s="877"/>
      <c r="F79" s="877"/>
      <c r="G79" s="862"/>
      <c r="H79" s="864"/>
      <c r="I79" s="864"/>
      <c r="J79" s="864"/>
      <c r="K79" s="864"/>
      <c r="L79" s="864"/>
      <c r="M79" s="864"/>
      <c r="N79" s="864"/>
      <c r="O79" s="864"/>
      <c r="P79" s="864"/>
      <c r="Q79" s="864"/>
      <c r="R79" s="864"/>
      <c r="S79" s="864"/>
      <c r="T79" s="864"/>
      <c r="U79" s="864"/>
      <c r="V79" s="864"/>
      <c r="W79" s="864"/>
      <c r="X79" s="864"/>
      <c r="Y79" s="864"/>
      <c r="Z79" s="864"/>
      <c r="AA79" s="866"/>
      <c r="AB79" s="866"/>
      <c r="AC79" s="866"/>
      <c r="AD79" s="845"/>
      <c r="AE79" s="845"/>
      <c r="AF79" s="845"/>
      <c r="AG79" s="845"/>
      <c r="AH79" s="845"/>
      <c r="AI79" s="845"/>
      <c r="AJ79" s="845"/>
      <c r="AK79" s="845"/>
      <c r="AL79" s="845"/>
      <c r="AM79" s="845"/>
      <c r="AN79" s="845"/>
      <c r="AO79" s="845"/>
      <c r="AP79" s="845"/>
      <c r="AQ79" s="845"/>
      <c r="AR79" s="845"/>
      <c r="AS79" s="845"/>
      <c r="AT79" s="845"/>
      <c r="AU79" s="845"/>
      <c r="AV79" s="845"/>
      <c r="AW79" s="845"/>
      <c r="AX79" s="845"/>
      <c r="AY79" s="845"/>
      <c r="AZ79" s="845"/>
      <c r="BA79" s="846"/>
      <c r="BB79" s="846"/>
      <c r="BC79" s="846"/>
      <c r="BD79" s="846"/>
      <c r="BE79" s="846"/>
      <c r="BF79" s="846"/>
      <c r="BG79" s="846"/>
      <c r="BH79" s="846"/>
      <c r="BI79" s="846"/>
      <c r="BJ79" s="846"/>
      <c r="BK79" s="846"/>
      <c r="BL79" s="846"/>
      <c r="BM79" s="846"/>
      <c r="BN79" s="846"/>
      <c r="BO79" s="846"/>
      <c r="BP79" s="846"/>
      <c r="BQ79" s="846"/>
      <c r="BR79" s="310"/>
      <c r="BS79" s="310"/>
      <c r="BT79" s="310"/>
      <c r="BU79" s="310"/>
      <c r="BV79" s="310"/>
      <c r="BW79" s="443"/>
      <c r="BX79" s="310"/>
      <c r="BY79" s="310"/>
      <c r="BZ79" s="310"/>
      <c r="CA79" s="310"/>
      <c r="CB79" s="310"/>
      <c r="CC79" s="310"/>
      <c r="CD79" s="310"/>
      <c r="CE79" s="310"/>
      <c r="CF79" s="310"/>
      <c r="CG79" s="286"/>
    </row>
    <row r="80" spans="1:85" ht="2.25" customHeight="1">
      <c r="A80" s="220"/>
      <c r="B80" s="879"/>
      <c r="C80" s="879"/>
      <c r="D80" s="879"/>
      <c r="E80" s="877"/>
      <c r="F80" s="877"/>
      <c r="G80" s="862"/>
      <c r="H80" s="864"/>
      <c r="I80" s="864"/>
      <c r="J80" s="864"/>
      <c r="K80" s="864"/>
      <c r="L80" s="864"/>
      <c r="M80" s="864"/>
      <c r="N80" s="864"/>
      <c r="O80" s="864"/>
      <c r="P80" s="864"/>
      <c r="Q80" s="864"/>
      <c r="R80" s="864"/>
      <c r="S80" s="864"/>
      <c r="T80" s="864"/>
      <c r="U80" s="864"/>
      <c r="V80" s="864"/>
      <c r="W80" s="864"/>
      <c r="X80" s="864"/>
      <c r="Y80" s="864"/>
      <c r="Z80" s="864"/>
      <c r="AA80" s="866"/>
      <c r="AB80" s="866"/>
      <c r="AC80" s="866"/>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25"/>
      <c r="BA80" s="447"/>
      <c r="BB80" s="304"/>
      <c r="BC80" s="304"/>
      <c r="BD80" s="304"/>
      <c r="BE80" s="304"/>
      <c r="BF80" s="304"/>
      <c r="BG80" s="304"/>
      <c r="BH80" s="304"/>
      <c r="BI80" s="304"/>
      <c r="BJ80" s="446"/>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284"/>
    </row>
    <row r="81" spans="1:85" ht="2.25" customHeight="1">
      <c r="A81" s="220"/>
      <c r="B81" s="879"/>
      <c r="C81" s="879"/>
      <c r="D81" s="879"/>
      <c r="E81" s="877"/>
      <c r="F81" s="877"/>
      <c r="G81" s="862"/>
      <c r="H81" s="864"/>
      <c r="I81" s="864"/>
      <c r="J81" s="864"/>
      <c r="K81" s="864"/>
      <c r="L81" s="864"/>
      <c r="M81" s="864"/>
      <c r="N81" s="864"/>
      <c r="O81" s="864"/>
      <c r="P81" s="864"/>
      <c r="Q81" s="864"/>
      <c r="R81" s="864"/>
      <c r="S81" s="864"/>
      <c r="T81" s="864"/>
      <c r="U81" s="864"/>
      <c r="V81" s="864"/>
      <c r="W81" s="864"/>
      <c r="X81" s="864"/>
      <c r="Y81" s="864"/>
      <c r="Z81" s="864"/>
      <c r="AA81" s="866"/>
      <c r="AB81" s="866"/>
      <c r="AC81" s="866"/>
      <c r="AD81" s="826"/>
      <c r="AE81" s="820"/>
      <c r="AF81" s="820"/>
      <c r="AG81" s="820"/>
      <c r="AH81" s="435"/>
      <c r="AI81" s="821"/>
      <c r="AJ81" s="821"/>
      <c r="AK81" s="821"/>
      <c r="AL81" s="821"/>
      <c r="AM81" s="821"/>
      <c r="AN81" s="818"/>
      <c r="AO81" s="822"/>
      <c r="AP81" s="822"/>
      <c r="AQ81" s="822"/>
      <c r="AR81" s="822"/>
      <c r="AS81" s="822"/>
      <c r="AT81" s="818"/>
      <c r="AU81" s="822"/>
      <c r="AV81" s="822"/>
      <c r="AW81" s="822"/>
      <c r="AX81" s="822"/>
      <c r="AY81" s="822"/>
      <c r="AZ81" s="827"/>
      <c r="BA81" s="448"/>
      <c r="BB81" s="442"/>
      <c r="BC81" s="442"/>
      <c r="BD81" s="442"/>
      <c r="BE81" s="442"/>
      <c r="BF81" s="442"/>
      <c r="BG81" s="442"/>
      <c r="BH81" s="442"/>
      <c r="BI81" s="442"/>
      <c r="BJ81" s="441"/>
      <c r="BK81" s="442"/>
      <c r="BL81" s="820"/>
      <c r="BM81" s="820"/>
      <c r="BN81" s="820"/>
      <c r="BO81" s="435"/>
      <c r="BP81" s="821"/>
      <c r="BQ81" s="821"/>
      <c r="BR81" s="821"/>
      <c r="BS81" s="821"/>
      <c r="BT81" s="821"/>
      <c r="BU81" s="818"/>
      <c r="BV81" s="822"/>
      <c r="BW81" s="822"/>
      <c r="BX81" s="822"/>
      <c r="BY81" s="822"/>
      <c r="BZ81" s="822"/>
      <c r="CA81" s="818"/>
      <c r="CB81" s="822"/>
      <c r="CC81" s="822"/>
      <c r="CD81" s="822"/>
      <c r="CE81" s="822"/>
      <c r="CF81" s="822"/>
      <c r="CG81" s="287"/>
    </row>
    <row r="82" spans="1:85" ht="15" customHeight="1">
      <c r="A82" s="220"/>
      <c r="B82" s="879"/>
      <c r="C82" s="879"/>
      <c r="D82" s="879"/>
      <c r="E82" s="877"/>
      <c r="F82" s="877"/>
      <c r="G82" s="862"/>
      <c r="H82" s="864"/>
      <c r="I82" s="864"/>
      <c r="J82" s="864"/>
      <c r="K82" s="864"/>
      <c r="L82" s="864"/>
      <c r="M82" s="864"/>
      <c r="N82" s="864"/>
      <c r="O82" s="864"/>
      <c r="P82" s="864"/>
      <c r="Q82" s="864"/>
      <c r="R82" s="864"/>
      <c r="S82" s="864"/>
      <c r="T82" s="864"/>
      <c r="U82" s="864"/>
      <c r="V82" s="864"/>
      <c r="W82" s="864"/>
      <c r="X82" s="864"/>
      <c r="Y82" s="864"/>
      <c r="Z82" s="864"/>
      <c r="AA82" s="866"/>
      <c r="AB82" s="866"/>
      <c r="AC82" s="866"/>
      <c r="AD82" s="826"/>
      <c r="AE82" s="432" t="str">
        <f>IF(LEN(VLOOKUP(AA76,suvaha!$D$8:$H$158,3,FALSE))&lt;11,"",LEFT(RIGHT(VLOOKUP(AA76,suvaha!$D$8:$H$158,3,FALSE),11),1))</f>
        <v/>
      </c>
      <c r="AF82" s="255"/>
      <c r="AG82" s="432" t="str">
        <f>IF(LEN(VLOOKUP(AA76,suvaha!$D$8:$H$158,3,FALSE))&lt;10,"",LEFT(RIGHT(VLOOKUP(AA76,suvaha!$D$8:$H$158,3,FALSE),10),1))</f>
        <v/>
      </c>
      <c r="AH82" s="434"/>
      <c r="AI82" s="432" t="str">
        <f>IF(LEN(VLOOKUP(AA76,suvaha!$D$8:$H$158,3,FALSE))&lt;9,"",LEFT(RIGHT(VLOOKUP(AA76,suvaha!$D$8:$H$158,3,FALSE),9),1))</f>
        <v/>
      </c>
      <c r="AJ82" s="255"/>
      <c r="AK82" s="432" t="str">
        <f>IF(LEN(VLOOKUP(AA76,suvaha!$D$8:$H$158,3,FALSE))&lt;8,"",LEFT(RIGHT(VLOOKUP(AA76,suvaha!$D$8:$H$158,3,FALSE),8),1))</f>
        <v/>
      </c>
      <c r="AL82" s="434"/>
      <c r="AM82" s="432" t="str">
        <f>IF(LEN(VLOOKUP(AA76,suvaha!$D$8:$H$158,3,FALSE))&lt;7,"",LEFT(RIGHT(VLOOKUP(AA76,suvaha!$D$8:$H$158,3,FALSE),7),1))</f>
        <v/>
      </c>
      <c r="AN82" s="818"/>
      <c r="AO82" s="432" t="str">
        <f>IF(LEN(VLOOKUP(AA76,suvaha!$D$8:$H$158,3,FALSE))&lt;6,"",LEFT(RIGHT(VLOOKUP(AA76,suvaha!$D$8:$H$158,3,FALSE),6),1))</f>
        <v/>
      </c>
      <c r="AP82" s="434"/>
      <c r="AQ82" s="432" t="str">
        <f>IF(LEN(VLOOKUP(AA76,suvaha!$D$8:$H$158,3,FALSE))&lt;5,"",LEFT(RIGHT(VLOOKUP(AA76,suvaha!$D$8:$H$158,3,FALSE),5),1))</f>
        <v/>
      </c>
      <c r="AR82" s="434"/>
      <c r="AS82" s="432" t="str">
        <f>IF(LEN(VLOOKUP(AA76,suvaha!$D$8:$H$158,3,FALSE))&lt;4,"",LEFT(RIGHT(VLOOKUP(AA76,suvaha!$D$8:$H$158,3,FALSE),4),1))</f>
        <v/>
      </c>
      <c r="AT82" s="818"/>
      <c r="AU82" s="432" t="str">
        <f>IF(LEN(VLOOKUP(AA76,suvaha!$D$8:$H$158,3,FALSE))&lt;3,"",LEFT(RIGHT(VLOOKUP(AA76,suvaha!$D$8:$H$158,3,FALSE),3),1))</f>
        <v/>
      </c>
      <c r="AV82" s="434"/>
      <c r="AW82" s="432" t="str">
        <f>IF(LEN(VLOOKUP(AA76,suvaha!$D$8:$H$158,3,FALSE))&lt;2,"",LEFT(RIGHT(VLOOKUP(AA76,suvaha!$D$8:$H$158,3,FALSE),2),1))</f>
        <v/>
      </c>
      <c r="AX82" s="434"/>
      <c r="AY82" s="432" t="str">
        <f>IF(VLOOKUP(AA76,suvaha!$D$8:$H$85,3,FALSE)=0,"",IF(LEN(VLOOKUP(AA76,suvaha!$D$8:$H$158,3,FALSE))&lt;1,"",LEFT(RIGHT(VLOOKUP(AA76,suvaha!$D$8:$H$158,3,FALSE),1),1)))</f>
        <v/>
      </c>
      <c r="AZ82" s="827"/>
      <c r="BA82" s="448"/>
      <c r="BB82" s="442"/>
      <c r="BC82" s="442"/>
      <c r="BD82" s="442"/>
      <c r="BE82" s="442"/>
      <c r="BF82" s="442"/>
      <c r="BG82" s="442"/>
      <c r="BH82" s="442"/>
      <c r="BI82" s="442"/>
      <c r="BJ82" s="441"/>
      <c r="BK82" s="442"/>
      <c r="BL82" s="432" t="str">
        <f>IF(LEN(VLOOKUP(AA76,suvaha!$D$8:$H$158,5,FALSE))&lt;11,"",LEFT(RIGHT(VLOOKUP(AA76,suvaha!$D$8:$H$158,5,FALSE),11),1))</f>
        <v/>
      </c>
      <c r="BM82" s="255"/>
      <c r="BN82" s="432" t="str">
        <f>IF(LEN(VLOOKUP(AA76,suvaha!$D$8:$H$158,5,FALSE))&lt;10,"",LEFT(RIGHT(VLOOKUP(AA76,suvaha!$D$8:$H$158,5,FALSE),10),1))</f>
        <v/>
      </c>
      <c r="BO82" s="434"/>
      <c r="BP82" s="432" t="str">
        <f>IF(LEN(VLOOKUP(AA76,suvaha!$D$8:$H$158,5,FALSE))&lt;9,"",LEFT(RIGHT(VLOOKUP(AA76,suvaha!$D$8:$H$158,5,FALSE),9),1))</f>
        <v/>
      </c>
      <c r="BQ82" s="255"/>
      <c r="BR82" s="432" t="str">
        <f>IF(LEN(VLOOKUP(AA76,suvaha!$D$8:$H$158,5,FALSE))&lt;8,"",LEFT(RIGHT(VLOOKUP(AA76,suvaha!$D$8:$H$158,5,FALSE),8),1))</f>
        <v/>
      </c>
      <c r="BS82" s="434"/>
      <c r="BT82" s="432" t="str">
        <f>IF(LEN(VLOOKUP(AA76,suvaha!$D$8:$H$158,5,FALSE))&lt;7,"",LEFT(RIGHT(VLOOKUP(AA76,suvaha!$D$8:$H$158,5,FALSE),7),1))</f>
        <v/>
      </c>
      <c r="BU82" s="818"/>
      <c r="BV82" s="432" t="str">
        <f>IF(LEN(VLOOKUP(AA76,suvaha!$D$8:$H$158,5,FALSE))&lt;6,"",LEFT(RIGHT(VLOOKUP(AA76,suvaha!$D$8:$H$158,5,FALSE),6),1))</f>
        <v/>
      </c>
      <c r="BW82" s="434"/>
      <c r="BX82" s="432" t="str">
        <f>IF(LEN(VLOOKUP(AA76,suvaha!$D$8:$H$158,5,FALSE))&lt;5,"",LEFT(RIGHT(VLOOKUP(AA76,suvaha!$D$8:$H$158,5,FALSE),5),1))</f>
        <v/>
      </c>
      <c r="BY82" s="434"/>
      <c r="BZ82" s="432" t="str">
        <f>IF(LEN(VLOOKUP(AA76,suvaha!$D$8:$H$158,5,FALSE))&lt;4,"",LEFT(RIGHT(VLOOKUP(AA76,suvaha!$D$8:$H$158,5,FALSE),4),1))</f>
        <v/>
      </c>
      <c r="CA82" s="818"/>
      <c r="CB82" s="432" t="str">
        <f>IF(LEN(VLOOKUP(AA76,suvaha!$D$8:$H$158,5,FALSE))&lt;3,"",LEFT(RIGHT(VLOOKUP(AA76,suvaha!$D$8:$H$158,5,FALSE),3),1))</f>
        <v/>
      </c>
      <c r="CC82" s="434"/>
      <c r="CD82" s="432" t="str">
        <f>IF(LEN(VLOOKUP(AA76,suvaha!$D$8:$H$158,5,FALSE))&lt;2,"",LEFT(RIGHT(VLOOKUP(AA76,suvaha!$D$8:$H$158,5,FALSE),2),1))</f>
        <v/>
      </c>
      <c r="CE82" s="434"/>
      <c r="CF82" s="432" t="str">
        <f>IF(VLOOKUP(AA76,suvaha!$D$8:$H$85,5,FALSE)=0,"",IF(LEN(VLOOKUP(AA76,suvaha!$D$8:$H$158,5,FALSE))&lt;1,"",LEFT(RIGHT(VLOOKUP(AA76,suvaha!$D$8:$H$158,5,FALSE),1),1)))</f>
        <v/>
      </c>
      <c r="CG82" s="287"/>
    </row>
    <row r="83" spans="1:85" ht="3" customHeight="1">
      <c r="A83" s="220"/>
      <c r="B83" s="879"/>
      <c r="C83" s="879"/>
      <c r="D83" s="879"/>
      <c r="E83" s="877"/>
      <c r="F83" s="877"/>
      <c r="G83" s="862"/>
      <c r="H83" s="864"/>
      <c r="I83" s="864"/>
      <c r="J83" s="864"/>
      <c r="K83" s="864"/>
      <c r="L83" s="864"/>
      <c r="M83" s="864"/>
      <c r="N83" s="864"/>
      <c r="O83" s="864"/>
      <c r="P83" s="864"/>
      <c r="Q83" s="864"/>
      <c r="R83" s="864"/>
      <c r="S83" s="864"/>
      <c r="T83" s="864"/>
      <c r="U83" s="864"/>
      <c r="V83" s="864"/>
      <c r="W83" s="864"/>
      <c r="X83" s="864"/>
      <c r="Y83" s="864"/>
      <c r="Z83" s="864"/>
      <c r="AA83" s="866"/>
      <c r="AB83" s="866"/>
      <c r="AC83" s="866"/>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845"/>
      <c r="AZ83" s="845"/>
      <c r="BA83" s="449"/>
      <c r="BB83" s="310"/>
      <c r="BC83" s="310"/>
      <c r="BD83" s="310"/>
      <c r="BE83" s="310"/>
      <c r="BF83" s="310"/>
      <c r="BG83" s="310"/>
      <c r="BH83" s="310"/>
      <c r="BI83" s="310"/>
      <c r="BJ83" s="443"/>
      <c r="BK83" s="310"/>
      <c r="BL83" s="310"/>
      <c r="BM83" s="310"/>
      <c r="BN83" s="310"/>
      <c r="BO83" s="310"/>
      <c r="BP83" s="310"/>
      <c r="BQ83" s="310"/>
      <c r="BR83" s="310"/>
      <c r="BS83" s="310"/>
      <c r="BT83" s="310"/>
      <c r="BU83" s="310"/>
      <c r="BV83" s="310"/>
      <c r="BW83" s="310"/>
      <c r="BX83" s="310"/>
      <c r="BY83" s="310"/>
      <c r="BZ83" s="310"/>
      <c r="CA83" s="310"/>
      <c r="CB83" s="310"/>
      <c r="CC83" s="310"/>
      <c r="CD83" s="310"/>
      <c r="CE83" s="310"/>
      <c r="CF83" s="310"/>
      <c r="CG83" s="286"/>
    </row>
    <row r="84" spans="1:85" s="250" customFormat="1" ht="3" customHeight="1">
      <c r="A84" s="220"/>
      <c r="B84" s="879"/>
      <c r="C84" s="879"/>
      <c r="D84" s="879"/>
      <c r="E84" s="877" t="s">
        <v>1544</v>
      </c>
      <c r="F84" s="877"/>
      <c r="G84" s="862"/>
      <c r="H84" s="864" t="str">
        <f>Index!C89</f>
        <v>Zvieratá (124) - 195</v>
      </c>
      <c r="I84" s="864"/>
      <c r="J84" s="864"/>
      <c r="K84" s="864"/>
      <c r="L84" s="864"/>
      <c r="M84" s="864"/>
      <c r="N84" s="864"/>
      <c r="O84" s="864"/>
      <c r="P84" s="864"/>
      <c r="Q84" s="864"/>
      <c r="R84" s="864"/>
      <c r="S84" s="864"/>
      <c r="T84" s="864"/>
      <c r="U84" s="864"/>
      <c r="V84" s="864"/>
      <c r="W84" s="864"/>
      <c r="X84" s="864"/>
      <c r="Y84" s="864"/>
      <c r="Z84" s="864"/>
      <c r="AA84" s="866" t="s">
        <v>1587</v>
      </c>
      <c r="AB84" s="866"/>
      <c r="AC84" s="866"/>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25"/>
      <c r="BA84" s="867"/>
      <c r="BB84" s="867"/>
      <c r="BC84" s="867"/>
      <c r="BD84" s="867"/>
      <c r="BE84" s="867"/>
      <c r="BF84" s="867"/>
      <c r="BG84" s="867"/>
      <c r="BH84" s="867"/>
      <c r="BI84" s="867"/>
      <c r="BJ84" s="867"/>
      <c r="BK84" s="867"/>
      <c r="BL84" s="867"/>
      <c r="BM84" s="867"/>
      <c r="BN84" s="867"/>
      <c r="BO84" s="867"/>
      <c r="BP84" s="867"/>
      <c r="BQ84" s="867"/>
      <c r="BR84" s="304"/>
      <c r="BS84" s="304"/>
      <c r="BT84" s="304"/>
      <c r="BU84" s="304"/>
      <c r="BV84" s="304"/>
      <c r="BW84" s="446"/>
      <c r="BX84" s="304"/>
      <c r="BY84" s="304"/>
      <c r="BZ84" s="304"/>
      <c r="CA84" s="304"/>
      <c r="CB84" s="304"/>
      <c r="CC84" s="304"/>
      <c r="CD84" s="304"/>
      <c r="CE84" s="304"/>
      <c r="CF84" s="304"/>
      <c r="CG84" s="284"/>
    </row>
    <row r="85" spans="1:85" s="250" customFormat="1" ht="3" customHeight="1">
      <c r="A85" s="220"/>
      <c r="B85" s="879"/>
      <c r="C85" s="879"/>
      <c r="D85" s="879"/>
      <c r="E85" s="877"/>
      <c r="F85" s="877"/>
      <c r="G85" s="862"/>
      <c r="H85" s="864"/>
      <c r="I85" s="864"/>
      <c r="J85" s="864"/>
      <c r="K85" s="864"/>
      <c r="L85" s="864"/>
      <c r="M85" s="864"/>
      <c r="N85" s="864"/>
      <c r="O85" s="864"/>
      <c r="P85" s="864"/>
      <c r="Q85" s="864"/>
      <c r="R85" s="864"/>
      <c r="S85" s="864"/>
      <c r="T85" s="864"/>
      <c r="U85" s="864"/>
      <c r="V85" s="864"/>
      <c r="W85" s="864"/>
      <c r="X85" s="864"/>
      <c r="Y85" s="864"/>
      <c r="Z85" s="864"/>
      <c r="AA85" s="866"/>
      <c r="AB85" s="866"/>
      <c r="AC85" s="866"/>
      <c r="AD85" s="826"/>
      <c r="AE85" s="820"/>
      <c r="AF85" s="820"/>
      <c r="AG85" s="820"/>
      <c r="AH85" s="435"/>
      <c r="AI85" s="821"/>
      <c r="AJ85" s="821"/>
      <c r="AK85" s="821"/>
      <c r="AL85" s="821"/>
      <c r="AM85" s="821"/>
      <c r="AN85" s="818"/>
      <c r="AO85" s="822"/>
      <c r="AP85" s="822"/>
      <c r="AQ85" s="822"/>
      <c r="AR85" s="822"/>
      <c r="AS85" s="822"/>
      <c r="AT85" s="818"/>
      <c r="AU85" s="822"/>
      <c r="AV85" s="822"/>
      <c r="AW85" s="822"/>
      <c r="AX85" s="822"/>
      <c r="AY85" s="822"/>
      <c r="AZ85" s="827"/>
      <c r="BA85" s="826"/>
      <c r="BB85" s="820"/>
      <c r="BC85" s="820"/>
      <c r="BD85" s="820"/>
      <c r="BE85" s="435"/>
      <c r="BF85" s="821"/>
      <c r="BG85" s="821"/>
      <c r="BH85" s="821"/>
      <c r="BI85" s="821"/>
      <c r="BJ85" s="821"/>
      <c r="BK85" s="818"/>
      <c r="BL85" s="822"/>
      <c r="BM85" s="822"/>
      <c r="BN85" s="822"/>
      <c r="BO85" s="822"/>
      <c r="BP85" s="822"/>
      <c r="BQ85" s="818"/>
      <c r="BR85" s="822"/>
      <c r="BS85" s="822"/>
      <c r="BT85" s="822"/>
      <c r="BU85" s="822"/>
      <c r="BV85" s="822"/>
      <c r="BW85" s="441"/>
      <c r="BX85" s="442"/>
      <c r="BY85" s="442"/>
      <c r="BZ85" s="442"/>
      <c r="CA85" s="442"/>
      <c r="CB85" s="442"/>
      <c r="CC85" s="442"/>
      <c r="CD85" s="442"/>
      <c r="CE85" s="442"/>
      <c r="CF85" s="442"/>
      <c r="CG85" s="285"/>
    </row>
    <row r="86" spans="1:85" ht="15" customHeight="1">
      <c r="A86" s="220"/>
      <c r="B86" s="879"/>
      <c r="C86" s="879"/>
      <c r="D86" s="879"/>
      <c r="E86" s="877"/>
      <c r="F86" s="877"/>
      <c r="G86" s="862"/>
      <c r="H86" s="864"/>
      <c r="I86" s="864"/>
      <c r="J86" s="864"/>
      <c r="K86" s="864"/>
      <c r="L86" s="864"/>
      <c r="M86" s="864"/>
      <c r="N86" s="864"/>
      <c r="O86" s="864"/>
      <c r="P86" s="864"/>
      <c r="Q86" s="864"/>
      <c r="R86" s="864"/>
      <c r="S86" s="864"/>
      <c r="T86" s="864"/>
      <c r="U86" s="864"/>
      <c r="V86" s="864"/>
      <c r="W86" s="864"/>
      <c r="X86" s="864"/>
      <c r="Y86" s="864"/>
      <c r="Z86" s="864"/>
      <c r="AA86" s="866"/>
      <c r="AB86" s="866"/>
      <c r="AC86" s="866"/>
      <c r="AD86" s="826"/>
      <c r="AE86" s="432" t="str">
        <f>IF(LEN(VLOOKUP(AA84,suvaha!$D$8:$H$158,2,FALSE))&lt;11,"",LEFT(RIGHT(VLOOKUP(AA84,suvaha!$D$8:$H$158,2,FALSE),11),1))</f>
        <v/>
      </c>
      <c r="AF86" s="255"/>
      <c r="AG86" s="432" t="str">
        <f>IF(LEN(VLOOKUP(AA84,suvaha!$D$8:$H$158,2,FALSE))&lt;10,"",LEFT(RIGHT(VLOOKUP(AA84,suvaha!$D$8:$H$158,2,FALSE),10),1))</f>
        <v/>
      </c>
      <c r="AH86" s="434"/>
      <c r="AI86" s="432" t="str">
        <f>IF(LEN(VLOOKUP(AA84,suvaha!$D$8:$H$158,2,FALSE))&lt;9,"",LEFT(RIGHT(VLOOKUP(AA84,suvaha!$D$8:$H$158,2,FALSE),9),1))</f>
        <v/>
      </c>
      <c r="AJ86" s="255"/>
      <c r="AK86" s="432" t="str">
        <f>IF(LEN(VLOOKUP(AA84,suvaha!$D$8:$H$158,2,FALSE))&lt;8,"",LEFT(RIGHT(VLOOKUP(AA84,suvaha!$D$8:$H$158,2,FALSE),8),1))</f>
        <v/>
      </c>
      <c r="AL86" s="434"/>
      <c r="AM86" s="432" t="str">
        <f>IF(LEN(VLOOKUP(AA84,suvaha!$D$8:$H$158,2,FALSE))&lt;7,"",LEFT(RIGHT(VLOOKUP(AA84,suvaha!$D$8:$H$158,2,FALSE),7),1))</f>
        <v/>
      </c>
      <c r="AN86" s="818"/>
      <c r="AO86" s="432" t="str">
        <f>IF(LEN(VLOOKUP(AA84,suvaha!$D$8:$H$158,2,FALSE))&lt;6,"",LEFT(RIGHT(VLOOKUP(AA84,suvaha!$D$8:$H$158,2,FALSE),6),1))</f>
        <v/>
      </c>
      <c r="AP86" s="434"/>
      <c r="AQ86" s="432" t="str">
        <f>IF(LEN(VLOOKUP(AA84,suvaha!$D$8:$H$158,2,FALSE))&lt;5,"",LEFT(RIGHT(VLOOKUP(AA84,suvaha!$D$8:$H$158,2,FALSE),5),1))</f>
        <v/>
      </c>
      <c r="AR86" s="434"/>
      <c r="AS86" s="432" t="str">
        <f>IF(LEN(VLOOKUP(AA84,suvaha!$D$8:$H$158,2,FALSE))&lt;4,"",LEFT(RIGHT(VLOOKUP(AA84,suvaha!$D$8:$H$158,2,FALSE),4),1))</f>
        <v/>
      </c>
      <c r="AT86" s="818"/>
      <c r="AU86" s="432" t="str">
        <f>IF(LEN(VLOOKUP(AA84,suvaha!$D$8:$H$158,2,FALSE))&lt;3,"",LEFT(RIGHT(VLOOKUP(AA84,suvaha!$D$8:$H$158,2,FALSE),3),1))</f>
        <v/>
      </c>
      <c r="AV86" s="434"/>
      <c r="AW86" s="432" t="str">
        <f>IF(LEN(VLOOKUP(AA84,suvaha!$D$8:$H$158,2,FALSE))&lt;2,"",LEFT(RIGHT(VLOOKUP(AA84,suvaha!$D$8:$H$158,2,FALSE),2),1))</f>
        <v/>
      </c>
      <c r="AX86" s="434"/>
      <c r="AY86" s="432" t="str">
        <f>IF(VLOOKUP(AA84,suvaha!$D$8:$H$85,2,FALSE)=0,"",IF(LEN(VLOOKUP(AA84,suvaha!$D$8:$H$158,2,FALSE))&lt;1,"",LEFT(RIGHT(VLOOKUP(AA84,suvaha!$D$8:$H$158,2,FALSE),1),1)))</f>
        <v/>
      </c>
      <c r="AZ86" s="827"/>
      <c r="BA86" s="826"/>
      <c r="BB86" s="432" t="str">
        <f>IF(LEN(VLOOKUP(AA84,suvaha!$D$8:$H$158,4,FALSE))&lt;11,"",LEFT(RIGHT(VLOOKUP(AA84,suvaha!$D$8:$H$158,4,FALSE),11),1))</f>
        <v/>
      </c>
      <c r="BC86" s="255"/>
      <c r="BD86" s="432" t="str">
        <f>IF(LEN(VLOOKUP(AA84,suvaha!$D$8:$H$158,4,FALSE))&lt;10,"",LEFT(RIGHT(VLOOKUP(AA84,suvaha!$D$8:$H$158,4,FALSE),10),1))</f>
        <v/>
      </c>
      <c r="BE86" s="434"/>
      <c r="BF86" s="432" t="str">
        <f>IF(LEN(VLOOKUP(AA84,suvaha!$D$8:$H$158,4,FALSE))&lt;9,"",LEFT(RIGHT(VLOOKUP(AA84,suvaha!$D$8:$H$158,4,FALSE),9),1))</f>
        <v/>
      </c>
      <c r="BG86" s="255"/>
      <c r="BH86" s="432" t="str">
        <f>IF(LEN(VLOOKUP(AA84,suvaha!$D$8:$H$158,4,FALSE))&lt;8,"",LEFT(RIGHT(VLOOKUP(AA84,suvaha!$D$8:$H$158,4,FALSE),8),1))</f>
        <v/>
      </c>
      <c r="BI86" s="434"/>
      <c r="BJ86" s="432" t="str">
        <f>IF(LEN(VLOOKUP(AA84,suvaha!$D$8:$H$158,4,FALSE))&lt;7,"",LEFT(RIGHT(VLOOKUP(AA84,suvaha!$D$8:$H$158,4,FALSE),7),1))</f>
        <v/>
      </c>
      <c r="BK86" s="818"/>
      <c r="BL86" s="432" t="str">
        <f>IF(LEN(VLOOKUP(AA84,suvaha!$D$8:$H$158,4,FALSE))&lt;6,"",LEFT(RIGHT(VLOOKUP(AA84,suvaha!$D$8:$H$158,4,FALSE),6),1))</f>
        <v/>
      </c>
      <c r="BM86" s="434"/>
      <c r="BN86" s="432" t="str">
        <f>IF(LEN(VLOOKUP(AA84,suvaha!$D$8:$H$158,4,FALSE))&lt;5,"",LEFT(RIGHT(VLOOKUP(AA84,suvaha!$D$8:$H$158,4,FALSE),5),1))</f>
        <v/>
      </c>
      <c r="BO86" s="434"/>
      <c r="BP86" s="432" t="str">
        <f>IF(LEN(VLOOKUP(AA84,suvaha!$D$8:$H$158,4,FALSE))&lt;4,"",LEFT(RIGHT(VLOOKUP(AA84,suvaha!$D$8:$H$158,4,FALSE),4),1))</f>
        <v/>
      </c>
      <c r="BQ86" s="818"/>
      <c r="BR86" s="432" t="str">
        <f>IF(LEN(VLOOKUP(AA84,suvaha!$D$8:$H$158,4,FALSE))&lt;3,"",LEFT(RIGHT(VLOOKUP(AA84,suvaha!$D$8:$H$158,4,FALSE),3),1))</f>
        <v/>
      </c>
      <c r="BS86" s="434"/>
      <c r="BT86" s="432" t="str">
        <f>IF(LEN(VLOOKUP(AA84,suvaha!$D$8:$H$158,4,FALSE))&lt;2,"",LEFT(RIGHT(VLOOKUP(AA84,suvaha!$D$8:$H$158,4,FALSE),2),1))</f>
        <v/>
      </c>
      <c r="BU86" s="434"/>
      <c r="BV86" s="432" t="str">
        <f>IF(VLOOKUP(AA84,suvaha!$D$8:$H$85,4,FALSE)=0,"",IF(LEN(VLOOKUP(AA84,suvaha!$D$8:$H$158,4,FALSE))&lt;1,"",LEFT(RIGHT(VLOOKUP(AA84,suvaha!$D$8:$H$158,4,FALSE),1),1)))</f>
        <v/>
      </c>
      <c r="BW86" s="441"/>
      <c r="BX86" s="442"/>
      <c r="BY86" s="442"/>
      <c r="BZ86" s="442"/>
      <c r="CA86" s="442"/>
      <c r="CB86" s="442"/>
      <c r="CC86" s="442"/>
      <c r="CD86" s="442"/>
      <c r="CE86" s="442"/>
      <c r="CF86" s="442"/>
      <c r="CG86" s="285"/>
    </row>
    <row r="87" spans="1:85" ht="2.25" customHeight="1">
      <c r="A87" s="220"/>
      <c r="B87" s="879"/>
      <c r="C87" s="879"/>
      <c r="D87" s="879"/>
      <c r="E87" s="877"/>
      <c r="F87" s="877"/>
      <c r="G87" s="862"/>
      <c r="H87" s="864"/>
      <c r="I87" s="864"/>
      <c r="J87" s="864"/>
      <c r="K87" s="864"/>
      <c r="L87" s="864"/>
      <c r="M87" s="864"/>
      <c r="N87" s="864"/>
      <c r="O87" s="864"/>
      <c r="P87" s="864"/>
      <c r="Q87" s="864"/>
      <c r="R87" s="864"/>
      <c r="S87" s="864"/>
      <c r="T87" s="864"/>
      <c r="U87" s="864"/>
      <c r="V87" s="864"/>
      <c r="W87" s="864"/>
      <c r="X87" s="864"/>
      <c r="Y87" s="864"/>
      <c r="Z87" s="864"/>
      <c r="AA87" s="866"/>
      <c r="AB87" s="866"/>
      <c r="AC87" s="866"/>
      <c r="AD87" s="845"/>
      <c r="AE87" s="845"/>
      <c r="AF87" s="845"/>
      <c r="AG87" s="845"/>
      <c r="AH87" s="845"/>
      <c r="AI87" s="845"/>
      <c r="AJ87" s="845"/>
      <c r="AK87" s="845"/>
      <c r="AL87" s="845"/>
      <c r="AM87" s="845"/>
      <c r="AN87" s="845"/>
      <c r="AO87" s="845"/>
      <c r="AP87" s="845"/>
      <c r="AQ87" s="845"/>
      <c r="AR87" s="845"/>
      <c r="AS87" s="845"/>
      <c r="AT87" s="845"/>
      <c r="AU87" s="845"/>
      <c r="AV87" s="845"/>
      <c r="AW87" s="845"/>
      <c r="AX87" s="845"/>
      <c r="AY87" s="845"/>
      <c r="AZ87" s="845"/>
      <c r="BA87" s="846"/>
      <c r="BB87" s="846"/>
      <c r="BC87" s="846"/>
      <c r="BD87" s="846"/>
      <c r="BE87" s="846"/>
      <c r="BF87" s="846"/>
      <c r="BG87" s="846"/>
      <c r="BH87" s="846"/>
      <c r="BI87" s="846"/>
      <c r="BJ87" s="846"/>
      <c r="BK87" s="846"/>
      <c r="BL87" s="846"/>
      <c r="BM87" s="846"/>
      <c r="BN87" s="846"/>
      <c r="BO87" s="846"/>
      <c r="BP87" s="846"/>
      <c r="BQ87" s="846"/>
      <c r="BR87" s="310"/>
      <c r="BS87" s="310"/>
      <c r="BT87" s="310"/>
      <c r="BU87" s="310"/>
      <c r="BV87" s="310"/>
      <c r="BW87" s="443"/>
      <c r="BX87" s="310"/>
      <c r="BY87" s="310"/>
      <c r="BZ87" s="310"/>
      <c r="CA87" s="310"/>
      <c r="CB87" s="310"/>
      <c r="CC87" s="310"/>
      <c r="CD87" s="310"/>
      <c r="CE87" s="310"/>
      <c r="CF87" s="310"/>
      <c r="CG87" s="286"/>
    </row>
    <row r="88" spans="1:85" ht="2.25" customHeight="1">
      <c r="A88" s="220"/>
      <c r="B88" s="879"/>
      <c r="C88" s="879"/>
      <c r="D88" s="879"/>
      <c r="E88" s="877"/>
      <c r="F88" s="877"/>
      <c r="G88" s="862"/>
      <c r="H88" s="864"/>
      <c r="I88" s="864"/>
      <c r="J88" s="864"/>
      <c r="K88" s="864"/>
      <c r="L88" s="864"/>
      <c r="M88" s="864"/>
      <c r="N88" s="864"/>
      <c r="O88" s="864"/>
      <c r="P88" s="864"/>
      <c r="Q88" s="864"/>
      <c r="R88" s="864"/>
      <c r="S88" s="864"/>
      <c r="T88" s="864"/>
      <c r="U88" s="864"/>
      <c r="V88" s="864"/>
      <c r="W88" s="864"/>
      <c r="X88" s="864"/>
      <c r="Y88" s="864"/>
      <c r="Z88" s="864"/>
      <c r="AA88" s="866"/>
      <c r="AB88" s="866"/>
      <c r="AC88" s="866"/>
      <c r="AD88" s="825"/>
      <c r="AE88" s="825"/>
      <c r="AF88" s="825"/>
      <c r="AG88" s="825"/>
      <c r="AH88" s="825"/>
      <c r="AI88" s="825"/>
      <c r="AJ88" s="825"/>
      <c r="AK88" s="825"/>
      <c r="AL88" s="825"/>
      <c r="AM88" s="825"/>
      <c r="AN88" s="825"/>
      <c r="AO88" s="825"/>
      <c r="AP88" s="825"/>
      <c r="AQ88" s="825"/>
      <c r="AR88" s="825"/>
      <c r="AS88" s="825"/>
      <c r="AT88" s="825"/>
      <c r="AU88" s="825"/>
      <c r="AV88" s="825"/>
      <c r="AW88" s="825"/>
      <c r="AX88" s="825"/>
      <c r="AY88" s="825"/>
      <c r="AZ88" s="825"/>
      <c r="BA88" s="447"/>
      <c r="BB88" s="304"/>
      <c r="BC88" s="304"/>
      <c r="BD88" s="304"/>
      <c r="BE88" s="304"/>
      <c r="BF88" s="304"/>
      <c r="BG88" s="304"/>
      <c r="BH88" s="304"/>
      <c r="BI88" s="304"/>
      <c r="BJ88" s="446"/>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284"/>
    </row>
    <row r="89" spans="1:85" ht="2.25" customHeight="1">
      <c r="A89" s="220"/>
      <c r="B89" s="879"/>
      <c r="C89" s="879"/>
      <c r="D89" s="879"/>
      <c r="E89" s="877"/>
      <c r="F89" s="877"/>
      <c r="G89" s="862"/>
      <c r="H89" s="864"/>
      <c r="I89" s="864"/>
      <c r="J89" s="864"/>
      <c r="K89" s="864"/>
      <c r="L89" s="864"/>
      <c r="M89" s="864"/>
      <c r="N89" s="864"/>
      <c r="O89" s="864"/>
      <c r="P89" s="864"/>
      <c r="Q89" s="864"/>
      <c r="R89" s="864"/>
      <c r="S89" s="864"/>
      <c r="T89" s="864"/>
      <c r="U89" s="864"/>
      <c r="V89" s="864"/>
      <c r="W89" s="864"/>
      <c r="X89" s="864"/>
      <c r="Y89" s="864"/>
      <c r="Z89" s="864"/>
      <c r="AA89" s="866"/>
      <c r="AB89" s="866"/>
      <c r="AC89" s="866"/>
      <c r="AD89" s="826"/>
      <c r="AE89" s="820"/>
      <c r="AF89" s="820"/>
      <c r="AG89" s="820"/>
      <c r="AH89" s="435"/>
      <c r="AI89" s="821"/>
      <c r="AJ89" s="821"/>
      <c r="AK89" s="821"/>
      <c r="AL89" s="821"/>
      <c r="AM89" s="821"/>
      <c r="AN89" s="818"/>
      <c r="AO89" s="822"/>
      <c r="AP89" s="822"/>
      <c r="AQ89" s="822"/>
      <c r="AR89" s="822"/>
      <c r="AS89" s="822"/>
      <c r="AT89" s="818"/>
      <c r="AU89" s="822"/>
      <c r="AV89" s="822"/>
      <c r="AW89" s="822"/>
      <c r="AX89" s="822"/>
      <c r="AY89" s="822"/>
      <c r="AZ89" s="827"/>
      <c r="BA89" s="448"/>
      <c r="BB89" s="442"/>
      <c r="BC89" s="442"/>
      <c r="BD89" s="442"/>
      <c r="BE89" s="442"/>
      <c r="BF89" s="442"/>
      <c r="BG89" s="442"/>
      <c r="BH89" s="442"/>
      <c r="BI89" s="442"/>
      <c r="BJ89" s="441"/>
      <c r="BK89" s="442"/>
      <c r="BL89" s="820"/>
      <c r="BM89" s="820"/>
      <c r="BN89" s="820"/>
      <c r="BO89" s="435"/>
      <c r="BP89" s="821"/>
      <c r="BQ89" s="821"/>
      <c r="BR89" s="821"/>
      <c r="BS89" s="821"/>
      <c r="BT89" s="821"/>
      <c r="BU89" s="818"/>
      <c r="BV89" s="822"/>
      <c r="BW89" s="822"/>
      <c r="BX89" s="822"/>
      <c r="BY89" s="822"/>
      <c r="BZ89" s="822"/>
      <c r="CA89" s="818"/>
      <c r="CB89" s="822"/>
      <c r="CC89" s="822"/>
      <c r="CD89" s="822"/>
      <c r="CE89" s="822"/>
      <c r="CF89" s="822"/>
      <c r="CG89" s="287"/>
    </row>
    <row r="90" spans="1:85" ht="15" customHeight="1">
      <c r="A90" s="220"/>
      <c r="B90" s="879"/>
      <c r="C90" s="879"/>
      <c r="D90" s="879"/>
      <c r="E90" s="877"/>
      <c r="F90" s="877"/>
      <c r="G90" s="862"/>
      <c r="H90" s="864"/>
      <c r="I90" s="864"/>
      <c r="J90" s="864"/>
      <c r="K90" s="864"/>
      <c r="L90" s="864"/>
      <c r="M90" s="864"/>
      <c r="N90" s="864"/>
      <c r="O90" s="864"/>
      <c r="P90" s="864"/>
      <c r="Q90" s="864"/>
      <c r="R90" s="864"/>
      <c r="S90" s="864"/>
      <c r="T90" s="864"/>
      <c r="U90" s="864"/>
      <c r="V90" s="864"/>
      <c r="W90" s="864"/>
      <c r="X90" s="864"/>
      <c r="Y90" s="864"/>
      <c r="Z90" s="864"/>
      <c r="AA90" s="866"/>
      <c r="AB90" s="866"/>
      <c r="AC90" s="866"/>
      <c r="AD90" s="826"/>
      <c r="AE90" s="432" t="str">
        <f>IF(LEN(VLOOKUP(AA84,suvaha!$D$8:$H$158,3,FALSE))&lt;11,"",LEFT(RIGHT(VLOOKUP(AA84,suvaha!$D$8:$H$158,3,FALSE),11),1))</f>
        <v/>
      </c>
      <c r="AF90" s="255"/>
      <c r="AG90" s="432" t="str">
        <f>IF(LEN(VLOOKUP(AA84,suvaha!$D$8:$H$158,3,FALSE))&lt;10,"",LEFT(RIGHT(VLOOKUP(AA84,suvaha!$D$8:$H$158,3,FALSE),10),1))</f>
        <v/>
      </c>
      <c r="AH90" s="434"/>
      <c r="AI90" s="432" t="str">
        <f>IF(LEN(VLOOKUP(AA84,suvaha!$D$8:$H$158,3,FALSE))&lt;9,"",LEFT(RIGHT(VLOOKUP(AA84,suvaha!$D$8:$H$158,3,FALSE),9),1))</f>
        <v/>
      </c>
      <c r="AJ90" s="255"/>
      <c r="AK90" s="432" t="str">
        <f>IF(LEN(VLOOKUP(AA84,suvaha!$D$8:$H$158,3,FALSE))&lt;8,"",LEFT(RIGHT(VLOOKUP(AA84,suvaha!$D$8:$H$158,3,FALSE),8),1))</f>
        <v/>
      </c>
      <c r="AL90" s="434"/>
      <c r="AM90" s="432" t="str">
        <f>IF(LEN(VLOOKUP(AA84,suvaha!$D$8:$H$158,3,FALSE))&lt;7,"",LEFT(RIGHT(VLOOKUP(AA84,suvaha!$D$8:$H$158,3,FALSE),7),1))</f>
        <v/>
      </c>
      <c r="AN90" s="818"/>
      <c r="AO90" s="432" t="str">
        <f>IF(LEN(VLOOKUP(AA84,suvaha!$D$8:$H$158,3,FALSE))&lt;6,"",LEFT(RIGHT(VLOOKUP(AA84,suvaha!$D$8:$H$158,3,FALSE),6),1))</f>
        <v/>
      </c>
      <c r="AP90" s="434"/>
      <c r="AQ90" s="432" t="str">
        <f>IF(LEN(VLOOKUP(AA84,suvaha!$D$8:$H$158,3,FALSE))&lt;5,"",LEFT(RIGHT(VLOOKUP(AA84,suvaha!$D$8:$H$158,3,FALSE),5),1))</f>
        <v/>
      </c>
      <c r="AR90" s="434"/>
      <c r="AS90" s="432" t="str">
        <f>IF(LEN(VLOOKUP(AA84,suvaha!$D$8:$H$158,3,FALSE))&lt;4,"",LEFT(RIGHT(VLOOKUP(AA84,suvaha!$D$8:$H$158,3,FALSE),4),1))</f>
        <v/>
      </c>
      <c r="AT90" s="818"/>
      <c r="AU90" s="432" t="str">
        <f>IF(LEN(VLOOKUP(AA84,suvaha!$D$8:$H$158,3,FALSE))&lt;3,"",LEFT(RIGHT(VLOOKUP(AA84,suvaha!$D$8:$H$158,3,FALSE),3),1))</f>
        <v/>
      </c>
      <c r="AV90" s="434"/>
      <c r="AW90" s="432" t="str">
        <f>IF(LEN(VLOOKUP(AA84,suvaha!$D$8:$H$158,3,FALSE))&lt;2,"",LEFT(RIGHT(VLOOKUP(AA84,suvaha!$D$8:$H$158,3,FALSE),2),1))</f>
        <v/>
      </c>
      <c r="AX90" s="434"/>
      <c r="AY90" s="432" t="str">
        <f>IF(VLOOKUP(AA84,suvaha!$D$8:$H$85,3,FALSE)=0,"",IF(LEN(VLOOKUP(AA84,suvaha!$D$8:$H$158,3,FALSE))&lt;1,"",LEFT(RIGHT(VLOOKUP(AA84,suvaha!$D$8:$H$158,3,FALSE),1),1)))</f>
        <v/>
      </c>
      <c r="AZ90" s="827"/>
      <c r="BA90" s="448"/>
      <c r="BB90" s="442"/>
      <c r="BC90" s="442"/>
      <c r="BD90" s="442"/>
      <c r="BE90" s="442"/>
      <c r="BF90" s="442"/>
      <c r="BG90" s="442"/>
      <c r="BH90" s="442"/>
      <c r="BI90" s="442"/>
      <c r="BJ90" s="441"/>
      <c r="BK90" s="442"/>
      <c r="BL90" s="432" t="str">
        <f>IF(LEN(VLOOKUP(AA84,suvaha!$D$8:$H$158,5,FALSE))&lt;11,"",LEFT(RIGHT(VLOOKUP(AA84,suvaha!$D$8:$H$158,5,FALSE),11),1))</f>
        <v/>
      </c>
      <c r="BM90" s="255"/>
      <c r="BN90" s="432" t="str">
        <f>IF(LEN(VLOOKUP(AA84,suvaha!$D$8:$H$158,5,FALSE))&lt;10,"",LEFT(RIGHT(VLOOKUP(AA84,suvaha!$D$8:$H$158,5,FALSE),10),1))</f>
        <v/>
      </c>
      <c r="BO90" s="434"/>
      <c r="BP90" s="432" t="str">
        <f>IF(LEN(VLOOKUP(AA84,suvaha!$D$8:$H$158,5,FALSE))&lt;9,"",LEFT(RIGHT(VLOOKUP(AA84,suvaha!$D$8:$H$158,5,FALSE),9),1))</f>
        <v/>
      </c>
      <c r="BQ90" s="255"/>
      <c r="BR90" s="432" t="str">
        <f>IF(LEN(VLOOKUP(AA84,suvaha!$D$8:$H$158,5,FALSE))&lt;8,"",LEFT(RIGHT(VLOOKUP(AA84,suvaha!$D$8:$H$158,5,FALSE),8),1))</f>
        <v/>
      </c>
      <c r="BS90" s="434"/>
      <c r="BT90" s="432" t="str">
        <f>IF(LEN(VLOOKUP(AA84,suvaha!$D$8:$H$158,5,FALSE))&lt;7,"",LEFT(RIGHT(VLOOKUP(AA84,suvaha!$D$8:$H$158,5,FALSE),7),1))</f>
        <v/>
      </c>
      <c r="BU90" s="818"/>
      <c r="BV90" s="432" t="str">
        <f>IF(LEN(VLOOKUP(AA84,suvaha!$D$8:$H$158,5,FALSE))&lt;6,"",LEFT(RIGHT(VLOOKUP(AA84,suvaha!$D$8:$H$158,5,FALSE),6),1))</f>
        <v/>
      </c>
      <c r="BW90" s="434"/>
      <c r="BX90" s="432" t="str">
        <f>IF(LEN(VLOOKUP(AA84,suvaha!$D$8:$H$158,5,FALSE))&lt;5,"",LEFT(RIGHT(VLOOKUP(AA84,suvaha!$D$8:$H$158,5,FALSE),5),1))</f>
        <v/>
      </c>
      <c r="BY90" s="434"/>
      <c r="BZ90" s="432" t="str">
        <f>IF(LEN(VLOOKUP(AA84,suvaha!$D$8:$H$158,5,FALSE))&lt;4,"",LEFT(RIGHT(VLOOKUP(AA84,suvaha!$D$8:$H$158,5,FALSE),4),1))</f>
        <v/>
      </c>
      <c r="CA90" s="818"/>
      <c r="CB90" s="432" t="str">
        <f>IF(LEN(VLOOKUP(AA84,suvaha!$D$8:$H$158,5,FALSE))&lt;3,"",LEFT(RIGHT(VLOOKUP(AA84,suvaha!$D$8:$H$158,5,FALSE),3),1))</f>
        <v/>
      </c>
      <c r="CC90" s="434"/>
      <c r="CD90" s="432" t="str">
        <f>IF(LEN(VLOOKUP(AA84,suvaha!$D$8:$H$158,5,FALSE))&lt;2,"",LEFT(RIGHT(VLOOKUP(AA84,suvaha!$D$8:$H$158,5,FALSE),2),1))</f>
        <v/>
      </c>
      <c r="CE90" s="434"/>
      <c r="CF90" s="432" t="str">
        <f>IF(VLOOKUP(AA84,suvaha!$D$8:$H$85,5,FALSE)=0,"",IF(LEN(VLOOKUP(AA84,suvaha!$D$8:$H$158,5,FALSE))&lt;1,"",LEFT(RIGHT(VLOOKUP(AA84,suvaha!$D$8:$H$158,5,FALSE),1),1)))</f>
        <v/>
      </c>
      <c r="CG90" s="287"/>
    </row>
    <row r="91" spans="1:85" ht="3" customHeight="1">
      <c r="A91" s="220"/>
      <c r="B91" s="879"/>
      <c r="C91" s="879"/>
      <c r="D91" s="879"/>
      <c r="E91" s="877"/>
      <c r="F91" s="877"/>
      <c r="G91" s="862"/>
      <c r="H91" s="864"/>
      <c r="I91" s="864"/>
      <c r="J91" s="864"/>
      <c r="K91" s="864"/>
      <c r="L91" s="864"/>
      <c r="M91" s="864"/>
      <c r="N91" s="864"/>
      <c r="O91" s="864"/>
      <c r="P91" s="864"/>
      <c r="Q91" s="864"/>
      <c r="R91" s="864"/>
      <c r="S91" s="864"/>
      <c r="T91" s="864"/>
      <c r="U91" s="864"/>
      <c r="V91" s="864"/>
      <c r="W91" s="864"/>
      <c r="X91" s="864"/>
      <c r="Y91" s="864"/>
      <c r="Z91" s="864"/>
      <c r="AA91" s="866"/>
      <c r="AB91" s="866"/>
      <c r="AC91" s="866"/>
      <c r="AD91" s="845"/>
      <c r="AE91" s="845"/>
      <c r="AF91" s="845"/>
      <c r="AG91" s="845"/>
      <c r="AH91" s="845"/>
      <c r="AI91" s="845"/>
      <c r="AJ91" s="845"/>
      <c r="AK91" s="845"/>
      <c r="AL91" s="845"/>
      <c r="AM91" s="845"/>
      <c r="AN91" s="845"/>
      <c r="AO91" s="845"/>
      <c r="AP91" s="845"/>
      <c r="AQ91" s="845"/>
      <c r="AR91" s="845"/>
      <c r="AS91" s="845"/>
      <c r="AT91" s="845"/>
      <c r="AU91" s="845"/>
      <c r="AV91" s="845"/>
      <c r="AW91" s="845"/>
      <c r="AX91" s="845"/>
      <c r="AY91" s="845"/>
      <c r="AZ91" s="845"/>
      <c r="BA91" s="449"/>
      <c r="BB91" s="310"/>
      <c r="BC91" s="310"/>
      <c r="BD91" s="310"/>
      <c r="BE91" s="310"/>
      <c r="BF91" s="310"/>
      <c r="BG91" s="310"/>
      <c r="BH91" s="310"/>
      <c r="BI91" s="310"/>
      <c r="BJ91" s="443"/>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286"/>
    </row>
    <row r="92" spans="1:85" s="250" customFormat="1" ht="3" customHeight="1">
      <c r="A92" s="220"/>
      <c r="B92" s="879"/>
      <c r="C92" s="879"/>
      <c r="D92" s="879"/>
      <c r="E92" s="877" t="s">
        <v>1545</v>
      </c>
      <c r="F92" s="877"/>
      <c r="G92" s="862"/>
      <c r="H92" s="864" t="str">
        <f>Index!C90</f>
        <v>Tovar (132, 133, 13X, 139) - /196, 19X/</v>
      </c>
      <c r="I92" s="864"/>
      <c r="J92" s="864"/>
      <c r="K92" s="864"/>
      <c r="L92" s="864"/>
      <c r="M92" s="864"/>
      <c r="N92" s="864"/>
      <c r="O92" s="864"/>
      <c r="P92" s="864"/>
      <c r="Q92" s="864"/>
      <c r="R92" s="864"/>
      <c r="S92" s="864"/>
      <c r="T92" s="864"/>
      <c r="U92" s="864"/>
      <c r="V92" s="864"/>
      <c r="W92" s="864"/>
      <c r="X92" s="864"/>
      <c r="Y92" s="864"/>
      <c r="Z92" s="864"/>
      <c r="AA92" s="866" t="s">
        <v>1588</v>
      </c>
      <c r="AB92" s="866"/>
      <c r="AC92" s="866"/>
      <c r="AD92" s="825"/>
      <c r="AE92" s="825"/>
      <c r="AF92" s="825"/>
      <c r="AG92" s="825"/>
      <c r="AH92" s="825"/>
      <c r="AI92" s="825"/>
      <c r="AJ92" s="825"/>
      <c r="AK92" s="825"/>
      <c r="AL92" s="825"/>
      <c r="AM92" s="825"/>
      <c r="AN92" s="825"/>
      <c r="AO92" s="825"/>
      <c r="AP92" s="825"/>
      <c r="AQ92" s="825"/>
      <c r="AR92" s="825"/>
      <c r="AS92" s="825"/>
      <c r="AT92" s="825"/>
      <c r="AU92" s="825"/>
      <c r="AV92" s="825"/>
      <c r="AW92" s="825"/>
      <c r="AX92" s="825"/>
      <c r="AY92" s="825"/>
      <c r="AZ92" s="825"/>
      <c r="BA92" s="867"/>
      <c r="BB92" s="867"/>
      <c r="BC92" s="867"/>
      <c r="BD92" s="867"/>
      <c r="BE92" s="867"/>
      <c r="BF92" s="867"/>
      <c r="BG92" s="867"/>
      <c r="BH92" s="867"/>
      <c r="BI92" s="867"/>
      <c r="BJ92" s="867"/>
      <c r="BK92" s="867"/>
      <c r="BL92" s="867"/>
      <c r="BM92" s="867"/>
      <c r="BN92" s="867"/>
      <c r="BO92" s="867"/>
      <c r="BP92" s="867"/>
      <c r="BQ92" s="867"/>
      <c r="BR92" s="304"/>
      <c r="BS92" s="304"/>
      <c r="BT92" s="304"/>
      <c r="BU92" s="304"/>
      <c r="BV92" s="304"/>
      <c r="BW92" s="446"/>
      <c r="BX92" s="304"/>
      <c r="BY92" s="304"/>
      <c r="BZ92" s="304"/>
      <c r="CA92" s="304"/>
      <c r="CB92" s="304"/>
      <c r="CC92" s="304"/>
      <c r="CD92" s="304"/>
      <c r="CE92" s="304"/>
      <c r="CF92" s="304"/>
      <c r="CG92" s="284"/>
    </row>
    <row r="93" spans="1:85" s="250" customFormat="1" ht="3" customHeight="1">
      <c r="A93" s="220"/>
      <c r="B93" s="879"/>
      <c r="C93" s="879"/>
      <c r="D93" s="879"/>
      <c r="E93" s="877"/>
      <c r="F93" s="877"/>
      <c r="G93" s="862"/>
      <c r="H93" s="864"/>
      <c r="I93" s="864"/>
      <c r="J93" s="864"/>
      <c r="K93" s="864"/>
      <c r="L93" s="864"/>
      <c r="M93" s="864"/>
      <c r="N93" s="864"/>
      <c r="O93" s="864"/>
      <c r="P93" s="864"/>
      <c r="Q93" s="864"/>
      <c r="R93" s="864"/>
      <c r="S93" s="864"/>
      <c r="T93" s="864"/>
      <c r="U93" s="864"/>
      <c r="V93" s="864"/>
      <c r="W93" s="864"/>
      <c r="X93" s="864"/>
      <c r="Y93" s="864"/>
      <c r="Z93" s="864"/>
      <c r="AA93" s="866"/>
      <c r="AB93" s="866"/>
      <c r="AC93" s="866"/>
      <c r="AD93" s="826"/>
      <c r="AE93" s="820"/>
      <c r="AF93" s="820"/>
      <c r="AG93" s="820"/>
      <c r="AH93" s="435"/>
      <c r="AI93" s="821"/>
      <c r="AJ93" s="821"/>
      <c r="AK93" s="821"/>
      <c r="AL93" s="821"/>
      <c r="AM93" s="821"/>
      <c r="AN93" s="818"/>
      <c r="AO93" s="822"/>
      <c r="AP93" s="822"/>
      <c r="AQ93" s="822"/>
      <c r="AR93" s="822"/>
      <c r="AS93" s="822"/>
      <c r="AT93" s="818"/>
      <c r="AU93" s="822"/>
      <c r="AV93" s="822"/>
      <c r="AW93" s="822"/>
      <c r="AX93" s="822"/>
      <c r="AY93" s="822"/>
      <c r="AZ93" s="827"/>
      <c r="BA93" s="826"/>
      <c r="BB93" s="820"/>
      <c r="BC93" s="820"/>
      <c r="BD93" s="820"/>
      <c r="BE93" s="435"/>
      <c r="BF93" s="821"/>
      <c r="BG93" s="821"/>
      <c r="BH93" s="821"/>
      <c r="BI93" s="821"/>
      <c r="BJ93" s="821"/>
      <c r="BK93" s="818"/>
      <c r="BL93" s="822"/>
      <c r="BM93" s="822"/>
      <c r="BN93" s="822"/>
      <c r="BO93" s="822"/>
      <c r="BP93" s="822"/>
      <c r="BQ93" s="818"/>
      <c r="BR93" s="822"/>
      <c r="BS93" s="822"/>
      <c r="BT93" s="822"/>
      <c r="BU93" s="822"/>
      <c r="BV93" s="822"/>
      <c r="BW93" s="441"/>
      <c r="BX93" s="442"/>
      <c r="BY93" s="442"/>
      <c r="BZ93" s="442"/>
      <c r="CA93" s="442"/>
      <c r="CB93" s="442"/>
      <c r="CC93" s="442"/>
      <c r="CD93" s="442"/>
      <c r="CE93" s="442"/>
      <c r="CF93" s="442"/>
      <c r="CG93" s="285"/>
    </row>
    <row r="94" spans="1:85" ht="15" customHeight="1">
      <c r="A94" s="220"/>
      <c r="B94" s="879"/>
      <c r="C94" s="879"/>
      <c r="D94" s="879"/>
      <c r="E94" s="877"/>
      <c r="F94" s="877"/>
      <c r="G94" s="862"/>
      <c r="H94" s="864"/>
      <c r="I94" s="864"/>
      <c r="J94" s="864"/>
      <c r="K94" s="864"/>
      <c r="L94" s="864"/>
      <c r="M94" s="864"/>
      <c r="N94" s="864"/>
      <c r="O94" s="864"/>
      <c r="P94" s="864"/>
      <c r="Q94" s="864"/>
      <c r="R94" s="864"/>
      <c r="S94" s="864"/>
      <c r="T94" s="864"/>
      <c r="U94" s="864"/>
      <c r="V94" s="864"/>
      <c r="W94" s="864"/>
      <c r="X94" s="864"/>
      <c r="Y94" s="864"/>
      <c r="Z94" s="864"/>
      <c r="AA94" s="866"/>
      <c r="AB94" s="866"/>
      <c r="AC94" s="866"/>
      <c r="AD94" s="826"/>
      <c r="AE94" s="432" t="str">
        <f>IF(LEN(VLOOKUP(AA92,suvaha!$D$8:$H$158,2,FALSE))&lt;11,"",LEFT(RIGHT(VLOOKUP(AA92,suvaha!$D$8:$H$158,2,FALSE),11),1))</f>
        <v/>
      </c>
      <c r="AF94" s="255"/>
      <c r="AG94" s="432" t="str">
        <f>IF(LEN(VLOOKUP(AA92,suvaha!$D$8:$H$158,2,FALSE))&lt;10,"",LEFT(RIGHT(VLOOKUP(AA92,suvaha!$D$8:$H$158,2,FALSE),10),1))</f>
        <v/>
      </c>
      <c r="AH94" s="434"/>
      <c r="AI94" s="432" t="str">
        <f>IF(LEN(VLOOKUP(AA92,suvaha!$D$8:$H$158,2,FALSE))&lt;9,"",LEFT(RIGHT(VLOOKUP(AA92,suvaha!$D$8:$H$158,2,FALSE),9),1))</f>
        <v/>
      </c>
      <c r="AJ94" s="255"/>
      <c r="AK94" s="432" t="str">
        <f>IF(LEN(VLOOKUP(AA92,suvaha!$D$8:$H$158,2,FALSE))&lt;8,"",LEFT(RIGHT(VLOOKUP(AA92,suvaha!$D$8:$H$158,2,FALSE),8),1))</f>
        <v/>
      </c>
      <c r="AL94" s="434"/>
      <c r="AM94" s="432" t="str">
        <f>IF(LEN(VLOOKUP(AA92,suvaha!$D$8:$H$158,2,FALSE))&lt;7,"",LEFT(RIGHT(VLOOKUP(AA92,suvaha!$D$8:$H$158,2,FALSE),7),1))</f>
        <v/>
      </c>
      <c r="AN94" s="818"/>
      <c r="AO94" s="432" t="str">
        <f>IF(LEN(VLOOKUP(AA92,suvaha!$D$8:$H$158,2,FALSE))&lt;6,"",LEFT(RIGHT(VLOOKUP(AA92,suvaha!$D$8:$H$158,2,FALSE),6),1))</f>
        <v>1</v>
      </c>
      <c r="AP94" s="434"/>
      <c r="AQ94" s="432" t="str">
        <f>IF(LEN(VLOOKUP(AA92,suvaha!$D$8:$H$158,2,FALSE))&lt;5,"",LEFT(RIGHT(VLOOKUP(AA92,suvaha!$D$8:$H$158,2,FALSE),5),1))</f>
        <v>7</v>
      </c>
      <c r="AR94" s="434"/>
      <c r="AS94" s="432" t="str">
        <f>IF(LEN(VLOOKUP(AA92,suvaha!$D$8:$H$158,2,FALSE))&lt;4,"",LEFT(RIGHT(VLOOKUP(AA92,suvaha!$D$8:$H$158,2,FALSE),4),1))</f>
        <v>6</v>
      </c>
      <c r="AT94" s="818"/>
      <c r="AU94" s="432" t="str">
        <f>IF(LEN(VLOOKUP(AA92,suvaha!$D$8:$H$158,2,FALSE))&lt;3,"",LEFT(RIGHT(VLOOKUP(AA92,suvaha!$D$8:$H$158,2,FALSE),3),1))</f>
        <v>8</v>
      </c>
      <c r="AV94" s="434"/>
      <c r="AW94" s="432" t="str">
        <f>IF(LEN(VLOOKUP(AA92,suvaha!$D$8:$H$158,2,FALSE))&lt;2,"",LEFT(RIGHT(VLOOKUP(AA92,suvaha!$D$8:$H$158,2,FALSE),2),1))</f>
        <v>8</v>
      </c>
      <c r="AX94" s="434"/>
      <c r="AY94" s="432" t="str">
        <f>IF(VLOOKUP(AA92,suvaha!$D$8:$H$85,2,FALSE)=0,"",IF(LEN(VLOOKUP(AA92,suvaha!$D$8:$H$158,2,FALSE))&lt;1,"",LEFT(RIGHT(VLOOKUP(AA92,suvaha!$D$8:$H$158,2,FALSE),1),1)))</f>
        <v>0</v>
      </c>
      <c r="AZ94" s="827"/>
      <c r="BA94" s="826"/>
      <c r="BB94" s="432" t="str">
        <f>IF(LEN(VLOOKUP(AA92,suvaha!$D$8:$H$158,4,FALSE))&lt;11,"",LEFT(RIGHT(VLOOKUP(AA92,suvaha!$D$8:$H$158,4,FALSE),11),1))</f>
        <v/>
      </c>
      <c r="BC94" s="255"/>
      <c r="BD94" s="432" t="str">
        <f>IF(LEN(VLOOKUP(AA92,suvaha!$D$8:$H$158,4,FALSE))&lt;10,"",LEFT(RIGHT(VLOOKUP(AA92,suvaha!$D$8:$H$158,4,FALSE),10),1))</f>
        <v/>
      </c>
      <c r="BE94" s="434"/>
      <c r="BF94" s="432" t="str">
        <f>IF(LEN(VLOOKUP(AA92,suvaha!$D$8:$H$158,4,FALSE))&lt;9,"",LEFT(RIGHT(VLOOKUP(AA92,suvaha!$D$8:$H$158,4,FALSE),9),1))</f>
        <v/>
      </c>
      <c r="BG94" s="255"/>
      <c r="BH94" s="432" t="str">
        <f>IF(LEN(VLOOKUP(AA92,suvaha!$D$8:$H$158,4,FALSE))&lt;8,"",LEFT(RIGHT(VLOOKUP(AA92,suvaha!$D$8:$H$158,4,FALSE),8),1))</f>
        <v/>
      </c>
      <c r="BI94" s="434"/>
      <c r="BJ94" s="432" t="str">
        <f>IF(LEN(VLOOKUP(AA92,suvaha!$D$8:$H$158,4,FALSE))&lt;7,"",LEFT(RIGHT(VLOOKUP(AA92,suvaha!$D$8:$H$158,4,FALSE),7),1))</f>
        <v/>
      </c>
      <c r="BK94" s="818"/>
      <c r="BL94" s="432" t="str">
        <f>IF(LEN(VLOOKUP(AA92,suvaha!$D$8:$H$158,4,FALSE))&lt;6,"",LEFT(RIGHT(VLOOKUP(AA92,suvaha!$D$8:$H$158,4,FALSE),6),1))</f>
        <v>1</v>
      </c>
      <c r="BM94" s="434"/>
      <c r="BN94" s="432" t="str">
        <f>IF(LEN(VLOOKUP(AA92,suvaha!$D$8:$H$158,4,FALSE))&lt;5,"",LEFT(RIGHT(VLOOKUP(AA92,suvaha!$D$8:$H$158,4,FALSE),5),1))</f>
        <v>7</v>
      </c>
      <c r="BO94" s="434"/>
      <c r="BP94" s="432" t="str">
        <f>IF(LEN(VLOOKUP(AA92,suvaha!$D$8:$H$158,4,FALSE))&lt;4,"",LEFT(RIGHT(VLOOKUP(AA92,suvaha!$D$8:$H$158,4,FALSE),4),1))</f>
        <v>6</v>
      </c>
      <c r="BQ94" s="818"/>
      <c r="BR94" s="432" t="str">
        <f>IF(LEN(VLOOKUP(AA92,suvaha!$D$8:$H$158,4,FALSE))&lt;3,"",LEFT(RIGHT(VLOOKUP(AA92,suvaha!$D$8:$H$158,4,FALSE),3),1))</f>
        <v>8</v>
      </c>
      <c r="BS94" s="434"/>
      <c r="BT94" s="432" t="str">
        <f>IF(LEN(VLOOKUP(AA92,suvaha!$D$8:$H$158,4,FALSE))&lt;2,"",LEFT(RIGHT(VLOOKUP(AA92,suvaha!$D$8:$H$158,4,FALSE),2),1))</f>
        <v>8</v>
      </c>
      <c r="BU94" s="434"/>
      <c r="BV94" s="432" t="str">
        <f>IF(VLOOKUP(AA92,suvaha!$D$8:$H$85,4,FALSE)=0,"",IF(LEN(VLOOKUP(AA92,suvaha!$D$8:$H$158,4,FALSE))&lt;1,"",LEFT(RIGHT(VLOOKUP(AA92,suvaha!$D$8:$H$158,4,FALSE),1),1)))</f>
        <v>0</v>
      </c>
      <c r="BW94" s="441"/>
      <c r="BX94" s="442"/>
      <c r="BY94" s="442"/>
      <c r="BZ94" s="442"/>
      <c r="CA94" s="442"/>
      <c r="CB94" s="442"/>
      <c r="CC94" s="442"/>
      <c r="CD94" s="442"/>
      <c r="CE94" s="442"/>
      <c r="CF94" s="442"/>
      <c r="CG94" s="285"/>
    </row>
    <row r="95" spans="1:85" ht="2.25" customHeight="1">
      <c r="A95" s="220"/>
      <c r="B95" s="879"/>
      <c r="C95" s="879"/>
      <c r="D95" s="879"/>
      <c r="E95" s="877"/>
      <c r="F95" s="877"/>
      <c r="G95" s="862"/>
      <c r="H95" s="864"/>
      <c r="I95" s="864"/>
      <c r="J95" s="864"/>
      <c r="K95" s="864"/>
      <c r="L95" s="864"/>
      <c r="M95" s="864"/>
      <c r="N95" s="864"/>
      <c r="O95" s="864"/>
      <c r="P95" s="864"/>
      <c r="Q95" s="864"/>
      <c r="R95" s="864"/>
      <c r="S95" s="864"/>
      <c r="T95" s="864"/>
      <c r="U95" s="864"/>
      <c r="V95" s="864"/>
      <c r="W95" s="864"/>
      <c r="X95" s="864"/>
      <c r="Y95" s="864"/>
      <c r="Z95" s="864"/>
      <c r="AA95" s="866"/>
      <c r="AB95" s="866"/>
      <c r="AC95" s="866"/>
      <c r="AD95" s="845"/>
      <c r="AE95" s="845"/>
      <c r="AF95" s="845"/>
      <c r="AG95" s="845"/>
      <c r="AH95" s="845"/>
      <c r="AI95" s="845"/>
      <c r="AJ95" s="845"/>
      <c r="AK95" s="845"/>
      <c r="AL95" s="845"/>
      <c r="AM95" s="845"/>
      <c r="AN95" s="845"/>
      <c r="AO95" s="845"/>
      <c r="AP95" s="845"/>
      <c r="AQ95" s="845"/>
      <c r="AR95" s="845"/>
      <c r="AS95" s="845"/>
      <c r="AT95" s="845"/>
      <c r="AU95" s="845"/>
      <c r="AV95" s="845"/>
      <c r="AW95" s="845"/>
      <c r="AX95" s="845"/>
      <c r="AY95" s="845"/>
      <c r="AZ95" s="845"/>
      <c r="BA95" s="846"/>
      <c r="BB95" s="846"/>
      <c r="BC95" s="846"/>
      <c r="BD95" s="846"/>
      <c r="BE95" s="846"/>
      <c r="BF95" s="846"/>
      <c r="BG95" s="846"/>
      <c r="BH95" s="846"/>
      <c r="BI95" s="846"/>
      <c r="BJ95" s="846"/>
      <c r="BK95" s="846"/>
      <c r="BL95" s="846"/>
      <c r="BM95" s="846"/>
      <c r="BN95" s="846"/>
      <c r="BO95" s="846"/>
      <c r="BP95" s="846"/>
      <c r="BQ95" s="846"/>
      <c r="BR95" s="310"/>
      <c r="BS95" s="310"/>
      <c r="BT95" s="310"/>
      <c r="BU95" s="310"/>
      <c r="BV95" s="310"/>
      <c r="BW95" s="443"/>
      <c r="BX95" s="310"/>
      <c r="BY95" s="310"/>
      <c r="BZ95" s="310"/>
      <c r="CA95" s="310"/>
      <c r="CB95" s="310"/>
      <c r="CC95" s="310"/>
      <c r="CD95" s="310"/>
      <c r="CE95" s="310"/>
      <c r="CF95" s="310"/>
      <c r="CG95" s="286"/>
    </row>
    <row r="96" spans="1:85" ht="2.25" customHeight="1">
      <c r="A96" s="220"/>
      <c r="B96" s="879"/>
      <c r="C96" s="879"/>
      <c r="D96" s="879"/>
      <c r="E96" s="877"/>
      <c r="F96" s="877"/>
      <c r="G96" s="862"/>
      <c r="H96" s="864"/>
      <c r="I96" s="864"/>
      <c r="J96" s="864"/>
      <c r="K96" s="864"/>
      <c r="L96" s="864"/>
      <c r="M96" s="864"/>
      <c r="N96" s="864"/>
      <c r="O96" s="864"/>
      <c r="P96" s="864"/>
      <c r="Q96" s="864"/>
      <c r="R96" s="864"/>
      <c r="S96" s="864"/>
      <c r="T96" s="864"/>
      <c r="U96" s="864"/>
      <c r="V96" s="864"/>
      <c r="W96" s="864"/>
      <c r="X96" s="864"/>
      <c r="Y96" s="864"/>
      <c r="Z96" s="864"/>
      <c r="AA96" s="866"/>
      <c r="AB96" s="866"/>
      <c r="AC96" s="866"/>
      <c r="AD96" s="825"/>
      <c r="AE96" s="825"/>
      <c r="AF96" s="825"/>
      <c r="AG96" s="825"/>
      <c r="AH96" s="825"/>
      <c r="AI96" s="825"/>
      <c r="AJ96" s="825"/>
      <c r="AK96" s="825"/>
      <c r="AL96" s="825"/>
      <c r="AM96" s="825"/>
      <c r="AN96" s="825"/>
      <c r="AO96" s="825"/>
      <c r="AP96" s="825"/>
      <c r="AQ96" s="825"/>
      <c r="AR96" s="825"/>
      <c r="AS96" s="825"/>
      <c r="AT96" s="825"/>
      <c r="AU96" s="825"/>
      <c r="AV96" s="825"/>
      <c r="AW96" s="825"/>
      <c r="AX96" s="825"/>
      <c r="AY96" s="825"/>
      <c r="AZ96" s="825"/>
      <c r="BA96" s="447"/>
      <c r="BB96" s="304"/>
      <c r="BC96" s="304"/>
      <c r="BD96" s="304"/>
      <c r="BE96" s="304"/>
      <c r="BF96" s="304"/>
      <c r="BG96" s="304"/>
      <c r="BH96" s="304"/>
      <c r="BI96" s="304"/>
      <c r="BJ96" s="446"/>
      <c r="BK96" s="304"/>
      <c r="BL96" s="304"/>
      <c r="BM96" s="304"/>
      <c r="BN96" s="304"/>
      <c r="BO96" s="304"/>
      <c r="BP96" s="304"/>
      <c r="BQ96" s="304"/>
      <c r="BR96" s="304"/>
      <c r="BS96" s="304"/>
      <c r="BT96" s="304"/>
      <c r="BU96" s="304"/>
      <c r="BV96" s="304"/>
      <c r="BW96" s="304"/>
      <c r="BX96" s="304"/>
      <c r="BY96" s="304"/>
      <c r="BZ96" s="304"/>
      <c r="CA96" s="304"/>
      <c r="CB96" s="304"/>
      <c r="CC96" s="304"/>
      <c r="CD96" s="304"/>
      <c r="CE96" s="304"/>
      <c r="CF96" s="304"/>
      <c r="CG96" s="284"/>
    </row>
    <row r="97" spans="1:85" ht="2.25" customHeight="1">
      <c r="A97" s="220"/>
      <c r="B97" s="879"/>
      <c r="C97" s="879"/>
      <c r="D97" s="879"/>
      <c r="E97" s="877"/>
      <c r="F97" s="877"/>
      <c r="G97" s="862"/>
      <c r="H97" s="864"/>
      <c r="I97" s="864"/>
      <c r="J97" s="864"/>
      <c r="K97" s="864"/>
      <c r="L97" s="864"/>
      <c r="M97" s="864"/>
      <c r="N97" s="864"/>
      <c r="O97" s="864"/>
      <c r="P97" s="864"/>
      <c r="Q97" s="864"/>
      <c r="R97" s="864"/>
      <c r="S97" s="864"/>
      <c r="T97" s="864"/>
      <c r="U97" s="864"/>
      <c r="V97" s="864"/>
      <c r="W97" s="864"/>
      <c r="X97" s="864"/>
      <c r="Y97" s="864"/>
      <c r="Z97" s="864"/>
      <c r="AA97" s="866"/>
      <c r="AB97" s="866"/>
      <c r="AC97" s="866"/>
      <c r="AD97" s="826"/>
      <c r="AE97" s="820"/>
      <c r="AF97" s="820"/>
      <c r="AG97" s="820"/>
      <c r="AH97" s="435"/>
      <c r="AI97" s="821"/>
      <c r="AJ97" s="821"/>
      <c r="AK97" s="821"/>
      <c r="AL97" s="821"/>
      <c r="AM97" s="821"/>
      <c r="AN97" s="818"/>
      <c r="AO97" s="822"/>
      <c r="AP97" s="822"/>
      <c r="AQ97" s="822"/>
      <c r="AR97" s="822"/>
      <c r="AS97" s="822"/>
      <c r="AT97" s="818"/>
      <c r="AU97" s="822"/>
      <c r="AV97" s="822"/>
      <c r="AW97" s="822"/>
      <c r="AX97" s="822"/>
      <c r="AY97" s="822"/>
      <c r="AZ97" s="827"/>
      <c r="BA97" s="448"/>
      <c r="BB97" s="442"/>
      <c r="BC97" s="442"/>
      <c r="BD97" s="442"/>
      <c r="BE97" s="442"/>
      <c r="BF97" s="442"/>
      <c r="BG97" s="442"/>
      <c r="BH97" s="442"/>
      <c r="BI97" s="442"/>
      <c r="BJ97" s="441"/>
      <c r="BK97" s="442"/>
      <c r="BL97" s="820"/>
      <c r="BM97" s="820"/>
      <c r="BN97" s="820"/>
      <c r="BO97" s="435"/>
      <c r="BP97" s="821"/>
      <c r="BQ97" s="821"/>
      <c r="BR97" s="821"/>
      <c r="BS97" s="821"/>
      <c r="BT97" s="821"/>
      <c r="BU97" s="818"/>
      <c r="BV97" s="822"/>
      <c r="BW97" s="822"/>
      <c r="BX97" s="822"/>
      <c r="BY97" s="822"/>
      <c r="BZ97" s="822"/>
      <c r="CA97" s="818"/>
      <c r="CB97" s="822"/>
      <c r="CC97" s="822"/>
      <c r="CD97" s="822"/>
      <c r="CE97" s="822"/>
      <c r="CF97" s="822"/>
      <c r="CG97" s="287"/>
    </row>
    <row r="98" spans="1:85" ht="15" customHeight="1">
      <c r="A98" s="220"/>
      <c r="B98" s="879"/>
      <c r="C98" s="879"/>
      <c r="D98" s="879"/>
      <c r="E98" s="877"/>
      <c r="F98" s="877"/>
      <c r="G98" s="862"/>
      <c r="H98" s="864"/>
      <c r="I98" s="864"/>
      <c r="J98" s="864"/>
      <c r="K98" s="864"/>
      <c r="L98" s="864"/>
      <c r="M98" s="864"/>
      <c r="N98" s="864"/>
      <c r="O98" s="864"/>
      <c r="P98" s="864"/>
      <c r="Q98" s="864"/>
      <c r="R98" s="864"/>
      <c r="S98" s="864"/>
      <c r="T98" s="864"/>
      <c r="U98" s="864"/>
      <c r="V98" s="864"/>
      <c r="W98" s="864"/>
      <c r="X98" s="864"/>
      <c r="Y98" s="864"/>
      <c r="Z98" s="864"/>
      <c r="AA98" s="866"/>
      <c r="AB98" s="866"/>
      <c r="AC98" s="866"/>
      <c r="AD98" s="826"/>
      <c r="AE98" s="432" t="str">
        <f>IF(LEN(VLOOKUP(AA92,suvaha!$D$8:$H$158,3,FALSE))&lt;11,"",LEFT(RIGHT(VLOOKUP(AA92,suvaha!$D$8:$H$158,3,FALSE),11),1))</f>
        <v/>
      </c>
      <c r="AF98" s="255"/>
      <c r="AG98" s="432" t="str">
        <f>IF(LEN(VLOOKUP(AA92,suvaha!$D$8:$H$158,3,FALSE))&lt;10,"",LEFT(RIGHT(VLOOKUP(AA92,suvaha!$D$8:$H$158,3,FALSE),10),1))</f>
        <v/>
      </c>
      <c r="AH98" s="434"/>
      <c r="AI98" s="432" t="str">
        <f>IF(LEN(VLOOKUP(AA92,suvaha!$D$8:$H$158,3,FALSE))&lt;9,"",LEFT(RIGHT(VLOOKUP(AA92,suvaha!$D$8:$H$158,3,FALSE),9),1))</f>
        <v/>
      </c>
      <c r="AJ98" s="255"/>
      <c r="AK98" s="432" t="str">
        <f>IF(LEN(VLOOKUP(AA92,suvaha!$D$8:$H$158,3,FALSE))&lt;8,"",LEFT(RIGHT(VLOOKUP(AA92,suvaha!$D$8:$H$158,3,FALSE),8),1))</f>
        <v/>
      </c>
      <c r="AL98" s="434"/>
      <c r="AM98" s="432" t="str">
        <f>IF(LEN(VLOOKUP(AA92,suvaha!$D$8:$H$158,3,FALSE))&lt;7,"",LEFT(RIGHT(VLOOKUP(AA92,suvaha!$D$8:$H$158,3,FALSE),7),1))</f>
        <v/>
      </c>
      <c r="AN98" s="818"/>
      <c r="AO98" s="432" t="str">
        <f>IF(LEN(VLOOKUP(AA92,suvaha!$D$8:$H$158,3,FALSE))&lt;6,"",LEFT(RIGHT(VLOOKUP(AA92,suvaha!$D$8:$H$158,3,FALSE),6),1))</f>
        <v/>
      </c>
      <c r="AP98" s="434"/>
      <c r="AQ98" s="432" t="str">
        <f>IF(LEN(VLOOKUP(AA92,suvaha!$D$8:$H$158,3,FALSE))&lt;5,"",LEFT(RIGHT(VLOOKUP(AA92,suvaha!$D$8:$H$158,3,FALSE),5),1))</f>
        <v/>
      </c>
      <c r="AR98" s="434"/>
      <c r="AS98" s="432" t="str">
        <f>IF(LEN(VLOOKUP(AA92,suvaha!$D$8:$H$158,3,FALSE))&lt;4,"",LEFT(RIGHT(VLOOKUP(AA92,suvaha!$D$8:$H$158,3,FALSE),4),1))</f>
        <v/>
      </c>
      <c r="AT98" s="818"/>
      <c r="AU98" s="432" t="str">
        <f>IF(LEN(VLOOKUP(AA92,suvaha!$D$8:$H$158,3,FALSE))&lt;3,"",LEFT(RIGHT(VLOOKUP(AA92,suvaha!$D$8:$H$158,3,FALSE),3),1))</f>
        <v/>
      </c>
      <c r="AV98" s="434"/>
      <c r="AW98" s="432" t="str">
        <f>IF(LEN(VLOOKUP(AA92,suvaha!$D$8:$H$158,3,FALSE))&lt;2,"",LEFT(RIGHT(VLOOKUP(AA92,suvaha!$D$8:$H$158,3,FALSE),2),1))</f>
        <v/>
      </c>
      <c r="AX98" s="434"/>
      <c r="AY98" s="432" t="str">
        <f>IF(VLOOKUP(AA92,suvaha!$D$8:$H$85,3,FALSE)=0,"",IF(LEN(VLOOKUP(AA92,suvaha!$D$8:$H$158,3,FALSE))&lt;1,"",LEFT(RIGHT(VLOOKUP(AA92,suvaha!$D$8:$H$158,3,FALSE),1),1)))</f>
        <v/>
      </c>
      <c r="AZ98" s="827"/>
      <c r="BA98" s="448"/>
      <c r="BB98" s="442"/>
      <c r="BC98" s="442"/>
      <c r="BD98" s="442"/>
      <c r="BE98" s="442"/>
      <c r="BF98" s="442"/>
      <c r="BG98" s="442"/>
      <c r="BH98" s="442"/>
      <c r="BI98" s="442"/>
      <c r="BJ98" s="441"/>
      <c r="BK98" s="442"/>
      <c r="BL98" s="432" t="str">
        <f>IF(LEN(VLOOKUP(AA92,suvaha!$D$8:$H$158,5,FALSE))&lt;11,"",LEFT(RIGHT(VLOOKUP(AA92,suvaha!$D$8:$H$158,5,FALSE),11),1))</f>
        <v/>
      </c>
      <c r="BM98" s="255"/>
      <c r="BN98" s="432" t="str">
        <f>IF(LEN(VLOOKUP(AA92,suvaha!$D$8:$H$158,5,FALSE))&lt;10,"",LEFT(RIGHT(VLOOKUP(AA92,suvaha!$D$8:$H$158,5,FALSE),10),1))</f>
        <v/>
      </c>
      <c r="BO98" s="434"/>
      <c r="BP98" s="432" t="str">
        <f>IF(LEN(VLOOKUP(AA92,suvaha!$D$8:$H$158,5,FALSE))&lt;9,"",LEFT(RIGHT(VLOOKUP(AA92,suvaha!$D$8:$H$158,5,FALSE),9),1))</f>
        <v/>
      </c>
      <c r="BQ98" s="255"/>
      <c r="BR98" s="432" t="str">
        <f>IF(LEN(VLOOKUP(AA92,suvaha!$D$8:$H$158,5,FALSE))&lt;8,"",LEFT(RIGHT(VLOOKUP(AA92,suvaha!$D$8:$H$158,5,FALSE),8),1))</f>
        <v/>
      </c>
      <c r="BS98" s="434"/>
      <c r="BT98" s="432" t="str">
        <f>IF(LEN(VLOOKUP(AA92,suvaha!$D$8:$H$158,5,FALSE))&lt;7,"",LEFT(RIGHT(VLOOKUP(AA92,suvaha!$D$8:$H$158,5,FALSE),7),1))</f>
        <v/>
      </c>
      <c r="BU98" s="818"/>
      <c r="BV98" s="432" t="str">
        <f>IF(LEN(VLOOKUP(AA92,suvaha!$D$8:$H$158,5,FALSE))&lt;6,"",LEFT(RIGHT(VLOOKUP(AA92,suvaha!$D$8:$H$158,5,FALSE),6),1))</f>
        <v>1</v>
      </c>
      <c r="BW98" s="434"/>
      <c r="BX98" s="432" t="str">
        <f>IF(LEN(VLOOKUP(AA92,suvaha!$D$8:$H$158,5,FALSE))&lt;5,"",LEFT(RIGHT(VLOOKUP(AA92,suvaha!$D$8:$H$158,5,FALSE),5),1))</f>
        <v>0</v>
      </c>
      <c r="BY98" s="434"/>
      <c r="BZ98" s="432" t="str">
        <f>IF(LEN(VLOOKUP(AA92,suvaha!$D$8:$H$158,5,FALSE))&lt;4,"",LEFT(RIGHT(VLOOKUP(AA92,suvaha!$D$8:$H$158,5,FALSE),4),1))</f>
        <v>1</v>
      </c>
      <c r="CA98" s="818"/>
      <c r="CB98" s="432" t="str">
        <f>IF(LEN(VLOOKUP(AA92,suvaha!$D$8:$H$158,5,FALSE))&lt;3,"",LEFT(RIGHT(VLOOKUP(AA92,suvaha!$D$8:$H$158,5,FALSE),3),1))</f>
        <v>1</v>
      </c>
      <c r="CC98" s="434"/>
      <c r="CD98" s="432" t="str">
        <f>IF(LEN(VLOOKUP(AA92,suvaha!$D$8:$H$158,5,FALSE))&lt;2,"",LEFT(RIGHT(VLOOKUP(AA92,suvaha!$D$8:$H$158,5,FALSE),2),1))</f>
        <v>7</v>
      </c>
      <c r="CE98" s="434"/>
      <c r="CF98" s="432" t="str">
        <f>IF(VLOOKUP(AA92,suvaha!$D$8:$H$85,5,FALSE)=0,"",IF(LEN(VLOOKUP(AA92,suvaha!$D$8:$H$158,5,FALSE))&lt;1,"",LEFT(RIGHT(VLOOKUP(AA92,suvaha!$D$8:$H$158,5,FALSE),1),1)))</f>
        <v>7</v>
      </c>
      <c r="CG98" s="287"/>
    </row>
    <row r="99" spans="1:85" ht="3" customHeight="1">
      <c r="A99" s="220"/>
      <c r="B99" s="879"/>
      <c r="C99" s="879"/>
      <c r="D99" s="879"/>
      <c r="E99" s="877"/>
      <c r="F99" s="877"/>
      <c r="G99" s="862"/>
      <c r="H99" s="864"/>
      <c r="I99" s="864"/>
      <c r="J99" s="864"/>
      <c r="K99" s="864"/>
      <c r="L99" s="864"/>
      <c r="M99" s="864"/>
      <c r="N99" s="864"/>
      <c r="O99" s="864"/>
      <c r="P99" s="864"/>
      <c r="Q99" s="864"/>
      <c r="R99" s="864"/>
      <c r="S99" s="864"/>
      <c r="T99" s="864"/>
      <c r="U99" s="864"/>
      <c r="V99" s="864"/>
      <c r="W99" s="864"/>
      <c r="X99" s="864"/>
      <c r="Y99" s="864"/>
      <c r="Z99" s="864"/>
      <c r="AA99" s="866"/>
      <c r="AB99" s="866"/>
      <c r="AC99" s="866"/>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449"/>
      <c r="BB99" s="310"/>
      <c r="BC99" s="310"/>
      <c r="BD99" s="310"/>
      <c r="BE99" s="310"/>
      <c r="BF99" s="310"/>
      <c r="BG99" s="310"/>
      <c r="BH99" s="310"/>
      <c r="BI99" s="310"/>
      <c r="BJ99" s="443"/>
      <c r="BK99" s="310"/>
      <c r="BL99" s="310"/>
      <c r="BM99" s="310"/>
      <c r="BN99" s="310"/>
      <c r="BO99" s="310"/>
      <c r="BP99" s="310"/>
      <c r="BQ99" s="310"/>
      <c r="BR99" s="310"/>
      <c r="BS99" s="310"/>
      <c r="BT99" s="310"/>
      <c r="BU99" s="310"/>
      <c r="BV99" s="310"/>
      <c r="BW99" s="310"/>
      <c r="BX99" s="310"/>
      <c r="BY99" s="310"/>
      <c r="BZ99" s="310"/>
      <c r="CA99" s="310"/>
      <c r="CB99" s="310"/>
      <c r="CC99" s="310"/>
      <c r="CD99" s="310"/>
      <c r="CE99" s="310"/>
      <c r="CF99" s="310"/>
      <c r="CG99" s="286"/>
    </row>
    <row r="100" spans="1:85" s="250" customFormat="1" ht="3" customHeight="1">
      <c r="A100" s="220"/>
      <c r="B100" s="879"/>
      <c r="C100" s="879"/>
      <c r="D100" s="879"/>
      <c r="E100" s="877" t="s">
        <v>1546</v>
      </c>
      <c r="F100" s="877"/>
      <c r="G100" s="862"/>
      <c r="H100" s="864" t="str">
        <f>Index!C91</f>
        <v>Poskytnuté preddavky na zásoby (314A) - /391A/</v>
      </c>
      <c r="I100" s="864"/>
      <c r="J100" s="864"/>
      <c r="K100" s="864"/>
      <c r="L100" s="864"/>
      <c r="M100" s="864"/>
      <c r="N100" s="864"/>
      <c r="O100" s="864"/>
      <c r="P100" s="864"/>
      <c r="Q100" s="864"/>
      <c r="R100" s="864"/>
      <c r="S100" s="864"/>
      <c r="T100" s="864"/>
      <c r="U100" s="864"/>
      <c r="V100" s="864"/>
      <c r="W100" s="864"/>
      <c r="X100" s="864"/>
      <c r="Y100" s="864"/>
      <c r="Z100" s="864"/>
      <c r="AA100" s="866" t="s">
        <v>1589</v>
      </c>
      <c r="AB100" s="866"/>
      <c r="AC100" s="866"/>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67"/>
      <c r="BB100" s="867"/>
      <c r="BC100" s="867"/>
      <c r="BD100" s="867"/>
      <c r="BE100" s="867"/>
      <c r="BF100" s="867"/>
      <c r="BG100" s="867"/>
      <c r="BH100" s="867"/>
      <c r="BI100" s="867"/>
      <c r="BJ100" s="867"/>
      <c r="BK100" s="867"/>
      <c r="BL100" s="867"/>
      <c r="BM100" s="867"/>
      <c r="BN100" s="867"/>
      <c r="BO100" s="867"/>
      <c r="BP100" s="867"/>
      <c r="BQ100" s="867"/>
      <c r="BR100" s="304"/>
      <c r="BS100" s="304"/>
      <c r="BT100" s="304"/>
      <c r="BU100" s="304"/>
      <c r="BV100" s="304"/>
      <c r="BW100" s="446"/>
      <c r="BX100" s="304"/>
      <c r="BY100" s="304"/>
      <c r="BZ100" s="304"/>
      <c r="CA100" s="304"/>
      <c r="CB100" s="304"/>
      <c r="CC100" s="304"/>
      <c r="CD100" s="304"/>
      <c r="CE100" s="304"/>
      <c r="CF100" s="304"/>
      <c r="CG100" s="284"/>
    </row>
    <row r="101" spans="1:85" s="250" customFormat="1" ht="3" customHeight="1">
      <c r="A101" s="220"/>
      <c r="B101" s="879"/>
      <c r="C101" s="879"/>
      <c r="D101" s="879"/>
      <c r="E101" s="877"/>
      <c r="F101" s="877"/>
      <c r="G101" s="862"/>
      <c r="H101" s="864"/>
      <c r="I101" s="864"/>
      <c r="J101" s="864"/>
      <c r="K101" s="864"/>
      <c r="L101" s="864"/>
      <c r="M101" s="864"/>
      <c r="N101" s="864"/>
      <c r="O101" s="864"/>
      <c r="P101" s="864"/>
      <c r="Q101" s="864"/>
      <c r="R101" s="864"/>
      <c r="S101" s="864"/>
      <c r="T101" s="864"/>
      <c r="U101" s="864"/>
      <c r="V101" s="864"/>
      <c r="W101" s="864"/>
      <c r="X101" s="864"/>
      <c r="Y101" s="864"/>
      <c r="Z101" s="864"/>
      <c r="AA101" s="866"/>
      <c r="AB101" s="866"/>
      <c r="AC101" s="866"/>
      <c r="AD101" s="826"/>
      <c r="AE101" s="820"/>
      <c r="AF101" s="820"/>
      <c r="AG101" s="820"/>
      <c r="AH101" s="435"/>
      <c r="AI101" s="821"/>
      <c r="AJ101" s="821"/>
      <c r="AK101" s="821"/>
      <c r="AL101" s="821"/>
      <c r="AM101" s="821"/>
      <c r="AN101" s="818"/>
      <c r="AO101" s="822"/>
      <c r="AP101" s="822"/>
      <c r="AQ101" s="822"/>
      <c r="AR101" s="822"/>
      <c r="AS101" s="822"/>
      <c r="AT101" s="818"/>
      <c r="AU101" s="822"/>
      <c r="AV101" s="822"/>
      <c r="AW101" s="822"/>
      <c r="AX101" s="822"/>
      <c r="AY101" s="822"/>
      <c r="AZ101" s="827"/>
      <c r="BA101" s="826"/>
      <c r="BB101" s="820"/>
      <c r="BC101" s="820"/>
      <c r="BD101" s="820"/>
      <c r="BE101" s="435"/>
      <c r="BF101" s="821"/>
      <c r="BG101" s="821"/>
      <c r="BH101" s="821"/>
      <c r="BI101" s="821"/>
      <c r="BJ101" s="821"/>
      <c r="BK101" s="818"/>
      <c r="BL101" s="822"/>
      <c r="BM101" s="822"/>
      <c r="BN101" s="822"/>
      <c r="BO101" s="822"/>
      <c r="BP101" s="822"/>
      <c r="BQ101" s="818"/>
      <c r="BR101" s="822"/>
      <c r="BS101" s="822"/>
      <c r="BT101" s="822"/>
      <c r="BU101" s="822"/>
      <c r="BV101" s="822"/>
      <c r="BW101" s="441"/>
      <c r="BX101" s="442"/>
      <c r="BY101" s="442"/>
      <c r="BZ101" s="442"/>
      <c r="CA101" s="442"/>
      <c r="CB101" s="442"/>
      <c r="CC101" s="442"/>
      <c r="CD101" s="442"/>
      <c r="CE101" s="442"/>
      <c r="CF101" s="442"/>
      <c r="CG101" s="285"/>
    </row>
    <row r="102" spans="1:85" ht="15" customHeight="1">
      <c r="A102" s="220"/>
      <c r="B102" s="879"/>
      <c r="C102" s="879"/>
      <c r="D102" s="879"/>
      <c r="E102" s="877"/>
      <c r="F102" s="877"/>
      <c r="G102" s="862"/>
      <c r="H102" s="864"/>
      <c r="I102" s="864"/>
      <c r="J102" s="864"/>
      <c r="K102" s="864"/>
      <c r="L102" s="864"/>
      <c r="M102" s="864"/>
      <c r="N102" s="864"/>
      <c r="O102" s="864"/>
      <c r="P102" s="864"/>
      <c r="Q102" s="864"/>
      <c r="R102" s="864"/>
      <c r="S102" s="864"/>
      <c r="T102" s="864"/>
      <c r="U102" s="864"/>
      <c r="V102" s="864"/>
      <c r="W102" s="864"/>
      <c r="X102" s="864"/>
      <c r="Y102" s="864"/>
      <c r="Z102" s="864"/>
      <c r="AA102" s="866"/>
      <c r="AB102" s="866"/>
      <c r="AC102" s="866"/>
      <c r="AD102" s="826"/>
      <c r="AE102" s="432" t="str">
        <f>IF(LEN(VLOOKUP(AA100,suvaha!$D$8:$H$158,2,FALSE))&lt;11,"",LEFT(RIGHT(VLOOKUP(AA100,suvaha!$D$8:$H$158,2,FALSE),11),1))</f>
        <v/>
      </c>
      <c r="AF102" s="255"/>
      <c r="AG102" s="432" t="str">
        <f>IF(LEN(VLOOKUP(AA100,suvaha!$D$8:$H$158,2,FALSE))&lt;10,"",LEFT(RIGHT(VLOOKUP(AA100,suvaha!$D$8:$H$158,2,FALSE),10),1))</f>
        <v/>
      </c>
      <c r="AH102" s="434"/>
      <c r="AI102" s="432" t="str">
        <f>IF(LEN(VLOOKUP(AA100,suvaha!$D$8:$H$158,2,FALSE))&lt;9,"",LEFT(RIGHT(VLOOKUP(AA100,suvaha!$D$8:$H$158,2,FALSE),9),1))</f>
        <v/>
      </c>
      <c r="AJ102" s="255"/>
      <c r="AK102" s="432" t="str">
        <f>IF(LEN(VLOOKUP(AA100,suvaha!$D$8:$H$158,2,FALSE))&lt;8,"",LEFT(RIGHT(VLOOKUP(AA100,suvaha!$D$8:$H$158,2,FALSE),8),1))</f>
        <v/>
      </c>
      <c r="AL102" s="434"/>
      <c r="AM102" s="432" t="str">
        <f>IF(LEN(VLOOKUP(AA100,suvaha!$D$8:$H$158,2,FALSE))&lt;7,"",LEFT(RIGHT(VLOOKUP(AA100,suvaha!$D$8:$H$158,2,FALSE),7),1))</f>
        <v/>
      </c>
      <c r="AN102" s="818"/>
      <c r="AO102" s="432" t="str">
        <f>IF(LEN(VLOOKUP(AA100,suvaha!$D$8:$H$158,2,FALSE))&lt;6,"",LEFT(RIGHT(VLOOKUP(AA100,suvaha!$D$8:$H$158,2,FALSE),6),1))</f>
        <v>2</v>
      </c>
      <c r="AP102" s="434"/>
      <c r="AQ102" s="432" t="str">
        <f>IF(LEN(VLOOKUP(AA100,suvaha!$D$8:$H$158,2,FALSE))&lt;5,"",LEFT(RIGHT(VLOOKUP(AA100,suvaha!$D$8:$H$158,2,FALSE),5),1))</f>
        <v>1</v>
      </c>
      <c r="AR102" s="434"/>
      <c r="AS102" s="432" t="str">
        <f>IF(LEN(VLOOKUP(AA100,suvaha!$D$8:$H$158,2,FALSE))&lt;4,"",LEFT(RIGHT(VLOOKUP(AA100,suvaha!$D$8:$H$158,2,FALSE),4),1))</f>
        <v>2</v>
      </c>
      <c r="AT102" s="818"/>
      <c r="AU102" s="432" t="str">
        <f>IF(LEN(VLOOKUP(AA100,suvaha!$D$8:$H$158,2,FALSE))&lt;3,"",LEFT(RIGHT(VLOOKUP(AA100,suvaha!$D$8:$H$158,2,FALSE),3),1))</f>
        <v>3</v>
      </c>
      <c r="AV102" s="434"/>
      <c r="AW102" s="432" t="str">
        <f>IF(LEN(VLOOKUP(AA100,suvaha!$D$8:$H$158,2,FALSE))&lt;2,"",LEFT(RIGHT(VLOOKUP(AA100,suvaha!$D$8:$H$158,2,FALSE),2),1))</f>
        <v>6</v>
      </c>
      <c r="AX102" s="434"/>
      <c r="AY102" s="432" t="str">
        <f>IF(VLOOKUP(AA100,suvaha!$D$8:$H$85,2,FALSE)=0,"",IF(LEN(VLOOKUP(AA100,suvaha!$D$8:$H$158,2,FALSE))&lt;1,"",LEFT(RIGHT(VLOOKUP(AA100,suvaha!$D$8:$H$158,2,FALSE),1),1)))</f>
        <v>2</v>
      </c>
      <c r="AZ102" s="827"/>
      <c r="BA102" s="826"/>
      <c r="BB102" s="432" t="str">
        <f>IF(LEN(VLOOKUP(AA100,suvaha!$D$8:$H$158,4,FALSE))&lt;11,"",LEFT(RIGHT(VLOOKUP(AA100,suvaha!$D$8:$H$158,4,FALSE),11),1))</f>
        <v/>
      </c>
      <c r="BC102" s="255"/>
      <c r="BD102" s="432" t="str">
        <f>IF(LEN(VLOOKUP(AA100,suvaha!$D$8:$H$158,4,FALSE))&lt;10,"",LEFT(RIGHT(VLOOKUP(AA100,suvaha!$D$8:$H$158,4,FALSE),10),1))</f>
        <v/>
      </c>
      <c r="BE102" s="434"/>
      <c r="BF102" s="432" t="str">
        <f>IF(LEN(VLOOKUP(AA100,suvaha!$D$8:$H$158,4,FALSE))&lt;9,"",LEFT(RIGHT(VLOOKUP(AA100,suvaha!$D$8:$H$158,4,FALSE),9),1))</f>
        <v/>
      </c>
      <c r="BG102" s="255"/>
      <c r="BH102" s="432" t="str">
        <f>IF(LEN(VLOOKUP(AA100,suvaha!$D$8:$H$158,4,FALSE))&lt;8,"",LEFT(RIGHT(VLOOKUP(AA100,suvaha!$D$8:$H$158,4,FALSE),8),1))</f>
        <v/>
      </c>
      <c r="BI102" s="434"/>
      <c r="BJ102" s="432" t="str">
        <f>IF(LEN(VLOOKUP(AA100,suvaha!$D$8:$H$158,4,FALSE))&lt;7,"",LEFT(RIGHT(VLOOKUP(AA100,suvaha!$D$8:$H$158,4,FALSE),7),1))</f>
        <v/>
      </c>
      <c r="BK102" s="818"/>
      <c r="BL102" s="432" t="str">
        <f>IF(LEN(VLOOKUP(AA100,suvaha!$D$8:$H$158,4,FALSE))&lt;6,"",LEFT(RIGHT(VLOOKUP(AA100,suvaha!$D$8:$H$158,4,FALSE),6),1))</f>
        <v>2</v>
      </c>
      <c r="BM102" s="434"/>
      <c r="BN102" s="432" t="str">
        <f>IF(LEN(VLOOKUP(AA100,suvaha!$D$8:$H$158,4,FALSE))&lt;5,"",LEFT(RIGHT(VLOOKUP(AA100,suvaha!$D$8:$H$158,4,FALSE),5),1))</f>
        <v>1</v>
      </c>
      <c r="BO102" s="434"/>
      <c r="BP102" s="432" t="str">
        <f>IF(LEN(VLOOKUP(AA100,suvaha!$D$8:$H$158,4,FALSE))&lt;4,"",LEFT(RIGHT(VLOOKUP(AA100,suvaha!$D$8:$H$158,4,FALSE),4),1))</f>
        <v>2</v>
      </c>
      <c r="BQ102" s="818"/>
      <c r="BR102" s="432" t="str">
        <f>IF(LEN(VLOOKUP(AA100,suvaha!$D$8:$H$158,4,FALSE))&lt;3,"",LEFT(RIGHT(VLOOKUP(AA100,suvaha!$D$8:$H$158,4,FALSE),3),1))</f>
        <v>3</v>
      </c>
      <c r="BS102" s="434"/>
      <c r="BT102" s="432" t="str">
        <f>IF(LEN(VLOOKUP(AA100,suvaha!$D$8:$H$158,4,FALSE))&lt;2,"",LEFT(RIGHT(VLOOKUP(AA100,suvaha!$D$8:$H$158,4,FALSE),2),1))</f>
        <v>6</v>
      </c>
      <c r="BU102" s="434"/>
      <c r="BV102" s="432" t="str">
        <f>IF(VLOOKUP(AA100,suvaha!$D$8:$H$85,4,FALSE)=0,"",IF(LEN(VLOOKUP(AA100,suvaha!$D$8:$H$158,4,FALSE))&lt;1,"",LEFT(RIGHT(VLOOKUP(AA100,suvaha!$D$8:$H$158,4,FALSE),1),1)))</f>
        <v>2</v>
      </c>
      <c r="BW102" s="441"/>
      <c r="BX102" s="442"/>
      <c r="BY102" s="442"/>
      <c r="BZ102" s="442"/>
      <c r="CA102" s="442"/>
      <c r="CB102" s="442"/>
      <c r="CC102" s="442"/>
      <c r="CD102" s="442"/>
      <c r="CE102" s="442"/>
      <c r="CF102" s="442"/>
      <c r="CG102" s="285"/>
    </row>
    <row r="103" spans="1:85" ht="3" customHeight="1">
      <c r="A103" s="220"/>
      <c r="B103" s="879"/>
      <c r="C103" s="879"/>
      <c r="D103" s="879"/>
      <c r="E103" s="877"/>
      <c r="F103" s="877"/>
      <c r="G103" s="862"/>
      <c r="H103" s="864"/>
      <c r="I103" s="864"/>
      <c r="J103" s="864"/>
      <c r="K103" s="864"/>
      <c r="L103" s="864"/>
      <c r="M103" s="864"/>
      <c r="N103" s="864"/>
      <c r="O103" s="864"/>
      <c r="P103" s="864"/>
      <c r="Q103" s="864"/>
      <c r="R103" s="864"/>
      <c r="S103" s="864"/>
      <c r="T103" s="864"/>
      <c r="U103" s="864"/>
      <c r="V103" s="864"/>
      <c r="W103" s="864"/>
      <c r="X103" s="864"/>
      <c r="Y103" s="864"/>
      <c r="Z103" s="864"/>
      <c r="AA103" s="866"/>
      <c r="AB103" s="866"/>
      <c r="AC103" s="866"/>
      <c r="AD103" s="845"/>
      <c r="AE103" s="845"/>
      <c r="AF103" s="845"/>
      <c r="AG103" s="845"/>
      <c r="AH103" s="845"/>
      <c r="AI103" s="845"/>
      <c r="AJ103" s="845"/>
      <c r="AK103" s="845"/>
      <c r="AL103" s="845"/>
      <c r="AM103" s="845"/>
      <c r="AN103" s="845"/>
      <c r="AO103" s="845"/>
      <c r="AP103" s="845"/>
      <c r="AQ103" s="845"/>
      <c r="AR103" s="845"/>
      <c r="AS103" s="845"/>
      <c r="AT103" s="845"/>
      <c r="AU103" s="845"/>
      <c r="AV103" s="845"/>
      <c r="AW103" s="845"/>
      <c r="AX103" s="845"/>
      <c r="AY103" s="845"/>
      <c r="AZ103" s="845"/>
      <c r="BA103" s="846"/>
      <c r="BB103" s="846"/>
      <c r="BC103" s="846"/>
      <c r="BD103" s="846"/>
      <c r="BE103" s="846"/>
      <c r="BF103" s="846"/>
      <c r="BG103" s="846"/>
      <c r="BH103" s="846"/>
      <c r="BI103" s="846"/>
      <c r="BJ103" s="846"/>
      <c r="BK103" s="846"/>
      <c r="BL103" s="846"/>
      <c r="BM103" s="846"/>
      <c r="BN103" s="846"/>
      <c r="BO103" s="846"/>
      <c r="BP103" s="846"/>
      <c r="BQ103" s="846"/>
      <c r="BR103" s="310"/>
      <c r="BS103" s="310"/>
      <c r="BT103" s="310"/>
      <c r="BU103" s="310"/>
      <c r="BV103" s="310"/>
      <c r="BW103" s="443"/>
      <c r="BX103" s="310"/>
      <c r="BY103" s="310"/>
      <c r="BZ103" s="310"/>
      <c r="CA103" s="310"/>
      <c r="CB103" s="310"/>
      <c r="CC103" s="310"/>
      <c r="CD103" s="310"/>
      <c r="CE103" s="310"/>
      <c r="CF103" s="310"/>
      <c r="CG103" s="286"/>
    </row>
    <row r="104" spans="1:85" ht="3" customHeight="1">
      <c r="A104" s="220"/>
      <c r="B104" s="879"/>
      <c r="C104" s="879"/>
      <c r="D104" s="879"/>
      <c r="E104" s="877"/>
      <c r="F104" s="877"/>
      <c r="G104" s="862"/>
      <c r="H104" s="864"/>
      <c r="I104" s="864"/>
      <c r="J104" s="864"/>
      <c r="K104" s="864"/>
      <c r="L104" s="864"/>
      <c r="M104" s="864"/>
      <c r="N104" s="864"/>
      <c r="O104" s="864"/>
      <c r="P104" s="864"/>
      <c r="Q104" s="864"/>
      <c r="R104" s="864"/>
      <c r="S104" s="864"/>
      <c r="T104" s="864"/>
      <c r="U104" s="864"/>
      <c r="V104" s="864"/>
      <c r="W104" s="864"/>
      <c r="X104" s="864"/>
      <c r="Y104" s="864"/>
      <c r="Z104" s="864"/>
      <c r="AA104" s="866"/>
      <c r="AB104" s="866"/>
      <c r="AC104" s="866"/>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825"/>
      <c r="AY104" s="825"/>
      <c r="AZ104" s="825"/>
      <c r="BA104" s="447"/>
      <c r="BB104" s="304"/>
      <c r="BC104" s="304"/>
      <c r="BD104" s="304"/>
      <c r="BE104" s="304"/>
      <c r="BF104" s="304"/>
      <c r="BG104" s="304"/>
      <c r="BH104" s="304"/>
      <c r="BI104" s="304"/>
      <c r="BJ104" s="446"/>
      <c r="BK104" s="304"/>
      <c r="BL104" s="304"/>
      <c r="BM104" s="304"/>
      <c r="BN104" s="304"/>
      <c r="BO104" s="304"/>
      <c r="BP104" s="304"/>
      <c r="BQ104" s="304"/>
      <c r="BR104" s="304"/>
      <c r="BS104" s="304"/>
      <c r="BT104" s="304"/>
      <c r="BU104" s="304"/>
      <c r="BV104" s="304"/>
      <c r="BW104" s="304"/>
      <c r="BX104" s="304"/>
      <c r="BY104" s="304"/>
      <c r="BZ104" s="304"/>
      <c r="CA104" s="304"/>
      <c r="CB104" s="304"/>
      <c r="CC104" s="304"/>
      <c r="CD104" s="304"/>
      <c r="CE104" s="304"/>
      <c r="CF104" s="304"/>
      <c r="CG104" s="284"/>
    </row>
    <row r="105" spans="1:85" ht="3" customHeight="1">
      <c r="A105" s="220"/>
      <c r="B105" s="879"/>
      <c r="C105" s="879"/>
      <c r="D105" s="879"/>
      <c r="E105" s="877"/>
      <c r="F105" s="877"/>
      <c r="G105" s="862"/>
      <c r="H105" s="864"/>
      <c r="I105" s="864"/>
      <c r="J105" s="864"/>
      <c r="K105" s="864"/>
      <c r="L105" s="864"/>
      <c r="M105" s="864"/>
      <c r="N105" s="864"/>
      <c r="O105" s="864"/>
      <c r="P105" s="864"/>
      <c r="Q105" s="864"/>
      <c r="R105" s="864"/>
      <c r="S105" s="864"/>
      <c r="T105" s="864"/>
      <c r="U105" s="864"/>
      <c r="V105" s="864"/>
      <c r="W105" s="864"/>
      <c r="X105" s="864"/>
      <c r="Y105" s="864"/>
      <c r="Z105" s="864"/>
      <c r="AA105" s="866"/>
      <c r="AB105" s="866"/>
      <c r="AC105" s="866"/>
      <c r="AD105" s="826"/>
      <c r="AE105" s="820"/>
      <c r="AF105" s="820"/>
      <c r="AG105" s="820"/>
      <c r="AH105" s="435"/>
      <c r="AI105" s="821"/>
      <c r="AJ105" s="821"/>
      <c r="AK105" s="821"/>
      <c r="AL105" s="821"/>
      <c r="AM105" s="821"/>
      <c r="AN105" s="818"/>
      <c r="AO105" s="822"/>
      <c r="AP105" s="822"/>
      <c r="AQ105" s="822"/>
      <c r="AR105" s="822"/>
      <c r="AS105" s="822"/>
      <c r="AT105" s="818"/>
      <c r="AU105" s="822"/>
      <c r="AV105" s="822"/>
      <c r="AW105" s="822"/>
      <c r="AX105" s="822"/>
      <c r="AY105" s="822"/>
      <c r="AZ105" s="827"/>
      <c r="BA105" s="448"/>
      <c r="BB105" s="442"/>
      <c r="BC105" s="442"/>
      <c r="BD105" s="442"/>
      <c r="BE105" s="442"/>
      <c r="BF105" s="442"/>
      <c r="BG105" s="442"/>
      <c r="BH105" s="442"/>
      <c r="BI105" s="442"/>
      <c r="BJ105" s="441"/>
      <c r="BK105" s="442"/>
      <c r="BL105" s="820"/>
      <c r="BM105" s="820"/>
      <c r="BN105" s="820"/>
      <c r="BO105" s="435"/>
      <c r="BP105" s="821"/>
      <c r="BQ105" s="821"/>
      <c r="BR105" s="821"/>
      <c r="BS105" s="821"/>
      <c r="BT105" s="821"/>
      <c r="BU105" s="818"/>
      <c r="BV105" s="822"/>
      <c r="BW105" s="822"/>
      <c r="BX105" s="822"/>
      <c r="BY105" s="822"/>
      <c r="BZ105" s="822"/>
      <c r="CA105" s="818"/>
      <c r="CB105" s="822"/>
      <c r="CC105" s="822"/>
      <c r="CD105" s="822"/>
      <c r="CE105" s="822"/>
      <c r="CF105" s="822"/>
      <c r="CG105" s="287"/>
    </row>
    <row r="106" spans="1:85" ht="15" customHeight="1">
      <c r="A106" s="220"/>
      <c r="B106" s="879"/>
      <c r="C106" s="879"/>
      <c r="D106" s="879"/>
      <c r="E106" s="877"/>
      <c r="F106" s="877"/>
      <c r="G106" s="862"/>
      <c r="H106" s="864"/>
      <c r="I106" s="864"/>
      <c r="J106" s="864"/>
      <c r="K106" s="864"/>
      <c r="L106" s="864"/>
      <c r="M106" s="864"/>
      <c r="N106" s="864"/>
      <c r="O106" s="864"/>
      <c r="P106" s="864"/>
      <c r="Q106" s="864"/>
      <c r="R106" s="864"/>
      <c r="S106" s="864"/>
      <c r="T106" s="864"/>
      <c r="U106" s="864"/>
      <c r="V106" s="864"/>
      <c r="W106" s="864"/>
      <c r="X106" s="864"/>
      <c r="Y106" s="864"/>
      <c r="Z106" s="864"/>
      <c r="AA106" s="866"/>
      <c r="AB106" s="866"/>
      <c r="AC106" s="866"/>
      <c r="AD106" s="826"/>
      <c r="AE106" s="432" t="str">
        <f>IF(LEN(VLOOKUP(AA100,suvaha!$D$8:$H$158,3,FALSE))&lt;11,"",LEFT(RIGHT(VLOOKUP(AA100,suvaha!$D$8:$H$158,3,FALSE),11),1))</f>
        <v/>
      </c>
      <c r="AF106" s="255"/>
      <c r="AG106" s="432" t="str">
        <f>IF(LEN(VLOOKUP(AA100,suvaha!$D$8:$H$158,3,FALSE))&lt;10,"",LEFT(RIGHT(VLOOKUP(AA100,suvaha!$D$8:$H$158,3,FALSE),10),1))</f>
        <v/>
      </c>
      <c r="AH106" s="434"/>
      <c r="AI106" s="432" t="str">
        <f>IF(LEN(VLOOKUP(AA100,suvaha!$D$8:$H$158,3,FALSE))&lt;9,"",LEFT(RIGHT(VLOOKUP(AA100,suvaha!$D$8:$H$158,3,FALSE),9),1))</f>
        <v/>
      </c>
      <c r="AJ106" s="255"/>
      <c r="AK106" s="432" t="str">
        <f>IF(LEN(VLOOKUP(AA100,suvaha!$D$8:$H$158,3,FALSE))&lt;8,"",LEFT(RIGHT(VLOOKUP(AA100,suvaha!$D$8:$H$158,3,FALSE),8),1))</f>
        <v/>
      </c>
      <c r="AL106" s="434"/>
      <c r="AM106" s="432" t="str">
        <f>IF(LEN(VLOOKUP(AA100,suvaha!$D$8:$H$158,3,FALSE))&lt;7,"",LEFT(RIGHT(VLOOKUP(AA100,suvaha!$D$8:$H$158,3,FALSE),7),1))</f>
        <v/>
      </c>
      <c r="AN106" s="818"/>
      <c r="AO106" s="432" t="str">
        <f>IF(LEN(VLOOKUP(AA100,suvaha!$D$8:$H$158,3,FALSE))&lt;6,"",LEFT(RIGHT(VLOOKUP(AA100,suvaha!$D$8:$H$158,3,FALSE),6),1))</f>
        <v/>
      </c>
      <c r="AP106" s="434"/>
      <c r="AQ106" s="432" t="str">
        <f>IF(LEN(VLOOKUP(AA100,suvaha!$D$8:$H$158,3,FALSE))&lt;5,"",LEFT(RIGHT(VLOOKUP(AA100,suvaha!$D$8:$H$158,3,FALSE),5),1))</f>
        <v/>
      </c>
      <c r="AR106" s="434"/>
      <c r="AS106" s="432" t="str">
        <f>IF(LEN(VLOOKUP(AA100,suvaha!$D$8:$H$158,3,FALSE))&lt;4,"",LEFT(RIGHT(VLOOKUP(AA100,suvaha!$D$8:$H$158,3,FALSE),4),1))</f>
        <v/>
      </c>
      <c r="AT106" s="818"/>
      <c r="AU106" s="432" t="str">
        <f>IF(LEN(VLOOKUP(AA100,suvaha!$D$8:$H$158,3,FALSE))&lt;3,"",LEFT(RIGHT(VLOOKUP(AA100,suvaha!$D$8:$H$158,3,FALSE),3),1))</f>
        <v/>
      </c>
      <c r="AV106" s="434"/>
      <c r="AW106" s="432" t="str">
        <f>IF(LEN(VLOOKUP(AA100,suvaha!$D$8:$H$158,3,FALSE))&lt;2,"",LEFT(RIGHT(VLOOKUP(AA100,suvaha!$D$8:$H$158,3,FALSE),2),1))</f>
        <v/>
      </c>
      <c r="AX106" s="434"/>
      <c r="AY106" s="432" t="str">
        <f>IF(VLOOKUP(AA100,suvaha!$D$8:$H$85,3,FALSE)=0,"",IF(LEN(VLOOKUP(AA100,suvaha!$D$8:$H$158,3,FALSE))&lt;1,"",LEFT(RIGHT(VLOOKUP(AA100,suvaha!$D$8:$H$158,3,FALSE),1),1)))</f>
        <v/>
      </c>
      <c r="AZ106" s="827"/>
      <c r="BA106" s="448"/>
      <c r="BB106" s="442"/>
      <c r="BC106" s="442"/>
      <c r="BD106" s="442"/>
      <c r="BE106" s="442"/>
      <c r="BF106" s="442"/>
      <c r="BG106" s="442"/>
      <c r="BH106" s="442"/>
      <c r="BI106" s="442"/>
      <c r="BJ106" s="441"/>
      <c r="BK106" s="442"/>
      <c r="BL106" s="432" t="str">
        <f>IF(LEN(VLOOKUP(AA100,suvaha!$D$8:$H$158,5,FALSE))&lt;11,"",LEFT(RIGHT(VLOOKUP(AA100,suvaha!$D$8:$H$158,5,FALSE),11),1))</f>
        <v/>
      </c>
      <c r="BM106" s="255"/>
      <c r="BN106" s="432" t="str">
        <f>IF(LEN(VLOOKUP(AA100,suvaha!$D$8:$H$158,5,FALSE))&lt;10,"",LEFT(RIGHT(VLOOKUP(AA100,suvaha!$D$8:$H$158,5,FALSE),10),1))</f>
        <v/>
      </c>
      <c r="BO106" s="434"/>
      <c r="BP106" s="432" t="str">
        <f>IF(LEN(VLOOKUP(AA100,suvaha!$D$8:$H$158,5,FALSE))&lt;9,"",LEFT(RIGHT(VLOOKUP(AA100,suvaha!$D$8:$H$158,5,FALSE),9),1))</f>
        <v/>
      </c>
      <c r="BQ106" s="255"/>
      <c r="BR106" s="432" t="str">
        <f>IF(LEN(VLOOKUP(AA100,suvaha!$D$8:$H$158,5,FALSE))&lt;8,"",LEFT(RIGHT(VLOOKUP(AA100,suvaha!$D$8:$H$158,5,FALSE),8),1))</f>
        <v/>
      </c>
      <c r="BS106" s="434"/>
      <c r="BT106" s="432" t="str">
        <f>IF(LEN(VLOOKUP(AA100,suvaha!$D$8:$H$158,5,FALSE))&lt;7,"",LEFT(RIGHT(VLOOKUP(AA100,suvaha!$D$8:$H$158,5,FALSE),7),1))</f>
        <v/>
      </c>
      <c r="BU106" s="818"/>
      <c r="BV106" s="432" t="str">
        <f>IF(LEN(VLOOKUP(AA100,suvaha!$D$8:$H$158,5,FALSE))&lt;6,"",LEFT(RIGHT(VLOOKUP(AA100,suvaha!$D$8:$H$158,5,FALSE),6),1))</f>
        <v>7</v>
      </c>
      <c r="BW106" s="434"/>
      <c r="BX106" s="432" t="str">
        <f>IF(LEN(VLOOKUP(AA100,suvaha!$D$8:$H$158,5,FALSE))&lt;5,"",LEFT(RIGHT(VLOOKUP(AA100,suvaha!$D$8:$H$158,5,FALSE),5),1))</f>
        <v>5</v>
      </c>
      <c r="BY106" s="434"/>
      <c r="BZ106" s="432" t="str">
        <f>IF(LEN(VLOOKUP(AA100,suvaha!$D$8:$H$158,5,FALSE))&lt;4,"",LEFT(RIGHT(VLOOKUP(AA100,suvaha!$D$8:$H$158,5,FALSE),4),1))</f>
        <v>6</v>
      </c>
      <c r="CA106" s="818"/>
      <c r="CB106" s="432" t="str">
        <f>IF(LEN(VLOOKUP(AA100,suvaha!$D$8:$H$158,5,FALSE))&lt;3,"",LEFT(RIGHT(VLOOKUP(AA100,suvaha!$D$8:$H$158,5,FALSE),3),1))</f>
        <v>6</v>
      </c>
      <c r="CC106" s="434"/>
      <c r="CD106" s="432" t="str">
        <f>IF(LEN(VLOOKUP(AA100,suvaha!$D$8:$H$158,5,FALSE))&lt;2,"",LEFT(RIGHT(VLOOKUP(AA100,suvaha!$D$8:$H$158,5,FALSE),2),1))</f>
        <v>4</v>
      </c>
      <c r="CE106" s="434"/>
      <c r="CF106" s="432" t="str">
        <f>IF(VLOOKUP(AA100,suvaha!$D$8:$H$85,5,FALSE)=0,"",IF(LEN(VLOOKUP(AA100,suvaha!$D$8:$H$158,5,FALSE))&lt;1,"",LEFT(RIGHT(VLOOKUP(AA100,suvaha!$D$8:$H$158,5,FALSE),1),1)))</f>
        <v>4</v>
      </c>
      <c r="CG106" s="287"/>
    </row>
    <row r="107" spans="1:85" ht="3" customHeight="1">
      <c r="A107" s="220"/>
      <c r="B107" s="879"/>
      <c r="C107" s="879"/>
      <c r="D107" s="879"/>
      <c r="E107" s="877"/>
      <c r="F107" s="877"/>
      <c r="G107" s="862"/>
      <c r="H107" s="864"/>
      <c r="I107" s="864"/>
      <c r="J107" s="864"/>
      <c r="K107" s="864"/>
      <c r="L107" s="864"/>
      <c r="M107" s="864"/>
      <c r="N107" s="864"/>
      <c r="O107" s="864"/>
      <c r="P107" s="864"/>
      <c r="Q107" s="864"/>
      <c r="R107" s="864"/>
      <c r="S107" s="864"/>
      <c r="T107" s="864"/>
      <c r="U107" s="864"/>
      <c r="V107" s="864"/>
      <c r="W107" s="864"/>
      <c r="X107" s="864"/>
      <c r="Y107" s="864"/>
      <c r="Z107" s="864"/>
      <c r="AA107" s="866"/>
      <c r="AB107" s="866"/>
      <c r="AC107" s="866"/>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449"/>
      <c r="BB107" s="310"/>
      <c r="BC107" s="310"/>
      <c r="BD107" s="310"/>
      <c r="BE107" s="310"/>
      <c r="BF107" s="310"/>
      <c r="BG107" s="310"/>
      <c r="BH107" s="310"/>
      <c r="BI107" s="310"/>
      <c r="BJ107" s="443"/>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286"/>
    </row>
    <row r="108" spans="1:85" s="250" customFormat="1" ht="3" customHeight="1">
      <c r="A108" s="220"/>
      <c r="B108" s="879"/>
      <c r="C108" s="879"/>
      <c r="D108" s="879"/>
      <c r="E108" s="939" t="s">
        <v>549</v>
      </c>
      <c r="F108" s="939"/>
      <c r="G108" s="862"/>
      <c r="H108" s="874" t="str">
        <f>Index!C92</f>
        <v>Dlhodobé pohľadávky súčet (r. 42 + r. 46 až r. 52)</v>
      </c>
      <c r="I108" s="874"/>
      <c r="J108" s="874"/>
      <c r="K108" s="874"/>
      <c r="L108" s="874"/>
      <c r="M108" s="874"/>
      <c r="N108" s="874"/>
      <c r="O108" s="874"/>
      <c r="P108" s="874"/>
      <c r="Q108" s="874"/>
      <c r="R108" s="874"/>
      <c r="S108" s="874"/>
      <c r="T108" s="874"/>
      <c r="U108" s="874"/>
      <c r="V108" s="874"/>
      <c r="W108" s="874"/>
      <c r="X108" s="874"/>
      <c r="Y108" s="874"/>
      <c r="Z108" s="874"/>
      <c r="AA108" s="875" t="s">
        <v>1590</v>
      </c>
      <c r="AB108" s="875"/>
      <c r="AC108" s="875"/>
      <c r="AD108" s="825"/>
      <c r="AE108" s="825"/>
      <c r="AF108" s="825"/>
      <c r="AG108" s="825"/>
      <c r="AH108" s="825"/>
      <c r="AI108" s="825"/>
      <c r="AJ108" s="825"/>
      <c r="AK108" s="825"/>
      <c r="AL108" s="825"/>
      <c r="AM108" s="825"/>
      <c r="AN108" s="825"/>
      <c r="AO108" s="825"/>
      <c r="AP108" s="825"/>
      <c r="AQ108" s="825"/>
      <c r="AR108" s="825"/>
      <c r="AS108" s="825"/>
      <c r="AT108" s="825"/>
      <c r="AU108" s="825"/>
      <c r="AV108" s="825"/>
      <c r="AW108" s="825"/>
      <c r="AX108" s="825"/>
      <c r="AY108" s="825"/>
      <c r="AZ108" s="825"/>
      <c r="BA108" s="867"/>
      <c r="BB108" s="867"/>
      <c r="BC108" s="867"/>
      <c r="BD108" s="867"/>
      <c r="BE108" s="867"/>
      <c r="BF108" s="867"/>
      <c r="BG108" s="867"/>
      <c r="BH108" s="867"/>
      <c r="BI108" s="867"/>
      <c r="BJ108" s="867"/>
      <c r="BK108" s="867"/>
      <c r="BL108" s="867"/>
      <c r="BM108" s="867"/>
      <c r="BN108" s="867"/>
      <c r="BO108" s="867"/>
      <c r="BP108" s="867"/>
      <c r="BQ108" s="867"/>
      <c r="BR108" s="304"/>
      <c r="BS108" s="304"/>
      <c r="BT108" s="304"/>
      <c r="BU108" s="304"/>
      <c r="BV108" s="304"/>
      <c r="BW108" s="446"/>
      <c r="BX108" s="304"/>
      <c r="BY108" s="304"/>
      <c r="BZ108" s="304"/>
      <c r="CA108" s="304"/>
      <c r="CB108" s="304"/>
      <c r="CC108" s="304"/>
      <c r="CD108" s="304"/>
      <c r="CE108" s="304"/>
      <c r="CF108" s="304"/>
      <c r="CG108" s="284"/>
    </row>
    <row r="109" spans="1:85" s="250" customFormat="1" ht="3" customHeight="1">
      <c r="A109" s="220"/>
      <c r="B109" s="879"/>
      <c r="C109" s="879"/>
      <c r="D109" s="879"/>
      <c r="E109" s="939"/>
      <c r="F109" s="939"/>
      <c r="G109" s="862"/>
      <c r="H109" s="874"/>
      <c r="I109" s="874"/>
      <c r="J109" s="874"/>
      <c r="K109" s="874"/>
      <c r="L109" s="874"/>
      <c r="M109" s="874"/>
      <c r="N109" s="874"/>
      <c r="O109" s="874"/>
      <c r="P109" s="874"/>
      <c r="Q109" s="874"/>
      <c r="R109" s="874"/>
      <c r="S109" s="874"/>
      <c r="T109" s="874"/>
      <c r="U109" s="874"/>
      <c r="V109" s="874"/>
      <c r="W109" s="874"/>
      <c r="X109" s="874"/>
      <c r="Y109" s="874"/>
      <c r="Z109" s="874"/>
      <c r="AA109" s="875"/>
      <c r="AB109" s="875"/>
      <c r="AC109" s="875"/>
      <c r="AD109" s="826"/>
      <c r="AE109" s="820"/>
      <c r="AF109" s="820"/>
      <c r="AG109" s="820"/>
      <c r="AH109" s="435"/>
      <c r="AI109" s="821"/>
      <c r="AJ109" s="821"/>
      <c r="AK109" s="821"/>
      <c r="AL109" s="821"/>
      <c r="AM109" s="821"/>
      <c r="AN109" s="818"/>
      <c r="AO109" s="822"/>
      <c r="AP109" s="822"/>
      <c r="AQ109" s="822"/>
      <c r="AR109" s="822"/>
      <c r="AS109" s="822"/>
      <c r="AT109" s="818"/>
      <c r="AU109" s="822"/>
      <c r="AV109" s="822"/>
      <c r="AW109" s="822"/>
      <c r="AX109" s="822"/>
      <c r="AY109" s="822"/>
      <c r="AZ109" s="827"/>
      <c r="BA109" s="826"/>
      <c r="BB109" s="820"/>
      <c r="BC109" s="820"/>
      <c r="BD109" s="820"/>
      <c r="BE109" s="435"/>
      <c r="BF109" s="821"/>
      <c r="BG109" s="821"/>
      <c r="BH109" s="821"/>
      <c r="BI109" s="821"/>
      <c r="BJ109" s="821"/>
      <c r="BK109" s="818"/>
      <c r="BL109" s="822"/>
      <c r="BM109" s="822"/>
      <c r="BN109" s="822"/>
      <c r="BO109" s="822"/>
      <c r="BP109" s="822"/>
      <c r="BQ109" s="818"/>
      <c r="BR109" s="822"/>
      <c r="BS109" s="822"/>
      <c r="BT109" s="822"/>
      <c r="BU109" s="822"/>
      <c r="BV109" s="822"/>
      <c r="BW109" s="441"/>
      <c r="BX109" s="442"/>
      <c r="BY109" s="442"/>
      <c r="BZ109" s="442"/>
      <c r="CA109" s="442"/>
      <c r="CB109" s="442"/>
      <c r="CC109" s="442"/>
      <c r="CD109" s="442"/>
      <c r="CE109" s="442"/>
      <c r="CF109" s="442"/>
      <c r="CG109" s="285"/>
    </row>
    <row r="110" spans="1:85" ht="15" customHeight="1">
      <c r="A110" s="220"/>
      <c r="B110" s="879"/>
      <c r="C110" s="879"/>
      <c r="D110" s="879"/>
      <c r="E110" s="939"/>
      <c r="F110" s="939"/>
      <c r="G110" s="862"/>
      <c r="H110" s="874"/>
      <c r="I110" s="874"/>
      <c r="J110" s="874"/>
      <c r="K110" s="874"/>
      <c r="L110" s="874"/>
      <c r="M110" s="874"/>
      <c r="N110" s="874"/>
      <c r="O110" s="874"/>
      <c r="P110" s="874"/>
      <c r="Q110" s="874"/>
      <c r="R110" s="874"/>
      <c r="S110" s="874"/>
      <c r="T110" s="874"/>
      <c r="U110" s="874"/>
      <c r="V110" s="874"/>
      <c r="W110" s="874"/>
      <c r="X110" s="874"/>
      <c r="Y110" s="874"/>
      <c r="Z110" s="874"/>
      <c r="AA110" s="875"/>
      <c r="AB110" s="875"/>
      <c r="AC110" s="875"/>
      <c r="AD110" s="826"/>
      <c r="AE110" s="432" t="str">
        <f>IF(LEN(VLOOKUP(AA108,suvaha!$D$8:$H$158,2,FALSE))&lt;11,"",LEFT(RIGHT(VLOOKUP(AA108,suvaha!$D$8:$H$158,2,FALSE),11),1))</f>
        <v/>
      </c>
      <c r="AF110" s="255"/>
      <c r="AG110" s="432" t="str">
        <f>IF(LEN(VLOOKUP(AA108,suvaha!$D$8:$H$158,2,FALSE))&lt;10,"",LEFT(RIGHT(VLOOKUP(AA108,suvaha!$D$8:$H$158,2,FALSE),10),1))</f>
        <v/>
      </c>
      <c r="AH110" s="434"/>
      <c r="AI110" s="432" t="str">
        <f>IF(LEN(VLOOKUP(AA108,suvaha!$D$8:$H$158,2,FALSE))&lt;9,"",LEFT(RIGHT(VLOOKUP(AA108,suvaha!$D$8:$H$158,2,FALSE),9),1))</f>
        <v/>
      </c>
      <c r="AJ110" s="255"/>
      <c r="AK110" s="432" t="str">
        <f>IF(LEN(VLOOKUP(AA108,suvaha!$D$8:$H$158,2,FALSE))&lt;8,"",LEFT(RIGHT(VLOOKUP(AA108,suvaha!$D$8:$H$158,2,FALSE),8),1))</f>
        <v/>
      </c>
      <c r="AL110" s="434"/>
      <c r="AM110" s="432" t="str">
        <f>IF(LEN(VLOOKUP(AA108,suvaha!$D$8:$H$158,2,FALSE))&lt;7,"",LEFT(RIGHT(VLOOKUP(AA108,suvaha!$D$8:$H$158,2,FALSE),7),1))</f>
        <v/>
      </c>
      <c r="AN110" s="818"/>
      <c r="AO110" s="432" t="str">
        <f>IF(LEN(VLOOKUP(AA108,suvaha!$D$8:$H$158,2,FALSE))&lt;6,"",LEFT(RIGHT(VLOOKUP(AA108,suvaha!$D$8:$H$158,2,FALSE),6),1))</f>
        <v/>
      </c>
      <c r="AP110" s="434"/>
      <c r="AQ110" s="432" t="str">
        <f>IF(LEN(VLOOKUP(AA108,suvaha!$D$8:$H$158,2,FALSE))&lt;5,"",LEFT(RIGHT(VLOOKUP(AA108,suvaha!$D$8:$H$158,2,FALSE),5),1))</f>
        <v>3</v>
      </c>
      <c r="AR110" s="434"/>
      <c r="AS110" s="432" t="str">
        <f>IF(LEN(VLOOKUP(AA108,suvaha!$D$8:$H$158,2,FALSE))&lt;4,"",LEFT(RIGHT(VLOOKUP(AA108,suvaha!$D$8:$H$158,2,FALSE),4),1))</f>
        <v>5</v>
      </c>
      <c r="AT110" s="818"/>
      <c r="AU110" s="432" t="str">
        <f>IF(LEN(VLOOKUP(AA108,suvaha!$D$8:$H$158,2,FALSE))&lt;3,"",LEFT(RIGHT(VLOOKUP(AA108,suvaha!$D$8:$H$158,2,FALSE),3),1))</f>
        <v>6</v>
      </c>
      <c r="AV110" s="434"/>
      <c r="AW110" s="432" t="str">
        <f>IF(LEN(VLOOKUP(AA108,suvaha!$D$8:$H$158,2,FALSE))&lt;2,"",LEFT(RIGHT(VLOOKUP(AA108,suvaha!$D$8:$H$158,2,FALSE),2),1))</f>
        <v>6</v>
      </c>
      <c r="AX110" s="434"/>
      <c r="AY110" s="432" t="str">
        <f>IF(VLOOKUP(AA108,suvaha!$D$8:$H$85,2,FALSE)=0,"",IF(LEN(VLOOKUP(AA108,suvaha!$D$8:$H$158,2,FALSE))&lt;1,"",LEFT(RIGHT(VLOOKUP(AA108,suvaha!$D$8:$H$158,2,FALSE),1),1)))</f>
        <v>0</v>
      </c>
      <c r="AZ110" s="827"/>
      <c r="BA110" s="826"/>
      <c r="BB110" s="432" t="str">
        <f>IF(LEN(VLOOKUP(AA108,suvaha!$D$8:$H$158,4,FALSE))&lt;11,"",LEFT(RIGHT(VLOOKUP(AA108,suvaha!$D$8:$H$158,4,FALSE),11),1))</f>
        <v/>
      </c>
      <c r="BC110" s="255"/>
      <c r="BD110" s="432" t="str">
        <f>IF(LEN(VLOOKUP(AA108,suvaha!$D$8:$H$158,4,FALSE))&lt;10,"",LEFT(RIGHT(VLOOKUP(AA108,suvaha!$D$8:$H$158,4,FALSE),10),1))</f>
        <v/>
      </c>
      <c r="BE110" s="434"/>
      <c r="BF110" s="432" t="str">
        <f>IF(LEN(VLOOKUP(AA108,suvaha!$D$8:$H$158,4,FALSE))&lt;9,"",LEFT(RIGHT(VLOOKUP(AA108,suvaha!$D$8:$H$158,4,FALSE),9),1))</f>
        <v/>
      </c>
      <c r="BG110" s="255"/>
      <c r="BH110" s="432" t="str">
        <f>IF(LEN(VLOOKUP(AA108,suvaha!$D$8:$H$158,4,FALSE))&lt;8,"",LEFT(RIGHT(VLOOKUP(AA108,suvaha!$D$8:$H$158,4,FALSE),8),1))</f>
        <v/>
      </c>
      <c r="BI110" s="434"/>
      <c r="BJ110" s="432" t="str">
        <f>IF(LEN(VLOOKUP(AA108,suvaha!$D$8:$H$158,4,FALSE))&lt;7,"",LEFT(RIGHT(VLOOKUP(AA108,suvaha!$D$8:$H$158,4,FALSE),7),1))</f>
        <v/>
      </c>
      <c r="BK110" s="818"/>
      <c r="BL110" s="432" t="str">
        <f>IF(LEN(VLOOKUP(AA108,suvaha!$D$8:$H$158,4,FALSE))&lt;6,"",LEFT(RIGHT(VLOOKUP(AA108,suvaha!$D$8:$H$158,4,FALSE),6),1))</f>
        <v/>
      </c>
      <c r="BM110" s="434"/>
      <c r="BN110" s="432" t="str">
        <f>IF(LEN(VLOOKUP(AA108,suvaha!$D$8:$H$158,4,FALSE))&lt;5,"",LEFT(RIGHT(VLOOKUP(AA108,suvaha!$D$8:$H$158,4,FALSE),5),1))</f>
        <v>3</v>
      </c>
      <c r="BO110" s="434"/>
      <c r="BP110" s="432" t="str">
        <f>IF(LEN(VLOOKUP(AA108,suvaha!$D$8:$H$158,4,FALSE))&lt;4,"",LEFT(RIGHT(VLOOKUP(AA108,suvaha!$D$8:$H$158,4,FALSE),4),1))</f>
        <v>5</v>
      </c>
      <c r="BQ110" s="818"/>
      <c r="BR110" s="432" t="str">
        <f>IF(LEN(VLOOKUP(AA108,suvaha!$D$8:$H$158,4,FALSE))&lt;3,"",LEFT(RIGHT(VLOOKUP(AA108,suvaha!$D$8:$H$158,4,FALSE),3),1))</f>
        <v>6</v>
      </c>
      <c r="BS110" s="434"/>
      <c r="BT110" s="432" t="str">
        <f>IF(LEN(VLOOKUP(AA108,suvaha!$D$8:$H$158,4,FALSE))&lt;2,"",LEFT(RIGHT(VLOOKUP(AA108,suvaha!$D$8:$H$158,4,FALSE),2),1))</f>
        <v>6</v>
      </c>
      <c r="BU110" s="434"/>
      <c r="BV110" s="432" t="str">
        <f>IF(VLOOKUP(AA108,suvaha!$D$8:$H$85,4,FALSE)=0,"",IF(LEN(VLOOKUP(AA108,suvaha!$D$8:$H$158,4,FALSE))&lt;1,"",LEFT(RIGHT(VLOOKUP(AA108,suvaha!$D$8:$H$158,4,FALSE),1),1)))</f>
        <v>0</v>
      </c>
      <c r="BW110" s="441"/>
      <c r="BX110" s="442"/>
      <c r="BY110" s="442"/>
      <c r="BZ110" s="442"/>
      <c r="CA110" s="442"/>
      <c r="CB110" s="442"/>
      <c r="CC110" s="442"/>
      <c r="CD110" s="442"/>
      <c r="CE110" s="442"/>
      <c r="CF110" s="442"/>
      <c r="CG110" s="285"/>
    </row>
    <row r="111" spans="1:85" ht="3" customHeight="1">
      <c r="A111" s="220"/>
      <c r="B111" s="879"/>
      <c r="C111" s="879"/>
      <c r="D111" s="879"/>
      <c r="E111" s="939"/>
      <c r="F111" s="939"/>
      <c r="G111" s="862"/>
      <c r="H111" s="874"/>
      <c r="I111" s="874"/>
      <c r="J111" s="874"/>
      <c r="K111" s="874"/>
      <c r="L111" s="874"/>
      <c r="M111" s="874"/>
      <c r="N111" s="874"/>
      <c r="O111" s="874"/>
      <c r="P111" s="874"/>
      <c r="Q111" s="874"/>
      <c r="R111" s="874"/>
      <c r="S111" s="874"/>
      <c r="T111" s="874"/>
      <c r="U111" s="874"/>
      <c r="V111" s="874"/>
      <c r="W111" s="874"/>
      <c r="X111" s="874"/>
      <c r="Y111" s="874"/>
      <c r="Z111" s="874"/>
      <c r="AA111" s="875"/>
      <c r="AB111" s="875"/>
      <c r="AC111" s="875"/>
      <c r="AD111" s="845"/>
      <c r="AE111" s="845"/>
      <c r="AF111" s="845"/>
      <c r="AG111" s="845"/>
      <c r="AH111" s="845"/>
      <c r="AI111" s="845"/>
      <c r="AJ111" s="845"/>
      <c r="AK111" s="845"/>
      <c r="AL111" s="845"/>
      <c r="AM111" s="845"/>
      <c r="AN111" s="845"/>
      <c r="AO111" s="845"/>
      <c r="AP111" s="845"/>
      <c r="AQ111" s="845"/>
      <c r="AR111" s="845"/>
      <c r="AS111" s="845"/>
      <c r="AT111" s="845"/>
      <c r="AU111" s="845"/>
      <c r="AV111" s="845"/>
      <c r="AW111" s="845"/>
      <c r="AX111" s="845"/>
      <c r="AY111" s="845"/>
      <c r="AZ111" s="845"/>
      <c r="BA111" s="846"/>
      <c r="BB111" s="846"/>
      <c r="BC111" s="846"/>
      <c r="BD111" s="846"/>
      <c r="BE111" s="846"/>
      <c r="BF111" s="846"/>
      <c r="BG111" s="846"/>
      <c r="BH111" s="846"/>
      <c r="BI111" s="846"/>
      <c r="BJ111" s="846"/>
      <c r="BK111" s="846"/>
      <c r="BL111" s="846"/>
      <c r="BM111" s="846"/>
      <c r="BN111" s="846"/>
      <c r="BO111" s="846"/>
      <c r="BP111" s="846"/>
      <c r="BQ111" s="846"/>
      <c r="BR111" s="310"/>
      <c r="BS111" s="310"/>
      <c r="BT111" s="310"/>
      <c r="BU111" s="310"/>
      <c r="BV111" s="310"/>
      <c r="BW111" s="443"/>
      <c r="BX111" s="310"/>
      <c r="BY111" s="310"/>
      <c r="BZ111" s="310"/>
      <c r="CA111" s="310"/>
      <c r="CB111" s="310"/>
      <c r="CC111" s="310"/>
      <c r="CD111" s="310"/>
      <c r="CE111" s="310"/>
      <c r="CF111" s="310"/>
      <c r="CG111" s="286"/>
    </row>
    <row r="112" spans="1:85" ht="3" customHeight="1">
      <c r="A112" s="220"/>
      <c r="B112" s="879"/>
      <c r="C112" s="879"/>
      <c r="D112" s="879"/>
      <c r="E112" s="939"/>
      <c r="F112" s="939"/>
      <c r="G112" s="862"/>
      <c r="H112" s="874"/>
      <c r="I112" s="874"/>
      <c r="J112" s="874"/>
      <c r="K112" s="874"/>
      <c r="L112" s="874"/>
      <c r="M112" s="874"/>
      <c r="N112" s="874"/>
      <c r="O112" s="874"/>
      <c r="P112" s="874"/>
      <c r="Q112" s="874"/>
      <c r="R112" s="874"/>
      <c r="S112" s="874"/>
      <c r="T112" s="874"/>
      <c r="U112" s="874"/>
      <c r="V112" s="874"/>
      <c r="W112" s="874"/>
      <c r="X112" s="874"/>
      <c r="Y112" s="874"/>
      <c r="Z112" s="874"/>
      <c r="AA112" s="875"/>
      <c r="AB112" s="875"/>
      <c r="AC112" s="875"/>
      <c r="AD112" s="825"/>
      <c r="AE112" s="825"/>
      <c r="AF112" s="825"/>
      <c r="AG112" s="825"/>
      <c r="AH112" s="825"/>
      <c r="AI112" s="825"/>
      <c r="AJ112" s="825"/>
      <c r="AK112" s="825"/>
      <c r="AL112" s="825"/>
      <c r="AM112" s="825"/>
      <c r="AN112" s="825"/>
      <c r="AO112" s="825"/>
      <c r="AP112" s="825"/>
      <c r="AQ112" s="825"/>
      <c r="AR112" s="825"/>
      <c r="AS112" s="825"/>
      <c r="AT112" s="825"/>
      <c r="AU112" s="825"/>
      <c r="AV112" s="825"/>
      <c r="AW112" s="825"/>
      <c r="AX112" s="825"/>
      <c r="AY112" s="825"/>
      <c r="AZ112" s="825"/>
      <c r="BA112" s="447"/>
      <c r="BB112" s="304"/>
      <c r="BC112" s="304"/>
      <c r="BD112" s="304"/>
      <c r="BE112" s="304"/>
      <c r="BF112" s="304"/>
      <c r="BG112" s="304"/>
      <c r="BH112" s="304"/>
      <c r="BI112" s="304"/>
      <c r="BJ112" s="446"/>
      <c r="BK112" s="304"/>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284"/>
    </row>
    <row r="113" spans="1:86" ht="3" customHeight="1">
      <c r="A113" s="220"/>
      <c r="B113" s="879"/>
      <c r="C113" s="879"/>
      <c r="D113" s="879"/>
      <c r="E113" s="939"/>
      <c r="F113" s="939"/>
      <c r="G113" s="862"/>
      <c r="H113" s="874"/>
      <c r="I113" s="874"/>
      <c r="J113" s="874"/>
      <c r="K113" s="874"/>
      <c r="L113" s="874"/>
      <c r="M113" s="874"/>
      <c r="N113" s="874"/>
      <c r="O113" s="874"/>
      <c r="P113" s="874"/>
      <c r="Q113" s="874"/>
      <c r="R113" s="874"/>
      <c r="S113" s="874"/>
      <c r="T113" s="874"/>
      <c r="U113" s="874"/>
      <c r="V113" s="874"/>
      <c r="W113" s="874"/>
      <c r="X113" s="874"/>
      <c r="Y113" s="874"/>
      <c r="Z113" s="874"/>
      <c r="AA113" s="875"/>
      <c r="AB113" s="875"/>
      <c r="AC113" s="875"/>
      <c r="AD113" s="826"/>
      <c r="AE113" s="820"/>
      <c r="AF113" s="820"/>
      <c r="AG113" s="820"/>
      <c r="AH113" s="435"/>
      <c r="AI113" s="821"/>
      <c r="AJ113" s="821"/>
      <c r="AK113" s="821"/>
      <c r="AL113" s="821"/>
      <c r="AM113" s="821"/>
      <c r="AN113" s="818"/>
      <c r="AO113" s="822"/>
      <c r="AP113" s="822"/>
      <c r="AQ113" s="822"/>
      <c r="AR113" s="822"/>
      <c r="AS113" s="822"/>
      <c r="AT113" s="818"/>
      <c r="AU113" s="822"/>
      <c r="AV113" s="822"/>
      <c r="AW113" s="822"/>
      <c r="AX113" s="822"/>
      <c r="AY113" s="822"/>
      <c r="AZ113" s="827"/>
      <c r="BA113" s="448"/>
      <c r="BB113" s="442"/>
      <c r="BC113" s="442"/>
      <c r="BD113" s="442"/>
      <c r="BE113" s="442"/>
      <c r="BF113" s="442"/>
      <c r="BG113" s="442"/>
      <c r="BH113" s="442"/>
      <c r="BI113" s="442"/>
      <c r="BJ113" s="441"/>
      <c r="BK113" s="442"/>
      <c r="BL113" s="820"/>
      <c r="BM113" s="820"/>
      <c r="BN113" s="820"/>
      <c r="BO113" s="435"/>
      <c r="BP113" s="821"/>
      <c r="BQ113" s="821"/>
      <c r="BR113" s="821"/>
      <c r="BS113" s="821"/>
      <c r="BT113" s="821"/>
      <c r="BU113" s="818"/>
      <c r="BV113" s="822"/>
      <c r="BW113" s="822"/>
      <c r="BX113" s="822"/>
      <c r="BY113" s="822"/>
      <c r="BZ113" s="822"/>
      <c r="CA113" s="818"/>
      <c r="CB113" s="822"/>
      <c r="CC113" s="822"/>
      <c r="CD113" s="822"/>
      <c r="CE113" s="822"/>
      <c r="CF113" s="822"/>
      <c r="CG113" s="287"/>
    </row>
    <row r="114" spans="1:86" ht="15" customHeight="1">
      <c r="A114" s="220"/>
      <c r="B114" s="879"/>
      <c r="C114" s="879"/>
      <c r="D114" s="879"/>
      <c r="E114" s="939"/>
      <c r="F114" s="939"/>
      <c r="G114" s="862"/>
      <c r="H114" s="874"/>
      <c r="I114" s="874"/>
      <c r="J114" s="874"/>
      <c r="K114" s="874"/>
      <c r="L114" s="874"/>
      <c r="M114" s="874"/>
      <c r="N114" s="874"/>
      <c r="O114" s="874"/>
      <c r="P114" s="874"/>
      <c r="Q114" s="874"/>
      <c r="R114" s="874"/>
      <c r="S114" s="874"/>
      <c r="T114" s="874"/>
      <c r="U114" s="874"/>
      <c r="V114" s="874"/>
      <c r="W114" s="874"/>
      <c r="X114" s="874"/>
      <c r="Y114" s="874"/>
      <c r="Z114" s="874"/>
      <c r="AA114" s="875"/>
      <c r="AB114" s="875"/>
      <c r="AC114" s="875"/>
      <c r="AD114" s="826"/>
      <c r="AE114" s="432" t="str">
        <f>IF(LEN(VLOOKUP(AA108,suvaha!$D$8:$H$158,3,FALSE))&lt;11,"",LEFT(RIGHT(VLOOKUP(AA108,suvaha!$D$8:$H$158,3,FALSE),11),1))</f>
        <v/>
      </c>
      <c r="AF114" s="255"/>
      <c r="AG114" s="432" t="str">
        <f>IF(LEN(VLOOKUP(AA108,suvaha!$D$8:$H$158,3,FALSE))&lt;10,"",LEFT(RIGHT(VLOOKUP(AA108,suvaha!$D$8:$H$158,3,FALSE),10),1))</f>
        <v/>
      </c>
      <c r="AH114" s="434"/>
      <c r="AI114" s="432" t="str">
        <f>IF(LEN(VLOOKUP(AA108,suvaha!$D$8:$H$158,3,FALSE))&lt;9,"",LEFT(RIGHT(VLOOKUP(AA108,suvaha!$D$8:$H$158,3,FALSE),9),1))</f>
        <v/>
      </c>
      <c r="AJ114" s="255"/>
      <c r="AK114" s="432" t="str">
        <f>IF(LEN(VLOOKUP(AA108,suvaha!$D$8:$H$158,3,FALSE))&lt;8,"",LEFT(RIGHT(VLOOKUP(AA108,suvaha!$D$8:$H$158,3,FALSE),8),1))</f>
        <v/>
      </c>
      <c r="AL114" s="434"/>
      <c r="AM114" s="432" t="str">
        <f>IF(LEN(VLOOKUP(AA108,suvaha!$D$8:$H$158,3,FALSE))&lt;7,"",LEFT(RIGHT(VLOOKUP(AA108,suvaha!$D$8:$H$158,3,FALSE),7),1))</f>
        <v/>
      </c>
      <c r="AN114" s="818"/>
      <c r="AO114" s="432" t="str">
        <f>IF(LEN(VLOOKUP(AA108,suvaha!$D$8:$H$158,3,FALSE))&lt;6,"",LEFT(RIGHT(VLOOKUP(AA108,suvaha!$D$8:$H$158,3,FALSE),6),1))</f>
        <v/>
      </c>
      <c r="AP114" s="434"/>
      <c r="AQ114" s="432" t="str">
        <f>IF(LEN(VLOOKUP(AA108,suvaha!$D$8:$H$158,3,FALSE))&lt;5,"",LEFT(RIGHT(VLOOKUP(AA108,suvaha!$D$8:$H$158,3,FALSE),5),1))</f>
        <v/>
      </c>
      <c r="AR114" s="434"/>
      <c r="AS114" s="432" t="str">
        <f>IF(LEN(VLOOKUP(AA108,suvaha!$D$8:$H$158,3,FALSE))&lt;4,"",LEFT(RIGHT(VLOOKUP(AA108,suvaha!$D$8:$H$158,3,FALSE),4),1))</f>
        <v/>
      </c>
      <c r="AT114" s="818"/>
      <c r="AU114" s="432" t="str">
        <f>IF(LEN(VLOOKUP(AA108,suvaha!$D$8:$H$158,3,FALSE))&lt;3,"",LEFT(RIGHT(VLOOKUP(AA108,suvaha!$D$8:$H$158,3,FALSE),3),1))</f>
        <v/>
      </c>
      <c r="AV114" s="434"/>
      <c r="AW114" s="432" t="str">
        <f>IF(LEN(VLOOKUP(AA108,suvaha!$D$8:$H$158,3,FALSE))&lt;2,"",LEFT(RIGHT(VLOOKUP(AA108,suvaha!$D$8:$H$158,3,FALSE),2),1))</f>
        <v/>
      </c>
      <c r="AX114" s="434"/>
      <c r="AY114" s="432" t="str">
        <f>IF(VLOOKUP(AA108,suvaha!$D$8:$H$85,3,FALSE)=0,"",IF(LEN(VLOOKUP(AA108,suvaha!$D$8:$H$158,3,FALSE))&lt;1,"",LEFT(RIGHT(VLOOKUP(AA108,suvaha!$D$8:$H$158,3,FALSE),1),1)))</f>
        <v/>
      </c>
      <c r="AZ114" s="827"/>
      <c r="BA114" s="448"/>
      <c r="BB114" s="442"/>
      <c r="BC114" s="442"/>
      <c r="BD114" s="442"/>
      <c r="BE114" s="442"/>
      <c r="BF114" s="442"/>
      <c r="BG114" s="442"/>
      <c r="BH114" s="442"/>
      <c r="BI114" s="442"/>
      <c r="BJ114" s="441"/>
      <c r="BK114" s="442"/>
      <c r="BL114" s="432" t="str">
        <f>IF(LEN(VLOOKUP(AA108,suvaha!$D$8:$H$158,5,FALSE))&lt;11,"",LEFT(RIGHT(VLOOKUP(AA108,suvaha!$D$8:$H$158,5,FALSE),11),1))</f>
        <v/>
      </c>
      <c r="BM114" s="255"/>
      <c r="BN114" s="432" t="str">
        <f>IF(LEN(VLOOKUP(AA108,suvaha!$D$8:$H$158,5,FALSE))&lt;10,"",LEFT(RIGHT(VLOOKUP(AA108,suvaha!$D$8:$H$158,5,FALSE),10),1))</f>
        <v/>
      </c>
      <c r="BO114" s="434"/>
      <c r="BP114" s="432" t="str">
        <f>IF(LEN(VLOOKUP(AA108,suvaha!$D$8:$H$158,5,FALSE))&lt;9,"",LEFT(RIGHT(VLOOKUP(AA108,suvaha!$D$8:$H$158,5,FALSE),9),1))</f>
        <v/>
      </c>
      <c r="BQ114" s="255"/>
      <c r="BR114" s="432" t="str">
        <f>IF(LEN(VLOOKUP(AA108,suvaha!$D$8:$H$158,5,FALSE))&lt;8,"",LEFT(RIGHT(VLOOKUP(AA108,suvaha!$D$8:$H$158,5,FALSE),8),1))</f>
        <v/>
      </c>
      <c r="BS114" s="434"/>
      <c r="BT114" s="432" t="str">
        <f>IF(LEN(VLOOKUP(AA108,suvaha!$D$8:$H$158,5,FALSE))&lt;7,"",LEFT(RIGHT(VLOOKUP(AA108,suvaha!$D$8:$H$158,5,FALSE),7),1))</f>
        <v/>
      </c>
      <c r="BU114" s="818"/>
      <c r="BV114" s="432" t="str">
        <f>IF(LEN(VLOOKUP(AA108,suvaha!$D$8:$H$158,5,FALSE))&lt;6,"",LEFT(RIGHT(VLOOKUP(AA108,suvaha!$D$8:$H$158,5,FALSE),6),1))</f>
        <v/>
      </c>
      <c r="BW114" s="434"/>
      <c r="BX114" s="432" t="str">
        <f>IF(LEN(VLOOKUP(AA108,suvaha!$D$8:$H$158,5,FALSE))&lt;5,"",LEFT(RIGHT(VLOOKUP(AA108,suvaha!$D$8:$H$158,5,FALSE),5),1))</f>
        <v>3</v>
      </c>
      <c r="BY114" s="434"/>
      <c r="BZ114" s="432" t="str">
        <f>IF(LEN(VLOOKUP(AA108,suvaha!$D$8:$H$158,5,FALSE))&lt;4,"",LEFT(RIGHT(VLOOKUP(AA108,suvaha!$D$8:$H$158,5,FALSE),4),1))</f>
        <v>5</v>
      </c>
      <c r="CA114" s="818"/>
      <c r="CB114" s="432" t="str">
        <f>IF(LEN(VLOOKUP(AA108,suvaha!$D$8:$H$158,5,FALSE))&lt;3,"",LEFT(RIGHT(VLOOKUP(AA108,suvaha!$D$8:$H$158,5,FALSE),3),1))</f>
        <v>5</v>
      </c>
      <c r="CC114" s="434"/>
      <c r="CD114" s="432" t="str">
        <f>IF(LEN(VLOOKUP(AA108,suvaha!$D$8:$H$158,5,FALSE))&lt;2,"",LEFT(RIGHT(VLOOKUP(AA108,suvaha!$D$8:$H$158,5,FALSE),2),1))</f>
        <v>8</v>
      </c>
      <c r="CE114" s="434"/>
      <c r="CF114" s="432" t="str">
        <f>IF(VLOOKUP(AA108,suvaha!$D$8:$H$85,5,FALSE)=0,"",IF(LEN(VLOOKUP(AA108,suvaha!$D$8:$H$158,5,FALSE))&lt;1,"",LEFT(RIGHT(VLOOKUP(AA108,suvaha!$D$8:$H$158,5,FALSE),1),1)))</f>
        <v>9</v>
      </c>
      <c r="CG114" s="287"/>
    </row>
    <row r="115" spans="1:86" ht="3" customHeight="1">
      <c r="A115" s="220"/>
      <c r="B115" s="879"/>
      <c r="C115" s="879"/>
      <c r="D115" s="879"/>
      <c r="E115" s="939"/>
      <c r="F115" s="939"/>
      <c r="G115" s="862"/>
      <c r="H115" s="874"/>
      <c r="I115" s="874"/>
      <c r="J115" s="874"/>
      <c r="K115" s="874"/>
      <c r="L115" s="874"/>
      <c r="M115" s="874"/>
      <c r="N115" s="874"/>
      <c r="O115" s="874"/>
      <c r="P115" s="874"/>
      <c r="Q115" s="874"/>
      <c r="R115" s="874"/>
      <c r="S115" s="874"/>
      <c r="T115" s="874"/>
      <c r="U115" s="874"/>
      <c r="V115" s="874"/>
      <c r="W115" s="874"/>
      <c r="X115" s="874"/>
      <c r="Y115" s="874"/>
      <c r="Z115" s="874"/>
      <c r="AA115" s="875"/>
      <c r="AB115" s="875"/>
      <c r="AC115" s="875"/>
      <c r="AD115" s="845"/>
      <c r="AE115" s="845"/>
      <c r="AF115" s="845"/>
      <c r="AG115" s="845"/>
      <c r="AH115" s="845"/>
      <c r="AI115" s="845"/>
      <c r="AJ115" s="845"/>
      <c r="AK115" s="845"/>
      <c r="AL115" s="845"/>
      <c r="AM115" s="845"/>
      <c r="AN115" s="845"/>
      <c r="AO115" s="845"/>
      <c r="AP115" s="845"/>
      <c r="AQ115" s="845"/>
      <c r="AR115" s="845"/>
      <c r="AS115" s="845"/>
      <c r="AT115" s="845"/>
      <c r="AU115" s="845"/>
      <c r="AV115" s="845"/>
      <c r="AW115" s="845"/>
      <c r="AX115" s="845"/>
      <c r="AY115" s="845"/>
      <c r="AZ115" s="845"/>
      <c r="BA115" s="449"/>
      <c r="BB115" s="310"/>
      <c r="BC115" s="310"/>
      <c r="BD115" s="310"/>
      <c r="BE115" s="310"/>
      <c r="BF115" s="310"/>
      <c r="BG115" s="310"/>
      <c r="BH115" s="310"/>
      <c r="BI115" s="310"/>
      <c r="BJ115" s="443"/>
      <c r="BK115" s="310"/>
      <c r="BL115" s="310"/>
      <c r="BM115" s="310"/>
      <c r="BN115" s="310"/>
      <c r="BO115" s="310"/>
      <c r="BP115" s="310"/>
      <c r="BQ115" s="310"/>
      <c r="BR115" s="310"/>
      <c r="BS115" s="310"/>
      <c r="BT115" s="310"/>
      <c r="BU115" s="310"/>
      <c r="BV115" s="310"/>
      <c r="BW115" s="310"/>
      <c r="BX115" s="310"/>
      <c r="BY115" s="310"/>
      <c r="BZ115" s="310"/>
      <c r="CA115" s="310"/>
      <c r="CB115" s="310"/>
      <c r="CC115" s="310"/>
      <c r="CD115" s="310"/>
      <c r="CE115" s="310"/>
      <c r="CF115" s="310"/>
      <c r="CG115" s="286"/>
    </row>
    <row r="116" spans="1:86" s="250" customFormat="1" ht="3" customHeight="1">
      <c r="A116" s="220"/>
      <c r="B116" s="879"/>
      <c r="C116" s="879"/>
      <c r="D116" s="879"/>
      <c r="E116" s="881" t="s">
        <v>1591</v>
      </c>
      <c r="F116" s="881"/>
      <c r="G116" s="946"/>
      <c r="H116" s="874" t="str">
        <f>Index!C93</f>
        <v>Pohľadávky z obchodného styku súčet (r. 43 až r. 45)</v>
      </c>
      <c r="I116" s="874"/>
      <c r="J116" s="874"/>
      <c r="K116" s="874"/>
      <c r="L116" s="874"/>
      <c r="M116" s="874"/>
      <c r="N116" s="874"/>
      <c r="O116" s="874"/>
      <c r="P116" s="874"/>
      <c r="Q116" s="874"/>
      <c r="R116" s="874"/>
      <c r="S116" s="874"/>
      <c r="T116" s="874"/>
      <c r="U116" s="874"/>
      <c r="V116" s="874"/>
      <c r="W116" s="874"/>
      <c r="X116" s="874"/>
      <c r="Y116" s="874"/>
      <c r="Z116" s="874"/>
      <c r="AA116" s="875" t="s">
        <v>1593</v>
      </c>
      <c r="AB116" s="875"/>
      <c r="AC116" s="875"/>
      <c r="AD116" s="825"/>
      <c r="AE116" s="825"/>
      <c r="AF116" s="825"/>
      <c r="AG116" s="825"/>
      <c r="AH116" s="825"/>
      <c r="AI116" s="825"/>
      <c r="AJ116" s="825"/>
      <c r="AK116" s="825"/>
      <c r="AL116" s="825"/>
      <c r="AM116" s="825"/>
      <c r="AN116" s="825"/>
      <c r="AO116" s="825"/>
      <c r="AP116" s="825"/>
      <c r="AQ116" s="825"/>
      <c r="AR116" s="825"/>
      <c r="AS116" s="825"/>
      <c r="AT116" s="825"/>
      <c r="AU116" s="825"/>
      <c r="AV116" s="825"/>
      <c r="AW116" s="825"/>
      <c r="AX116" s="825"/>
      <c r="AY116" s="825"/>
      <c r="AZ116" s="825"/>
      <c r="BA116" s="867"/>
      <c r="BB116" s="867"/>
      <c r="BC116" s="867"/>
      <c r="BD116" s="867"/>
      <c r="BE116" s="867"/>
      <c r="BF116" s="867"/>
      <c r="BG116" s="867"/>
      <c r="BH116" s="867"/>
      <c r="BI116" s="867"/>
      <c r="BJ116" s="867"/>
      <c r="BK116" s="867"/>
      <c r="BL116" s="867"/>
      <c r="BM116" s="867"/>
      <c r="BN116" s="867"/>
      <c r="BO116" s="867"/>
      <c r="BP116" s="867"/>
      <c r="BQ116" s="867"/>
      <c r="BR116" s="304"/>
      <c r="BS116" s="304"/>
      <c r="BT116" s="304"/>
      <c r="BU116" s="304"/>
      <c r="BV116" s="304"/>
      <c r="BW116" s="446"/>
      <c r="BX116" s="304"/>
      <c r="BY116" s="304"/>
      <c r="BZ116" s="304"/>
      <c r="CA116" s="304"/>
      <c r="CB116" s="304"/>
      <c r="CC116" s="304"/>
      <c r="CD116" s="304"/>
      <c r="CE116" s="304"/>
      <c r="CF116" s="304"/>
      <c r="CG116" s="284"/>
    </row>
    <row r="117" spans="1:86" s="250" customFormat="1" ht="3" customHeight="1">
      <c r="A117" s="220"/>
      <c r="B117" s="879"/>
      <c r="C117" s="879"/>
      <c r="D117" s="879"/>
      <c r="E117" s="881"/>
      <c r="F117" s="881"/>
      <c r="G117" s="946"/>
      <c r="H117" s="874"/>
      <c r="I117" s="874"/>
      <c r="J117" s="874"/>
      <c r="K117" s="874"/>
      <c r="L117" s="874"/>
      <c r="M117" s="874"/>
      <c r="N117" s="874"/>
      <c r="O117" s="874"/>
      <c r="P117" s="874"/>
      <c r="Q117" s="874"/>
      <c r="R117" s="874"/>
      <c r="S117" s="874"/>
      <c r="T117" s="874"/>
      <c r="U117" s="874"/>
      <c r="V117" s="874"/>
      <c r="W117" s="874"/>
      <c r="X117" s="874"/>
      <c r="Y117" s="874"/>
      <c r="Z117" s="874"/>
      <c r="AA117" s="875"/>
      <c r="AB117" s="875"/>
      <c r="AC117" s="875"/>
      <c r="AD117" s="826"/>
      <c r="AE117" s="820"/>
      <c r="AF117" s="820"/>
      <c r="AG117" s="820"/>
      <c r="AH117" s="435"/>
      <c r="AI117" s="821"/>
      <c r="AJ117" s="821"/>
      <c r="AK117" s="821"/>
      <c r="AL117" s="821"/>
      <c r="AM117" s="821"/>
      <c r="AN117" s="818"/>
      <c r="AO117" s="822"/>
      <c r="AP117" s="822"/>
      <c r="AQ117" s="822"/>
      <c r="AR117" s="822"/>
      <c r="AS117" s="822"/>
      <c r="AT117" s="818"/>
      <c r="AU117" s="822"/>
      <c r="AV117" s="822"/>
      <c r="AW117" s="822"/>
      <c r="AX117" s="822"/>
      <c r="AY117" s="822"/>
      <c r="AZ117" s="827"/>
      <c r="BA117" s="826"/>
      <c r="BB117" s="820"/>
      <c r="BC117" s="820"/>
      <c r="BD117" s="820"/>
      <c r="BE117" s="435"/>
      <c r="BF117" s="821"/>
      <c r="BG117" s="821"/>
      <c r="BH117" s="821"/>
      <c r="BI117" s="821"/>
      <c r="BJ117" s="821"/>
      <c r="BK117" s="818"/>
      <c r="BL117" s="822"/>
      <c r="BM117" s="822"/>
      <c r="BN117" s="822"/>
      <c r="BO117" s="822"/>
      <c r="BP117" s="822"/>
      <c r="BQ117" s="818"/>
      <c r="BR117" s="822"/>
      <c r="BS117" s="822"/>
      <c r="BT117" s="822"/>
      <c r="BU117" s="822"/>
      <c r="BV117" s="822"/>
      <c r="BW117" s="441"/>
      <c r="BX117" s="442"/>
      <c r="BY117" s="442"/>
      <c r="BZ117" s="442"/>
      <c r="CA117" s="442"/>
      <c r="CB117" s="442"/>
      <c r="CC117" s="442"/>
      <c r="CD117" s="442"/>
      <c r="CE117" s="442"/>
      <c r="CF117" s="442"/>
      <c r="CG117" s="285"/>
    </row>
    <row r="118" spans="1:86" ht="15" customHeight="1">
      <c r="A118" s="220"/>
      <c r="B118" s="879"/>
      <c r="C118" s="879"/>
      <c r="D118" s="879"/>
      <c r="E118" s="881"/>
      <c r="F118" s="881"/>
      <c r="G118" s="946"/>
      <c r="H118" s="874"/>
      <c r="I118" s="874"/>
      <c r="J118" s="874"/>
      <c r="K118" s="874"/>
      <c r="L118" s="874"/>
      <c r="M118" s="874"/>
      <c r="N118" s="874"/>
      <c r="O118" s="874"/>
      <c r="P118" s="874"/>
      <c r="Q118" s="874"/>
      <c r="R118" s="874"/>
      <c r="S118" s="874"/>
      <c r="T118" s="874"/>
      <c r="U118" s="874"/>
      <c r="V118" s="874"/>
      <c r="W118" s="874"/>
      <c r="X118" s="874"/>
      <c r="Y118" s="874"/>
      <c r="Z118" s="874"/>
      <c r="AA118" s="875"/>
      <c r="AB118" s="875"/>
      <c r="AC118" s="875"/>
      <c r="AD118" s="826"/>
      <c r="AE118" s="432" t="str">
        <f>IF(LEN(VLOOKUP(AA116,suvaha!$D$8:$H$158,2,FALSE))&lt;11,"",LEFT(RIGHT(VLOOKUP(AA116,suvaha!$D$8:$H$158,2,FALSE),11),1))</f>
        <v/>
      </c>
      <c r="AF118" s="255"/>
      <c r="AG118" s="432" t="str">
        <f>IF(LEN(VLOOKUP(AA116,suvaha!$D$8:$H$158,2,FALSE))&lt;10,"",LEFT(RIGHT(VLOOKUP(AA116,suvaha!$D$8:$H$158,2,FALSE),10),1))</f>
        <v/>
      </c>
      <c r="AH118" s="434"/>
      <c r="AI118" s="432" t="str">
        <f>IF(LEN(VLOOKUP(AA116,suvaha!$D$8:$H$158,2,FALSE))&lt;9,"",LEFT(RIGHT(VLOOKUP(AA116,suvaha!$D$8:$H$158,2,FALSE),9),1))</f>
        <v/>
      </c>
      <c r="AJ118" s="255"/>
      <c r="AK118" s="432" t="str">
        <f>IF(LEN(VLOOKUP(AA116,suvaha!$D$8:$H$158,2,FALSE))&lt;8,"",LEFT(RIGHT(VLOOKUP(AA116,suvaha!$D$8:$H$158,2,FALSE),8),1))</f>
        <v/>
      </c>
      <c r="AL118" s="434"/>
      <c r="AM118" s="432" t="str">
        <f>IF(LEN(VLOOKUP(AA116,suvaha!$D$8:$H$158,2,FALSE))&lt;7,"",LEFT(RIGHT(VLOOKUP(AA116,suvaha!$D$8:$H$158,2,FALSE),7),1))</f>
        <v/>
      </c>
      <c r="AN118" s="818"/>
      <c r="AO118" s="432" t="str">
        <f>IF(LEN(VLOOKUP(AA116,suvaha!$D$8:$H$158,2,FALSE))&lt;6,"",LEFT(RIGHT(VLOOKUP(AA116,suvaha!$D$8:$H$158,2,FALSE),6),1))</f>
        <v/>
      </c>
      <c r="AP118" s="434"/>
      <c r="AQ118" s="432" t="str">
        <f>IF(LEN(VLOOKUP(AA116,suvaha!$D$8:$H$158,2,FALSE))&lt;5,"",LEFT(RIGHT(VLOOKUP(AA116,suvaha!$D$8:$H$158,2,FALSE),5),1))</f>
        <v>3</v>
      </c>
      <c r="AR118" s="434"/>
      <c r="AS118" s="432" t="str">
        <f>IF(LEN(VLOOKUP(AA116,suvaha!$D$8:$H$158,2,FALSE))&lt;4,"",LEFT(RIGHT(VLOOKUP(AA116,suvaha!$D$8:$H$158,2,FALSE),4),1))</f>
        <v>5</v>
      </c>
      <c r="AT118" s="818"/>
      <c r="AU118" s="432" t="str">
        <f>IF(LEN(VLOOKUP(AA116,suvaha!$D$8:$H$158,2,FALSE))&lt;3,"",LEFT(RIGHT(VLOOKUP(AA116,suvaha!$D$8:$H$158,2,FALSE),3),1))</f>
        <v>6</v>
      </c>
      <c r="AV118" s="434"/>
      <c r="AW118" s="432" t="str">
        <f>IF(LEN(VLOOKUP(AA116,suvaha!$D$8:$H$158,2,FALSE))&lt;2,"",LEFT(RIGHT(VLOOKUP(AA116,suvaha!$D$8:$H$158,2,FALSE),2),1))</f>
        <v>6</v>
      </c>
      <c r="AX118" s="434"/>
      <c r="AY118" s="432" t="str">
        <f>IF(VLOOKUP(AA116,suvaha!$D$8:$H$85,2,FALSE)=0,"",IF(LEN(VLOOKUP(AA116,suvaha!$D$8:$H$158,2,FALSE))&lt;1,"",LEFT(RIGHT(VLOOKUP(AA116,suvaha!$D$8:$H$158,2,FALSE),1),1)))</f>
        <v>0</v>
      </c>
      <c r="AZ118" s="827"/>
      <c r="BA118" s="826"/>
      <c r="BB118" s="432" t="str">
        <f>IF(LEN(VLOOKUP(AA116,suvaha!$D$8:$H$158,4,FALSE))&lt;11,"",LEFT(RIGHT(VLOOKUP(AA116,suvaha!$D$8:$H$158,4,FALSE),11),1))</f>
        <v/>
      </c>
      <c r="BC118" s="255"/>
      <c r="BD118" s="432" t="str">
        <f>IF(LEN(VLOOKUP(AA116,suvaha!$D$8:$H$158,4,FALSE))&lt;10,"",LEFT(RIGHT(VLOOKUP(AA116,suvaha!$D$8:$H$158,4,FALSE),10),1))</f>
        <v/>
      </c>
      <c r="BE118" s="434"/>
      <c r="BF118" s="432" t="str">
        <f>IF(LEN(VLOOKUP(AA116,suvaha!$D$8:$H$158,4,FALSE))&lt;9,"",LEFT(RIGHT(VLOOKUP(AA116,suvaha!$D$8:$H$158,4,FALSE),9),1))</f>
        <v/>
      </c>
      <c r="BG118" s="255"/>
      <c r="BH118" s="432" t="str">
        <f>IF(LEN(VLOOKUP(AA116,suvaha!$D$8:$H$158,4,FALSE))&lt;8,"",LEFT(RIGHT(VLOOKUP(AA116,suvaha!$D$8:$H$158,4,FALSE),8),1))</f>
        <v/>
      </c>
      <c r="BI118" s="434"/>
      <c r="BJ118" s="432" t="str">
        <f>IF(LEN(VLOOKUP(AA116,suvaha!$D$8:$H$158,4,FALSE))&lt;7,"",LEFT(RIGHT(VLOOKUP(AA116,suvaha!$D$8:$H$158,4,FALSE),7),1))</f>
        <v/>
      </c>
      <c r="BK118" s="818"/>
      <c r="BL118" s="432" t="str">
        <f>IF(LEN(VLOOKUP(AA116,suvaha!$D$8:$H$158,4,FALSE))&lt;6,"",LEFT(RIGHT(VLOOKUP(AA116,suvaha!$D$8:$H$158,4,FALSE),6),1))</f>
        <v/>
      </c>
      <c r="BM118" s="434"/>
      <c r="BN118" s="432" t="str">
        <f>IF(LEN(VLOOKUP(AA116,suvaha!$D$8:$H$158,4,FALSE))&lt;5,"",LEFT(RIGHT(VLOOKUP(AA116,suvaha!$D$8:$H$158,4,FALSE),5),1))</f>
        <v>3</v>
      </c>
      <c r="BO118" s="434"/>
      <c r="BP118" s="432" t="str">
        <f>IF(LEN(VLOOKUP(AA116,suvaha!$D$8:$H$158,4,FALSE))&lt;4,"",LEFT(RIGHT(VLOOKUP(AA116,suvaha!$D$8:$H$158,4,FALSE),4),1))</f>
        <v>5</v>
      </c>
      <c r="BQ118" s="818"/>
      <c r="BR118" s="432" t="str">
        <f>IF(LEN(VLOOKUP(AA116,suvaha!$D$8:$H$158,4,FALSE))&lt;3,"",LEFT(RIGHT(VLOOKUP(AA116,suvaha!$D$8:$H$158,4,FALSE),3),1))</f>
        <v>6</v>
      </c>
      <c r="BS118" s="434"/>
      <c r="BT118" s="432" t="str">
        <f>IF(LEN(VLOOKUP(AA116,suvaha!$D$8:$H$158,4,FALSE))&lt;2,"",LEFT(RIGHT(VLOOKUP(AA116,suvaha!$D$8:$H$158,4,FALSE),2),1))</f>
        <v>6</v>
      </c>
      <c r="BU118" s="434"/>
      <c r="BV118" s="432" t="str">
        <f>IF(VLOOKUP(AA116,suvaha!$D$8:$H$85,4,FALSE)=0,"",IF(LEN(VLOOKUP(AA116,suvaha!$D$8:$H$158,4,FALSE))&lt;1,"",LEFT(RIGHT(VLOOKUP(AA116,suvaha!$D$8:$H$158,4,FALSE),1),1)))</f>
        <v>0</v>
      </c>
      <c r="BW118" s="441"/>
      <c r="BX118" s="442"/>
      <c r="BY118" s="442"/>
      <c r="BZ118" s="442"/>
      <c r="CA118" s="442"/>
      <c r="CB118" s="442"/>
      <c r="CC118" s="442"/>
      <c r="CD118" s="442"/>
      <c r="CE118" s="442"/>
      <c r="CF118" s="442"/>
      <c r="CG118" s="285"/>
    </row>
    <row r="119" spans="1:86" ht="3" customHeight="1">
      <c r="A119" s="220"/>
      <c r="B119" s="879"/>
      <c r="C119" s="879"/>
      <c r="D119" s="879"/>
      <c r="E119" s="881"/>
      <c r="F119" s="881"/>
      <c r="G119" s="946"/>
      <c r="H119" s="874"/>
      <c r="I119" s="874"/>
      <c r="J119" s="874"/>
      <c r="K119" s="874"/>
      <c r="L119" s="874"/>
      <c r="M119" s="874"/>
      <c r="N119" s="874"/>
      <c r="O119" s="874"/>
      <c r="P119" s="874"/>
      <c r="Q119" s="874"/>
      <c r="R119" s="874"/>
      <c r="S119" s="874"/>
      <c r="T119" s="874"/>
      <c r="U119" s="874"/>
      <c r="V119" s="874"/>
      <c r="W119" s="874"/>
      <c r="X119" s="874"/>
      <c r="Y119" s="874"/>
      <c r="Z119" s="874"/>
      <c r="AA119" s="875"/>
      <c r="AB119" s="875"/>
      <c r="AC119" s="875"/>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6"/>
      <c r="BB119" s="846"/>
      <c r="BC119" s="846"/>
      <c r="BD119" s="846"/>
      <c r="BE119" s="846"/>
      <c r="BF119" s="846"/>
      <c r="BG119" s="846"/>
      <c r="BH119" s="846"/>
      <c r="BI119" s="846"/>
      <c r="BJ119" s="846"/>
      <c r="BK119" s="846"/>
      <c r="BL119" s="846"/>
      <c r="BM119" s="846"/>
      <c r="BN119" s="846"/>
      <c r="BO119" s="846"/>
      <c r="BP119" s="846"/>
      <c r="BQ119" s="846"/>
      <c r="BR119" s="310"/>
      <c r="BS119" s="310"/>
      <c r="BT119" s="310"/>
      <c r="BU119" s="310"/>
      <c r="BV119" s="310"/>
      <c r="BW119" s="443"/>
      <c r="BX119" s="310"/>
      <c r="BY119" s="310"/>
      <c r="BZ119" s="310"/>
      <c r="CA119" s="310"/>
      <c r="CB119" s="310"/>
      <c r="CC119" s="310"/>
      <c r="CD119" s="310"/>
      <c r="CE119" s="310"/>
      <c r="CF119" s="310"/>
      <c r="CG119" s="286"/>
    </row>
    <row r="120" spans="1:86" ht="3" customHeight="1">
      <c r="A120" s="220"/>
      <c r="B120" s="879"/>
      <c r="C120" s="879"/>
      <c r="D120" s="879"/>
      <c r="E120" s="881"/>
      <c r="F120" s="881"/>
      <c r="G120" s="946"/>
      <c r="H120" s="874"/>
      <c r="I120" s="874"/>
      <c r="J120" s="874"/>
      <c r="K120" s="874"/>
      <c r="L120" s="874"/>
      <c r="M120" s="874"/>
      <c r="N120" s="874"/>
      <c r="O120" s="874"/>
      <c r="P120" s="874"/>
      <c r="Q120" s="874"/>
      <c r="R120" s="874"/>
      <c r="S120" s="874"/>
      <c r="T120" s="874"/>
      <c r="U120" s="874"/>
      <c r="V120" s="874"/>
      <c r="W120" s="874"/>
      <c r="X120" s="874"/>
      <c r="Y120" s="874"/>
      <c r="Z120" s="874"/>
      <c r="AA120" s="875"/>
      <c r="AB120" s="875"/>
      <c r="AC120" s="875"/>
      <c r="AD120" s="825"/>
      <c r="AE120" s="825"/>
      <c r="AF120" s="825"/>
      <c r="AG120" s="825"/>
      <c r="AH120" s="825"/>
      <c r="AI120" s="825"/>
      <c r="AJ120" s="825"/>
      <c r="AK120" s="825"/>
      <c r="AL120" s="825"/>
      <c r="AM120" s="825"/>
      <c r="AN120" s="825"/>
      <c r="AO120" s="825"/>
      <c r="AP120" s="825"/>
      <c r="AQ120" s="825"/>
      <c r="AR120" s="825"/>
      <c r="AS120" s="825"/>
      <c r="AT120" s="825"/>
      <c r="AU120" s="825"/>
      <c r="AV120" s="825"/>
      <c r="AW120" s="825"/>
      <c r="AX120" s="825"/>
      <c r="AY120" s="825"/>
      <c r="AZ120" s="825"/>
      <c r="BA120" s="447"/>
      <c r="BB120" s="304"/>
      <c r="BC120" s="304"/>
      <c r="BD120" s="304"/>
      <c r="BE120" s="304"/>
      <c r="BF120" s="304"/>
      <c r="BG120" s="304"/>
      <c r="BH120" s="304"/>
      <c r="BI120" s="304"/>
      <c r="BJ120" s="446"/>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284"/>
    </row>
    <row r="121" spans="1:86" ht="3" customHeight="1">
      <c r="A121" s="220"/>
      <c r="B121" s="879"/>
      <c r="C121" s="879"/>
      <c r="D121" s="879"/>
      <c r="E121" s="881"/>
      <c r="F121" s="881"/>
      <c r="G121" s="946"/>
      <c r="H121" s="874"/>
      <c r="I121" s="874"/>
      <c r="J121" s="874"/>
      <c r="K121" s="874"/>
      <c r="L121" s="874"/>
      <c r="M121" s="874"/>
      <c r="N121" s="874"/>
      <c r="O121" s="874"/>
      <c r="P121" s="874"/>
      <c r="Q121" s="874"/>
      <c r="R121" s="874"/>
      <c r="S121" s="874"/>
      <c r="T121" s="874"/>
      <c r="U121" s="874"/>
      <c r="V121" s="874"/>
      <c r="W121" s="874"/>
      <c r="X121" s="874"/>
      <c r="Y121" s="874"/>
      <c r="Z121" s="874"/>
      <c r="AA121" s="875"/>
      <c r="AB121" s="875"/>
      <c r="AC121" s="875"/>
      <c r="AD121" s="826"/>
      <c r="AE121" s="820"/>
      <c r="AF121" s="820"/>
      <c r="AG121" s="820"/>
      <c r="AH121" s="435"/>
      <c r="AI121" s="821"/>
      <c r="AJ121" s="821"/>
      <c r="AK121" s="821"/>
      <c r="AL121" s="821"/>
      <c r="AM121" s="821"/>
      <c r="AN121" s="818"/>
      <c r="AO121" s="822"/>
      <c r="AP121" s="822"/>
      <c r="AQ121" s="822"/>
      <c r="AR121" s="822"/>
      <c r="AS121" s="822"/>
      <c r="AT121" s="818"/>
      <c r="AU121" s="822"/>
      <c r="AV121" s="822"/>
      <c r="AW121" s="822"/>
      <c r="AX121" s="822"/>
      <c r="AY121" s="822"/>
      <c r="AZ121" s="827"/>
      <c r="BA121" s="448"/>
      <c r="BB121" s="442"/>
      <c r="BC121" s="442"/>
      <c r="BD121" s="442"/>
      <c r="BE121" s="442"/>
      <c r="BF121" s="442"/>
      <c r="BG121" s="442"/>
      <c r="BH121" s="442"/>
      <c r="BI121" s="442"/>
      <c r="BJ121" s="441"/>
      <c r="BK121" s="442"/>
      <c r="BL121" s="820"/>
      <c r="BM121" s="820"/>
      <c r="BN121" s="820"/>
      <c r="BO121" s="435"/>
      <c r="BP121" s="821"/>
      <c r="BQ121" s="821"/>
      <c r="BR121" s="821"/>
      <c r="BS121" s="821"/>
      <c r="BT121" s="821"/>
      <c r="BU121" s="818"/>
      <c r="BV121" s="822"/>
      <c r="BW121" s="822"/>
      <c r="BX121" s="822"/>
      <c r="BY121" s="822"/>
      <c r="BZ121" s="822"/>
      <c r="CA121" s="818"/>
      <c r="CB121" s="822"/>
      <c r="CC121" s="822"/>
      <c r="CD121" s="822"/>
      <c r="CE121" s="822"/>
      <c r="CF121" s="822"/>
      <c r="CG121" s="287"/>
    </row>
    <row r="122" spans="1:86" ht="15" customHeight="1">
      <c r="A122" s="220"/>
      <c r="B122" s="879"/>
      <c r="C122" s="879"/>
      <c r="D122" s="879"/>
      <c r="E122" s="881"/>
      <c r="F122" s="881"/>
      <c r="G122" s="946"/>
      <c r="H122" s="874"/>
      <c r="I122" s="874"/>
      <c r="J122" s="874"/>
      <c r="K122" s="874"/>
      <c r="L122" s="874"/>
      <c r="M122" s="874"/>
      <c r="N122" s="874"/>
      <c r="O122" s="874"/>
      <c r="P122" s="874"/>
      <c r="Q122" s="874"/>
      <c r="R122" s="874"/>
      <c r="S122" s="874"/>
      <c r="T122" s="874"/>
      <c r="U122" s="874"/>
      <c r="V122" s="874"/>
      <c r="W122" s="874"/>
      <c r="X122" s="874"/>
      <c r="Y122" s="874"/>
      <c r="Z122" s="874"/>
      <c r="AA122" s="875"/>
      <c r="AB122" s="875"/>
      <c r="AC122" s="875"/>
      <c r="AD122" s="826"/>
      <c r="AE122" s="432" t="str">
        <f>IF(LEN(VLOOKUP(AA116,suvaha!$D$8:$H$158,3,FALSE))&lt;11,"",LEFT(RIGHT(VLOOKUP(AA116,suvaha!$D$8:$H$158,3,FALSE),11),1))</f>
        <v/>
      </c>
      <c r="AF122" s="255"/>
      <c r="AG122" s="432" t="str">
        <f>IF(LEN(VLOOKUP(AA116,suvaha!$D$8:$H$158,3,FALSE))&lt;10,"",LEFT(RIGHT(VLOOKUP(AA116,suvaha!$D$8:$H$158,3,FALSE),10),1))</f>
        <v/>
      </c>
      <c r="AH122" s="434"/>
      <c r="AI122" s="432" t="str">
        <f>IF(LEN(VLOOKUP(AA116,suvaha!$D$8:$H$158,3,FALSE))&lt;9,"",LEFT(RIGHT(VLOOKUP(AA116,suvaha!$D$8:$H$158,3,FALSE),9),1))</f>
        <v/>
      </c>
      <c r="AJ122" s="255"/>
      <c r="AK122" s="432" t="str">
        <f>IF(LEN(VLOOKUP(AA116,suvaha!$D$8:$H$158,3,FALSE))&lt;8,"",LEFT(RIGHT(VLOOKUP(AA116,suvaha!$D$8:$H$158,3,FALSE),8),1))</f>
        <v/>
      </c>
      <c r="AL122" s="434"/>
      <c r="AM122" s="432" t="str">
        <f>IF(LEN(VLOOKUP(AA116,suvaha!$D$8:$H$158,3,FALSE))&lt;7,"",LEFT(RIGHT(VLOOKUP(AA116,suvaha!$D$8:$H$158,3,FALSE),7),1))</f>
        <v/>
      </c>
      <c r="AN122" s="818"/>
      <c r="AO122" s="432" t="str">
        <f>IF(LEN(VLOOKUP(AA116,suvaha!$D$8:$H$158,3,FALSE))&lt;6,"",LEFT(RIGHT(VLOOKUP(AA116,suvaha!$D$8:$H$158,3,FALSE),6),1))</f>
        <v/>
      </c>
      <c r="AP122" s="434"/>
      <c r="AQ122" s="432" t="str">
        <f>IF(LEN(VLOOKUP(AA116,suvaha!$D$8:$H$158,3,FALSE))&lt;5,"",LEFT(RIGHT(VLOOKUP(AA116,suvaha!$D$8:$H$158,3,FALSE),5),1))</f>
        <v/>
      </c>
      <c r="AR122" s="434"/>
      <c r="AS122" s="432" t="str">
        <f>IF(LEN(VLOOKUP(AA116,suvaha!$D$8:$H$158,3,FALSE))&lt;4,"",LEFT(RIGHT(VLOOKUP(AA116,suvaha!$D$8:$H$158,3,FALSE),4),1))</f>
        <v/>
      </c>
      <c r="AT122" s="818"/>
      <c r="AU122" s="432" t="str">
        <f>IF(LEN(VLOOKUP(AA116,suvaha!$D$8:$H$158,3,FALSE))&lt;3,"",LEFT(RIGHT(VLOOKUP(AA116,suvaha!$D$8:$H$158,3,FALSE),3),1))</f>
        <v/>
      </c>
      <c r="AV122" s="434"/>
      <c r="AW122" s="432" t="str">
        <f>IF(LEN(VLOOKUP(AA116,suvaha!$D$8:$H$158,3,FALSE))&lt;2,"",LEFT(RIGHT(VLOOKUP(AA116,suvaha!$D$8:$H$158,3,FALSE),2),1))</f>
        <v/>
      </c>
      <c r="AX122" s="434"/>
      <c r="AY122" s="432" t="str">
        <f>IF(VLOOKUP(AA116,suvaha!$D$8:$H$85,3,FALSE)=0,"",IF(LEN(VLOOKUP(AA116,suvaha!$D$8:$H$158,3,FALSE))&lt;1,"",LEFT(RIGHT(VLOOKUP(AA116,suvaha!$D$8:$H$158,3,FALSE),1),1)))</f>
        <v/>
      </c>
      <c r="AZ122" s="827"/>
      <c r="BA122" s="448"/>
      <c r="BB122" s="442"/>
      <c r="BC122" s="442"/>
      <c r="BD122" s="442"/>
      <c r="BE122" s="442"/>
      <c r="BF122" s="442"/>
      <c r="BG122" s="442"/>
      <c r="BH122" s="442"/>
      <c r="BI122" s="442"/>
      <c r="BJ122" s="441"/>
      <c r="BK122" s="442"/>
      <c r="BL122" s="432" t="str">
        <f>IF(LEN(VLOOKUP(AA116,suvaha!$D$8:$H$158,5,FALSE))&lt;11,"",LEFT(RIGHT(VLOOKUP(AA116,suvaha!$D$8:$H$158,5,FALSE),11),1))</f>
        <v/>
      </c>
      <c r="BM122" s="255"/>
      <c r="BN122" s="432" t="str">
        <f>IF(LEN(VLOOKUP(AA116,suvaha!$D$8:$H$158,5,FALSE))&lt;10,"",LEFT(RIGHT(VLOOKUP(AA116,suvaha!$D$8:$H$158,5,FALSE),10),1))</f>
        <v/>
      </c>
      <c r="BO122" s="434"/>
      <c r="BP122" s="432" t="str">
        <f>IF(LEN(VLOOKUP(AA116,suvaha!$D$8:$H$158,5,FALSE))&lt;9,"",LEFT(RIGHT(VLOOKUP(AA116,suvaha!$D$8:$H$158,5,FALSE),9),1))</f>
        <v/>
      </c>
      <c r="BQ122" s="255"/>
      <c r="BR122" s="432" t="str">
        <f>IF(LEN(VLOOKUP(AA116,suvaha!$D$8:$H$158,5,FALSE))&lt;8,"",LEFT(RIGHT(VLOOKUP(AA116,suvaha!$D$8:$H$158,5,FALSE),8),1))</f>
        <v/>
      </c>
      <c r="BS122" s="434"/>
      <c r="BT122" s="432" t="str">
        <f>IF(LEN(VLOOKUP(AA116,suvaha!$D$8:$H$158,5,FALSE))&lt;7,"",LEFT(RIGHT(VLOOKUP(AA116,suvaha!$D$8:$H$158,5,FALSE),7),1))</f>
        <v/>
      </c>
      <c r="BU122" s="818"/>
      <c r="BV122" s="432" t="str">
        <f>IF(LEN(VLOOKUP(AA116,suvaha!$D$8:$H$158,5,FALSE))&lt;6,"",LEFT(RIGHT(VLOOKUP(AA116,suvaha!$D$8:$H$158,5,FALSE),6),1))</f>
        <v/>
      </c>
      <c r="BW122" s="434"/>
      <c r="BX122" s="432" t="str">
        <f>IF(LEN(VLOOKUP(AA116,suvaha!$D$8:$H$158,5,FALSE))&lt;5,"",LEFT(RIGHT(VLOOKUP(AA116,suvaha!$D$8:$H$158,5,FALSE),5),1))</f>
        <v/>
      </c>
      <c r="BY122" s="434"/>
      <c r="BZ122" s="432" t="str">
        <f>IF(LEN(VLOOKUP(AA116,suvaha!$D$8:$H$158,5,FALSE))&lt;4,"",LEFT(RIGHT(VLOOKUP(AA116,suvaha!$D$8:$H$158,5,FALSE),4),1))</f>
        <v/>
      </c>
      <c r="CA122" s="818"/>
      <c r="CB122" s="432" t="str">
        <f>IF(LEN(VLOOKUP(AA116,suvaha!$D$8:$H$158,5,FALSE))&lt;3,"",LEFT(RIGHT(VLOOKUP(AA116,suvaha!$D$8:$H$158,5,FALSE),3),1))</f>
        <v/>
      </c>
      <c r="CC122" s="434"/>
      <c r="CD122" s="432" t="str">
        <f>IF(LEN(VLOOKUP(AA116,suvaha!$D$8:$H$158,5,FALSE))&lt;2,"",LEFT(RIGHT(VLOOKUP(AA116,suvaha!$D$8:$H$158,5,FALSE),2),1))</f>
        <v/>
      </c>
      <c r="CE122" s="434"/>
      <c r="CF122" s="432" t="str">
        <f>IF(VLOOKUP(AA116,suvaha!$D$8:$H$85,5,FALSE)=0,"",IF(LEN(VLOOKUP(AA116,suvaha!$D$8:$H$158,5,FALSE))&lt;1,"",LEFT(RIGHT(VLOOKUP(AA116,suvaha!$D$8:$H$158,5,FALSE),1),1)))</f>
        <v/>
      </c>
      <c r="CG122" s="287"/>
    </row>
    <row r="123" spans="1:86" ht="3" customHeight="1">
      <c r="A123" s="220"/>
      <c r="B123" s="879"/>
      <c r="C123" s="879"/>
      <c r="D123" s="879"/>
      <c r="E123" s="881"/>
      <c r="F123" s="881"/>
      <c r="G123" s="946"/>
      <c r="H123" s="874"/>
      <c r="I123" s="874"/>
      <c r="J123" s="874"/>
      <c r="K123" s="874"/>
      <c r="L123" s="874"/>
      <c r="M123" s="874"/>
      <c r="N123" s="874"/>
      <c r="O123" s="874"/>
      <c r="P123" s="874"/>
      <c r="Q123" s="874"/>
      <c r="R123" s="874"/>
      <c r="S123" s="874"/>
      <c r="T123" s="874"/>
      <c r="U123" s="874"/>
      <c r="V123" s="874"/>
      <c r="W123" s="874"/>
      <c r="X123" s="874"/>
      <c r="Y123" s="874"/>
      <c r="Z123" s="874"/>
      <c r="AA123" s="875"/>
      <c r="AB123" s="875"/>
      <c r="AC123" s="875"/>
      <c r="AD123" s="848"/>
      <c r="AE123" s="848"/>
      <c r="AF123" s="848"/>
      <c r="AG123" s="848"/>
      <c r="AH123" s="848"/>
      <c r="AI123" s="848"/>
      <c r="AJ123" s="848"/>
      <c r="AK123" s="848"/>
      <c r="AL123" s="848"/>
      <c r="AM123" s="848"/>
      <c r="AN123" s="848"/>
      <c r="AO123" s="848"/>
      <c r="AP123" s="848"/>
      <c r="AQ123" s="848"/>
      <c r="AR123" s="848"/>
      <c r="AS123" s="848"/>
      <c r="AT123" s="848"/>
      <c r="AU123" s="848"/>
      <c r="AV123" s="848"/>
      <c r="AW123" s="848"/>
      <c r="AX123" s="848"/>
      <c r="AY123" s="848"/>
      <c r="AZ123" s="848"/>
      <c r="BA123" s="261"/>
      <c r="BB123" s="256"/>
      <c r="BC123" s="256"/>
      <c r="BD123" s="256"/>
      <c r="BE123" s="256"/>
      <c r="BF123" s="256"/>
      <c r="BG123" s="256"/>
      <c r="BH123" s="256"/>
      <c r="BI123" s="256"/>
      <c r="BJ123" s="257"/>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86"/>
    </row>
    <row r="124" spans="1:86" ht="3" customHeight="1">
      <c r="B124" s="220"/>
      <c r="E124" s="824"/>
      <c r="F124" s="824"/>
      <c r="G124" s="824"/>
      <c r="H124" s="824"/>
      <c r="I124" s="824"/>
      <c r="J124" s="824"/>
      <c r="K124" s="824"/>
      <c r="L124" s="824"/>
      <c r="M124" s="824"/>
      <c r="N124" s="824"/>
      <c r="O124" s="824"/>
      <c r="P124" s="824"/>
      <c r="Q124" s="824"/>
      <c r="R124" s="824"/>
      <c r="S124" s="824"/>
      <c r="T124" s="824"/>
      <c r="U124" s="824"/>
      <c r="V124" s="824"/>
      <c r="W124" s="824"/>
      <c r="X124" s="824"/>
      <c r="Y124" s="824"/>
      <c r="Z124" s="824"/>
      <c r="AA124" s="824"/>
      <c r="AB124" s="824"/>
      <c r="AC124" s="824"/>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row>
    <row r="125" spans="1:86" s="220" customFormat="1" ht="5.25" customHeight="1">
      <c r="E125" s="267"/>
      <c r="CG125" s="238"/>
    </row>
    <row r="126" spans="1:86" ht="3.75" customHeight="1">
      <c r="A126" s="220"/>
      <c r="B126" s="220"/>
      <c r="C126" s="220"/>
      <c r="D126" s="220"/>
      <c r="E126" s="267"/>
      <c r="F126" s="220"/>
      <c r="G126" s="268"/>
      <c r="H126" s="240"/>
      <c r="I126" s="240"/>
      <c r="J126" s="240"/>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220"/>
      <c r="CG126" s="238"/>
      <c r="CH126" s="220"/>
    </row>
    <row r="127" spans="1:86" ht="3.75" customHeight="1" thickBot="1">
      <c r="A127" s="220"/>
      <c r="B127" s="220"/>
      <c r="C127" s="220"/>
      <c r="D127" s="220"/>
      <c r="E127" s="269"/>
      <c r="F127" s="270"/>
      <c r="G127" s="268"/>
      <c r="H127" s="240"/>
      <c r="I127" s="240"/>
      <c r="J127" s="240"/>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270"/>
      <c r="CG127" s="271"/>
      <c r="CH127" s="220"/>
    </row>
    <row r="128" spans="1:86" ht="10.5" customHeight="1" thickTop="1">
      <c r="A128" s="220"/>
      <c r="B128" s="220"/>
      <c r="C128" s="220"/>
      <c r="D128" s="220"/>
      <c r="E128" s="220"/>
      <c r="F128" s="220"/>
      <c r="G128" s="268"/>
      <c r="H128" s="353" t="s">
        <v>1532</v>
      </c>
      <c r="I128" s="240"/>
      <c r="J128" s="240"/>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414" t="str">
        <f>Index!C422</f>
        <v>Strana 4</v>
      </c>
      <c r="CE128" s="356"/>
      <c r="CF128" s="356"/>
      <c r="CG128" s="356"/>
      <c r="CH128" s="220"/>
    </row>
    <row r="129" spans="1:88" s="277" customFormat="1">
      <c r="A129" s="272"/>
      <c r="B129" s="272"/>
      <c r="C129" s="272"/>
      <c r="D129" s="272"/>
      <c r="E129" s="273"/>
      <c r="F129" s="273"/>
      <c r="G129" s="273"/>
      <c r="H129" s="274"/>
      <c r="I129" s="274"/>
      <c r="J129" s="274"/>
      <c r="K129" s="275"/>
      <c r="L129" s="275"/>
      <c r="M129" s="275"/>
      <c r="N129" s="275"/>
      <c r="O129" s="275"/>
      <c r="P129" s="275"/>
      <c r="Q129" s="275"/>
      <c r="R129" s="275"/>
      <c r="S129" s="275"/>
      <c r="T129" s="275"/>
      <c r="U129" s="275"/>
      <c r="V129" s="275"/>
      <c r="W129" s="275"/>
      <c r="X129" s="275"/>
      <c r="Y129" s="275"/>
      <c r="Z129" s="275"/>
      <c r="AA129" s="275"/>
      <c r="AB129" s="275"/>
      <c r="AC129" s="275"/>
      <c r="AD129" s="275"/>
      <c r="AE129" s="276">
        <v>10</v>
      </c>
      <c r="AF129" s="275"/>
      <c r="AG129" s="276">
        <v>9</v>
      </c>
      <c r="AH129" s="275"/>
      <c r="AI129" s="276">
        <v>8</v>
      </c>
      <c r="AJ129" s="275"/>
      <c r="AK129" s="276">
        <v>7</v>
      </c>
      <c r="AL129" s="275"/>
      <c r="AM129" s="276">
        <v>6</v>
      </c>
      <c r="AN129" s="275"/>
      <c r="AO129" s="276">
        <v>5</v>
      </c>
      <c r="AP129" s="275"/>
      <c r="AQ129" s="276">
        <v>4</v>
      </c>
      <c r="AR129" s="275"/>
      <c r="AS129" s="276">
        <v>3</v>
      </c>
      <c r="AT129" s="275"/>
      <c r="AU129" s="276">
        <v>2</v>
      </c>
      <c r="AV129" s="275"/>
      <c r="AW129" s="276">
        <v>1</v>
      </c>
      <c r="AX129" s="275"/>
      <c r="AY129" s="276">
        <v>0</v>
      </c>
      <c r="AZ129" s="275"/>
      <c r="BA129" s="275"/>
      <c r="BB129" s="276">
        <v>10</v>
      </c>
      <c r="BC129" s="275"/>
      <c r="BD129" s="276">
        <v>9</v>
      </c>
      <c r="BE129" s="275"/>
      <c r="BF129" s="276">
        <v>8</v>
      </c>
      <c r="BG129" s="275"/>
      <c r="BH129" s="276">
        <v>7</v>
      </c>
      <c r="BI129" s="275"/>
      <c r="BJ129" s="276">
        <v>6</v>
      </c>
      <c r="BK129" s="275"/>
      <c r="BL129" s="276">
        <v>5</v>
      </c>
      <c r="BM129" s="275"/>
      <c r="BN129" s="276">
        <v>4</v>
      </c>
      <c r="BO129" s="275"/>
      <c r="BP129" s="276">
        <v>3</v>
      </c>
      <c r="BQ129" s="275"/>
      <c r="BR129" s="276">
        <v>2</v>
      </c>
      <c r="BS129" s="275"/>
      <c r="BT129" s="276">
        <v>1</v>
      </c>
      <c r="BU129" s="275"/>
      <c r="BV129" s="276">
        <v>0</v>
      </c>
      <c r="BW129" s="275"/>
      <c r="BX129" s="275"/>
      <c r="BY129" s="275"/>
      <c r="BZ129" s="275"/>
      <c r="CA129" s="275"/>
      <c r="CB129" s="275"/>
      <c r="CC129" s="275"/>
      <c r="CD129" s="275"/>
      <c r="CE129" s="275"/>
      <c r="CF129" s="275"/>
      <c r="CG129" s="275"/>
      <c r="CH129" s="272"/>
      <c r="CI129" s="272"/>
      <c r="CJ129" s="272"/>
    </row>
    <row r="130" spans="1:88" s="277" customFormat="1">
      <c r="B130" s="272"/>
      <c r="C130" s="272"/>
      <c r="D130" s="272"/>
      <c r="E130" s="273"/>
      <c r="F130" s="273"/>
      <c r="G130" s="273"/>
      <c r="H130" s="274"/>
      <c r="I130" s="274"/>
      <c r="J130" s="274"/>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6">
        <v>10</v>
      </c>
      <c r="BM130" s="275"/>
      <c r="BN130" s="276">
        <v>9</v>
      </c>
      <c r="BO130" s="275"/>
      <c r="BP130" s="276">
        <v>8</v>
      </c>
      <c r="BQ130" s="275"/>
      <c r="BR130" s="276">
        <v>7</v>
      </c>
      <c r="BS130" s="275"/>
      <c r="BT130" s="276">
        <v>6</v>
      </c>
      <c r="BU130" s="275"/>
      <c r="BV130" s="276">
        <v>5</v>
      </c>
      <c r="BW130" s="275"/>
      <c r="BX130" s="276">
        <v>4</v>
      </c>
      <c r="BY130" s="275"/>
      <c r="BZ130" s="276">
        <v>3</v>
      </c>
      <c r="CA130" s="275"/>
      <c r="CB130" s="276">
        <v>2</v>
      </c>
      <c r="CC130" s="275"/>
      <c r="CD130" s="276">
        <v>1</v>
      </c>
      <c r="CE130" s="275"/>
      <c r="CF130" s="276">
        <v>0</v>
      </c>
      <c r="CG130" s="275"/>
      <c r="CH130" s="272"/>
      <c r="CJ130" s="272"/>
    </row>
  </sheetData>
  <sheetProtection sheet="1" objects="1" scenarios="1"/>
  <mergeCells count="584">
    <mergeCell ref="AB4:AC5"/>
    <mergeCell ref="AD4:AD5"/>
    <mergeCell ref="AR4:AR5"/>
    <mergeCell ref="E7:F10"/>
    <mergeCell ref="AD7:BQ8"/>
    <mergeCell ref="BR7:CG10"/>
    <mergeCell ref="B8:D8"/>
    <mergeCell ref="G8:Z9"/>
    <mergeCell ref="B9:C45"/>
    <mergeCell ref="D9:D45"/>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 ref="CH9:CH54"/>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AE13:AG13"/>
    <mergeCell ref="AI13:AM13"/>
    <mergeCell ref="AN13:AN14"/>
    <mergeCell ref="BP17:BT17"/>
    <mergeCell ref="BU17:BU18"/>
    <mergeCell ref="BV17:BZ17"/>
    <mergeCell ref="CA17:CA18"/>
    <mergeCell ref="AZ3:BC4"/>
    <mergeCell ref="BD3:BR3"/>
    <mergeCell ref="AG9:AZ10"/>
    <mergeCell ref="BA9:BQ10"/>
    <mergeCell ref="CB17:CF17"/>
    <mergeCell ref="AD16:AZ16"/>
    <mergeCell ref="AD17:AD18"/>
    <mergeCell ref="AE17:AG17"/>
    <mergeCell ref="AI17:AM17"/>
    <mergeCell ref="AN17:AN18"/>
    <mergeCell ref="AO17:AS17"/>
    <mergeCell ref="AT17:AT18"/>
    <mergeCell ref="AU17:AY17"/>
    <mergeCell ref="AZ17:AZ18"/>
    <mergeCell ref="AD19:AZ19"/>
    <mergeCell ref="E20:F27"/>
    <mergeCell ref="G20:G27"/>
    <mergeCell ref="H20:Z27"/>
    <mergeCell ref="AA20:AC27"/>
    <mergeCell ref="AD20:AZ20"/>
    <mergeCell ref="AD23:AZ23"/>
    <mergeCell ref="AD27:AZ27"/>
    <mergeCell ref="BL17:BN17"/>
    <mergeCell ref="E12:F19"/>
    <mergeCell ref="G12:G19"/>
    <mergeCell ref="H12:Z19"/>
    <mergeCell ref="AA12:AC19"/>
    <mergeCell ref="AD12:AZ12"/>
    <mergeCell ref="BA12:BQ12"/>
    <mergeCell ref="BB21:BD21"/>
    <mergeCell ref="BF21:BJ21"/>
    <mergeCell ref="BK21:BK22"/>
    <mergeCell ref="BL21:BP21"/>
    <mergeCell ref="BQ21:BQ22"/>
    <mergeCell ref="BL25:BN25"/>
    <mergeCell ref="BP25:BT25"/>
    <mergeCell ref="BB13:BD13"/>
    <mergeCell ref="AD13:AD14"/>
    <mergeCell ref="BR21:BV21"/>
    <mergeCell ref="BA20:BQ20"/>
    <mergeCell ref="AD21:AD22"/>
    <mergeCell ref="AE21:AG21"/>
    <mergeCell ref="AI21:AM21"/>
    <mergeCell ref="AN21:AN22"/>
    <mergeCell ref="AO21:AS21"/>
    <mergeCell ref="AT21:AT22"/>
    <mergeCell ref="AU21:AY21"/>
    <mergeCell ref="AZ21:AZ22"/>
    <mergeCell ref="BA21:BA22"/>
    <mergeCell ref="BU25:BU26"/>
    <mergeCell ref="BV25:BZ25"/>
    <mergeCell ref="CA25:CA26"/>
    <mergeCell ref="CB25:CF25"/>
    <mergeCell ref="BA23:BQ23"/>
    <mergeCell ref="AD24:AZ24"/>
    <mergeCell ref="AD25:AD26"/>
    <mergeCell ref="AE25:AG25"/>
    <mergeCell ref="AI25:AM25"/>
    <mergeCell ref="AN25:AN26"/>
    <mergeCell ref="AO25:AS25"/>
    <mergeCell ref="AT25:AT26"/>
    <mergeCell ref="AU25:AY25"/>
    <mergeCell ref="AZ25:AZ26"/>
    <mergeCell ref="BQ29:BQ30"/>
    <mergeCell ref="BR29:BV29"/>
    <mergeCell ref="AD31:AZ31"/>
    <mergeCell ref="BA31:BQ31"/>
    <mergeCell ref="AO29:AS29"/>
    <mergeCell ref="AT29:AT30"/>
    <mergeCell ref="AU29:AY29"/>
    <mergeCell ref="AZ29:AZ30"/>
    <mergeCell ref="BA29:BA30"/>
    <mergeCell ref="BB29:BD29"/>
    <mergeCell ref="AD29:AD30"/>
    <mergeCell ref="AE29:AG29"/>
    <mergeCell ref="AI29:AM29"/>
    <mergeCell ref="AN29:AN30"/>
    <mergeCell ref="BU33:BU34"/>
    <mergeCell ref="BV33:BZ33"/>
    <mergeCell ref="CA33:CA34"/>
    <mergeCell ref="CB33:CF33"/>
    <mergeCell ref="AD32:AZ32"/>
    <mergeCell ref="AD33:AD34"/>
    <mergeCell ref="AE33:AG33"/>
    <mergeCell ref="AI33:AM33"/>
    <mergeCell ref="AN33:AN34"/>
    <mergeCell ref="AO33:AS33"/>
    <mergeCell ref="AT33:AT34"/>
    <mergeCell ref="AU33:AY33"/>
    <mergeCell ref="AZ33:AZ34"/>
    <mergeCell ref="AD35:AZ35"/>
    <mergeCell ref="E36:F43"/>
    <mergeCell ref="G36:G43"/>
    <mergeCell ref="H36:Z43"/>
    <mergeCell ref="AA36:AC43"/>
    <mergeCell ref="AD36:AZ36"/>
    <mergeCell ref="AD39:AZ39"/>
    <mergeCell ref="AD43:AZ43"/>
    <mergeCell ref="BL33:BN33"/>
    <mergeCell ref="E28:F35"/>
    <mergeCell ref="G28:G35"/>
    <mergeCell ref="H28:Z35"/>
    <mergeCell ref="AA28:AC35"/>
    <mergeCell ref="AD28:AZ28"/>
    <mergeCell ref="BA28:BQ28"/>
    <mergeCell ref="BB37:BD37"/>
    <mergeCell ref="BF37:BJ37"/>
    <mergeCell ref="BK37:BK38"/>
    <mergeCell ref="BL37:BP37"/>
    <mergeCell ref="BQ37:BQ38"/>
    <mergeCell ref="BP33:BT33"/>
    <mergeCell ref="BF29:BJ29"/>
    <mergeCell ref="BK29:BK30"/>
    <mergeCell ref="BL29:BP29"/>
    <mergeCell ref="BR37:BV37"/>
    <mergeCell ref="BA36:BQ36"/>
    <mergeCell ref="AD37:AD38"/>
    <mergeCell ref="AE37:AG37"/>
    <mergeCell ref="AI37:AM37"/>
    <mergeCell ref="AN37:AN38"/>
    <mergeCell ref="AO37:AS37"/>
    <mergeCell ref="AT37:AT38"/>
    <mergeCell ref="AU37:AY37"/>
    <mergeCell ref="AZ37:AZ38"/>
    <mergeCell ref="BA37:BA38"/>
    <mergeCell ref="AI45:AM45"/>
    <mergeCell ref="AN45:AN46"/>
    <mergeCell ref="BL41:BN41"/>
    <mergeCell ref="BP41:BT41"/>
    <mergeCell ref="BU41:BU42"/>
    <mergeCell ref="BV41:BZ41"/>
    <mergeCell ref="CA41:CA42"/>
    <mergeCell ref="CB41:CF41"/>
    <mergeCell ref="BA39:BQ39"/>
    <mergeCell ref="AD40:AZ40"/>
    <mergeCell ref="AD41:AD42"/>
    <mergeCell ref="AE41:AG41"/>
    <mergeCell ref="AI41:AM41"/>
    <mergeCell ref="AN41:AN42"/>
    <mergeCell ref="AO41:AS41"/>
    <mergeCell ref="AT41:AT42"/>
    <mergeCell ref="AU41:AY41"/>
    <mergeCell ref="AZ41:AZ42"/>
    <mergeCell ref="BF45:BJ45"/>
    <mergeCell ref="BK45:BK46"/>
    <mergeCell ref="BL45:BP45"/>
    <mergeCell ref="BQ45:BQ46"/>
    <mergeCell ref="BR45:BV45"/>
    <mergeCell ref="B46:D123"/>
    <mergeCell ref="AD47:AZ47"/>
    <mergeCell ref="BA47:BQ47"/>
    <mergeCell ref="AD48:AZ48"/>
    <mergeCell ref="AD49:AD50"/>
    <mergeCell ref="AO45:AS45"/>
    <mergeCell ref="AT45:AT46"/>
    <mergeCell ref="AU45:AY45"/>
    <mergeCell ref="AZ45:AZ46"/>
    <mergeCell ref="BA45:BA46"/>
    <mergeCell ref="BB45:BD45"/>
    <mergeCell ref="E44:F51"/>
    <mergeCell ref="G44:G51"/>
    <mergeCell ref="H44:Z51"/>
    <mergeCell ref="AA44:AC51"/>
    <mergeCell ref="AD44:AZ44"/>
    <mergeCell ref="BA44:BQ44"/>
    <mergeCell ref="AD45:AD46"/>
    <mergeCell ref="AE45:AG45"/>
    <mergeCell ref="BA55:BQ55"/>
    <mergeCell ref="AD56:AZ56"/>
    <mergeCell ref="AD57:AD58"/>
    <mergeCell ref="AE57:AG57"/>
    <mergeCell ref="AI57:AM57"/>
    <mergeCell ref="CB49:CF49"/>
    <mergeCell ref="AD51:AZ51"/>
    <mergeCell ref="E52:F59"/>
    <mergeCell ref="G52:G59"/>
    <mergeCell ref="H52:Z59"/>
    <mergeCell ref="AA52:AC59"/>
    <mergeCell ref="AD52:AZ52"/>
    <mergeCell ref="BA52:BQ52"/>
    <mergeCell ref="AD53:AD54"/>
    <mergeCell ref="AE53:AG53"/>
    <mergeCell ref="AZ49:AZ50"/>
    <mergeCell ref="BL49:BN49"/>
    <mergeCell ref="BP49:BT49"/>
    <mergeCell ref="BU49:BU50"/>
    <mergeCell ref="BV49:BZ49"/>
    <mergeCell ref="CA49:CA50"/>
    <mergeCell ref="AE49:AG49"/>
    <mergeCell ref="AI49:AM49"/>
    <mergeCell ref="AN49:AN50"/>
    <mergeCell ref="AO49:AS49"/>
    <mergeCell ref="AT49:AT50"/>
    <mergeCell ref="AU49:AY49"/>
    <mergeCell ref="BR53:BV53"/>
    <mergeCell ref="AD55:AZ55"/>
    <mergeCell ref="AI53:AM53"/>
    <mergeCell ref="AN53:AN54"/>
    <mergeCell ref="AO53:AS53"/>
    <mergeCell ref="AT53:AT54"/>
    <mergeCell ref="AU53:AY53"/>
    <mergeCell ref="AZ53:AZ54"/>
    <mergeCell ref="CA57:CA58"/>
    <mergeCell ref="CB57:CF57"/>
    <mergeCell ref="AD59:AZ59"/>
    <mergeCell ref="BU57:BU58"/>
    <mergeCell ref="BV57:BZ57"/>
    <mergeCell ref="AN57:AN58"/>
    <mergeCell ref="AO57:AS57"/>
    <mergeCell ref="AT57:AT58"/>
    <mergeCell ref="BA53:BA54"/>
    <mergeCell ref="BB53:BD53"/>
    <mergeCell ref="BF53:BJ53"/>
    <mergeCell ref="BK53:BK54"/>
    <mergeCell ref="BL53:BP53"/>
    <mergeCell ref="BQ53:BQ54"/>
    <mergeCell ref="E60:F67"/>
    <mergeCell ref="G60:G67"/>
    <mergeCell ref="H60:Z67"/>
    <mergeCell ref="AA60:AC67"/>
    <mergeCell ref="AD60:AZ60"/>
    <mergeCell ref="BA60:BQ60"/>
    <mergeCell ref="AD61:AD62"/>
    <mergeCell ref="AU57:AY57"/>
    <mergeCell ref="AZ57:AZ58"/>
    <mergeCell ref="BL57:BN57"/>
    <mergeCell ref="BP57:BT57"/>
    <mergeCell ref="BQ61:BQ62"/>
    <mergeCell ref="BR61:BV61"/>
    <mergeCell ref="AD63:AZ63"/>
    <mergeCell ref="BA63:BQ63"/>
    <mergeCell ref="AD64:AZ64"/>
    <mergeCell ref="AD65:AD66"/>
    <mergeCell ref="AE65:AG65"/>
    <mergeCell ref="AI65:AM65"/>
    <mergeCell ref="AN65:AN66"/>
    <mergeCell ref="AO65:AS65"/>
    <mergeCell ref="AZ61:AZ62"/>
    <mergeCell ref="BA61:BA62"/>
    <mergeCell ref="BB61:BD61"/>
    <mergeCell ref="BF61:BJ61"/>
    <mergeCell ref="BK61:BK62"/>
    <mergeCell ref="BL61:BP61"/>
    <mergeCell ref="AE61:AG61"/>
    <mergeCell ref="AI61:AM61"/>
    <mergeCell ref="AN61:AN62"/>
    <mergeCell ref="AO61:AS61"/>
    <mergeCell ref="AT61:AT62"/>
    <mergeCell ref="AU61:AY61"/>
    <mergeCell ref="BV65:BZ65"/>
    <mergeCell ref="CA65:CA66"/>
    <mergeCell ref="CB65:CF65"/>
    <mergeCell ref="AD67:AZ67"/>
    <mergeCell ref="E68:F75"/>
    <mergeCell ref="G68:G75"/>
    <mergeCell ref="H68:Z75"/>
    <mergeCell ref="AA68:AC75"/>
    <mergeCell ref="AD68:AZ68"/>
    <mergeCell ref="BA68:BQ68"/>
    <mergeCell ref="AT65:AT66"/>
    <mergeCell ref="AU65:AY65"/>
    <mergeCell ref="AZ65:AZ66"/>
    <mergeCell ref="BL65:BN65"/>
    <mergeCell ref="BP65:BT65"/>
    <mergeCell ref="BU65:BU66"/>
    <mergeCell ref="BL69:BP69"/>
    <mergeCell ref="BQ69:BQ70"/>
    <mergeCell ref="BR69:BV69"/>
    <mergeCell ref="AD71:AZ71"/>
    <mergeCell ref="BA71:BQ71"/>
    <mergeCell ref="AD72:AZ72"/>
    <mergeCell ref="AU69:AY69"/>
    <mergeCell ref="AZ69:AZ70"/>
    <mergeCell ref="BA69:BA70"/>
    <mergeCell ref="BB69:BD69"/>
    <mergeCell ref="BF69:BJ69"/>
    <mergeCell ref="BK69:BK70"/>
    <mergeCell ref="AD69:AD70"/>
    <mergeCell ref="AE69:AG69"/>
    <mergeCell ref="AI69:AM69"/>
    <mergeCell ref="AN69:AN70"/>
    <mergeCell ref="AO69:AS69"/>
    <mergeCell ref="AT69:AT70"/>
    <mergeCell ref="CA73:CA74"/>
    <mergeCell ref="CB73:CF73"/>
    <mergeCell ref="AD75:AZ75"/>
    <mergeCell ref="E76:F83"/>
    <mergeCell ref="G76:G83"/>
    <mergeCell ref="H76:Z83"/>
    <mergeCell ref="AA76:AC83"/>
    <mergeCell ref="AD76:AZ76"/>
    <mergeCell ref="BA76:BQ76"/>
    <mergeCell ref="AD77:AD78"/>
    <mergeCell ref="AU73:AY73"/>
    <mergeCell ref="AZ73:AZ74"/>
    <mergeCell ref="BL73:BN73"/>
    <mergeCell ref="BP73:BT73"/>
    <mergeCell ref="BU73:BU74"/>
    <mergeCell ref="BV73:BZ73"/>
    <mergeCell ref="AD73:AD74"/>
    <mergeCell ref="AE73:AG73"/>
    <mergeCell ref="AI73:AM73"/>
    <mergeCell ref="AN73:AN74"/>
    <mergeCell ref="AO73:AS73"/>
    <mergeCell ref="AT73:AT74"/>
    <mergeCell ref="BQ77:BQ78"/>
    <mergeCell ref="BR77:BV77"/>
    <mergeCell ref="AD79:AZ79"/>
    <mergeCell ref="BA79:BQ79"/>
    <mergeCell ref="AD80:AZ80"/>
    <mergeCell ref="AD81:AD82"/>
    <mergeCell ref="AE81:AG81"/>
    <mergeCell ref="AI81:AM81"/>
    <mergeCell ref="AN81:AN82"/>
    <mergeCell ref="AO81:AS81"/>
    <mergeCell ref="AZ77:AZ78"/>
    <mergeCell ref="BA77:BA78"/>
    <mergeCell ref="BB77:BD77"/>
    <mergeCell ref="BF77:BJ77"/>
    <mergeCell ref="BK77:BK78"/>
    <mergeCell ref="BL77:BP77"/>
    <mergeCell ref="AE77:AG77"/>
    <mergeCell ref="AI77:AM77"/>
    <mergeCell ref="AN77:AN78"/>
    <mergeCell ref="AO77:AS77"/>
    <mergeCell ref="AT77:AT78"/>
    <mergeCell ref="AU77:AY77"/>
    <mergeCell ref="BV81:BZ81"/>
    <mergeCell ref="CA81:CA82"/>
    <mergeCell ref="CB81:CF81"/>
    <mergeCell ref="AD83:AZ83"/>
    <mergeCell ref="E84:F91"/>
    <mergeCell ref="G84:G91"/>
    <mergeCell ref="H84:Z91"/>
    <mergeCell ref="AA84:AC91"/>
    <mergeCell ref="AD84:AZ84"/>
    <mergeCell ref="BA84:BQ84"/>
    <mergeCell ref="AT81:AT82"/>
    <mergeCell ref="AU81:AY81"/>
    <mergeCell ref="AZ81:AZ82"/>
    <mergeCell ref="BL81:BN81"/>
    <mergeCell ref="BP81:BT81"/>
    <mergeCell ref="BU81:BU82"/>
    <mergeCell ref="BL85:BP85"/>
    <mergeCell ref="BQ85:BQ86"/>
    <mergeCell ref="BR85:BV85"/>
    <mergeCell ref="AD87:AZ87"/>
    <mergeCell ref="BA87:BQ87"/>
    <mergeCell ref="AD88:AZ88"/>
    <mergeCell ref="AU85:AY85"/>
    <mergeCell ref="AZ85:AZ86"/>
    <mergeCell ref="BA85:BA86"/>
    <mergeCell ref="BB85:BD85"/>
    <mergeCell ref="BF85:BJ85"/>
    <mergeCell ref="BK85:BK86"/>
    <mergeCell ref="AD85:AD86"/>
    <mergeCell ref="AE85:AG85"/>
    <mergeCell ref="AI85:AM85"/>
    <mergeCell ref="AN85:AN86"/>
    <mergeCell ref="AO85:AS85"/>
    <mergeCell ref="AT85:AT86"/>
    <mergeCell ref="CA89:CA90"/>
    <mergeCell ref="CB89:CF89"/>
    <mergeCell ref="AD91:AZ91"/>
    <mergeCell ref="E92:F99"/>
    <mergeCell ref="G92:G99"/>
    <mergeCell ref="H92:Z99"/>
    <mergeCell ref="AA92:AC99"/>
    <mergeCell ref="AD92:AZ92"/>
    <mergeCell ref="BA92:BQ92"/>
    <mergeCell ref="AD93:AD94"/>
    <mergeCell ref="AU89:AY89"/>
    <mergeCell ref="AZ89:AZ90"/>
    <mergeCell ref="BL89:BN89"/>
    <mergeCell ref="BP89:BT89"/>
    <mergeCell ref="BU89:BU90"/>
    <mergeCell ref="BV89:BZ89"/>
    <mergeCell ref="AD89:AD90"/>
    <mergeCell ref="AE89:AG89"/>
    <mergeCell ref="AI89:AM89"/>
    <mergeCell ref="AN89:AN90"/>
    <mergeCell ref="AO89:AS89"/>
    <mergeCell ref="AT89:AT90"/>
    <mergeCell ref="BQ93:BQ94"/>
    <mergeCell ref="BR93:BV93"/>
    <mergeCell ref="AD95:AZ95"/>
    <mergeCell ref="BA95:BQ95"/>
    <mergeCell ref="AD96:AZ96"/>
    <mergeCell ref="AD97:AD98"/>
    <mergeCell ref="AE97:AG97"/>
    <mergeCell ref="AI97:AM97"/>
    <mergeCell ref="AN97:AN98"/>
    <mergeCell ref="AO97:AS97"/>
    <mergeCell ref="AZ93:AZ94"/>
    <mergeCell ref="BA93:BA94"/>
    <mergeCell ref="BB93:BD93"/>
    <mergeCell ref="BF93:BJ93"/>
    <mergeCell ref="BK93:BK94"/>
    <mergeCell ref="BL93:BP93"/>
    <mergeCell ref="AE93:AG93"/>
    <mergeCell ref="AI93:AM93"/>
    <mergeCell ref="AN93:AN94"/>
    <mergeCell ref="AO93:AS93"/>
    <mergeCell ref="AT93:AT94"/>
    <mergeCell ref="AU93:AY93"/>
    <mergeCell ref="BV97:BZ97"/>
    <mergeCell ref="CA97:CA98"/>
    <mergeCell ref="CB97:CF97"/>
    <mergeCell ref="AD99:AZ99"/>
    <mergeCell ref="E100:F107"/>
    <mergeCell ref="G100:G107"/>
    <mergeCell ref="H100:Z107"/>
    <mergeCell ref="AA100:AC107"/>
    <mergeCell ref="AD100:AZ100"/>
    <mergeCell ref="BA100:BQ100"/>
    <mergeCell ref="AT97:AT98"/>
    <mergeCell ref="AU97:AY97"/>
    <mergeCell ref="AZ97:AZ98"/>
    <mergeCell ref="BL97:BN97"/>
    <mergeCell ref="BP97:BT97"/>
    <mergeCell ref="BU97:BU98"/>
    <mergeCell ref="BL101:BP101"/>
    <mergeCell ref="BQ101:BQ102"/>
    <mergeCell ref="BR101:BV101"/>
    <mergeCell ref="AD103:AZ103"/>
    <mergeCell ref="BA103:BQ103"/>
    <mergeCell ref="AD104:AZ104"/>
    <mergeCell ref="AU101:AY101"/>
    <mergeCell ref="AZ101:AZ102"/>
    <mergeCell ref="BA101:BA102"/>
    <mergeCell ref="BB101:BD101"/>
    <mergeCell ref="BF101:BJ101"/>
    <mergeCell ref="BK101:BK102"/>
    <mergeCell ref="AD101:AD102"/>
    <mergeCell ref="AE101:AG101"/>
    <mergeCell ref="AI101:AM101"/>
    <mergeCell ref="AN101:AN102"/>
    <mergeCell ref="AO101:AS101"/>
    <mergeCell ref="AT101:AT102"/>
    <mergeCell ref="CA105:CA106"/>
    <mergeCell ref="CB105:CF105"/>
    <mergeCell ref="AD107:AZ107"/>
    <mergeCell ref="E108:F115"/>
    <mergeCell ref="G108:G115"/>
    <mergeCell ref="H108:Z115"/>
    <mergeCell ref="AA108:AC115"/>
    <mergeCell ref="AD108:AZ108"/>
    <mergeCell ref="BA108:BQ108"/>
    <mergeCell ref="AD109:AD110"/>
    <mergeCell ref="AU105:AY105"/>
    <mergeCell ref="AZ105:AZ106"/>
    <mergeCell ref="BL105:BN105"/>
    <mergeCell ref="BP105:BT105"/>
    <mergeCell ref="BU105:BU106"/>
    <mergeCell ref="BV105:BZ105"/>
    <mergeCell ref="AD105:AD106"/>
    <mergeCell ref="AE105:AG105"/>
    <mergeCell ref="AI105:AM105"/>
    <mergeCell ref="AN105:AN106"/>
    <mergeCell ref="AO105:AS105"/>
    <mergeCell ref="AT105:AT106"/>
    <mergeCell ref="BQ109:BQ110"/>
    <mergeCell ref="BR109:BV109"/>
    <mergeCell ref="AD111:AZ111"/>
    <mergeCell ref="BA111:BQ111"/>
    <mergeCell ref="AD112:AZ112"/>
    <mergeCell ref="AD113:AD114"/>
    <mergeCell ref="AE113:AG113"/>
    <mergeCell ref="AI113:AM113"/>
    <mergeCell ref="AN113:AN114"/>
    <mergeCell ref="AO113:AS113"/>
    <mergeCell ref="AZ109:AZ110"/>
    <mergeCell ref="BA109:BA110"/>
    <mergeCell ref="BB109:BD109"/>
    <mergeCell ref="BF109:BJ109"/>
    <mergeCell ref="BK109:BK110"/>
    <mergeCell ref="BL109:BP109"/>
    <mergeCell ref="AE109:AG109"/>
    <mergeCell ref="AI109:AM109"/>
    <mergeCell ref="AN109:AN110"/>
    <mergeCell ref="AO109:AS109"/>
    <mergeCell ref="AT109:AT110"/>
    <mergeCell ref="AU109:AY109"/>
    <mergeCell ref="BV113:BZ113"/>
    <mergeCell ref="CA113:CA114"/>
    <mergeCell ref="CB113:CF113"/>
    <mergeCell ref="AD115:AZ115"/>
    <mergeCell ref="E116:F123"/>
    <mergeCell ref="G116:G123"/>
    <mergeCell ref="H116:Z123"/>
    <mergeCell ref="AA116:AC123"/>
    <mergeCell ref="AD116:AZ116"/>
    <mergeCell ref="BA116:BQ116"/>
    <mergeCell ref="AT113:AT114"/>
    <mergeCell ref="AU113:AY113"/>
    <mergeCell ref="AZ113:AZ114"/>
    <mergeCell ref="BL113:BN113"/>
    <mergeCell ref="BP113:BT113"/>
    <mergeCell ref="BU113:BU114"/>
    <mergeCell ref="BL117:BP117"/>
    <mergeCell ref="BQ117:BQ118"/>
    <mergeCell ref="BR117:BV117"/>
    <mergeCell ref="AD119:AZ119"/>
    <mergeCell ref="BA119:BQ119"/>
    <mergeCell ref="AD120:AZ120"/>
    <mergeCell ref="AU117:AY117"/>
    <mergeCell ref="AZ117:AZ118"/>
    <mergeCell ref="BA117:BA118"/>
    <mergeCell ref="BB117:BD117"/>
    <mergeCell ref="BF117:BJ117"/>
    <mergeCell ref="BK117:BK118"/>
    <mergeCell ref="AD117:AD118"/>
    <mergeCell ref="AE117:AG117"/>
    <mergeCell ref="AI117:AM117"/>
    <mergeCell ref="AN117:AN118"/>
    <mergeCell ref="AO117:AS117"/>
    <mergeCell ref="AT117:AT118"/>
    <mergeCell ref="CA121:CA122"/>
    <mergeCell ref="CB121:CF121"/>
    <mergeCell ref="AD123:AZ123"/>
    <mergeCell ref="E124:AC124"/>
    <mergeCell ref="AU121:AY121"/>
    <mergeCell ref="AZ121:AZ122"/>
    <mergeCell ref="BL121:BN121"/>
    <mergeCell ref="BP121:BT121"/>
    <mergeCell ref="BU121:BU122"/>
    <mergeCell ref="BV121:BZ121"/>
    <mergeCell ref="AD121:AD122"/>
    <mergeCell ref="AE121:AG121"/>
    <mergeCell ref="AI121:AM121"/>
    <mergeCell ref="AN121:AN122"/>
    <mergeCell ref="AO121:AS121"/>
    <mergeCell ref="AT121:AT122"/>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B00-000000000000}">
          <x14:formula1>
            <xm:f>0</xm:f>
          </x14:formula1>
          <x14:formula2>
            <xm:f>9</xm:f>
          </x14:formula2>
          <xm:sqref>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3"/>
  <dimension ref="A1:CJ130"/>
  <sheetViews>
    <sheetView topLeftCell="A51" zoomScale="110" zoomScaleNormal="110" workbookViewId="0">
      <selection activeCell="C31" sqref="C31"/>
    </sheetView>
  </sheetViews>
  <sheetFormatPr defaultRowHeight="12.75"/>
  <cols>
    <col min="1" max="1" width="0.7109375" style="221" customWidth="1"/>
    <col min="2" max="2" width="0.42578125" style="221" customWidth="1"/>
    <col min="3" max="3" width="0.5703125" style="221" customWidth="1"/>
    <col min="4" max="4" width="0.28515625" style="221" customWidth="1"/>
    <col min="5" max="5" width="3.42578125" style="278" customWidth="1"/>
    <col min="6" max="6" width="0.5703125" style="278" customWidth="1"/>
    <col min="7" max="7" width="0.7109375" style="278" customWidth="1"/>
    <col min="8" max="10" width="0.7109375" style="279" customWidth="1"/>
    <col min="11" max="26" width="0.710937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140625" style="280" customWidth="1"/>
    <col min="63" max="63" width="0.5703125" style="280" customWidth="1"/>
    <col min="64" max="64" width="2.140625" style="280" customWidth="1"/>
    <col min="65" max="65" width="0.5703125" style="280" customWidth="1"/>
    <col min="66" max="66" width="2.140625" style="280" customWidth="1"/>
    <col min="67" max="67" width="0.5703125" style="280" customWidth="1"/>
    <col min="68" max="68" width="2.140625" style="280" customWidth="1"/>
    <col min="69" max="69" width="0.5703125" style="280" customWidth="1"/>
    <col min="70" max="70" width="2.140625" style="280" customWidth="1"/>
    <col min="71" max="71" width="0.5703125" style="280" customWidth="1"/>
    <col min="72" max="72" width="2.140625" style="280" customWidth="1"/>
    <col min="73" max="73" width="0.5703125" style="280" customWidth="1"/>
    <col min="74" max="74" width="2.140625" style="280" customWidth="1"/>
    <col min="75" max="75" width="0.5703125" style="280" customWidth="1"/>
    <col min="76" max="76" width="2.140625" style="280" customWidth="1"/>
    <col min="77" max="77" width="0.5703125" style="280" customWidth="1"/>
    <col min="78" max="78" width="2.140625" style="280" customWidth="1"/>
    <col min="79" max="79" width="0.5703125" style="280" customWidth="1"/>
    <col min="80" max="80" width="2.140625" style="280" customWidth="1"/>
    <col min="81" max="81" width="0.5703125" style="280" customWidth="1"/>
    <col min="82" max="82" width="2.140625" style="280" customWidth="1"/>
    <col min="83" max="83" width="0.5703125" style="280" customWidth="1"/>
    <col min="84" max="84" width="2.140625" style="280" customWidth="1"/>
    <col min="85" max="85" width="0.5703125" style="280" customWidth="1"/>
    <col min="86" max="86" width="1.7109375" style="221" customWidth="1"/>
    <col min="87" max="256" width="9.140625" style="221"/>
    <col min="257" max="257" width="0.7109375" style="221" customWidth="1"/>
    <col min="258" max="258" width="0.42578125" style="221" customWidth="1"/>
    <col min="259" max="259" width="0.5703125" style="221" customWidth="1"/>
    <col min="260" max="260" width="0.28515625" style="221" customWidth="1"/>
    <col min="261" max="261" width="3.42578125" style="221" customWidth="1"/>
    <col min="262" max="262" width="0.5703125" style="221" customWidth="1"/>
    <col min="263" max="282" width="0.710937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140625" style="221" customWidth="1"/>
    <col min="319" max="319" width="0.5703125" style="221" customWidth="1"/>
    <col min="320" max="320" width="2.140625" style="221" customWidth="1"/>
    <col min="321" max="321" width="0.5703125" style="221" customWidth="1"/>
    <col min="322" max="322" width="2.140625" style="221" customWidth="1"/>
    <col min="323" max="323" width="0.5703125" style="221" customWidth="1"/>
    <col min="324" max="324" width="2.140625" style="221" customWidth="1"/>
    <col min="325" max="325" width="0.5703125" style="221" customWidth="1"/>
    <col min="326" max="326" width="2.140625" style="221" customWidth="1"/>
    <col min="327" max="327" width="0.5703125" style="221" customWidth="1"/>
    <col min="328" max="328" width="2.140625" style="221" customWidth="1"/>
    <col min="329" max="329" width="0.5703125" style="221" customWidth="1"/>
    <col min="330" max="330" width="2.140625" style="221" customWidth="1"/>
    <col min="331" max="331" width="0.5703125" style="221" customWidth="1"/>
    <col min="332" max="332" width="2.140625" style="221" customWidth="1"/>
    <col min="333" max="333" width="0.5703125" style="221" customWidth="1"/>
    <col min="334" max="334" width="2.140625" style="221" customWidth="1"/>
    <col min="335" max="335" width="0.5703125" style="221" customWidth="1"/>
    <col min="336" max="336" width="2.140625" style="221" customWidth="1"/>
    <col min="337" max="337" width="0.5703125" style="221" customWidth="1"/>
    <col min="338" max="338" width="2.140625" style="221" customWidth="1"/>
    <col min="339" max="339" width="0.5703125" style="221" customWidth="1"/>
    <col min="340" max="340" width="2.140625" style="221" customWidth="1"/>
    <col min="341" max="341" width="0.5703125" style="221" customWidth="1"/>
    <col min="342" max="342" width="1.7109375" style="221" customWidth="1"/>
    <col min="343" max="512" width="9.140625" style="221"/>
    <col min="513" max="513" width="0.7109375" style="221" customWidth="1"/>
    <col min="514" max="514" width="0.42578125" style="221" customWidth="1"/>
    <col min="515" max="515" width="0.5703125" style="221" customWidth="1"/>
    <col min="516" max="516" width="0.28515625" style="221" customWidth="1"/>
    <col min="517" max="517" width="3.42578125" style="221" customWidth="1"/>
    <col min="518" max="518" width="0.5703125" style="221" customWidth="1"/>
    <col min="519" max="538" width="0.710937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140625" style="221" customWidth="1"/>
    <col min="575" max="575" width="0.5703125" style="221" customWidth="1"/>
    <col min="576" max="576" width="2.140625" style="221" customWidth="1"/>
    <col min="577" max="577" width="0.5703125" style="221" customWidth="1"/>
    <col min="578" max="578" width="2.140625" style="221" customWidth="1"/>
    <col min="579" max="579" width="0.5703125" style="221" customWidth="1"/>
    <col min="580" max="580" width="2.140625" style="221" customWidth="1"/>
    <col min="581" max="581" width="0.5703125" style="221" customWidth="1"/>
    <col min="582" max="582" width="2.140625" style="221" customWidth="1"/>
    <col min="583" max="583" width="0.5703125" style="221" customWidth="1"/>
    <col min="584" max="584" width="2.140625" style="221" customWidth="1"/>
    <col min="585" max="585" width="0.5703125" style="221" customWidth="1"/>
    <col min="586" max="586" width="2.140625" style="221" customWidth="1"/>
    <col min="587" max="587" width="0.5703125" style="221" customWidth="1"/>
    <col min="588" max="588" width="2.140625" style="221" customWidth="1"/>
    <col min="589" max="589" width="0.5703125" style="221" customWidth="1"/>
    <col min="590" max="590" width="2.140625" style="221" customWidth="1"/>
    <col min="591" max="591" width="0.5703125" style="221" customWidth="1"/>
    <col min="592" max="592" width="2.140625" style="221" customWidth="1"/>
    <col min="593" max="593" width="0.5703125" style="221" customWidth="1"/>
    <col min="594" max="594" width="2.140625" style="221" customWidth="1"/>
    <col min="595" max="595" width="0.5703125" style="221" customWidth="1"/>
    <col min="596" max="596" width="2.140625" style="221" customWidth="1"/>
    <col min="597" max="597" width="0.5703125" style="221" customWidth="1"/>
    <col min="598" max="598" width="1.7109375" style="221" customWidth="1"/>
    <col min="599" max="768" width="9.140625" style="221"/>
    <col min="769" max="769" width="0.7109375" style="221" customWidth="1"/>
    <col min="770" max="770" width="0.42578125" style="221" customWidth="1"/>
    <col min="771" max="771" width="0.5703125" style="221" customWidth="1"/>
    <col min="772" max="772" width="0.28515625" style="221" customWidth="1"/>
    <col min="773" max="773" width="3.42578125" style="221" customWidth="1"/>
    <col min="774" max="774" width="0.5703125" style="221" customWidth="1"/>
    <col min="775" max="794" width="0.710937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140625" style="221" customWidth="1"/>
    <col min="831" max="831" width="0.5703125" style="221" customWidth="1"/>
    <col min="832" max="832" width="2.140625" style="221" customWidth="1"/>
    <col min="833" max="833" width="0.5703125" style="221" customWidth="1"/>
    <col min="834" max="834" width="2.140625" style="221" customWidth="1"/>
    <col min="835" max="835" width="0.5703125" style="221" customWidth="1"/>
    <col min="836" max="836" width="2.140625" style="221" customWidth="1"/>
    <col min="837" max="837" width="0.5703125" style="221" customWidth="1"/>
    <col min="838" max="838" width="2.140625" style="221" customWidth="1"/>
    <col min="839" max="839" width="0.5703125" style="221" customWidth="1"/>
    <col min="840" max="840" width="2.140625" style="221" customWidth="1"/>
    <col min="841" max="841" width="0.5703125" style="221" customWidth="1"/>
    <col min="842" max="842" width="2.140625" style="221" customWidth="1"/>
    <col min="843" max="843" width="0.5703125" style="221" customWidth="1"/>
    <col min="844" max="844" width="2.140625" style="221" customWidth="1"/>
    <col min="845" max="845" width="0.5703125" style="221" customWidth="1"/>
    <col min="846" max="846" width="2.140625" style="221" customWidth="1"/>
    <col min="847" max="847" width="0.5703125" style="221" customWidth="1"/>
    <col min="848" max="848" width="2.140625" style="221" customWidth="1"/>
    <col min="849" max="849" width="0.5703125" style="221" customWidth="1"/>
    <col min="850" max="850" width="2.140625" style="221" customWidth="1"/>
    <col min="851" max="851" width="0.5703125" style="221" customWidth="1"/>
    <col min="852" max="852" width="2.140625" style="221" customWidth="1"/>
    <col min="853" max="853" width="0.5703125" style="221" customWidth="1"/>
    <col min="854" max="854" width="1.7109375" style="221" customWidth="1"/>
    <col min="855"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42578125" style="221" customWidth="1"/>
    <col min="1030" max="1030" width="0.5703125" style="221" customWidth="1"/>
    <col min="1031" max="1050" width="0.710937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140625" style="221" customWidth="1"/>
    <col min="1087" max="1087" width="0.5703125" style="221" customWidth="1"/>
    <col min="1088" max="1088" width="2.140625" style="221" customWidth="1"/>
    <col min="1089" max="1089" width="0.5703125" style="221" customWidth="1"/>
    <col min="1090" max="1090" width="2.140625" style="221" customWidth="1"/>
    <col min="1091" max="1091" width="0.5703125" style="221" customWidth="1"/>
    <col min="1092" max="1092" width="2.140625" style="221" customWidth="1"/>
    <col min="1093" max="1093" width="0.5703125" style="221" customWidth="1"/>
    <col min="1094" max="1094" width="2.140625" style="221" customWidth="1"/>
    <col min="1095" max="1095" width="0.5703125" style="221" customWidth="1"/>
    <col min="1096" max="1096" width="2.140625" style="221" customWidth="1"/>
    <col min="1097" max="1097" width="0.5703125" style="221" customWidth="1"/>
    <col min="1098" max="1098" width="2.140625" style="221" customWidth="1"/>
    <col min="1099" max="1099" width="0.5703125" style="221" customWidth="1"/>
    <col min="1100" max="1100" width="2.140625" style="221" customWidth="1"/>
    <col min="1101" max="1101" width="0.5703125" style="221" customWidth="1"/>
    <col min="1102" max="1102" width="2.140625" style="221" customWidth="1"/>
    <col min="1103" max="1103" width="0.5703125" style="221" customWidth="1"/>
    <col min="1104" max="1104" width="2.140625" style="221" customWidth="1"/>
    <col min="1105" max="1105" width="0.5703125" style="221" customWidth="1"/>
    <col min="1106" max="1106" width="2.140625" style="221" customWidth="1"/>
    <col min="1107" max="1107" width="0.5703125" style="221" customWidth="1"/>
    <col min="1108" max="1108" width="2.140625" style="221" customWidth="1"/>
    <col min="1109" max="1109" width="0.5703125" style="221" customWidth="1"/>
    <col min="1110" max="1110" width="1.7109375" style="221" customWidth="1"/>
    <col min="1111"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42578125" style="221" customWidth="1"/>
    <col min="1286" max="1286" width="0.5703125" style="221" customWidth="1"/>
    <col min="1287" max="1306" width="0.710937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140625" style="221" customWidth="1"/>
    <col min="1343" max="1343" width="0.5703125" style="221" customWidth="1"/>
    <col min="1344" max="1344" width="2.140625" style="221" customWidth="1"/>
    <col min="1345" max="1345" width="0.5703125" style="221" customWidth="1"/>
    <col min="1346" max="1346" width="2.140625" style="221" customWidth="1"/>
    <col min="1347" max="1347" width="0.5703125" style="221" customWidth="1"/>
    <col min="1348" max="1348" width="2.140625" style="221" customWidth="1"/>
    <col min="1349" max="1349" width="0.5703125" style="221" customWidth="1"/>
    <col min="1350" max="1350" width="2.140625" style="221" customWidth="1"/>
    <col min="1351" max="1351" width="0.5703125" style="221" customWidth="1"/>
    <col min="1352" max="1352" width="2.140625" style="221" customWidth="1"/>
    <col min="1353" max="1353" width="0.5703125" style="221" customWidth="1"/>
    <col min="1354" max="1354" width="2.140625" style="221" customWidth="1"/>
    <col min="1355" max="1355" width="0.5703125" style="221" customWidth="1"/>
    <col min="1356" max="1356" width="2.140625" style="221" customWidth="1"/>
    <col min="1357" max="1357" width="0.5703125" style="221" customWidth="1"/>
    <col min="1358" max="1358" width="2.140625" style="221" customWidth="1"/>
    <col min="1359" max="1359" width="0.5703125" style="221" customWidth="1"/>
    <col min="1360" max="1360" width="2.140625" style="221" customWidth="1"/>
    <col min="1361" max="1361" width="0.5703125" style="221" customWidth="1"/>
    <col min="1362" max="1362" width="2.140625" style="221" customWidth="1"/>
    <col min="1363" max="1363" width="0.5703125" style="221" customWidth="1"/>
    <col min="1364" max="1364" width="2.140625" style="221" customWidth="1"/>
    <col min="1365" max="1365" width="0.5703125" style="221" customWidth="1"/>
    <col min="1366" max="1366" width="1.7109375" style="221" customWidth="1"/>
    <col min="1367"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42578125" style="221" customWidth="1"/>
    <col min="1542" max="1542" width="0.5703125" style="221" customWidth="1"/>
    <col min="1543" max="1562" width="0.710937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140625" style="221" customWidth="1"/>
    <col min="1599" max="1599" width="0.5703125" style="221" customWidth="1"/>
    <col min="1600" max="1600" width="2.140625" style="221" customWidth="1"/>
    <col min="1601" max="1601" width="0.5703125" style="221" customWidth="1"/>
    <col min="1602" max="1602" width="2.140625" style="221" customWidth="1"/>
    <col min="1603" max="1603" width="0.5703125" style="221" customWidth="1"/>
    <col min="1604" max="1604" width="2.140625" style="221" customWidth="1"/>
    <col min="1605" max="1605" width="0.5703125" style="221" customWidth="1"/>
    <col min="1606" max="1606" width="2.140625" style="221" customWidth="1"/>
    <col min="1607" max="1607" width="0.5703125" style="221" customWidth="1"/>
    <col min="1608" max="1608" width="2.140625" style="221" customWidth="1"/>
    <col min="1609" max="1609" width="0.5703125" style="221" customWidth="1"/>
    <col min="1610" max="1610" width="2.140625" style="221" customWidth="1"/>
    <col min="1611" max="1611" width="0.5703125" style="221" customWidth="1"/>
    <col min="1612" max="1612" width="2.140625" style="221" customWidth="1"/>
    <col min="1613" max="1613" width="0.5703125" style="221" customWidth="1"/>
    <col min="1614" max="1614" width="2.140625" style="221" customWidth="1"/>
    <col min="1615" max="1615" width="0.5703125" style="221" customWidth="1"/>
    <col min="1616" max="1616" width="2.140625" style="221" customWidth="1"/>
    <col min="1617" max="1617" width="0.5703125" style="221" customWidth="1"/>
    <col min="1618" max="1618" width="2.140625" style="221" customWidth="1"/>
    <col min="1619" max="1619" width="0.5703125" style="221" customWidth="1"/>
    <col min="1620" max="1620" width="2.140625" style="221" customWidth="1"/>
    <col min="1621" max="1621" width="0.5703125" style="221" customWidth="1"/>
    <col min="1622" max="1622" width="1.7109375" style="221" customWidth="1"/>
    <col min="1623"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42578125" style="221" customWidth="1"/>
    <col min="1798" max="1798" width="0.5703125" style="221" customWidth="1"/>
    <col min="1799" max="1818" width="0.710937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140625" style="221" customWidth="1"/>
    <col min="1855" max="1855" width="0.5703125" style="221" customWidth="1"/>
    <col min="1856" max="1856" width="2.140625" style="221" customWidth="1"/>
    <col min="1857" max="1857" width="0.5703125" style="221" customWidth="1"/>
    <col min="1858" max="1858" width="2.140625" style="221" customWidth="1"/>
    <col min="1859" max="1859" width="0.5703125" style="221" customWidth="1"/>
    <col min="1860" max="1860" width="2.140625" style="221" customWidth="1"/>
    <col min="1861" max="1861" width="0.5703125" style="221" customWidth="1"/>
    <col min="1862" max="1862" width="2.140625" style="221" customWidth="1"/>
    <col min="1863" max="1863" width="0.5703125" style="221" customWidth="1"/>
    <col min="1864" max="1864" width="2.140625" style="221" customWidth="1"/>
    <col min="1865" max="1865" width="0.5703125" style="221" customWidth="1"/>
    <col min="1866" max="1866" width="2.140625" style="221" customWidth="1"/>
    <col min="1867" max="1867" width="0.5703125" style="221" customWidth="1"/>
    <col min="1868" max="1868" width="2.140625" style="221" customWidth="1"/>
    <col min="1869" max="1869" width="0.5703125" style="221" customWidth="1"/>
    <col min="1870" max="1870" width="2.140625" style="221" customWidth="1"/>
    <col min="1871" max="1871" width="0.5703125" style="221" customWidth="1"/>
    <col min="1872" max="1872" width="2.140625" style="221" customWidth="1"/>
    <col min="1873" max="1873" width="0.5703125" style="221" customWidth="1"/>
    <col min="1874" max="1874" width="2.140625" style="221" customWidth="1"/>
    <col min="1875" max="1875" width="0.5703125" style="221" customWidth="1"/>
    <col min="1876" max="1876" width="2.140625" style="221" customWidth="1"/>
    <col min="1877" max="1877" width="0.5703125" style="221" customWidth="1"/>
    <col min="1878" max="1878" width="1.7109375" style="221" customWidth="1"/>
    <col min="1879"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42578125" style="221" customWidth="1"/>
    <col min="2054" max="2054" width="0.5703125" style="221" customWidth="1"/>
    <col min="2055" max="2074" width="0.710937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140625" style="221" customWidth="1"/>
    <col min="2111" max="2111" width="0.5703125" style="221" customWidth="1"/>
    <col min="2112" max="2112" width="2.140625" style="221" customWidth="1"/>
    <col min="2113" max="2113" width="0.5703125" style="221" customWidth="1"/>
    <col min="2114" max="2114" width="2.140625" style="221" customWidth="1"/>
    <col min="2115" max="2115" width="0.5703125" style="221" customWidth="1"/>
    <col min="2116" max="2116" width="2.140625" style="221" customWidth="1"/>
    <col min="2117" max="2117" width="0.5703125" style="221" customWidth="1"/>
    <col min="2118" max="2118" width="2.140625" style="221" customWidth="1"/>
    <col min="2119" max="2119" width="0.5703125" style="221" customWidth="1"/>
    <col min="2120" max="2120" width="2.140625" style="221" customWidth="1"/>
    <col min="2121" max="2121" width="0.5703125" style="221" customWidth="1"/>
    <col min="2122" max="2122" width="2.140625" style="221" customWidth="1"/>
    <col min="2123" max="2123" width="0.5703125" style="221" customWidth="1"/>
    <col min="2124" max="2124" width="2.140625" style="221" customWidth="1"/>
    <col min="2125" max="2125" width="0.5703125" style="221" customWidth="1"/>
    <col min="2126" max="2126" width="2.140625" style="221" customWidth="1"/>
    <col min="2127" max="2127" width="0.5703125" style="221" customWidth="1"/>
    <col min="2128" max="2128" width="2.140625" style="221" customWidth="1"/>
    <col min="2129" max="2129" width="0.5703125" style="221" customWidth="1"/>
    <col min="2130" max="2130" width="2.140625" style="221" customWidth="1"/>
    <col min="2131" max="2131" width="0.5703125" style="221" customWidth="1"/>
    <col min="2132" max="2132" width="2.140625" style="221" customWidth="1"/>
    <col min="2133" max="2133" width="0.5703125" style="221" customWidth="1"/>
    <col min="2134" max="2134" width="1.7109375" style="221" customWidth="1"/>
    <col min="2135"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42578125" style="221" customWidth="1"/>
    <col min="2310" max="2310" width="0.5703125" style="221" customWidth="1"/>
    <col min="2311" max="2330" width="0.710937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140625" style="221" customWidth="1"/>
    <col min="2367" max="2367" width="0.5703125" style="221" customWidth="1"/>
    <col min="2368" max="2368" width="2.140625" style="221" customWidth="1"/>
    <col min="2369" max="2369" width="0.5703125" style="221" customWidth="1"/>
    <col min="2370" max="2370" width="2.140625" style="221" customWidth="1"/>
    <col min="2371" max="2371" width="0.5703125" style="221" customWidth="1"/>
    <col min="2372" max="2372" width="2.140625" style="221" customWidth="1"/>
    <col min="2373" max="2373" width="0.5703125" style="221" customWidth="1"/>
    <col min="2374" max="2374" width="2.140625" style="221" customWidth="1"/>
    <col min="2375" max="2375" width="0.5703125" style="221" customWidth="1"/>
    <col min="2376" max="2376" width="2.140625" style="221" customWidth="1"/>
    <col min="2377" max="2377" width="0.5703125" style="221" customWidth="1"/>
    <col min="2378" max="2378" width="2.140625" style="221" customWidth="1"/>
    <col min="2379" max="2379" width="0.5703125" style="221" customWidth="1"/>
    <col min="2380" max="2380" width="2.140625" style="221" customWidth="1"/>
    <col min="2381" max="2381" width="0.5703125" style="221" customWidth="1"/>
    <col min="2382" max="2382" width="2.140625" style="221" customWidth="1"/>
    <col min="2383" max="2383" width="0.5703125" style="221" customWidth="1"/>
    <col min="2384" max="2384" width="2.140625" style="221" customWidth="1"/>
    <col min="2385" max="2385" width="0.5703125" style="221" customWidth="1"/>
    <col min="2386" max="2386" width="2.140625" style="221" customWidth="1"/>
    <col min="2387" max="2387" width="0.5703125" style="221" customWidth="1"/>
    <col min="2388" max="2388" width="2.140625" style="221" customWidth="1"/>
    <col min="2389" max="2389" width="0.5703125" style="221" customWidth="1"/>
    <col min="2390" max="2390" width="1.7109375" style="221" customWidth="1"/>
    <col min="2391"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42578125" style="221" customWidth="1"/>
    <col min="2566" max="2566" width="0.5703125" style="221" customWidth="1"/>
    <col min="2567" max="2586" width="0.710937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140625" style="221" customWidth="1"/>
    <col min="2623" max="2623" width="0.5703125" style="221" customWidth="1"/>
    <col min="2624" max="2624" width="2.140625" style="221" customWidth="1"/>
    <col min="2625" max="2625" width="0.5703125" style="221" customWidth="1"/>
    <col min="2626" max="2626" width="2.140625" style="221" customWidth="1"/>
    <col min="2627" max="2627" width="0.5703125" style="221" customWidth="1"/>
    <col min="2628" max="2628" width="2.140625" style="221" customWidth="1"/>
    <col min="2629" max="2629" width="0.5703125" style="221" customWidth="1"/>
    <col min="2630" max="2630" width="2.140625" style="221" customWidth="1"/>
    <col min="2631" max="2631" width="0.5703125" style="221" customWidth="1"/>
    <col min="2632" max="2632" width="2.140625" style="221" customWidth="1"/>
    <col min="2633" max="2633" width="0.5703125" style="221" customWidth="1"/>
    <col min="2634" max="2634" width="2.140625" style="221" customWidth="1"/>
    <col min="2635" max="2635" width="0.5703125" style="221" customWidth="1"/>
    <col min="2636" max="2636" width="2.140625" style="221" customWidth="1"/>
    <col min="2637" max="2637" width="0.5703125" style="221" customWidth="1"/>
    <col min="2638" max="2638" width="2.140625" style="221" customWidth="1"/>
    <col min="2639" max="2639" width="0.5703125" style="221" customWidth="1"/>
    <col min="2640" max="2640" width="2.140625" style="221" customWidth="1"/>
    <col min="2641" max="2641" width="0.5703125" style="221" customWidth="1"/>
    <col min="2642" max="2642" width="2.140625" style="221" customWidth="1"/>
    <col min="2643" max="2643" width="0.5703125" style="221" customWidth="1"/>
    <col min="2644" max="2644" width="2.140625" style="221" customWidth="1"/>
    <col min="2645" max="2645" width="0.5703125" style="221" customWidth="1"/>
    <col min="2646" max="2646" width="1.7109375" style="221" customWidth="1"/>
    <col min="2647"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42578125" style="221" customWidth="1"/>
    <col min="2822" max="2822" width="0.5703125" style="221" customWidth="1"/>
    <col min="2823" max="2842" width="0.710937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140625" style="221" customWidth="1"/>
    <col min="2879" max="2879" width="0.5703125" style="221" customWidth="1"/>
    <col min="2880" max="2880" width="2.140625" style="221" customWidth="1"/>
    <col min="2881" max="2881" width="0.5703125" style="221" customWidth="1"/>
    <col min="2882" max="2882" width="2.140625" style="221" customWidth="1"/>
    <col min="2883" max="2883" width="0.5703125" style="221" customWidth="1"/>
    <col min="2884" max="2884" width="2.140625" style="221" customWidth="1"/>
    <col min="2885" max="2885" width="0.5703125" style="221" customWidth="1"/>
    <col min="2886" max="2886" width="2.140625" style="221" customWidth="1"/>
    <col min="2887" max="2887" width="0.5703125" style="221" customWidth="1"/>
    <col min="2888" max="2888" width="2.140625" style="221" customWidth="1"/>
    <col min="2889" max="2889" width="0.5703125" style="221" customWidth="1"/>
    <col min="2890" max="2890" width="2.140625" style="221" customWidth="1"/>
    <col min="2891" max="2891" width="0.5703125" style="221" customWidth="1"/>
    <col min="2892" max="2892" width="2.140625" style="221" customWidth="1"/>
    <col min="2893" max="2893" width="0.5703125" style="221" customWidth="1"/>
    <col min="2894" max="2894" width="2.140625" style="221" customWidth="1"/>
    <col min="2895" max="2895" width="0.5703125" style="221" customWidth="1"/>
    <col min="2896" max="2896" width="2.140625" style="221" customWidth="1"/>
    <col min="2897" max="2897" width="0.5703125" style="221" customWidth="1"/>
    <col min="2898" max="2898" width="2.140625" style="221" customWidth="1"/>
    <col min="2899" max="2899" width="0.5703125" style="221" customWidth="1"/>
    <col min="2900" max="2900" width="2.140625" style="221" customWidth="1"/>
    <col min="2901" max="2901" width="0.5703125" style="221" customWidth="1"/>
    <col min="2902" max="2902" width="1.7109375" style="221" customWidth="1"/>
    <col min="2903"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42578125" style="221" customWidth="1"/>
    <col min="3078" max="3078" width="0.5703125" style="221" customWidth="1"/>
    <col min="3079" max="3098" width="0.710937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140625" style="221" customWidth="1"/>
    <col min="3135" max="3135" width="0.5703125" style="221" customWidth="1"/>
    <col min="3136" max="3136" width="2.140625" style="221" customWidth="1"/>
    <col min="3137" max="3137" width="0.5703125" style="221" customWidth="1"/>
    <col min="3138" max="3138" width="2.140625" style="221" customWidth="1"/>
    <col min="3139" max="3139" width="0.5703125" style="221" customWidth="1"/>
    <col min="3140" max="3140" width="2.140625" style="221" customWidth="1"/>
    <col min="3141" max="3141" width="0.5703125" style="221" customWidth="1"/>
    <col min="3142" max="3142" width="2.140625" style="221" customWidth="1"/>
    <col min="3143" max="3143" width="0.5703125" style="221" customWidth="1"/>
    <col min="3144" max="3144" width="2.140625" style="221" customWidth="1"/>
    <col min="3145" max="3145" width="0.5703125" style="221" customWidth="1"/>
    <col min="3146" max="3146" width="2.140625" style="221" customWidth="1"/>
    <col min="3147" max="3147" width="0.5703125" style="221" customWidth="1"/>
    <col min="3148" max="3148" width="2.140625" style="221" customWidth="1"/>
    <col min="3149" max="3149" width="0.5703125" style="221" customWidth="1"/>
    <col min="3150" max="3150" width="2.140625" style="221" customWidth="1"/>
    <col min="3151" max="3151" width="0.5703125" style="221" customWidth="1"/>
    <col min="3152" max="3152" width="2.140625" style="221" customWidth="1"/>
    <col min="3153" max="3153" width="0.5703125" style="221" customWidth="1"/>
    <col min="3154" max="3154" width="2.140625" style="221" customWidth="1"/>
    <col min="3155" max="3155" width="0.5703125" style="221" customWidth="1"/>
    <col min="3156" max="3156" width="2.140625" style="221" customWidth="1"/>
    <col min="3157" max="3157" width="0.5703125" style="221" customWidth="1"/>
    <col min="3158" max="3158" width="1.7109375" style="221" customWidth="1"/>
    <col min="3159"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42578125" style="221" customWidth="1"/>
    <col min="3334" max="3334" width="0.5703125" style="221" customWidth="1"/>
    <col min="3335" max="3354" width="0.710937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140625" style="221" customWidth="1"/>
    <col min="3391" max="3391" width="0.5703125" style="221" customWidth="1"/>
    <col min="3392" max="3392" width="2.140625" style="221" customWidth="1"/>
    <col min="3393" max="3393" width="0.5703125" style="221" customWidth="1"/>
    <col min="3394" max="3394" width="2.140625" style="221" customWidth="1"/>
    <col min="3395" max="3395" width="0.5703125" style="221" customWidth="1"/>
    <col min="3396" max="3396" width="2.140625" style="221" customWidth="1"/>
    <col min="3397" max="3397" width="0.5703125" style="221" customWidth="1"/>
    <col min="3398" max="3398" width="2.140625" style="221" customWidth="1"/>
    <col min="3399" max="3399" width="0.5703125" style="221" customWidth="1"/>
    <col min="3400" max="3400" width="2.140625" style="221" customWidth="1"/>
    <col min="3401" max="3401" width="0.5703125" style="221" customWidth="1"/>
    <col min="3402" max="3402" width="2.140625" style="221" customWidth="1"/>
    <col min="3403" max="3403" width="0.5703125" style="221" customWidth="1"/>
    <col min="3404" max="3404" width="2.140625" style="221" customWidth="1"/>
    <col min="3405" max="3405" width="0.5703125" style="221" customWidth="1"/>
    <col min="3406" max="3406" width="2.140625" style="221" customWidth="1"/>
    <col min="3407" max="3407" width="0.5703125" style="221" customWidth="1"/>
    <col min="3408" max="3408" width="2.140625" style="221" customWidth="1"/>
    <col min="3409" max="3409" width="0.5703125" style="221" customWidth="1"/>
    <col min="3410" max="3410" width="2.140625" style="221" customWidth="1"/>
    <col min="3411" max="3411" width="0.5703125" style="221" customWidth="1"/>
    <col min="3412" max="3412" width="2.140625" style="221" customWidth="1"/>
    <col min="3413" max="3413" width="0.5703125" style="221" customWidth="1"/>
    <col min="3414" max="3414" width="1.7109375" style="221" customWidth="1"/>
    <col min="3415"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42578125" style="221" customWidth="1"/>
    <col min="3590" max="3590" width="0.5703125" style="221" customWidth="1"/>
    <col min="3591" max="3610" width="0.710937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140625" style="221" customWidth="1"/>
    <col min="3647" max="3647" width="0.5703125" style="221" customWidth="1"/>
    <col min="3648" max="3648" width="2.140625" style="221" customWidth="1"/>
    <col min="3649" max="3649" width="0.5703125" style="221" customWidth="1"/>
    <col min="3650" max="3650" width="2.140625" style="221" customWidth="1"/>
    <col min="3651" max="3651" width="0.5703125" style="221" customWidth="1"/>
    <col min="3652" max="3652" width="2.140625" style="221" customWidth="1"/>
    <col min="3653" max="3653" width="0.5703125" style="221" customWidth="1"/>
    <col min="3654" max="3654" width="2.140625" style="221" customWidth="1"/>
    <col min="3655" max="3655" width="0.5703125" style="221" customWidth="1"/>
    <col min="3656" max="3656" width="2.140625" style="221" customWidth="1"/>
    <col min="3657" max="3657" width="0.5703125" style="221" customWidth="1"/>
    <col min="3658" max="3658" width="2.140625" style="221" customWidth="1"/>
    <col min="3659" max="3659" width="0.5703125" style="221" customWidth="1"/>
    <col min="3660" max="3660" width="2.140625" style="221" customWidth="1"/>
    <col min="3661" max="3661" width="0.5703125" style="221" customWidth="1"/>
    <col min="3662" max="3662" width="2.140625" style="221" customWidth="1"/>
    <col min="3663" max="3663" width="0.5703125" style="221" customWidth="1"/>
    <col min="3664" max="3664" width="2.140625" style="221" customWidth="1"/>
    <col min="3665" max="3665" width="0.5703125" style="221" customWidth="1"/>
    <col min="3666" max="3666" width="2.140625" style="221" customWidth="1"/>
    <col min="3667" max="3667" width="0.5703125" style="221" customWidth="1"/>
    <col min="3668" max="3668" width="2.140625" style="221" customWidth="1"/>
    <col min="3669" max="3669" width="0.5703125" style="221" customWidth="1"/>
    <col min="3670" max="3670" width="1.7109375" style="221" customWidth="1"/>
    <col min="3671"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42578125" style="221" customWidth="1"/>
    <col min="3846" max="3846" width="0.5703125" style="221" customWidth="1"/>
    <col min="3847" max="3866" width="0.710937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140625" style="221" customWidth="1"/>
    <col min="3903" max="3903" width="0.5703125" style="221" customWidth="1"/>
    <col min="3904" max="3904" width="2.140625" style="221" customWidth="1"/>
    <col min="3905" max="3905" width="0.5703125" style="221" customWidth="1"/>
    <col min="3906" max="3906" width="2.140625" style="221" customWidth="1"/>
    <col min="3907" max="3907" width="0.5703125" style="221" customWidth="1"/>
    <col min="3908" max="3908" width="2.140625" style="221" customWidth="1"/>
    <col min="3909" max="3909" width="0.5703125" style="221" customWidth="1"/>
    <col min="3910" max="3910" width="2.140625" style="221" customWidth="1"/>
    <col min="3911" max="3911" width="0.5703125" style="221" customWidth="1"/>
    <col min="3912" max="3912" width="2.140625" style="221" customWidth="1"/>
    <col min="3913" max="3913" width="0.5703125" style="221" customWidth="1"/>
    <col min="3914" max="3914" width="2.140625" style="221" customWidth="1"/>
    <col min="3915" max="3915" width="0.5703125" style="221" customWidth="1"/>
    <col min="3916" max="3916" width="2.140625" style="221" customWidth="1"/>
    <col min="3917" max="3917" width="0.5703125" style="221" customWidth="1"/>
    <col min="3918" max="3918" width="2.140625" style="221" customWidth="1"/>
    <col min="3919" max="3919" width="0.5703125" style="221" customWidth="1"/>
    <col min="3920" max="3920" width="2.140625" style="221" customWidth="1"/>
    <col min="3921" max="3921" width="0.5703125" style="221" customWidth="1"/>
    <col min="3922" max="3922" width="2.140625" style="221" customWidth="1"/>
    <col min="3923" max="3923" width="0.5703125" style="221" customWidth="1"/>
    <col min="3924" max="3924" width="2.140625" style="221" customWidth="1"/>
    <col min="3925" max="3925" width="0.5703125" style="221" customWidth="1"/>
    <col min="3926" max="3926" width="1.7109375" style="221" customWidth="1"/>
    <col min="3927"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42578125" style="221" customWidth="1"/>
    <col min="4102" max="4102" width="0.5703125" style="221" customWidth="1"/>
    <col min="4103" max="4122" width="0.710937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140625" style="221" customWidth="1"/>
    <col min="4159" max="4159" width="0.5703125" style="221" customWidth="1"/>
    <col min="4160" max="4160" width="2.140625" style="221" customWidth="1"/>
    <col min="4161" max="4161" width="0.5703125" style="221" customWidth="1"/>
    <col min="4162" max="4162" width="2.140625" style="221" customWidth="1"/>
    <col min="4163" max="4163" width="0.5703125" style="221" customWidth="1"/>
    <col min="4164" max="4164" width="2.140625" style="221" customWidth="1"/>
    <col min="4165" max="4165" width="0.5703125" style="221" customWidth="1"/>
    <col min="4166" max="4166" width="2.140625" style="221" customWidth="1"/>
    <col min="4167" max="4167" width="0.5703125" style="221" customWidth="1"/>
    <col min="4168" max="4168" width="2.140625" style="221" customWidth="1"/>
    <col min="4169" max="4169" width="0.5703125" style="221" customWidth="1"/>
    <col min="4170" max="4170" width="2.140625" style="221" customWidth="1"/>
    <col min="4171" max="4171" width="0.5703125" style="221" customWidth="1"/>
    <col min="4172" max="4172" width="2.140625" style="221" customWidth="1"/>
    <col min="4173" max="4173" width="0.5703125" style="221" customWidth="1"/>
    <col min="4174" max="4174" width="2.140625" style="221" customWidth="1"/>
    <col min="4175" max="4175" width="0.5703125" style="221" customWidth="1"/>
    <col min="4176" max="4176" width="2.140625" style="221" customWidth="1"/>
    <col min="4177" max="4177" width="0.5703125" style="221" customWidth="1"/>
    <col min="4178" max="4178" width="2.140625" style="221" customWidth="1"/>
    <col min="4179" max="4179" width="0.5703125" style="221" customWidth="1"/>
    <col min="4180" max="4180" width="2.140625" style="221" customWidth="1"/>
    <col min="4181" max="4181" width="0.5703125" style="221" customWidth="1"/>
    <col min="4182" max="4182" width="1.7109375" style="221" customWidth="1"/>
    <col min="4183"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42578125" style="221" customWidth="1"/>
    <col min="4358" max="4358" width="0.5703125" style="221" customWidth="1"/>
    <col min="4359" max="4378" width="0.710937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140625" style="221" customWidth="1"/>
    <col min="4415" max="4415" width="0.5703125" style="221" customWidth="1"/>
    <col min="4416" max="4416" width="2.140625" style="221" customWidth="1"/>
    <col min="4417" max="4417" width="0.5703125" style="221" customWidth="1"/>
    <col min="4418" max="4418" width="2.140625" style="221" customWidth="1"/>
    <col min="4419" max="4419" width="0.5703125" style="221" customWidth="1"/>
    <col min="4420" max="4420" width="2.140625" style="221" customWidth="1"/>
    <col min="4421" max="4421" width="0.5703125" style="221" customWidth="1"/>
    <col min="4422" max="4422" width="2.140625" style="221" customWidth="1"/>
    <col min="4423" max="4423" width="0.5703125" style="221" customWidth="1"/>
    <col min="4424" max="4424" width="2.140625" style="221" customWidth="1"/>
    <col min="4425" max="4425" width="0.5703125" style="221" customWidth="1"/>
    <col min="4426" max="4426" width="2.140625" style="221" customWidth="1"/>
    <col min="4427" max="4427" width="0.5703125" style="221" customWidth="1"/>
    <col min="4428" max="4428" width="2.140625" style="221" customWidth="1"/>
    <col min="4429" max="4429" width="0.5703125" style="221" customWidth="1"/>
    <col min="4430" max="4430" width="2.140625" style="221" customWidth="1"/>
    <col min="4431" max="4431" width="0.5703125" style="221" customWidth="1"/>
    <col min="4432" max="4432" width="2.140625" style="221" customWidth="1"/>
    <col min="4433" max="4433" width="0.5703125" style="221" customWidth="1"/>
    <col min="4434" max="4434" width="2.140625" style="221" customWidth="1"/>
    <col min="4435" max="4435" width="0.5703125" style="221" customWidth="1"/>
    <col min="4436" max="4436" width="2.140625" style="221" customWidth="1"/>
    <col min="4437" max="4437" width="0.5703125" style="221" customWidth="1"/>
    <col min="4438" max="4438" width="1.7109375" style="221" customWidth="1"/>
    <col min="4439"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42578125" style="221" customWidth="1"/>
    <col min="4614" max="4614" width="0.5703125" style="221" customWidth="1"/>
    <col min="4615" max="4634" width="0.710937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140625" style="221" customWidth="1"/>
    <col min="4671" max="4671" width="0.5703125" style="221" customWidth="1"/>
    <col min="4672" max="4672" width="2.140625" style="221" customWidth="1"/>
    <col min="4673" max="4673" width="0.5703125" style="221" customWidth="1"/>
    <col min="4674" max="4674" width="2.140625" style="221" customWidth="1"/>
    <col min="4675" max="4675" width="0.5703125" style="221" customWidth="1"/>
    <col min="4676" max="4676" width="2.140625" style="221" customWidth="1"/>
    <col min="4677" max="4677" width="0.5703125" style="221" customWidth="1"/>
    <col min="4678" max="4678" width="2.140625" style="221" customWidth="1"/>
    <col min="4679" max="4679" width="0.5703125" style="221" customWidth="1"/>
    <col min="4680" max="4680" width="2.140625" style="221" customWidth="1"/>
    <col min="4681" max="4681" width="0.5703125" style="221" customWidth="1"/>
    <col min="4682" max="4682" width="2.140625" style="221" customWidth="1"/>
    <col min="4683" max="4683" width="0.5703125" style="221" customWidth="1"/>
    <col min="4684" max="4684" width="2.140625" style="221" customWidth="1"/>
    <col min="4685" max="4685" width="0.5703125" style="221" customWidth="1"/>
    <col min="4686" max="4686" width="2.140625" style="221" customWidth="1"/>
    <col min="4687" max="4687" width="0.5703125" style="221" customWidth="1"/>
    <col min="4688" max="4688" width="2.140625" style="221" customWidth="1"/>
    <col min="4689" max="4689" width="0.5703125" style="221" customWidth="1"/>
    <col min="4690" max="4690" width="2.140625" style="221" customWidth="1"/>
    <col min="4691" max="4691" width="0.5703125" style="221" customWidth="1"/>
    <col min="4692" max="4692" width="2.140625" style="221" customWidth="1"/>
    <col min="4693" max="4693" width="0.5703125" style="221" customWidth="1"/>
    <col min="4694" max="4694" width="1.7109375" style="221" customWidth="1"/>
    <col min="4695"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42578125" style="221" customWidth="1"/>
    <col min="4870" max="4870" width="0.5703125" style="221" customWidth="1"/>
    <col min="4871" max="4890" width="0.710937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140625" style="221" customWidth="1"/>
    <col min="4927" max="4927" width="0.5703125" style="221" customWidth="1"/>
    <col min="4928" max="4928" width="2.140625" style="221" customWidth="1"/>
    <col min="4929" max="4929" width="0.5703125" style="221" customWidth="1"/>
    <col min="4930" max="4930" width="2.140625" style="221" customWidth="1"/>
    <col min="4931" max="4931" width="0.5703125" style="221" customWidth="1"/>
    <col min="4932" max="4932" width="2.140625" style="221" customWidth="1"/>
    <col min="4933" max="4933" width="0.5703125" style="221" customWidth="1"/>
    <col min="4934" max="4934" width="2.140625" style="221" customWidth="1"/>
    <col min="4935" max="4935" width="0.5703125" style="221" customWidth="1"/>
    <col min="4936" max="4936" width="2.140625" style="221" customWidth="1"/>
    <col min="4937" max="4937" width="0.5703125" style="221" customWidth="1"/>
    <col min="4938" max="4938" width="2.140625" style="221" customWidth="1"/>
    <col min="4939" max="4939" width="0.5703125" style="221" customWidth="1"/>
    <col min="4940" max="4940" width="2.140625" style="221" customWidth="1"/>
    <col min="4941" max="4941" width="0.5703125" style="221" customWidth="1"/>
    <col min="4942" max="4942" width="2.140625" style="221" customWidth="1"/>
    <col min="4943" max="4943" width="0.5703125" style="221" customWidth="1"/>
    <col min="4944" max="4944" width="2.140625" style="221" customWidth="1"/>
    <col min="4945" max="4945" width="0.5703125" style="221" customWidth="1"/>
    <col min="4946" max="4946" width="2.140625" style="221" customWidth="1"/>
    <col min="4947" max="4947" width="0.5703125" style="221" customWidth="1"/>
    <col min="4948" max="4948" width="2.140625" style="221" customWidth="1"/>
    <col min="4949" max="4949" width="0.5703125" style="221" customWidth="1"/>
    <col min="4950" max="4950" width="1.7109375" style="221" customWidth="1"/>
    <col min="4951"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42578125" style="221" customWidth="1"/>
    <col min="5126" max="5126" width="0.5703125" style="221" customWidth="1"/>
    <col min="5127" max="5146" width="0.710937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140625" style="221" customWidth="1"/>
    <col min="5183" max="5183" width="0.5703125" style="221" customWidth="1"/>
    <col min="5184" max="5184" width="2.140625" style="221" customWidth="1"/>
    <col min="5185" max="5185" width="0.5703125" style="221" customWidth="1"/>
    <col min="5186" max="5186" width="2.140625" style="221" customWidth="1"/>
    <col min="5187" max="5187" width="0.5703125" style="221" customWidth="1"/>
    <col min="5188" max="5188" width="2.140625" style="221" customWidth="1"/>
    <col min="5189" max="5189" width="0.5703125" style="221" customWidth="1"/>
    <col min="5190" max="5190" width="2.140625" style="221" customWidth="1"/>
    <col min="5191" max="5191" width="0.5703125" style="221" customWidth="1"/>
    <col min="5192" max="5192" width="2.140625" style="221" customWidth="1"/>
    <col min="5193" max="5193" width="0.5703125" style="221" customWidth="1"/>
    <col min="5194" max="5194" width="2.140625" style="221" customWidth="1"/>
    <col min="5195" max="5195" width="0.5703125" style="221" customWidth="1"/>
    <col min="5196" max="5196" width="2.140625" style="221" customWidth="1"/>
    <col min="5197" max="5197" width="0.5703125" style="221" customWidth="1"/>
    <col min="5198" max="5198" width="2.140625" style="221" customWidth="1"/>
    <col min="5199" max="5199" width="0.5703125" style="221" customWidth="1"/>
    <col min="5200" max="5200" width="2.140625" style="221" customWidth="1"/>
    <col min="5201" max="5201" width="0.5703125" style="221" customWidth="1"/>
    <col min="5202" max="5202" width="2.140625" style="221" customWidth="1"/>
    <col min="5203" max="5203" width="0.5703125" style="221" customWidth="1"/>
    <col min="5204" max="5204" width="2.140625" style="221" customWidth="1"/>
    <col min="5205" max="5205" width="0.5703125" style="221" customWidth="1"/>
    <col min="5206" max="5206" width="1.7109375" style="221" customWidth="1"/>
    <col min="5207"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42578125" style="221" customWidth="1"/>
    <col min="5382" max="5382" width="0.5703125" style="221" customWidth="1"/>
    <col min="5383" max="5402" width="0.710937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140625" style="221" customWidth="1"/>
    <col min="5439" max="5439" width="0.5703125" style="221" customWidth="1"/>
    <col min="5440" max="5440" width="2.140625" style="221" customWidth="1"/>
    <col min="5441" max="5441" width="0.5703125" style="221" customWidth="1"/>
    <col min="5442" max="5442" width="2.140625" style="221" customWidth="1"/>
    <col min="5443" max="5443" width="0.5703125" style="221" customWidth="1"/>
    <col min="5444" max="5444" width="2.140625" style="221" customWidth="1"/>
    <col min="5445" max="5445" width="0.5703125" style="221" customWidth="1"/>
    <col min="5446" max="5446" width="2.140625" style="221" customWidth="1"/>
    <col min="5447" max="5447" width="0.5703125" style="221" customWidth="1"/>
    <col min="5448" max="5448" width="2.140625" style="221" customWidth="1"/>
    <col min="5449" max="5449" width="0.5703125" style="221" customWidth="1"/>
    <col min="5450" max="5450" width="2.140625" style="221" customWidth="1"/>
    <col min="5451" max="5451" width="0.5703125" style="221" customWidth="1"/>
    <col min="5452" max="5452" width="2.140625" style="221" customWidth="1"/>
    <col min="5453" max="5453" width="0.5703125" style="221" customWidth="1"/>
    <col min="5454" max="5454" width="2.140625" style="221" customWidth="1"/>
    <col min="5455" max="5455" width="0.5703125" style="221" customWidth="1"/>
    <col min="5456" max="5456" width="2.140625" style="221" customWidth="1"/>
    <col min="5457" max="5457" width="0.5703125" style="221" customWidth="1"/>
    <col min="5458" max="5458" width="2.140625" style="221" customWidth="1"/>
    <col min="5459" max="5459" width="0.5703125" style="221" customWidth="1"/>
    <col min="5460" max="5460" width="2.140625" style="221" customWidth="1"/>
    <col min="5461" max="5461" width="0.5703125" style="221" customWidth="1"/>
    <col min="5462" max="5462" width="1.7109375" style="221" customWidth="1"/>
    <col min="5463"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42578125" style="221" customWidth="1"/>
    <col min="5638" max="5638" width="0.5703125" style="221" customWidth="1"/>
    <col min="5639" max="5658" width="0.710937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140625" style="221" customWidth="1"/>
    <col min="5695" max="5695" width="0.5703125" style="221" customWidth="1"/>
    <col min="5696" max="5696" width="2.140625" style="221" customWidth="1"/>
    <col min="5697" max="5697" width="0.5703125" style="221" customWidth="1"/>
    <col min="5698" max="5698" width="2.140625" style="221" customWidth="1"/>
    <col min="5699" max="5699" width="0.5703125" style="221" customWidth="1"/>
    <col min="5700" max="5700" width="2.140625" style="221" customWidth="1"/>
    <col min="5701" max="5701" width="0.5703125" style="221" customWidth="1"/>
    <col min="5702" max="5702" width="2.140625" style="221" customWidth="1"/>
    <col min="5703" max="5703" width="0.5703125" style="221" customWidth="1"/>
    <col min="5704" max="5704" width="2.140625" style="221" customWidth="1"/>
    <col min="5705" max="5705" width="0.5703125" style="221" customWidth="1"/>
    <col min="5706" max="5706" width="2.140625" style="221" customWidth="1"/>
    <col min="5707" max="5707" width="0.5703125" style="221" customWidth="1"/>
    <col min="5708" max="5708" width="2.140625" style="221" customWidth="1"/>
    <col min="5709" max="5709" width="0.5703125" style="221" customWidth="1"/>
    <col min="5710" max="5710" width="2.140625" style="221" customWidth="1"/>
    <col min="5711" max="5711" width="0.5703125" style="221" customWidth="1"/>
    <col min="5712" max="5712" width="2.140625" style="221" customWidth="1"/>
    <col min="5713" max="5713" width="0.5703125" style="221" customWidth="1"/>
    <col min="5714" max="5714" width="2.140625" style="221" customWidth="1"/>
    <col min="5715" max="5715" width="0.5703125" style="221" customWidth="1"/>
    <col min="5716" max="5716" width="2.140625" style="221" customWidth="1"/>
    <col min="5717" max="5717" width="0.5703125" style="221" customWidth="1"/>
    <col min="5718" max="5718" width="1.7109375" style="221" customWidth="1"/>
    <col min="5719"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42578125" style="221" customWidth="1"/>
    <col min="5894" max="5894" width="0.5703125" style="221" customWidth="1"/>
    <col min="5895" max="5914" width="0.710937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140625" style="221" customWidth="1"/>
    <col min="5951" max="5951" width="0.5703125" style="221" customWidth="1"/>
    <col min="5952" max="5952" width="2.140625" style="221" customWidth="1"/>
    <col min="5953" max="5953" width="0.5703125" style="221" customWidth="1"/>
    <col min="5954" max="5954" width="2.140625" style="221" customWidth="1"/>
    <col min="5955" max="5955" width="0.5703125" style="221" customWidth="1"/>
    <col min="5956" max="5956" width="2.140625" style="221" customWidth="1"/>
    <col min="5957" max="5957" width="0.5703125" style="221" customWidth="1"/>
    <col min="5958" max="5958" width="2.140625" style="221" customWidth="1"/>
    <col min="5959" max="5959" width="0.5703125" style="221" customWidth="1"/>
    <col min="5960" max="5960" width="2.140625" style="221" customWidth="1"/>
    <col min="5961" max="5961" width="0.5703125" style="221" customWidth="1"/>
    <col min="5962" max="5962" width="2.140625" style="221" customWidth="1"/>
    <col min="5963" max="5963" width="0.5703125" style="221" customWidth="1"/>
    <col min="5964" max="5964" width="2.140625" style="221" customWidth="1"/>
    <col min="5965" max="5965" width="0.5703125" style="221" customWidth="1"/>
    <col min="5966" max="5966" width="2.140625" style="221" customWidth="1"/>
    <col min="5967" max="5967" width="0.5703125" style="221" customWidth="1"/>
    <col min="5968" max="5968" width="2.140625" style="221" customWidth="1"/>
    <col min="5969" max="5969" width="0.5703125" style="221" customWidth="1"/>
    <col min="5970" max="5970" width="2.140625" style="221" customWidth="1"/>
    <col min="5971" max="5971" width="0.5703125" style="221" customWidth="1"/>
    <col min="5972" max="5972" width="2.140625" style="221" customWidth="1"/>
    <col min="5973" max="5973" width="0.5703125" style="221" customWidth="1"/>
    <col min="5974" max="5974" width="1.7109375" style="221" customWidth="1"/>
    <col min="5975"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42578125" style="221" customWidth="1"/>
    <col min="6150" max="6150" width="0.5703125" style="221" customWidth="1"/>
    <col min="6151" max="6170" width="0.710937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140625" style="221" customWidth="1"/>
    <col min="6207" max="6207" width="0.5703125" style="221" customWidth="1"/>
    <col min="6208" max="6208" width="2.140625" style="221" customWidth="1"/>
    <col min="6209" max="6209" width="0.5703125" style="221" customWidth="1"/>
    <col min="6210" max="6210" width="2.140625" style="221" customWidth="1"/>
    <col min="6211" max="6211" width="0.5703125" style="221" customWidth="1"/>
    <col min="6212" max="6212" width="2.140625" style="221" customWidth="1"/>
    <col min="6213" max="6213" width="0.5703125" style="221" customWidth="1"/>
    <col min="6214" max="6214" width="2.140625" style="221" customWidth="1"/>
    <col min="6215" max="6215" width="0.5703125" style="221" customWidth="1"/>
    <col min="6216" max="6216" width="2.140625" style="221" customWidth="1"/>
    <col min="6217" max="6217" width="0.5703125" style="221" customWidth="1"/>
    <col min="6218" max="6218" width="2.140625" style="221" customWidth="1"/>
    <col min="6219" max="6219" width="0.5703125" style="221" customWidth="1"/>
    <col min="6220" max="6220" width="2.140625" style="221" customWidth="1"/>
    <col min="6221" max="6221" width="0.5703125" style="221" customWidth="1"/>
    <col min="6222" max="6222" width="2.140625" style="221" customWidth="1"/>
    <col min="6223" max="6223" width="0.5703125" style="221" customWidth="1"/>
    <col min="6224" max="6224" width="2.140625" style="221" customWidth="1"/>
    <col min="6225" max="6225" width="0.5703125" style="221" customWidth="1"/>
    <col min="6226" max="6226" width="2.140625" style="221" customWidth="1"/>
    <col min="6227" max="6227" width="0.5703125" style="221" customWidth="1"/>
    <col min="6228" max="6228" width="2.140625" style="221" customWidth="1"/>
    <col min="6229" max="6229" width="0.5703125" style="221" customWidth="1"/>
    <col min="6230" max="6230" width="1.7109375" style="221" customWidth="1"/>
    <col min="6231"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42578125" style="221" customWidth="1"/>
    <col min="6406" max="6406" width="0.5703125" style="221" customWidth="1"/>
    <col min="6407" max="6426" width="0.710937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140625" style="221" customWidth="1"/>
    <col min="6463" max="6463" width="0.5703125" style="221" customWidth="1"/>
    <col min="6464" max="6464" width="2.140625" style="221" customWidth="1"/>
    <col min="6465" max="6465" width="0.5703125" style="221" customWidth="1"/>
    <col min="6466" max="6466" width="2.140625" style="221" customWidth="1"/>
    <col min="6467" max="6467" width="0.5703125" style="221" customWidth="1"/>
    <col min="6468" max="6468" width="2.140625" style="221" customWidth="1"/>
    <col min="6469" max="6469" width="0.5703125" style="221" customWidth="1"/>
    <col min="6470" max="6470" width="2.140625" style="221" customWidth="1"/>
    <col min="6471" max="6471" width="0.5703125" style="221" customWidth="1"/>
    <col min="6472" max="6472" width="2.140625" style="221" customWidth="1"/>
    <col min="6473" max="6473" width="0.5703125" style="221" customWidth="1"/>
    <col min="6474" max="6474" width="2.140625" style="221" customWidth="1"/>
    <col min="6475" max="6475" width="0.5703125" style="221" customWidth="1"/>
    <col min="6476" max="6476" width="2.140625" style="221" customWidth="1"/>
    <col min="6477" max="6477" width="0.5703125" style="221" customWidth="1"/>
    <col min="6478" max="6478" width="2.140625" style="221" customWidth="1"/>
    <col min="6479" max="6479" width="0.5703125" style="221" customWidth="1"/>
    <col min="6480" max="6480" width="2.140625" style="221" customWidth="1"/>
    <col min="6481" max="6481" width="0.5703125" style="221" customWidth="1"/>
    <col min="6482" max="6482" width="2.140625" style="221" customWidth="1"/>
    <col min="6483" max="6483" width="0.5703125" style="221" customWidth="1"/>
    <col min="6484" max="6484" width="2.140625" style="221" customWidth="1"/>
    <col min="6485" max="6485" width="0.5703125" style="221" customWidth="1"/>
    <col min="6486" max="6486" width="1.7109375" style="221" customWidth="1"/>
    <col min="6487"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42578125" style="221" customWidth="1"/>
    <col min="6662" max="6662" width="0.5703125" style="221" customWidth="1"/>
    <col min="6663" max="6682" width="0.710937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140625" style="221" customWidth="1"/>
    <col min="6719" max="6719" width="0.5703125" style="221" customWidth="1"/>
    <col min="6720" max="6720" width="2.140625" style="221" customWidth="1"/>
    <col min="6721" max="6721" width="0.5703125" style="221" customWidth="1"/>
    <col min="6722" max="6722" width="2.140625" style="221" customWidth="1"/>
    <col min="6723" max="6723" width="0.5703125" style="221" customWidth="1"/>
    <col min="6724" max="6724" width="2.140625" style="221" customWidth="1"/>
    <col min="6725" max="6725" width="0.5703125" style="221" customWidth="1"/>
    <col min="6726" max="6726" width="2.140625" style="221" customWidth="1"/>
    <col min="6727" max="6727" width="0.5703125" style="221" customWidth="1"/>
    <col min="6728" max="6728" width="2.140625" style="221" customWidth="1"/>
    <col min="6729" max="6729" width="0.5703125" style="221" customWidth="1"/>
    <col min="6730" max="6730" width="2.140625" style="221" customWidth="1"/>
    <col min="6731" max="6731" width="0.5703125" style="221" customWidth="1"/>
    <col min="6732" max="6732" width="2.140625" style="221" customWidth="1"/>
    <col min="6733" max="6733" width="0.5703125" style="221" customWidth="1"/>
    <col min="6734" max="6734" width="2.140625" style="221" customWidth="1"/>
    <col min="6735" max="6735" width="0.5703125" style="221" customWidth="1"/>
    <col min="6736" max="6736" width="2.140625" style="221" customWidth="1"/>
    <col min="6737" max="6737" width="0.5703125" style="221" customWidth="1"/>
    <col min="6738" max="6738" width="2.140625" style="221" customWidth="1"/>
    <col min="6739" max="6739" width="0.5703125" style="221" customWidth="1"/>
    <col min="6740" max="6740" width="2.140625" style="221" customWidth="1"/>
    <col min="6741" max="6741" width="0.5703125" style="221" customWidth="1"/>
    <col min="6742" max="6742" width="1.7109375" style="221" customWidth="1"/>
    <col min="6743"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42578125" style="221" customWidth="1"/>
    <col min="6918" max="6918" width="0.5703125" style="221" customWidth="1"/>
    <col min="6919" max="6938" width="0.710937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140625" style="221" customWidth="1"/>
    <col min="6975" max="6975" width="0.5703125" style="221" customWidth="1"/>
    <col min="6976" max="6976" width="2.140625" style="221" customWidth="1"/>
    <col min="6977" max="6977" width="0.5703125" style="221" customWidth="1"/>
    <col min="6978" max="6978" width="2.140625" style="221" customWidth="1"/>
    <col min="6979" max="6979" width="0.5703125" style="221" customWidth="1"/>
    <col min="6980" max="6980" width="2.140625" style="221" customWidth="1"/>
    <col min="6981" max="6981" width="0.5703125" style="221" customWidth="1"/>
    <col min="6982" max="6982" width="2.140625" style="221" customWidth="1"/>
    <col min="6983" max="6983" width="0.5703125" style="221" customWidth="1"/>
    <col min="6984" max="6984" width="2.140625" style="221" customWidth="1"/>
    <col min="6985" max="6985" width="0.5703125" style="221" customWidth="1"/>
    <col min="6986" max="6986" width="2.140625" style="221" customWidth="1"/>
    <col min="6987" max="6987" width="0.5703125" style="221" customWidth="1"/>
    <col min="6988" max="6988" width="2.140625" style="221" customWidth="1"/>
    <col min="6989" max="6989" width="0.5703125" style="221" customWidth="1"/>
    <col min="6990" max="6990" width="2.140625" style="221" customWidth="1"/>
    <col min="6991" max="6991" width="0.5703125" style="221" customWidth="1"/>
    <col min="6992" max="6992" width="2.140625" style="221" customWidth="1"/>
    <col min="6993" max="6993" width="0.5703125" style="221" customWidth="1"/>
    <col min="6994" max="6994" width="2.140625" style="221" customWidth="1"/>
    <col min="6995" max="6995" width="0.5703125" style="221" customWidth="1"/>
    <col min="6996" max="6996" width="2.140625" style="221" customWidth="1"/>
    <col min="6997" max="6997" width="0.5703125" style="221" customWidth="1"/>
    <col min="6998" max="6998" width="1.7109375" style="221" customWidth="1"/>
    <col min="6999"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42578125" style="221" customWidth="1"/>
    <col min="7174" max="7174" width="0.5703125" style="221" customWidth="1"/>
    <col min="7175" max="7194" width="0.710937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140625" style="221" customWidth="1"/>
    <col min="7231" max="7231" width="0.5703125" style="221" customWidth="1"/>
    <col min="7232" max="7232" width="2.140625" style="221" customWidth="1"/>
    <col min="7233" max="7233" width="0.5703125" style="221" customWidth="1"/>
    <col min="7234" max="7234" width="2.140625" style="221" customWidth="1"/>
    <col min="7235" max="7235" width="0.5703125" style="221" customWidth="1"/>
    <col min="7236" max="7236" width="2.140625" style="221" customWidth="1"/>
    <col min="7237" max="7237" width="0.5703125" style="221" customWidth="1"/>
    <col min="7238" max="7238" width="2.140625" style="221" customWidth="1"/>
    <col min="7239" max="7239" width="0.5703125" style="221" customWidth="1"/>
    <col min="7240" max="7240" width="2.140625" style="221" customWidth="1"/>
    <col min="7241" max="7241" width="0.5703125" style="221" customWidth="1"/>
    <col min="7242" max="7242" width="2.140625" style="221" customWidth="1"/>
    <col min="7243" max="7243" width="0.5703125" style="221" customWidth="1"/>
    <col min="7244" max="7244" width="2.140625" style="221" customWidth="1"/>
    <col min="7245" max="7245" width="0.5703125" style="221" customWidth="1"/>
    <col min="7246" max="7246" width="2.140625" style="221" customWidth="1"/>
    <col min="7247" max="7247" width="0.5703125" style="221" customWidth="1"/>
    <col min="7248" max="7248" width="2.140625" style="221" customWidth="1"/>
    <col min="7249" max="7249" width="0.5703125" style="221" customWidth="1"/>
    <col min="7250" max="7250" width="2.140625" style="221" customWidth="1"/>
    <col min="7251" max="7251" width="0.5703125" style="221" customWidth="1"/>
    <col min="7252" max="7252" width="2.140625" style="221" customWidth="1"/>
    <col min="7253" max="7253" width="0.5703125" style="221" customWidth="1"/>
    <col min="7254" max="7254" width="1.7109375" style="221" customWidth="1"/>
    <col min="7255"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42578125" style="221" customWidth="1"/>
    <col min="7430" max="7430" width="0.5703125" style="221" customWidth="1"/>
    <col min="7431" max="7450" width="0.710937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140625" style="221" customWidth="1"/>
    <col min="7487" max="7487" width="0.5703125" style="221" customWidth="1"/>
    <col min="7488" max="7488" width="2.140625" style="221" customWidth="1"/>
    <col min="7489" max="7489" width="0.5703125" style="221" customWidth="1"/>
    <col min="7490" max="7490" width="2.140625" style="221" customWidth="1"/>
    <col min="7491" max="7491" width="0.5703125" style="221" customWidth="1"/>
    <col min="7492" max="7492" width="2.140625" style="221" customWidth="1"/>
    <col min="7493" max="7493" width="0.5703125" style="221" customWidth="1"/>
    <col min="7494" max="7494" width="2.140625" style="221" customWidth="1"/>
    <col min="7495" max="7495" width="0.5703125" style="221" customWidth="1"/>
    <col min="7496" max="7496" width="2.140625" style="221" customWidth="1"/>
    <col min="7497" max="7497" width="0.5703125" style="221" customWidth="1"/>
    <col min="7498" max="7498" width="2.140625" style="221" customWidth="1"/>
    <col min="7499" max="7499" width="0.5703125" style="221" customWidth="1"/>
    <col min="7500" max="7500" width="2.140625" style="221" customWidth="1"/>
    <col min="7501" max="7501" width="0.5703125" style="221" customWidth="1"/>
    <col min="7502" max="7502" width="2.140625" style="221" customWidth="1"/>
    <col min="7503" max="7503" width="0.5703125" style="221" customWidth="1"/>
    <col min="7504" max="7504" width="2.140625" style="221" customWidth="1"/>
    <col min="7505" max="7505" width="0.5703125" style="221" customWidth="1"/>
    <col min="7506" max="7506" width="2.140625" style="221" customWidth="1"/>
    <col min="7507" max="7507" width="0.5703125" style="221" customWidth="1"/>
    <col min="7508" max="7508" width="2.140625" style="221" customWidth="1"/>
    <col min="7509" max="7509" width="0.5703125" style="221" customWidth="1"/>
    <col min="7510" max="7510" width="1.7109375" style="221" customWidth="1"/>
    <col min="7511"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42578125" style="221" customWidth="1"/>
    <col min="7686" max="7686" width="0.5703125" style="221" customWidth="1"/>
    <col min="7687" max="7706" width="0.710937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140625" style="221" customWidth="1"/>
    <col min="7743" max="7743" width="0.5703125" style="221" customWidth="1"/>
    <col min="7744" max="7744" width="2.140625" style="221" customWidth="1"/>
    <col min="7745" max="7745" width="0.5703125" style="221" customWidth="1"/>
    <col min="7746" max="7746" width="2.140625" style="221" customWidth="1"/>
    <col min="7747" max="7747" width="0.5703125" style="221" customWidth="1"/>
    <col min="7748" max="7748" width="2.140625" style="221" customWidth="1"/>
    <col min="7749" max="7749" width="0.5703125" style="221" customWidth="1"/>
    <col min="7750" max="7750" width="2.140625" style="221" customWidth="1"/>
    <col min="7751" max="7751" width="0.5703125" style="221" customWidth="1"/>
    <col min="7752" max="7752" width="2.140625" style="221" customWidth="1"/>
    <col min="7753" max="7753" width="0.5703125" style="221" customWidth="1"/>
    <col min="7754" max="7754" width="2.140625" style="221" customWidth="1"/>
    <col min="7755" max="7755" width="0.5703125" style="221" customWidth="1"/>
    <col min="7756" max="7756" width="2.140625" style="221" customWidth="1"/>
    <col min="7757" max="7757" width="0.5703125" style="221" customWidth="1"/>
    <col min="7758" max="7758" width="2.140625" style="221" customWidth="1"/>
    <col min="7759" max="7759" width="0.5703125" style="221" customWidth="1"/>
    <col min="7760" max="7760" width="2.140625" style="221" customWidth="1"/>
    <col min="7761" max="7761" width="0.5703125" style="221" customWidth="1"/>
    <col min="7762" max="7762" width="2.140625" style="221" customWidth="1"/>
    <col min="7763" max="7763" width="0.5703125" style="221" customWidth="1"/>
    <col min="7764" max="7764" width="2.140625" style="221" customWidth="1"/>
    <col min="7765" max="7765" width="0.5703125" style="221" customWidth="1"/>
    <col min="7766" max="7766" width="1.7109375" style="221" customWidth="1"/>
    <col min="7767"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42578125" style="221" customWidth="1"/>
    <col min="7942" max="7942" width="0.5703125" style="221" customWidth="1"/>
    <col min="7943" max="7962" width="0.710937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140625" style="221" customWidth="1"/>
    <col min="7999" max="7999" width="0.5703125" style="221" customWidth="1"/>
    <col min="8000" max="8000" width="2.140625" style="221" customWidth="1"/>
    <col min="8001" max="8001" width="0.5703125" style="221" customWidth="1"/>
    <col min="8002" max="8002" width="2.140625" style="221" customWidth="1"/>
    <col min="8003" max="8003" width="0.5703125" style="221" customWidth="1"/>
    <col min="8004" max="8004" width="2.140625" style="221" customWidth="1"/>
    <col min="8005" max="8005" width="0.5703125" style="221" customWidth="1"/>
    <col min="8006" max="8006" width="2.140625" style="221" customWidth="1"/>
    <col min="8007" max="8007" width="0.5703125" style="221" customWidth="1"/>
    <col min="8008" max="8008" width="2.140625" style="221" customWidth="1"/>
    <col min="8009" max="8009" width="0.5703125" style="221" customWidth="1"/>
    <col min="8010" max="8010" width="2.140625" style="221" customWidth="1"/>
    <col min="8011" max="8011" width="0.5703125" style="221" customWidth="1"/>
    <col min="8012" max="8012" width="2.140625" style="221" customWidth="1"/>
    <col min="8013" max="8013" width="0.5703125" style="221" customWidth="1"/>
    <col min="8014" max="8014" width="2.140625" style="221" customWidth="1"/>
    <col min="8015" max="8015" width="0.5703125" style="221" customWidth="1"/>
    <col min="8016" max="8016" width="2.140625" style="221" customWidth="1"/>
    <col min="8017" max="8017" width="0.5703125" style="221" customWidth="1"/>
    <col min="8018" max="8018" width="2.140625" style="221" customWidth="1"/>
    <col min="8019" max="8019" width="0.5703125" style="221" customWidth="1"/>
    <col min="8020" max="8020" width="2.140625" style="221" customWidth="1"/>
    <col min="8021" max="8021" width="0.5703125" style="221" customWidth="1"/>
    <col min="8022" max="8022" width="1.7109375" style="221" customWidth="1"/>
    <col min="8023"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42578125" style="221" customWidth="1"/>
    <col min="8198" max="8198" width="0.5703125" style="221" customWidth="1"/>
    <col min="8199" max="8218" width="0.710937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140625" style="221" customWidth="1"/>
    <col min="8255" max="8255" width="0.5703125" style="221" customWidth="1"/>
    <col min="8256" max="8256" width="2.140625" style="221" customWidth="1"/>
    <col min="8257" max="8257" width="0.5703125" style="221" customWidth="1"/>
    <col min="8258" max="8258" width="2.140625" style="221" customWidth="1"/>
    <col min="8259" max="8259" width="0.5703125" style="221" customWidth="1"/>
    <col min="8260" max="8260" width="2.140625" style="221" customWidth="1"/>
    <col min="8261" max="8261" width="0.5703125" style="221" customWidth="1"/>
    <col min="8262" max="8262" width="2.140625" style="221" customWidth="1"/>
    <col min="8263" max="8263" width="0.5703125" style="221" customWidth="1"/>
    <col min="8264" max="8264" width="2.140625" style="221" customWidth="1"/>
    <col min="8265" max="8265" width="0.5703125" style="221" customWidth="1"/>
    <col min="8266" max="8266" width="2.140625" style="221" customWidth="1"/>
    <col min="8267" max="8267" width="0.5703125" style="221" customWidth="1"/>
    <col min="8268" max="8268" width="2.140625" style="221" customWidth="1"/>
    <col min="8269" max="8269" width="0.5703125" style="221" customWidth="1"/>
    <col min="8270" max="8270" width="2.140625" style="221" customWidth="1"/>
    <col min="8271" max="8271" width="0.5703125" style="221" customWidth="1"/>
    <col min="8272" max="8272" width="2.140625" style="221" customWidth="1"/>
    <col min="8273" max="8273" width="0.5703125" style="221" customWidth="1"/>
    <col min="8274" max="8274" width="2.140625" style="221" customWidth="1"/>
    <col min="8275" max="8275" width="0.5703125" style="221" customWidth="1"/>
    <col min="8276" max="8276" width="2.140625" style="221" customWidth="1"/>
    <col min="8277" max="8277" width="0.5703125" style="221" customWidth="1"/>
    <col min="8278" max="8278" width="1.7109375" style="221" customWidth="1"/>
    <col min="8279"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42578125" style="221" customWidth="1"/>
    <col min="8454" max="8454" width="0.5703125" style="221" customWidth="1"/>
    <col min="8455" max="8474" width="0.710937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140625" style="221" customWidth="1"/>
    <col min="8511" max="8511" width="0.5703125" style="221" customWidth="1"/>
    <col min="8512" max="8512" width="2.140625" style="221" customWidth="1"/>
    <col min="8513" max="8513" width="0.5703125" style="221" customWidth="1"/>
    <col min="8514" max="8514" width="2.140625" style="221" customWidth="1"/>
    <col min="8515" max="8515" width="0.5703125" style="221" customWidth="1"/>
    <col min="8516" max="8516" width="2.140625" style="221" customWidth="1"/>
    <col min="8517" max="8517" width="0.5703125" style="221" customWidth="1"/>
    <col min="8518" max="8518" width="2.140625" style="221" customWidth="1"/>
    <col min="8519" max="8519" width="0.5703125" style="221" customWidth="1"/>
    <col min="8520" max="8520" width="2.140625" style="221" customWidth="1"/>
    <col min="8521" max="8521" width="0.5703125" style="221" customWidth="1"/>
    <col min="8522" max="8522" width="2.140625" style="221" customWidth="1"/>
    <col min="8523" max="8523" width="0.5703125" style="221" customWidth="1"/>
    <col min="8524" max="8524" width="2.140625" style="221" customWidth="1"/>
    <col min="8525" max="8525" width="0.5703125" style="221" customWidth="1"/>
    <col min="8526" max="8526" width="2.140625" style="221" customWidth="1"/>
    <col min="8527" max="8527" width="0.5703125" style="221" customWidth="1"/>
    <col min="8528" max="8528" width="2.140625" style="221" customWidth="1"/>
    <col min="8529" max="8529" width="0.5703125" style="221" customWidth="1"/>
    <col min="8530" max="8530" width="2.140625" style="221" customWidth="1"/>
    <col min="8531" max="8531" width="0.5703125" style="221" customWidth="1"/>
    <col min="8532" max="8532" width="2.140625" style="221" customWidth="1"/>
    <col min="8533" max="8533" width="0.5703125" style="221" customWidth="1"/>
    <col min="8534" max="8534" width="1.7109375" style="221" customWidth="1"/>
    <col min="8535"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42578125" style="221" customWidth="1"/>
    <col min="8710" max="8710" width="0.5703125" style="221" customWidth="1"/>
    <col min="8711" max="8730" width="0.710937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140625" style="221" customWidth="1"/>
    <col min="8767" max="8767" width="0.5703125" style="221" customWidth="1"/>
    <col min="8768" max="8768" width="2.140625" style="221" customWidth="1"/>
    <col min="8769" max="8769" width="0.5703125" style="221" customWidth="1"/>
    <col min="8770" max="8770" width="2.140625" style="221" customWidth="1"/>
    <col min="8771" max="8771" width="0.5703125" style="221" customWidth="1"/>
    <col min="8772" max="8772" width="2.140625" style="221" customWidth="1"/>
    <col min="8773" max="8773" width="0.5703125" style="221" customWidth="1"/>
    <col min="8774" max="8774" width="2.140625" style="221" customWidth="1"/>
    <col min="8775" max="8775" width="0.5703125" style="221" customWidth="1"/>
    <col min="8776" max="8776" width="2.140625" style="221" customWidth="1"/>
    <col min="8777" max="8777" width="0.5703125" style="221" customWidth="1"/>
    <col min="8778" max="8778" width="2.140625" style="221" customWidth="1"/>
    <col min="8779" max="8779" width="0.5703125" style="221" customWidth="1"/>
    <col min="8780" max="8780" width="2.140625" style="221" customWidth="1"/>
    <col min="8781" max="8781" width="0.5703125" style="221" customWidth="1"/>
    <col min="8782" max="8782" width="2.140625" style="221" customWidth="1"/>
    <col min="8783" max="8783" width="0.5703125" style="221" customWidth="1"/>
    <col min="8784" max="8784" width="2.140625" style="221" customWidth="1"/>
    <col min="8785" max="8785" width="0.5703125" style="221" customWidth="1"/>
    <col min="8786" max="8786" width="2.140625" style="221" customWidth="1"/>
    <col min="8787" max="8787" width="0.5703125" style="221" customWidth="1"/>
    <col min="8788" max="8788" width="2.140625" style="221" customWidth="1"/>
    <col min="8789" max="8789" width="0.5703125" style="221" customWidth="1"/>
    <col min="8790" max="8790" width="1.7109375" style="221" customWidth="1"/>
    <col min="8791"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42578125" style="221" customWidth="1"/>
    <col min="8966" max="8966" width="0.5703125" style="221" customWidth="1"/>
    <col min="8967" max="8986" width="0.710937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140625" style="221" customWidth="1"/>
    <col min="9023" max="9023" width="0.5703125" style="221" customWidth="1"/>
    <col min="9024" max="9024" width="2.140625" style="221" customWidth="1"/>
    <col min="9025" max="9025" width="0.5703125" style="221" customWidth="1"/>
    <col min="9026" max="9026" width="2.140625" style="221" customWidth="1"/>
    <col min="9027" max="9027" width="0.5703125" style="221" customWidth="1"/>
    <col min="9028" max="9028" width="2.140625" style="221" customWidth="1"/>
    <col min="9029" max="9029" width="0.5703125" style="221" customWidth="1"/>
    <col min="9030" max="9030" width="2.140625" style="221" customWidth="1"/>
    <col min="9031" max="9031" width="0.5703125" style="221" customWidth="1"/>
    <col min="9032" max="9032" width="2.140625" style="221" customWidth="1"/>
    <col min="9033" max="9033" width="0.5703125" style="221" customWidth="1"/>
    <col min="9034" max="9034" width="2.140625" style="221" customWidth="1"/>
    <col min="9035" max="9035" width="0.5703125" style="221" customWidth="1"/>
    <col min="9036" max="9036" width="2.140625" style="221" customWidth="1"/>
    <col min="9037" max="9037" width="0.5703125" style="221" customWidth="1"/>
    <col min="9038" max="9038" width="2.140625" style="221" customWidth="1"/>
    <col min="9039" max="9039" width="0.5703125" style="221" customWidth="1"/>
    <col min="9040" max="9040" width="2.140625" style="221" customWidth="1"/>
    <col min="9041" max="9041" width="0.5703125" style="221" customWidth="1"/>
    <col min="9042" max="9042" width="2.140625" style="221" customWidth="1"/>
    <col min="9043" max="9043" width="0.5703125" style="221" customWidth="1"/>
    <col min="9044" max="9044" width="2.140625" style="221" customWidth="1"/>
    <col min="9045" max="9045" width="0.5703125" style="221" customWidth="1"/>
    <col min="9046" max="9046" width="1.7109375" style="221" customWidth="1"/>
    <col min="9047"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42578125" style="221" customWidth="1"/>
    <col min="9222" max="9222" width="0.5703125" style="221" customWidth="1"/>
    <col min="9223" max="9242" width="0.710937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140625" style="221" customWidth="1"/>
    <col min="9279" max="9279" width="0.5703125" style="221" customWidth="1"/>
    <col min="9280" max="9280" width="2.140625" style="221" customWidth="1"/>
    <col min="9281" max="9281" width="0.5703125" style="221" customWidth="1"/>
    <col min="9282" max="9282" width="2.140625" style="221" customWidth="1"/>
    <col min="9283" max="9283" width="0.5703125" style="221" customWidth="1"/>
    <col min="9284" max="9284" width="2.140625" style="221" customWidth="1"/>
    <col min="9285" max="9285" width="0.5703125" style="221" customWidth="1"/>
    <col min="9286" max="9286" width="2.140625" style="221" customWidth="1"/>
    <col min="9287" max="9287" width="0.5703125" style="221" customWidth="1"/>
    <col min="9288" max="9288" width="2.140625" style="221" customWidth="1"/>
    <col min="9289" max="9289" width="0.5703125" style="221" customWidth="1"/>
    <col min="9290" max="9290" width="2.140625" style="221" customWidth="1"/>
    <col min="9291" max="9291" width="0.5703125" style="221" customWidth="1"/>
    <col min="9292" max="9292" width="2.140625" style="221" customWidth="1"/>
    <col min="9293" max="9293" width="0.5703125" style="221" customWidth="1"/>
    <col min="9294" max="9294" width="2.140625" style="221" customWidth="1"/>
    <col min="9295" max="9295" width="0.5703125" style="221" customWidth="1"/>
    <col min="9296" max="9296" width="2.140625" style="221" customWidth="1"/>
    <col min="9297" max="9297" width="0.5703125" style="221" customWidth="1"/>
    <col min="9298" max="9298" width="2.140625" style="221" customWidth="1"/>
    <col min="9299" max="9299" width="0.5703125" style="221" customWidth="1"/>
    <col min="9300" max="9300" width="2.140625" style="221" customWidth="1"/>
    <col min="9301" max="9301" width="0.5703125" style="221" customWidth="1"/>
    <col min="9302" max="9302" width="1.7109375" style="221" customWidth="1"/>
    <col min="9303"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42578125" style="221" customWidth="1"/>
    <col min="9478" max="9478" width="0.5703125" style="221" customWidth="1"/>
    <col min="9479" max="9498" width="0.710937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140625" style="221" customWidth="1"/>
    <col min="9535" max="9535" width="0.5703125" style="221" customWidth="1"/>
    <col min="9536" max="9536" width="2.140625" style="221" customWidth="1"/>
    <col min="9537" max="9537" width="0.5703125" style="221" customWidth="1"/>
    <col min="9538" max="9538" width="2.140625" style="221" customWidth="1"/>
    <col min="9539" max="9539" width="0.5703125" style="221" customWidth="1"/>
    <col min="9540" max="9540" width="2.140625" style="221" customWidth="1"/>
    <col min="9541" max="9541" width="0.5703125" style="221" customWidth="1"/>
    <col min="9542" max="9542" width="2.140625" style="221" customWidth="1"/>
    <col min="9543" max="9543" width="0.5703125" style="221" customWidth="1"/>
    <col min="9544" max="9544" width="2.140625" style="221" customWidth="1"/>
    <col min="9545" max="9545" width="0.5703125" style="221" customWidth="1"/>
    <col min="9546" max="9546" width="2.140625" style="221" customWidth="1"/>
    <col min="9547" max="9547" width="0.5703125" style="221" customWidth="1"/>
    <col min="9548" max="9548" width="2.140625" style="221" customWidth="1"/>
    <col min="9549" max="9549" width="0.5703125" style="221" customWidth="1"/>
    <col min="9550" max="9550" width="2.140625" style="221" customWidth="1"/>
    <col min="9551" max="9551" width="0.5703125" style="221" customWidth="1"/>
    <col min="9552" max="9552" width="2.140625" style="221" customWidth="1"/>
    <col min="9553" max="9553" width="0.5703125" style="221" customWidth="1"/>
    <col min="9554" max="9554" width="2.140625" style="221" customWidth="1"/>
    <col min="9555" max="9555" width="0.5703125" style="221" customWidth="1"/>
    <col min="9556" max="9556" width="2.140625" style="221" customWidth="1"/>
    <col min="9557" max="9557" width="0.5703125" style="221" customWidth="1"/>
    <col min="9558" max="9558" width="1.7109375" style="221" customWidth="1"/>
    <col min="9559"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42578125" style="221" customWidth="1"/>
    <col min="9734" max="9734" width="0.5703125" style="221" customWidth="1"/>
    <col min="9735" max="9754" width="0.710937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140625" style="221" customWidth="1"/>
    <col min="9791" max="9791" width="0.5703125" style="221" customWidth="1"/>
    <col min="9792" max="9792" width="2.140625" style="221" customWidth="1"/>
    <col min="9793" max="9793" width="0.5703125" style="221" customWidth="1"/>
    <col min="9794" max="9794" width="2.140625" style="221" customWidth="1"/>
    <col min="9795" max="9795" width="0.5703125" style="221" customWidth="1"/>
    <col min="9796" max="9796" width="2.140625" style="221" customWidth="1"/>
    <col min="9797" max="9797" width="0.5703125" style="221" customWidth="1"/>
    <col min="9798" max="9798" width="2.140625" style="221" customWidth="1"/>
    <col min="9799" max="9799" width="0.5703125" style="221" customWidth="1"/>
    <col min="9800" max="9800" width="2.140625" style="221" customWidth="1"/>
    <col min="9801" max="9801" width="0.5703125" style="221" customWidth="1"/>
    <col min="9802" max="9802" width="2.140625" style="221" customWidth="1"/>
    <col min="9803" max="9803" width="0.5703125" style="221" customWidth="1"/>
    <col min="9804" max="9804" width="2.140625" style="221" customWidth="1"/>
    <col min="9805" max="9805" width="0.5703125" style="221" customWidth="1"/>
    <col min="9806" max="9806" width="2.140625" style="221" customWidth="1"/>
    <col min="9807" max="9807" width="0.5703125" style="221" customWidth="1"/>
    <col min="9808" max="9808" width="2.140625" style="221" customWidth="1"/>
    <col min="9809" max="9809" width="0.5703125" style="221" customWidth="1"/>
    <col min="9810" max="9810" width="2.140625" style="221" customWidth="1"/>
    <col min="9811" max="9811" width="0.5703125" style="221" customWidth="1"/>
    <col min="9812" max="9812" width="2.140625" style="221" customWidth="1"/>
    <col min="9813" max="9813" width="0.5703125" style="221" customWidth="1"/>
    <col min="9814" max="9814" width="1.7109375" style="221" customWidth="1"/>
    <col min="9815"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42578125" style="221" customWidth="1"/>
    <col min="9990" max="9990" width="0.5703125" style="221" customWidth="1"/>
    <col min="9991" max="10010" width="0.710937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140625" style="221" customWidth="1"/>
    <col min="10047" max="10047" width="0.5703125" style="221" customWidth="1"/>
    <col min="10048" max="10048" width="2.140625" style="221" customWidth="1"/>
    <col min="10049" max="10049" width="0.5703125" style="221" customWidth="1"/>
    <col min="10050" max="10050" width="2.140625" style="221" customWidth="1"/>
    <col min="10051" max="10051" width="0.5703125" style="221" customWidth="1"/>
    <col min="10052" max="10052" width="2.140625" style="221" customWidth="1"/>
    <col min="10053" max="10053" width="0.5703125" style="221" customWidth="1"/>
    <col min="10054" max="10054" width="2.140625" style="221" customWidth="1"/>
    <col min="10055" max="10055" width="0.5703125" style="221" customWidth="1"/>
    <col min="10056" max="10056" width="2.140625" style="221" customWidth="1"/>
    <col min="10057" max="10057" width="0.5703125" style="221" customWidth="1"/>
    <col min="10058" max="10058" width="2.140625" style="221" customWidth="1"/>
    <col min="10059" max="10059" width="0.5703125" style="221" customWidth="1"/>
    <col min="10060" max="10060" width="2.140625" style="221" customWidth="1"/>
    <col min="10061" max="10061" width="0.5703125" style="221" customWidth="1"/>
    <col min="10062" max="10062" width="2.140625" style="221" customWidth="1"/>
    <col min="10063" max="10063" width="0.5703125" style="221" customWidth="1"/>
    <col min="10064" max="10064" width="2.140625" style="221" customWidth="1"/>
    <col min="10065" max="10065" width="0.5703125" style="221" customWidth="1"/>
    <col min="10066" max="10066" width="2.140625" style="221" customWidth="1"/>
    <col min="10067" max="10067" width="0.5703125" style="221" customWidth="1"/>
    <col min="10068" max="10068" width="2.140625" style="221" customWidth="1"/>
    <col min="10069" max="10069" width="0.5703125" style="221" customWidth="1"/>
    <col min="10070" max="10070" width="1.7109375" style="221" customWidth="1"/>
    <col min="10071"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42578125" style="221" customWidth="1"/>
    <col min="10246" max="10246" width="0.5703125" style="221" customWidth="1"/>
    <col min="10247" max="10266" width="0.710937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140625" style="221" customWidth="1"/>
    <col min="10303" max="10303" width="0.5703125" style="221" customWidth="1"/>
    <col min="10304" max="10304" width="2.140625" style="221" customWidth="1"/>
    <col min="10305" max="10305" width="0.5703125" style="221" customWidth="1"/>
    <col min="10306" max="10306" width="2.140625" style="221" customWidth="1"/>
    <col min="10307" max="10307" width="0.5703125" style="221" customWidth="1"/>
    <col min="10308" max="10308" width="2.140625" style="221" customWidth="1"/>
    <col min="10309" max="10309" width="0.5703125" style="221" customWidth="1"/>
    <col min="10310" max="10310" width="2.140625" style="221" customWidth="1"/>
    <col min="10311" max="10311" width="0.5703125" style="221" customWidth="1"/>
    <col min="10312" max="10312" width="2.140625" style="221" customWidth="1"/>
    <col min="10313" max="10313" width="0.5703125" style="221" customWidth="1"/>
    <col min="10314" max="10314" width="2.140625" style="221" customWidth="1"/>
    <col min="10315" max="10315" width="0.5703125" style="221" customWidth="1"/>
    <col min="10316" max="10316" width="2.140625" style="221" customWidth="1"/>
    <col min="10317" max="10317" width="0.5703125" style="221" customWidth="1"/>
    <col min="10318" max="10318" width="2.140625" style="221" customWidth="1"/>
    <col min="10319" max="10319" width="0.5703125" style="221" customWidth="1"/>
    <col min="10320" max="10320" width="2.140625" style="221" customWidth="1"/>
    <col min="10321" max="10321" width="0.5703125" style="221" customWidth="1"/>
    <col min="10322" max="10322" width="2.140625" style="221" customWidth="1"/>
    <col min="10323" max="10323" width="0.5703125" style="221" customWidth="1"/>
    <col min="10324" max="10324" width="2.140625" style="221" customWidth="1"/>
    <col min="10325" max="10325" width="0.5703125" style="221" customWidth="1"/>
    <col min="10326" max="10326" width="1.7109375" style="221" customWidth="1"/>
    <col min="10327"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42578125" style="221" customWidth="1"/>
    <col min="10502" max="10502" width="0.5703125" style="221" customWidth="1"/>
    <col min="10503" max="10522" width="0.710937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140625" style="221" customWidth="1"/>
    <col min="10559" max="10559" width="0.5703125" style="221" customWidth="1"/>
    <col min="10560" max="10560" width="2.140625" style="221" customWidth="1"/>
    <col min="10561" max="10561" width="0.5703125" style="221" customWidth="1"/>
    <col min="10562" max="10562" width="2.140625" style="221" customWidth="1"/>
    <col min="10563" max="10563" width="0.5703125" style="221" customWidth="1"/>
    <col min="10564" max="10564" width="2.140625" style="221" customWidth="1"/>
    <col min="10565" max="10565" width="0.5703125" style="221" customWidth="1"/>
    <col min="10566" max="10566" width="2.140625" style="221" customWidth="1"/>
    <col min="10567" max="10567" width="0.5703125" style="221" customWidth="1"/>
    <col min="10568" max="10568" width="2.140625" style="221" customWidth="1"/>
    <col min="10569" max="10569" width="0.5703125" style="221" customWidth="1"/>
    <col min="10570" max="10570" width="2.140625" style="221" customWidth="1"/>
    <col min="10571" max="10571" width="0.5703125" style="221" customWidth="1"/>
    <col min="10572" max="10572" width="2.140625" style="221" customWidth="1"/>
    <col min="10573" max="10573" width="0.5703125" style="221" customWidth="1"/>
    <col min="10574" max="10574" width="2.140625" style="221" customWidth="1"/>
    <col min="10575" max="10575" width="0.5703125" style="221" customWidth="1"/>
    <col min="10576" max="10576" width="2.140625" style="221" customWidth="1"/>
    <col min="10577" max="10577" width="0.5703125" style="221" customWidth="1"/>
    <col min="10578" max="10578" width="2.140625" style="221" customWidth="1"/>
    <col min="10579" max="10579" width="0.5703125" style="221" customWidth="1"/>
    <col min="10580" max="10580" width="2.140625" style="221" customWidth="1"/>
    <col min="10581" max="10581" width="0.5703125" style="221" customWidth="1"/>
    <col min="10582" max="10582" width="1.7109375" style="221" customWidth="1"/>
    <col min="10583"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42578125" style="221" customWidth="1"/>
    <col min="10758" max="10758" width="0.5703125" style="221" customWidth="1"/>
    <col min="10759" max="10778" width="0.710937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140625" style="221" customWidth="1"/>
    <col min="10815" max="10815" width="0.5703125" style="221" customWidth="1"/>
    <col min="10816" max="10816" width="2.140625" style="221" customWidth="1"/>
    <col min="10817" max="10817" width="0.5703125" style="221" customWidth="1"/>
    <col min="10818" max="10818" width="2.140625" style="221" customWidth="1"/>
    <col min="10819" max="10819" width="0.5703125" style="221" customWidth="1"/>
    <col min="10820" max="10820" width="2.140625" style="221" customWidth="1"/>
    <col min="10821" max="10821" width="0.5703125" style="221" customWidth="1"/>
    <col min="10822" max="10822" width="2.140625" style="221" customWidth="1"/>
    <col min="10823" max="10823" width="0.5703125" style="221" customWidth="1"/>
    <col min="10824" max="10824" width="2.140625" style="221" customWidth="1"/>
    <col min="10825" max="10825" width="0.5703125" style="221" customWidth="1"/>
    <col min="10826" max="10826" width="2.140625" style="221" customWidth="1"/>
    <col min="10827" max="10827" width="0.5703125" style="221" customWidth="1"/>
    <col min="10828" max="10828" width="2.140625" style="221" customWidth="1"/>
    <col min="10829" max="10829" width="0.5703125" style="221" customWidth="1"/>
    <col min="10830" max="10830" width="2.140625" style="221" customWidth="1"/>
    <col min="10831" max="10831" width="0.5703125" style="221" customWidth="1"/>
    <col min="10832" max="10832" width="2.140625" style="221" customWidth="1"/>
    <col min="10833" max="10833" width="0.5703125" style="221" customWidth="1"/>
    <col min="10834" max="10834" width="2.140625" style="221" customWidth="1"/>
    <col min="10835" max="10835" width="0.5703125" style="221" customWidth="1"/>
    <col min="10836" max="10836" width="2.140625" style="221" customWidth="1"/>
    <col min="10837" max="10837" width="0.5703125" style="221" customWidth="1"/>
    <col min="10838" max="10838" width="1.7109375" style="221" customWidth="1"/>
    <col min="10839"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42578125" style="221" customWidth="1"/>
    <col min="11014" max="11014" width="0.5703125" style="221" customWidth="1"/>
    <col min="11015" max="11034" width="0.710937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140625" style="221" customWidth="1"/>
    <col min="11071" max="11071" width="0.5703125" style="221" customWidth="1"/>
    <col min="11072" max="11072" width="2.140625" style="221" customWidth="1"/>
    <col min="11073" max="11073" width="0.5703125" style="221" customWidth="1"/>
    <col min="11074" max="11074" width="2.140625" style="221" customWidth="1"/>
    <col min="11075" max="11075" width="0.5703125" style="221" customWidth="1"/>
    <col min="11076" max="11076" width="2.140625" style="221" customWidth="1"/>
    <col min="11077" max="11077" width="0.5703125" style="221" customWidth="1"/>
    <col min="11078" max="11078" width="2.140625" style="221" customWidth="1"/>
    <col min="11079" max="11079" width="0.5703125" style="221" customWidth="1"/>
    <col min="11080" max="11080" width="2.140625" style="221" customWidth="1"/>
    <col min="11081" max="11081" width="0.5703125" style="221" customWidth="1"/>
    <col min="11082" max="11082" width="2.140625" style="221" customWidth="1"/>
    <col min="11083" max="11083" width="0.5703125" style="221" customWidth="1"/>
    <col min="11084" max="11084" width="2.140625" style="221" customWidth="1"/>
    <col min="11085" max="11085" width="0.5703125" style="221" customWidth="1"/>
    <col min="11086" max="11086" width="2.140625" style="221" customWidth="1"/>
    <col min="11087" max="11087" width="0.5703125" style="221" customWidth="1"/>
    <col min="11088" max="11088" width="2.140625" style="221" customWidth="1"/>
    <col min="11089" max="11089" width="0.5703125" style="221" customWidth="1"/>
    <col min="11090" max="11090" width="2.140625" style="221" customWidth="1"/>
    <col min="11091" max="11091" width="0.5703125" style="221" customWidth="1"/>
    <col min="11092" max="11092" width="2.140625" style="221" customWidth="1"/>
    <col min="11093" max="11093" width="0.5703125" style="221" customWidth="1"/>
    <col min="11094" max="11094" width="1.7109375" style="221" customWidth="1"/>
    <col min="11095"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42578125" style="221" customWidth="1"/>
    <col min="11270" max="11270" width="0.5703125" style="221" customWidth="1"/>
    <col min="11271" max="11290" width="0.710937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140625" style="221" customWidth="1"/>
    <col min="11327" max="11327" width="0.5703125" style="221" customWidth="1"/>
    <col min="11328" max="11328" width="2.140625" style="221" customWidth="1"/>
    <col min="11329" max="11329" width="0.5703125" style="221" customWidth="1"/>
    <col min="11330" max="11330" width="2.140625" style="221" customWidth="1"/>
    <col min="11331" max="11331" width="0.5703125" style="221" customWidth="1"/>
    <col min="11332" max="11332" width="2.140625" style="221" customWidth="1"/>
    <col min="11333" max="11333" width="0.5703125" style="221" customWidth="1"/>
    <col min="11334" max="11334" width="2.140625" style="221" customWidth="1"/>
    <col min="11335" max="11335" width="0.5703125" style="221" customWidth="1"/>
    <col min="11336" max="11336" width="2.140625" style="221" customWidth="1"/>
    <col min="11337" max="11337" width="0.5703125" style="221" customWidth="1"/>
    <col min="11338" max="11338" width="2.140625" style="221" customWidth="1"/>
    <col min="11339" max="11339" width="0.5703125" style="221" customWidth="1"/>
    <col min="11340" max="11340" width="2.140625" style="221" customWidth="1"/>
    <col min="11341" max="11341" width="0.5703125" style="221" customWidth="1"/>
    <col min="11342" max="11342" width="2.140625" style="221" customWidth="1"/>
    <col min="11343" max="11343" width="0.5703125" style="221" customWidth="1"/>
    <col min="11344" max="11344" width="2.140625" style="221" customWidth="1"/>
    <col min="11345" max="11345" width="0.5703125" style="221" customWidth="1"/>
    <col min="11346" max="11346" width="2.140625" style="221" customWidth="1"/>
    <col min="11347" max="11347" width="0.5703125" style="221" customWidth="1"/>
    <col min="11348" max="11348" width="2.140625" style="221" customWidth="1"/>
    <col min="11349" max="11349" width="0.5703125" style="221" customWidth="1"/>
    <col min="11350" max="11350" width="1.7109375" style="221" customWidth="1"/>
    <col min="11351"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42578125" style="221" customWidth="1"/>
    <col min="11526" max="11526" width="0.5703125" style="221" customWidth="1"/>
    <col min="11527" max="11546" width="0.710937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140625" style="221" customWidth="1"/>
    <col min="11583" max="11583" width="0.5703125" style="221" customWidth="1"/>
    <col min="11584" max="11584" width="2.140625" style="221" customWidth="1"/>
    <col min="11585" max="11585" width="0.5703125" style="221" customWidth="1"/>
    <col min="11586" max="11586" width="2.140625" style="221" customWidth="1"/>
    <col min="11587" max="11587" width="0.5703125" style="221" customWidth="1"/>
    <col min="11588" max="11588" width="2.140625" style="221" customWidth="1"/>
    <col min="11589" max="11589" width="0.5703125" style="221" customWidth="1"/>
    <col min="11590" max="11590" width="2.140625" style="221" customWidth="1"/>
    <col min="11591" max="11591" width="0.5703125" style="221" customWidth="1"/>
    <col min="11592" max="11592" width="2.140625" style="221" customWidth="1"/>
    <col min="11593" max="11593" width="0.5703125" style="221" customWidth="1"/>
    <col min="11594" max="11594" width="2.140625" style="221" customWidth="1"/>
    <col min="11595" max="11595" width="0.5703125" style="221" customWidth="1"/>
    <col min="11596" max="11596" width="2.140625" style="221" customWidth="1"/>
    <col min="11597" max="11597" width="0.5703125" style="221" customWidth="1"/>
    <col min="11598" max="11598" width="2.140625" style="221" customWidth="1"/>
    <col min="11599" max="11599" width="0.5703125" style="221" customWidth="1"/>
    <col min="11600" max="11600" width="2.140625" style="221" customWidth="1"/>
    <col min="11601" max="11601" width="0.5703125" style="221" customWidth="1"/>
    <col min="11602" max="11602" width="2.140625" style="221" customWidth="1"/>
    <col min="11603" max="11603" width="0.5703125" style="221" customWidth="1"/>
    <col min="11604" max="11604" width="2.140625" style="221" customWidth="1"/>
    <col min="11605" max="11605" width="0.5703125" style="221" customWidth="1"/>
    <col min="11606" max="11606" width="1.7109375" style="221" customWidth="1"/>
    <col min="11607"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42578125" style="221" customWidth="1"/>
    <col min="11782" max="11782" width="0.5703125" style="221" customWidth="1"/>
    <col min="11783" max="11802" width="0.710937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140625" style="221" customWidth="1"/>
    <col min="11839" max="11839" width="0.5703125" style="221" customWidth="1"/>
    <col min="11840" max="11840" width="2.140625" style="221" customWidth="1"/>
    <col min="11841" max="11841" width="0.5703125" style="221" customWidth="1"/>
    <col min="11842" max="11842" width="2.140625" style="221" customWidth="1"/>
    <col min="11843" max="11843" width="0.5703125" style="221" customWidth="1"/>
    <col min="11844" max="11844" width="2.140625" style="221" customWidth="1"/>
    <col min="11845" max="11845" width="0.5703125" style="221" customWidth="1"/>
    <col min="11846" max="11846" width="2.140625" style="221" customWidth="1"/>
    <col min="11847" max="11847" width="0.5703125" style="221" customWidth="1"/>
    <col min="11848" max="11848" width="2.140625" style="221" customWidth="1"/>
    <col min="11849" max="11849" width="0.5703125" style="221" customWidth="1"/>
    <col min="11850" max="11850" width="2.140625" style="221" customWidth="1"/>
    <col min="11851" max="11851" width="0.5703125" style="221" customWidth="1"/>
    <col min="11852" max="11852" width="2.140625" style="221" customWidth="1"/>
    <col min="11853" max="11853" width="0.5703125" style="221" customWidth="1"/>
    <col min="11854" max="11854" width="2.140625" style="221" customWidth="1"/>
    <col min="11855" max="11855" width="0.5703125" style="221" customWidth="1"/>
    <col min="11856" max="11856" width="2.140625" style="221" customWidth="1"/>
    <col min="11857" max="11857" width="0.5703125" style="221" customWidth="1"/>
    <col min="11858" max="11858" width="2.140625" style="221" customWidth="1"/>
    <col min="11859" max="11859" width="0.5703125" style="221" customWidth="1"/>
    <col min="11860" max="11860" width="2.140625" style="221" customWidth="1"/>
    <col min="11861" max="11861" width="0.5703125" style="221" customWidth="1"/>
    <col min="11862" max="11862" width="1.7109375" style="221" customWidth="1"/>
    <col min="11863"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42578125" style="221" customWidth="1"/>
    <col min="12038" max="12038" width="0.5703125" style="221" customWidth="1"/>
    <col min="12039" max="12058" width="0.710937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140625" style="221" customWidth="1"/>
    <col min="12095" max="12095" width="0.5703125" style="221" customWidth="1"/>
    <col min="12096" max="12096" width="2.140625" style="221" customWidth="1"/>
    <col min="12097" max="12097" width="0.5703125" style="221" customWidth="1"/>
    <col min="12098" max="12098" width="2.140625" style="221" customWidth="1"/>
    <col min="12099" max="12099" width="0.5703125" style="221" customWidth="1"/>
    <col min="12100" max="12100" width="2.140625" style="221" customWidth="1"/>
    <col min="12101" max="12101" width="0.5703125" style="221" customWidth="1"/>
    <col min="12102" max="12102" width="2.140625" style="221" customWidth="1"/>
    <col min="12103" max="12103" width="0.5703125" style="221" customWidth="1"/>
    <col min="12104" max="12104" width="2.140625" style="221" customWidth="1"/>
    <col min="12105" max="12105" width="0.5703125" style="221" customWidth="1"/>
    <col min="12106" max="12106" width="2.140625" style="221" customWidth="1"/>
    <col min="12107" max="12107" width="0.5703125" style="221" customWidth="1"/>
    <col min="12108" max="12108" width="2.140625" style="221" customWidth="1"/>
    <col min="12109" max="12109" width="0.5703125" style="221" customWidth="1"/>
    <col min="12110" max="12110" width="2.140625" style="221" customWidth="1"/>
    <col min="12111" max="12111" width="0.5703125" style="221" customWidth="1"/>
    <col min="12112" max="12112" width="2.140625" style="221" customWidth="1"/>
    <col min="12113" max="12113" width="0.5703125" style="221" customWidth="1"/>
    <col min="12114" max="12114" width="2.140625" style="221" customWidth="1"/>
    <col min="12115" max="12115" width="0.5703125" style="221" customWidth="1"/>
    <col min="12116" max="12116" width="2.140625" style="221" customWidth="1"/>
    <col min="12117" max="12117" width="0.5703125" style="221" customWidth="1"/>
    <col min="12118" max="12118" width="1.7109375" style="221" customWidth="1"/>
    <col min="12119"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42578125" style="221" customWidth="1"/>
    <col min="12294" max="12294" width="0.5703125" style="221" customWidth="1"/>
    <col min="12295" max="12314" width="0.710937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140625" style="221" customWidth="1"/>
    <col min="12351" max="12351" width="0.5703125" style="221" customWidth="1"/>
    <col min="12352" max="12352" width="2.140625" style="221" customWidth="1"/>
    <col min="12353" max="12353" width="0.5703125" style="221" customWidth="1"/>
    <col min="12354" max="12354" width="2.140625" style="221" customWidth="1"/>
    <col min="12355" max="12355" width="0.5703125" style="221" customWidth="1"/>
    <col min="12356" max="12356" width="2.140625" style="221" customWidth="1"/>
    <col min="12357" max="12357" width="0.5703125" style="221" customWidth="1"/>
    <col min="12358" max="12358" width="2.140625" style="221" customWidth="1"/>
    <col min="12359" max="12359" width="0.5703125" style="221" customWidth="1"/>
    <col min="12360" max="12360" width="2.140625" style="221" customWidth="1"/>
    <col min="12361" max="12361" width="0.5703125" style="221" customWidth="1"/>
    <col min="12362" max="12362" width="2.140625" style="221" customWidth="1"/>
    <col min="12363" max="12363" width="0.5703125" style="221" customWidth="1"/>
    <col min="12364" max="12364" width="2.140625" style="221" customWidth="1"/>
    <col min="12365" max="12365" width="0.5703125" style="221" customWidth="1"/>
    <col min="12366" max="12366" width="2.140625" style="221" customWidth="1"/>
    <col min="12367" max="12367" width="0.5703125" style="221" customWidth="1"/>
    <col min="12368" max="12368" width="2.140625" style="221" customWidth="1"/>
    <col min="12369" max="12369" width="0.5703125" style="221" customWidth="1"/>
    <col min="12370" max="12370" width="2.140625" style="221" customWidth="1"/>
    <col min="12371" max="12371" width="0.5703125" style="221" customWidth="1"/>
    <col min="12372" max="12372" width="2.140625" style="221" customWidth="1"/>
    <col min="12373" max="12373" width="0.5703125" style="221" customWidth="1"/>
    <col min="12374" max="12374" width="1.7109375" style="221" customWidth="1"/>
    <col min="12375"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42578125" style="221" customWidth="1"/>
    <col min="12550" max="12550" width="0.5703125" style="221" customWidth="1"/>
    <col min="12551" max="12570" width="0.710937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140625" style="221" customWidth="1"/>
    <col min="12607" max="12607" width="0.5703125" style="221" customWidth="1"/>
    <col min="12608" max="12608" width="2.140625" style="221" customWidth="1"/>
    <col min="12609" max="12609" width="0.5703125" style="221" customWidth="1"/>
    <col min="12610" max="12610" width="2.140625" style="221" customWidth="1"/>
    <col min="12611" max="12611" width="0.5703125" style="221" customWidth="1"/>
    <col min="12612" max="12612" width="2.140625" style="221" customWidth="1"/>
    <col min="12613" max="12613" width="0.5703125" style="221" customWidth="1"/>
    <col min="12614" max="12614" width="2.140625" style="221" customWidth="1"/>
    <col min="12615" max="12615" width="0.5703125" style="221" customWidth="1"/>
    <col min="12616" max="12616" width="2.140625" style="221" customWidth="1"/>
    <col min="12617" max="12617" width="0.5703125" style="221" customWidth="1"/>
    <col min="12618" max="12618" width="2.140625" style="221" customWidth="1"/>
    <col min="12619" max="12619" width="0.5703125" style="221" customWidth="1"/>
    <col min="12620" max="12620" width="2.140625" style="221" customWidth="1"/>
    <col min="12621" max="12621" width="0.5703125" style="221" customWidth="1"/>
    <col min="12622" max="12622" width="2.140625" style="221" customWidth="1"/>
    <col min="12623" max="12623" width="0.5703125" style="221" customWidth="1"/>
    <col min="12624" max="12624" width="2.140625" style="221" customWidth="1"/>
    <col min="12625" max="12625" width="0.5703125" style="221" customWidth="1"/>
    <col min="12626" max="12626" width="2.140625" style="221" customWidth="1"/>
    <col min="12627" max="12627" width="0.5703125" style="221" customWidth="1"/>
    <col min="12628" max="12628" width="2.140625" style="221" customWidth="1"/>
    <col min="12629" max="12629" width="0.5703125" style="221" customWidth="1"/>
    <col min="12630" max="12630" width="1.7109375" style="221" customWidth="1"/>
    <col min="12631"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42578125" style="221" customWidth="1"/>
    <col min="12806" max="12806" width="0.5703125" style="221" customWidth="1"/>
    <col min="12807" max="12826" width="0.710937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140625" style="221" customWidth="1"/>
    <col min="12863" max="12863" width="0.5703125" style="221" customWidth="1"/>
    <col min="12864" max="12864" width="2.140625" style="221" customWidth="1"/>
    <col min="12865" max="12865" width="0.5703125" style="221" customWidth="1"/>
    <col min="12866" max="12866" width="2.140625" style="221" customWidth="1"/>
    <col min="12867" max="12867" width="0.5703125" style="221" customWidth="1"/>
    <col min="12868" max="12868" width="2.140625" style="221" customWidth="1"/>
    <col min="12869" max="12869" width="0.5703125" style="221" customWidth="1"/>
    <col min="12870" max="12870" width="2.140625" style="221" customWidth="1"/>
    <col min="12871" max="12871" width="0.5703125" style="221" customWidth="1"/>
    <col min="12872" max="12872" width="2.140625" style="221" customWidth="1"/>
    <col min="12873" max="12873" width="0.5703125" style="221" customWidth="1"/>
    <col min="12874" max="12874" width="2.140625" style="221" customWidth="1"/>
    <col min="12875" max="12875" width="0.5703125" style="221" customWidth="1"/>
    <col min="12876" max="12876" width="2.140625" style="221" customWidth="1"/>
    <col min="12877" max="12877" width="0.5703125" style="221" customWidth="1"/>
    <col min="12878" max="12878" width="2.140625" style="221" customWidth="1"/>
    <col min="12879" max="12879" width="0.5703125" style="221" customWidth="1"/>
    <col min="12880" max="12880" width="2.140625" style="221" customWidth="1"/>
    <col min="12881" max="12881" width="0.5703125" style="221" customWidth="1"/>
    <col min="12882" max="12882" width="2.140625" style="221" customWidth="1"/>
    <col min="12883" max="12883" width="0.5703125" style="221" customWidth="1"/>
    <col min="12884" max="12884" width="2.140625" style="221" customWidth="1"/>
    <col min="12885" max="12885" width="0.5703125" style="221" customWidth="1"/>
    <col min="12886" max="12886" width="1.7109375" style="221" customWidth="1"/>
    <col min="12887"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42578125" style="221" customWidth="1"/>
    <col min="13062" max="13062" width="0.5703125" style="221" customWidth="1"/>
    <col min="13063" max="13082" width="0.710937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140625" style="221" customWidth="1"/>
    <col min="13119" max="13119" width="0.5703125" style="221" customWidth="1"/>
    <col min="13120" max="13120" width="2.140625" style="221" customWidth="1"/>
    <col min="13121" max="13121" width="0.5703125" style="221" customWidth="1"/>
    <col min="13122" max="13122" width="2.140625" style="221" customWidth="1"/>
    <col min="13123" max="13123" width="0.5703125" style="221" customWidth="1"/>
    <col min="13124" max="13124" width="2.140625" style="221" customWidth="1"/>
    <col min="13125" max="13125" width="0.5703125" style="221" customWidth="1"/>
    <col min="13126" max="13126" width="2.140625" style="221" customWidth="1"/>
    <col min="13127" max="13127" width="0.5703125" style="221" customWidth="1"/>
    <col min="13128" max="13128" width="2.140625" style="221" customWidth="1"/>
    <col min="13129" max="13129" width="0.5703125" style="221" customWidth="1"/>
    <col min="13130" max="13130" width="2.140625" style="221" customWidth="1"/>
    <col min="13131" max="13131" width="0.5703125" style="221" customWidth="1"/>
    <col min="13132" max="13132" width="2.140625" style="221" customWidth="1"/>
    <col min="13133" max="13133" width="0.5703125" style="221" customWidth="1"/>
    <col min="13134" max="13134" width="2.140625" style="221" customWidth="1"/>
    <col min="13135" max="13135" width="0.5703125" style="221" customWidth="1"/>
    <col min="13136" max="13136" width="2.140625" style="221" customWidth="1"/>
    <col min="13137" max="13137" width="0.5703125" style="221" customWidth="1"/>
    <col min="13138" max="13138" width="2.140625" style="221" customWidth="1"/>
    <col min="13139" max="13139" width="0.5703125" style="221" customWidth="1"/>
    <col min="13140" max="13140" width="2.140625" style="221" customWidth="1"/>
    <col min="13141" max="13141" width="0.5703125" style="221" customWidth="1"/>
    <col min="13142" max="13142" width="1.7109375" style="221" customWidth="1"/>
    <col min="13143"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42578125" style="221" customWidth="1"/>
    <col min="13318" max="13318" width="0.5703125" style="221" customWidth="1"/>
    <col min="13319" max="13338" width="0.710937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140625" style="221" customWidth="1"/>
    <col min="13375" max="13375" width="0.5703125" style="221" customWidth="1"/>
    <col min="13376" max="13376" width="2.140625" style="221" customWidth="1"/>
    <col min="13377" max="13377" width="0.5703125" style="221" customWidth="1"/>
    <col min="13378" max="13378" width="2.140625" style="221" customWidth="1"/>
    <col min="13379" max="13379" width="0.5703125" style="221" customWidth="1"/>
    <col min="13380" max="13380" width="2.140625" style="221" customWidth="1"/>
    <col min="13381" max="13381" width="0.5703125" style="221" customWidth="1"/>
    <col min="13382" max="13382" width="2.140625" style="221" customWidth="1"/>
    <col min="13383" max="13383" width="0.5703125" style="221" customWidth="1"/>
    <col min="13384" max="13384" width="2.140625" style="221" customWidth="1"/>
    <col min="13385" max="13385" width="0.5703125" style="221" customWidth="1"/>
    <col min="13386" max="13386" width="2.140625" style="221" customWidth="1"/>
    <col min="13387" max="13387" width="0.5703125" style="221" customWidth="1"/>
    <col min="13388" max="13388" width="2.140625" style="221" customWidth="1"/>
    <col min="13389" max="13389" width="0.5703125" style="221" customWidth="1"/>
    <col min="13390" max="13390" width="2.140625" style="221" customWidth="1"/>
    <col min="13391" max="13391" width="0.5703125" style="221" customWidth="1"/>
    <col min="13392" max="13392" width="2.140625" style="221" customWidth="1"/>
    <col min="13393" max="13393" width="0.5703125" style="221" customWidth="1"/>
    <col min="13394" max="13394" width="2.140625" style="221" customWidth="1"/>
    <col min="13395" max="13395" width="0.5703125" style="221" customWidth="1"/>
    <col min="13396" max="13396" width="2.140625" style="221" customWidth="1"/>
    <col min="13397" max="13397" width="0.5703125" style="221" customWidth="1"/>
    <col min="13398" max="13398" width="1.7109375" style="221" customWidth="1"/>
    <col min="13399"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42578125" style="221" customWidth="1"/>
    <col min="13574" max="13574" width="0.5703125" style="221" customWidth="1"/>
    <col min="13575" max="13594" width="0.710937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140625" style="221" customWidth="1"/>
    <col min="13631" max="13631" width="0.5703125" style="221" customWidth="1"/>
    <col min="13632" max="13632" width="2.140625" style="221" customWidth="1"/>
    <col min="13633" max="13633" width="0.5703125" style="221" customWidth="1"/>
    <col min="13634" max="13634" width="2.140625" style="221" customWidth="1"/>
    <col min="13635" max="13635" width="0.5703125" style="221" customWidth="1"/>
    <col min="13636" max="13636" width="2.140625" style="221" customWidth="1"/>
    <col min="13637" max="13637" width="0.5703125" style="221" customWidth="1"/>
    <col min="13638" max="13638" width="2.140625" style="221" customWidth="1"/>
    <col min="13639" max="13639" width="0.5703125" style="221" customWidth="1"/>
    <col min="13640" max="13640" width="2.140625" style="221" customWidth="1"/>
    <col min="13641" max="13641" width="0.5703125" style="221" customWidth="1"/>
    <col min="13642" max="13642" width="2.140625" style="221" customWidth="1"/>
    <col min="13643" max="13643" width="0.5703125" style="221" customWidth="1"/>
    <col min="13644" max="13644" width="2.140625" style="221" customWidth="1"/>
    <col min="13645" max="13645" width="0.5703125" style="221" customWidth="1"/>
    <col min="13646" max="13646" width="2.140625" style="221" customWidth="1"/>
    <col min="13647" max="13647" width="0.5703125" style="221" customWidth="1"/>
    <col min="13648" max="13648" width="2.140625" style="221" customWidth="1"/>
    <col min="13649" max="13649" width="0.5703125" style="221" customWidth="1"/>
    <col min="13650" max="13650" width="2.140625" style="221" customWidth="1"/>
    <col min="13651" max="13651" width="0.5703125" style="221" customWidth="1"/>
    <col min="13652" max="13652" width="2.140625" style="221" customWidth="1"/>
    <col min="13653" max="13653" width="0.5703125" style="221" customWidth="1"/>
    <col min="13654" max="13654" width="1.7109375" style="221" customWidth="1"/>
    <col min="13655"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42578125" style="221" customWidth="1"/>
    <col min="13830" max="13830" width="0.5703125" style="221" customWidth="1"/>
    <col min="13831" max="13850" width="0.710937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140625" style="221" customWidth="1"/>
    <col min="13887" max="13887" width="0.5703125" style="221" customWidth="1"/>
    <col min="13888" max="13888" width="2.140625" style="221" customWidth="1"/>
    <col min="13889" max="13889" width="0.5703125" style="221" customWidth="1"/>
    <col min="13890" max="13890" width="2.140625" style="221" customWidth="1"/>
    <col min="13891" max="13891" width="0.5703125" style="221" customWidth="1"/>
    <col min="13892" max="13892" width="2.140625" style="221" customWidth="1"/>
    <col min="13893" max="13893" width="0.5703125" style="221" customWidth="1"/>
    <col min="13894" max="13894" width="2.140625" style="221" customWidth="1"/>
    <col min="13895" max="13895" width="0.5703125" style="221" customWidth="1"/>
    <col min="13896" max="13896" width="2.140625" style="221" customWidth="1"/>
    <col min="13897" max="13897" width="0.5703125" style="221" customWidth="1"/>
    <col min="13898" max="13898" width="2.140625" style="221" customWidth="1"/>
    <col min="13899" max="13899" width="0.5703125" style="221" customWidth="1"/>
    <col min="13900" max="13900" width="2.140625" style="221" customWidth="1"/>
    <col min="13901" max="13901" width="0.5703125" style="221" customWidth="1"/>
    <col min="13902" max="13902" width="2.140625" style="221" customWidth="1"/>
    <col min="13903" max="13903" width="0.5703125" style="221" customWidth="1"/>
    <col min="13904" max="13904" width="2.140625" style="221" customWidth="1"/>
    <col min="13905" max="13905" width="0.5703125" style="221" customWidth="1"/>
    <col min="13906" max="13906" width="2.140625" style="221" customWidth="1"/>
    <col min="13907" max="13907" width="0.5703125" style="221" customWidth="1"/>
    <col min="13908" max="13908" width="2.140625" style="221" customWidth="1"/>
    <col min="13909" max="13909" width="0.5703125" style="221" customWidth="1"/>
    <col min="13910" max="13910" width="1.7109375" style="221" customWidth="1"/>
    <col min="13911"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42578125" style="221" customWidth="1"/>
    <col min="14086" max="14086" width="0.5703125" style="221" customWidth="1"/>
    <col min="14087" max="14106" width="0.710937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140625" style="221" customWidth="1"/>
    <col min="14143" max="14143" width="0.5703125" style="221" customWidth="1"/>
    <col min="14144" max="14144" width="2.140625" style="221" customWidth="1"/>
    <col min="14145" max="14145" width="0.5703125" style="221" customWidth="1"/>
    <col min="14146" max="14146" width="2.140625" style="221" customWidth="1"/>
    <col min="14147" max="14147" width="0.5703125" style="221" customWidth="1"/>
    <col min="14148" max="14148" width="2.140625" style="221" customWidth="1"/>
    <col min="14149" max="14149" width="0.5703125" style="221" customWidth="1"/>
    <col min="14150" max="14150" width="2.140625" style="221" customWidth="1"/>
    <col min="14151" max="14151" width="0.5703125" style="221" customWidth="1"/>
    <col min="14152" max="14152" width="2.140625" style="221" customWidth="1"/>
    <col min="14153" max="14153" width="0.5703125" style="221" customWidth="1"/>
    <col min="14154" max="14154" width="2.140625" style="221" customWidth="1"/>
    <col min="14155" max="14155" width="0.5703125" style="221" customWidth="1"/>
    <col min="14156" max="14156" width="2.140625" style="221" customWidth="1"/>
    <col min="14157" max="14157" width="0.5703125" style="221" customWidth="1"/>
    <col min="14158" max="14158" width="2.140625" style="221" customWidth="1"/>
    <col min="14159" max="14159" width="0.5703125" style="221" customWidth="1"/>
    <col min="14160" max="14160" width="2.140625" style="221" customWidth="1"/>
    <col min="14161" max="14161" width="0.5703125" style="221" customWidth="1"/>
    <col min="14162" max="14162" width="2.140625" style="221" customWidth="1"/>
    <col min="14163" max="14163" width="0.5703125" style="221" customWidth="1"/>
    <col min="14164" max="14164" width="2.140625" style="221" customWidth="1"/>
    <col min="14165" max="14165" width="0.5703125" style="221" customWidth="1"/>
    <col min="14166" max="14166" width="1.7109375" style="221" customWidth="1"/>
    <col min="14167"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42578125" style="221" customWidth="1"/>
    <col min="14342" max="14342" width="0.5703125" style="221" customWidth="1"/>
    <col min="14343" max="14362" width="0.710937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140625" style="221" customWidth="1"/>
    <col min="14399" max="14399" width="0.5703125" style="221" customWidth="1"/>
    <col min="14400" max="14400" width="2.140625" style="221" customWidth="1"/>
    <col min="14401" max="14401" width="0.5703125" style="221" customWidth="1"/>
    <col min="14402" max="14402" width="2.140625" style="221" customWidth="1"/>
    <col min="14403" max="14403" width="0.5703125" style="221" customWidth="1"/>
    <col min="14404" max="14404" width="2.140625" style="221" customWidth="1"/>
    <col min="14405" max="14405" width="0.5703125" style="221" customWidth="1"/>
    <col min="14406" max="14406" width="2.140625" style="221" customWidth="1"/>
    <col min="14407" max="14407" width="0.5703125" style="221" customWidth="1"/>
    <col min="14408" max="14408" width="2.140625" style="221" customWidth="1"/>
    <col min="14409" max="14409" width="0.5703125" style="221" customWidth="1"/>
    <col min="14410" max="14410" width="2.140625" style="221" customWidth="1"/>
    <col min="14411" max="14411" width="0.5703125" style="221" customWidth="1"/>
    <col min="14412" max="14412" width="2.140625" style="221" customWidth="1"/>
    <col min="14413" max="14413" width="0.5703125" style="221" customWidth="1"/>
    <col min="14414" max="14414" width="2.140625" style="221" customWidth="1"/>
    <col min="14415" max="14415" width="0.5703125" style="221" customWidth="1"/>
    <col min="14416" max="14416" width="2.140625" style="221" customWidth="1"/>
    <col min="14417" max="14417" width="0.5703125" style="221" customWidth="1"/>
    <col min="14418" max="14418" width="2.140625" style="221" customWidth="1"/>
    <col min="14419" max="14419" width="0.5703125" style="221" customWidth="1"/>
    <col min="14420" max="14420" width="2.140625" style="221" customWidth="1"/>
    <col min="14421" max="14421" width="0.5703125" style="221" customWidth="1"/>
    <col min="14422" max="14422" width="1.7109375" style="221" customWidth="1"/>
    <col min="14423"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42578125" style="221" customWidth="1"/>
    <col min="14598" max="14598" width="0.5703125" style="221" customWidth="1"/>
    <col min="14599" max="14618" width="0.710937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140625" style="221" customWidth="1"/>
    <col min="14655" max="14655" width="0.5703125" style="221" customWidth="1"/>
    <col min="14656" max="14656" width="2.140625" style="221" customWidth="1"/>
    <col min="14657" max="14657" width="0.5703125" style="221" customWidth="1"/>
    <col min="14658" max="14658" width="2.140625" style="221" customWidth="1"/>
    <col min="14659" max="14659" width="0.5703125" style="221" customWidth="1"/>
    <col min="14660" max="14660" width="2.140625" style="221" customWidth="1"/>
    <col min="14661" max="14661" width="0.5703125" style="221" customWidth="1"/>
    <col min="14662" max="14662" width="2.140625" style="221" customWidth="1"/>
    <col min="14663" max="14663" width="0.5703125" style="221" customWidth="1"/>
    <col min="14664" max="14664" width="2.140625" style="221" customWidth="1"/>
    <col min="14665" max="14665" width="0.5703125" style="221" customWidth="1"/>
    <col min="14666" max="14666" width="2.140625" style="221" customWidth="1"/>
    <col min="14667" max="14667" width="0.5703125" style="221" customWidth="1"/>
    <col min="14668" max="14668" width="2.140625" style="221" customWidth="1"/>
    <col min="14669" max="14669" width="0.5703125" style="221" customWidth="1"/>
    <col min="14670" max="14670" width="2.140625" style="221" customWidth="1"/>
    <col min="14671" max="14671" width="0.5703125" style="221" customWidth="1"/>
    <col min="14672" max="14672" width="2.140625" style="221" customWidth="1"/>
    <col min="14673" max="14673" width="0.5703125" style="221" customWidth="1"/>
    <col min="14674" max="14674" width="2.140625" style="221" customWidth="1"/>
    <col min="14675" max="14675" width="0.5703125" style="221" customWidth="1"/>
    <col min="14676" max="14676" width="2.140625" style="221" customWidth="1"/>
    <col min="14677" max="14677" width="0.5703125" style="221" customWidth="1"/>
    <col min="14678" max="14678" width="1.7109375" style="221" customWidth="1"/>
    <col min="14679"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42578125" style="221" customWidth="1"/>
    <col min="14854" max="14854" width="0.5703125" style="221" customWidth="1"/>
    <col min="14855" max="14874" width="0.710937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140625" style="221" customWidth="1"/>
    <col min="14911" max="14911" width="0.5703125" style="221" customWidth="1"/>
    <col min="14912" max="14912" width="2.140625" style="221" customWidth="1"/>
    <col min="14913" max="14913" width="0.5703125" style="221" customWidth="1"/>
    <col min="14914" max="14914" width="2.140625" style="221" customWidth="1"/>
    <col min="14915" max="14915" width="0.5703125" style="221" customWidth="1"/>
    <col min="14916" max="14916" width="2.140625" style="221" customWidth="1"/>
    <col min="14917" max="14917" width="0.5703125" style="221" customWidth="1"/>
    <col min="14918" max="14918" width="2.140625" style="221" customWidth="1"/>
    <col min="14919" max="14919" width="0.5703125" style="221" customWidth="1"/>
    <col min="14920" max="14920" width="2.140625" style="221" customWidth="1"/>
    <col min="14921" max="14921" width="0.5703125" style="221" customWidth="1"/>
    <col min="14922" max="14922" width="2.140625" style="221" customWidth="1"/>
    <col min="14923" max="14923" width="0.5703125" style="221" customWidth="1"/>
    <col min="14924" max="14924" width="2.140625" style="221" customWidth="1"/>
    <col min="14925" max="14925" width="0.5703125" style="221" customWidth="1"/>
    <col min="14926" max="14926" width="2.140625" style="221" customWidth="1"/>
    <col min="14927" max="14927" width="0.5703125" style="221" customWidth="1"/>
    <col min="14928" max="14928" width="2.140625" style="221" customWidth="1"/>
    <col min="14929" max="14929" width="0.5703125" style="221" customWidth="1"/>
    <col min="14930" max="14930" width="2.140625" style="221" customWidth="1"/>
    <col min="14931" max="14931" width="0.5703125" style="221" customWidth="1"/>
    <col min="14932" max="14932" width="2.140625" style="221" customWidth="1"/>
    <col min="14933" max="14933" width="0.5703125" style="221" customWidth="1"/>
    <col min="14934" max="14934" width="1.7109375" style="221" customWidth="1"/>
    <col min="14935"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42578125" style="221" customWidth="1"/>
    <col min="15110" max="15110" width="0.5703125" style="221" customWidth="1"/>
    <col min="15111" max="15130" width="0.710937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140625" style="221" customWidth="1"/>
    <col min="15167" max="15167" width="0.5703125" style="221" customWidth="1"/>
    <col min="15168" max="15168" width="2.140625" style="221" customWidth="1"/>
    <col min="15169" max="15169" width="0.5703125" style="221" customWidth="1"/>
    <col min="15170" max="15170" width="2.140625" style="221" customWidth="1"/>
    <col min="15171" max="15171" width="0.5703125" style="221" customWidth="1"/>
    <col min="15172" max="15172" width="2.140625" style="221" customWidth="1"/>
    <col min="15173" max="15173" width="0.5703125" style="221" customWidth="1"/>
    <col min="15174" max="15174" width="2.140625" style="221" customWidth="1"/>
    <col min="15175" max="15175" width="0.5703125" style="221" customWidth="1"/>
    <col min="15176" max="15176" width="2.140625" style="221" customWidth="1"/>
    <col min="15177" max="15177" width="0.5703125" style="221" customWidth="1"/>
    <col min="15178" max="15178" width="2.140625" style="221" customWidth="1"/>
    <col min="15179" max="15179" width="0.5703125" style="221" customWidth="1"/>
    <col min="15180" max="15180" width="2.140625" style="221" customWidth="1"/>
    <col min="15181" max="15181" width="0.5703125" style="221" customWidth="1"/>
    <col min="15182" max="15182" width="2.140625" style="221" customWidth="1"/>
    <col min="15183" max="15183" width="0.5703125" style="221" customWidth="1"/>
    <col min="15184" max="15184" width="2.140625" style="221" customWidth="1"/>
    <col min="15185" max="15185" width="0.5703125" style="221" customWidth="1"/>
    <col min="15186" max="15186" width="2.140625" style="221" customWidth="1"/>
    <col min="15187" max="15187" width="0.5703125" style="221" customWidth="1"/>
    <col min="15188" max="15188" width="2.140625" style="221" customWidth="1"/>
    <col min="15189" max="15189" width="0.5703125" style="221" customWidth="1"/>
    <col min="15190" max="15190" width="1.7109375" style="221" customWidth="1"/>
    <col min="15191"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42578125" style="221" customWidth="1"/>
    <col min="15366" max="15366" width="0.5703125" style="221" customWidth="1"/>
    <col min="15367" max="15386" width="0.710937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140625" style="221" customWidth="1"/>
    <col min="15423" max="15423" width="0.5703125" style="221" customWidth="1"/>
    <col min="15424" max="15424" width="2.140625" style="221" customWidth="1"/>
    <col min="15425" max="15425" width="0.5703125" style="221" customWidth="1"/>
    <col min="15426" max="15426" width="2.140625" style="221" customWidth="1"/>
    <col min="15427" max="15427" width="0.5703125" style="221" customWidth="1"/>
    <col min="15428" max="15428" width="2.140625" style="221" customWidth="1"/>
    <col min="15429" max="15429" width="0.5703125" style="221" customWidth="1"/>
    <col min="15430" max="15430" width="2.140625" style="221" customWidth="1"/>
    <col min="15431" max="15431" width="0.5703125" style="221" customWidth="1"/>
    <col min="15432" max="15432" width="2.140625" style="221" customWidth="1"/>
    <col min="15433" max="15433" width="0.5703125" style="221" customWidth="1"/>
    <col min="15434" max="15434" width="2.140625" style="221" customWidth="1"/>
    <col min="15435" max="15435" width="0.5703125" style="221" customWidth="1"/>
    <col min="15436" max="15436" width="2.140625" style="221" customWidth="1"/>
    <col min="15437" max="15437" width="0.5703125" style="221" customWidth="1"/>
    <col min="15438" max="15438" width="2.140625" style="221" customWidth="1"/>
    <col min="15439" max="15439" width="0.5703125" style="221" customWidth="1"/>
    <col min="15440" max="15440" width="2.140625" style="221" customWidth="1"/>
    <col min="15441" max="15441" width="0.5703125" style="221" customWidth="1"/>
    <col min="15442" max="15442" width="2.140625" style="221" customWidth="1"/>
    <col min="15443" max="15443" width="0.5703125" style="221" customWidth="1"/>
    <col min="15444" max="15444" width="2.140625" style="221" customWidth="1"/>
    <col min="15445" max="15445" width="0.5703125" style="221" customWidth="1"/>
    <col min="15446" max="15446" width="1.7109375" style="221" customWidth="1"/>
    <col min="15447"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42578125" style="221" customWidth="1"/>
    <col min="15622" max="15622" width="0.5703125" style="221" customWidth="1"/>
    <col min="15623" max="15642" width="0.710937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140625" style="221" customWidth="1"/>
    <col min="15679" max="15679" width="0.5703125" style="221" customWidth="1"/>
    <col min="15680" max="15680" width="2.140625" style="221" customWidth="1"/>
    <col min="15681" max="15681" width="0.5703125" style="221" customWidth="1"/>
    <col min="15682" max="15682" width="2.140625" style="221" customWidth="1"/>
    <col min="15683" max="15683" width="0.5703125" style="221" customWidth="1"/>
    <col min="15684" max="15684" width="2.140625" style="221" customWidth="1"/>
    <col min="15685" max="15685" width="0.5703125" style="221" customWidth="1"/>
    <col min="15686" max="15686" width="2.140625" style="221" customWidth="1"/>
    <col min="15687" max="15687" width="0.5703125" style="221" customWidth="1"/>
    <col min="15688" max="15688" width="2.140625" style="221" customWidth="1"/>
    <col min="15689" max="15689" width="0.5703125" style="221" customWidth="1"/>
    <col min="15690" max="15690" width="2.140625" style="221" customWidth="1"/>
    <col min="15691" max="15691" width="0.5703125" style="221" customWidth="1"/>
    <col min="15692" max="15692" width="2.140625" style="221" customWidth="1"/>
    <col min="15693" max="15693" width="0.5703125" style="221" customWidth="1"/>
    <col min="15694" max="15694" width="2.140625" style="221" customWidth="1"/>
    <col min="15695" max="15695" width="0.5703125" style="221" customWidth="1"/>
    <col min="15696" max="15696" width="2.140625" style="221" customWidth="1"/>
    <col min="15697" max="15697" width="0.5703125" style="221" customWidth="1"/>
    <col min="15698" max="15698" width="2.140625" style="221" customWidth="1"/>
    <col min="15699" max="15699" width="0.5703125" style="221" customWidth="1"/>
    <col min="15700" max="15700" width="2.140625" style="221" customWidth="1"/>
    <col min="15701" max="15701" width="0.5703125" style="221" customWidth="1"/>
    <col min="15702" max="15702" width="1.7109375" style="221" customWidth="1"/>
    <col min="15703"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42578125" style="221" customWidth="1"/>
    <col min="15878" max="15878" width="0.5703125" style="221" customWidth="1"/>
    <col min="15879" max="15898" width="0.710937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140625" style="221" customWidth="1"/>
    <col min="15935" max="15935" width="0.5703125" style="221" customWidth="1"/>
    <col min="15936" max="15936" width="2.140625" style="221" customWidth="1"/>
    <col min="15937" max="15937" width="0.5703125" style="221" customWidth="1"/>
    <col min="15938" max="15938" width="2.140625" style="221" customWidth="1"/>
    <col min="15939" max="15939" width="0.5703125" style="221" customWidth="1"/>
    <col min="15940" max="15940" width="2.140625" style="221" customWidth="1"/>
    <col min="15941" max="15941" width="0.5703125" style="221" customWidth="1"/>
    <col min="15942" max="15942" width="2.140625" style="221" customWidth="1"/>
    <col min="15943" max="15943" width="0.5703125" style="221" customWidth="1"/>
    <col min="15944" max="15944" width="2.140625" style="221" customWidth="1"/>
    <col min="15945" max="15945" width="0.5703125" style="221" customWidth="1"/>
    <col min="15946" max="15946" width="2.140625" style="221" customWidth="1"/>
    <col min="15947" max="15947" width="0.5703125" style="221" customWidth="1"/>
    <col min="15948" max="15948" width="2.140625" style="221" customWidth="1"/>
    <col min="15949" max="15949" width="0.5703125" style="221" customWidth="1"/>
    <col min="15950" max="15950" width="2.140625" style="221" customWidth="1"/>
    <col min="15951" max="15951" width="0.5703125" style="221" customWidth="1"/>
    <col min="15952" max="15952" width="2.140625" style="221" customWidth="1"/>
    <col min="15953" max="15953" width="0.5703125" style="221" customWidth="1"/>
    <col min="15954" max="15954" width="2.140625" style="221" customWidth="1"/>
    <col min="15955" max="15955" width="0.5703125" style="221" customWidth="1"/>
    <col min="15956" max="15956" width="2.140625" style="221" customWidth="1"/>
    <col min="15957" max="15957" width="0.5703125" style="221" customWidth="1"/>
    <col min="15958" max="15958" width="1.7109375" style="221" customWidth="1"/>
    <col min="15959"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42578125" style="221" customWidth="1"/>
    <col min="16134" max="16134" width="0.5703125" style="221" customWidth="1"/>
    <col min="16135" max="16154" width="0.710937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140625" style="221" customWidth="1"/>
    <col min="16191" max="16191" width="0.5703125" style="221" customWidth="1"/>
    <col min="16192" max="16192" width="2.140625" style="221" customWidth="1"/>
    <col min="16193" max="16193" width="0.5703125" style="221" customWidth="1"/>
    <col min="16194" max="16194" width="2.140625" style="221" customWidth="1"/>
    <col min="16195" max="16195" width="0.5703125" style="221" customWidth="1"/>
    <col min="16196" max="16196" width="2.140625" style="221" customWidth="1"/>
    <col min="16197" max="16197" width="0.5703125" style="221" customWidth="1"/>
    <col min="16198" max="16198" width="2.140625" style="221" customWidth="1"/>
    <col min="16199" max="16199" width="0.5703125" style="221" customWidth="1"/>
    <col min="16200" max="16200" width="2.140625" style="221" customWidth="1"/>
    <col min="16201" max="16201" width="0.5703125" style="221" customWidth="1"/>
    <col min="16202" max="16202" width="2.140625" style="221" customWidth="1"/>
    <col min="16203" max="16203" width="0.5703125" style="221" customWidth="1"/>
    <col min="16204" max="16204" width="2.140625" style="221" customWidth="1"/>
    <col min="16205" max="16205" width="0.5703125" style="221" customWidth="1"/>
    <col min="16206" max="16206" width="2.140625" style="221" customWidth="1"/>
    <col min="16207" max="16207" width="0.5703125" style="221" customWidth="1"/>
    <col min="16208" max="16208" width="2.140625" style="221" customWidth="1"/>
    <col min="16209" max="16209" width="0.5703125" style="221" customWidth="1"/>
    <col min="16210" max="16210" width="2.140625" style="221" customWidth="1"/>
    <col min="16211" max="16211" width="0.5703125" style="221" customWidth="1"/>
    <col min="16212" max="16212" width="2.140625" style="221" customWidth="1"/>
    <col min="16213" max="16213" width="0.5703125" style="221" customWidth="1"/>
    <col min="16214" max="16214" width="1.7109375" style="221" customWidth="1"/>
    <col min="16215" max="16384" width="9.140625" style="221"/>
  </cols>
  <sheetData>
    <row r="1" spans="1:88" s="97" customFormat="1" ht="14.25" customHeight="1" thickBot="1">
      <c r="F1" s="98" t="s">
        <v>1595</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CJ1" s="221"/>
    </row>
    <row r="2" spans="1:88" ht="7.5" customHeight="1" thickTop="1">
      <c r="A2" s="220"/>
      <c r="B2" s="220"/>
      <c r="D2" s="220"/>
      <c r="E2" s="222"/>
      <c r="F2" s="220"/>
      <c r="G2" s="223"/>
      <c r="H2" s="912" t="str">
        <f>Index!C409</f>
        <v>Súvaha Úč POD 1 - 01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7"/>
      <c r="BT2" s="928"/>
      <c r="BU2" s="928"/>
      <c r="BV2" s="928"/>
      <c r="BW2" s="928"/>
      <c r="BX2" s="928"/>
      <c r="BY2" s="928"/>
      <c r="BZ2" s="928"/>
      <c r="CA2" s="928"/>
      <c r="CB2" s="928"/>
      <c r="CC2" s="928"/>
      <c r="CD2" s="928"/>
      <c r="CE2" s="220"/>
      <c r="CF2" s="220"/>
      <c r="CG2" s="220"/>
      <c r="CH2" s="220"/>
      <c r="CI2" s="220"/>
    </row>
    <row r="3" spans="1:88" ht="3.75" customHeight="1" thickBot="1">
      <c r="A3" s="220"/>
      <c r="B3" s="220"/>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227"/>
      <c r="BT3" s="928"/>
      <c r="BU3" s="928"/>
      <c r="BV3" s="928"/>
      <c r="BW3" s="928"/>
      <c r="BX3" s="928"/>
      <c r="BY3" s="928"/>
      <c r="BZ3" s="928"/>
      <c r="CA3" s="928"/>
      <c r="CB3" s="928"/>
      <c r="CC3" s="928"/>
      <c r="CD3" s="928"/>
      <c r="CE3" s="220"/>
      <c r="CF3" s="220"/>
      <c r="CG3" s="220"/>
      <c r="CH3" s="220"/>
      <c r="CI3" s="220"/>
    </row>
    <row r="4" spans="1:88" ht="16.5" customHeight="1" thickTop="1">
      <c r="A4" s="220"/>
      <c r="B4" s="220"/>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139" t="str">
        <f>'Závierka titulka'!$K$27</f>
        <v>2</v>
      </c>
      <c r="BM4" s="231"/>
      <c r="BN4" s="139" t="str">
        <f>'Závierka titulka'!$M$27</f>
        <v>9</v>
      </c>
      <c r="BO4" s="136"/>
      <c r="BP4" s="139" t="str">
        <f>'Závierka titulka'!$O$27</f>
        <v>9</v>
      </c>
      <c r="BQ4" s="136"/>
      <c r="BR4" s="139" t="str">
        <f>'Závierka titulka'!$Q$27</f>
        <v>1</v>
      </c>
      <c r="BS4" s="230"/>
      <c r="BT4" s="928"/>
      <c r="BU4" s="928"/>
      <c r="BV4" s="928"/>
      <c r="BW4" s="928"/>
      <c r="BX4" s="928"/>
      <c r="BY4" s="928"/>
      <c r="BZ4" s="928"/>
      <c r="CA4" s="928"/>
      <c r="CB4" s="928"/>
      <c r="CC4" s="928"/>
      <c r="CD4" s="928"/>
      <c r="CE4" s="220"/>
      <c r="CF4" s="232"/>
      <c r="CG4" s="233"/>
      <c r="CH4" s="220"/>
      <c r="CI4" s="220"/>
    </row>
    <row r="5" spans="1:88" ht="3" customHeight="1">
      <c r="A5" s="220"/>
      <c r="B5" s="220"/>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4"/>
      <c r="BM5" s="237"/>
      <c r="BN5" s="234"/>
      <c r="BO5" s="234"/>
      <c r="BP5" s="234"/>
      <c r="BQ5" s="234"/>
      <c r="BR5" s="234"/>
      <c r="BS5" s="235"/>
      <c r="BT5" s="928"/>
      <c r="BU5" s="928"/>
      <c r="BV5" s="928"/>
      <c r="BW5" s="928"/>
      <c r="BX5" s="928"/>
      <c r="BY5" s="928"/>
      <c r="BZ5" s="928"/>
      <c r="CA5" s="928"/>
      <c r="CB5" s="928"/>
      <c r="CC5" s="928"/>
      <c r="CD5" s="928"/>
      <c r="CE5" s="220"/>
      <c r="CF5" s="220"/>
      <c r="CG5" s="238"/>
      <c r="CH5" s="220"/>
      <c r="CI5" s="220"/>
    </row>
    <row r="6" spans="1:88" ht="4.5" customHeight="1" thickBot="1">
      <c r="A6" s="220"/>
      <c r="B6" s="220"/>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2"/>
      <c r="BX6" s="242"/>
      <c r="BY6" s="242"/>
      <c r="BZ6" s="242"/>
      <c r="CA6" s="242"/>
      <c r="CB6" s="242"/>
      <c r="CC6" s="242"/>
      <c r="CD6" s="242"/>
      <c r="CE6" s="242"/>
      <c r="CF6" s="242"/>
      <c r="CG6" s="242"/>
      <c r="CH6" s="220"/>
      <c r="CI6" s="220"/>
    </row>
    <row r="7" spans="1:88" ht="12.75" customHeight="1" thickBot="1">
      <c r="A7" s="220"/>
      <c r="B7" s="220"/>
      <c r="C7" s="224"/>
      <c r="D7" s="224"/>
      <c r="E7" s="941" t="s">
        <v>1574</v>
      </c>
      <c r="F7" s="942"/>
      <c r="G7" s="362"/>
      <c r="H7" s="368"/>
      <c r="I7" s="368"/>
      <c r="J7" s="368"/>
      <c r="K7" s="368"/>
      <c r="L7" s="368"/>
      <c r="M7" s="368"/>
      <c r="N7" s="368"/>
      <c r="O7" s="368"/>
      <c r="P7" s="368"/>
      <c r="Q7" s="368"/>
      <c r="R7" s="368"/>
      <c r="S7" s="368"/>
      <c r="T7" s="368"/>
      <c r="U7" s="368"/>
      <c r="V7" s="368"/>
      <c r="W7" s="281"/>
      <c r="X7" s="281"/>
      <c r="Y7" s="281"/>
      <c r="Z7" s="282"/>
      <c r="AA7" s="281"/>
      <c r="AB7" s="281"/>
      <c r="AC7" s="282"/>
      <c r="AD7" s="944" t="str">
        <f>Index!C414</f>
        <v>Bežné účtovné obdobie</v>
      </c>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896" t="str">
        <f>Index!C415</f>
        <v>Bezprostredne predchádzajúce účtovné obdobie</v>
      </c>
      <c r="BS7" s="896"/>
      <c r="BT7" s="896"/>
      <c r="BU7" s="896"/>
      <c r="BV7" s="896"/>
      <c r="BW7" s="896"/>
      <c r="BX7" s="896"/>
      <c r="BY7" s="896"/>
      <c r="BZ7" s="896"/>
      <c r="CA7" s="896"/>
      <c r="CB7" s="896"/>
      <c r="CC7" s="896"/>
      <c r="CD7" s="896"/>
      <c r="CE7" s="896"/>
      <c r="CF7" s="896"/>
      <c r="CG7" s="896"/>
      <c r="CH7" s="220"/>
    </row>
    <row r="8" spans="1:88" ht="5.0999999999999996" customHeight="1" thickBot="1">
      <c r="A8" s="220"/>
      <c r="B8" s="878"/>
      <c r="C8" s="878"/>
      <c r="D8" s="878"/>
      <c r="E8" s="943"/>
      <c r="F8" s="885"/>
      <c r="G8" s="898" t="str">
        <f>Index!C411</f>
        <v>STRANA AKTÍV</v>
      </c>
      <c r="H8" s="898"/>
      <c r="I8" s="898"/>
      <c r="J8" s="898"/>
      <c r="K8" s="898"/>
      <c r="L8" s="898"/>
      <c r="M8" s="898"/>
      <c r="N8" s="898"/>
      <c r="O8" s="898"/>
      <c r="P8" s="898"/>
      <c r="Q8" s="898"/>
      <c r="R8" s="898"/>
      <c r="S8" s="898"/>
      <c r="T8" s="898"/>
      <c r="U8" s="898"/>
      <c r="V8" s="898"/>
      <c r="W8" s="898"/>
      <c r="X8" s="898"/>
      <c r="Y8" s="898"/>
      <c r="Z8" s="898"/>
      <c r="AA8" s="354"/>
      <c r="AB8" s="354"/>
      <c r="AC8" s="283"/>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896"/>
      <c r="BS8" s="896"/>
      <c r="BT8" s="896"/>
      <c r="BU8" s="896"/>
      <c r="BV8" s="896"/>
      <c r="BW8" s="896"/>
      <c r="BX8" s="896"/>
      <c r="BY8" s="896"/>
      <c r="BZ8" s="896"/>
      <c r="CA8" s="896"/>
      <c r="CB8" s="896"/>
      <c r="CC8" s="896"/>
      <c r="CD8" s="896"/>
      <c r="CE8" s="896"/>
      <c r="CF8" s="896"/>
      <c r="CG8" s="896"/>
    </row>
    <row r="9" spans="1:88" ht="6.95" customHeight="1" thickBot="1">
      <c r="A9" s="220"/>
      <c r="B9" s="900"/>
      <c r="C9" s="900"/>
      <c r="D9" s="878"/>
      <c r="E9" s="943"/>
      <c r="F9" s="885"/>
      <c r="G9" s="898"/>
      <c r="H9" s="898"/>
      <c r="I9" s="898"/>
      <c r="J9" s="898"/>
      <c r="K9" s="898"/>
      <c r="L9" s="898"/>
      <c r="M9" s="898"/>
      <c r="N9" s="898"/>
      <c r="O9" s="898"/>
      <c r="P9" s="898"/>
      <c r="Q9" s="898"/>
      <c r="R9" s="898"/>
      <c r="S9" s="898"/>
      <c r="T9" s="898"/>
      <c r="U9" s="898"/>
      <c r="V9" s="898"/>
      <c r="W9" s="898"/>
      <c r="X9" s="898"/>
      <c r="Y9" s="898"/>
      <c r="Z9" s="898"/>
      <c r="AA9" s="901" t="str">
        <f>Index!C412</f>
        <v>Číslo</v>
      </c>
      <c r="AB9" s="901"/>
      <c r="AC9" s="901"/>
      <c r="AD9" s="903" t="s">
        <v>1536</v>
      </c>
      <c r="AE9" s="903"/>
      <c r="AF9" s="903"/>
      <c r="AG9" s="905" t="str">
        <f>Index!C416</f>
        <v>Brutto - časť 1</v>
      </c>
      <c r="AH9" s="905"/>
      <c r="AI9" s="905"/>
      <c r="AJ9" s="905"/>
      <c r="AK9" s="905"/>
      <c r="AL9" s="905"/>
      <c r="AM9" s="905"/>
      <c r="AN9" s="905"/>
      <c r="AO9" s="905"/>
      <c r="AP9" s="905"/>
      <c r="AQ9" s="905"/>
      <c r="AR9" s="905"/>
      <c r="AS9" s="905"/>
      <c r="AT9" s="905"/>
      <c r="AU9" s="905"/>
      <c r="AV9" s="905"/>
      <c r="AW9" s="905"/>
      <c r="AX9" s="905"/>
      <c r="AY9" s="905"/>
      <c r="AZ9" s="905"/>
      <c r="BA9" s="905" t="str">
        <f>Index!C417</f>
        <v>Netto 2</v>
      </c>
      <c r="BB9" s="905"/>
      <c r="BC9" s="905"/>
      <c r="BD9" s="905"/>
      <c r="BE9" s="905"/>
      <c r="BF9" s="905"/>
      <c r="BG9" s="905"/>
      <c r="BH9" s="905"/>
      <c r="BI9" s="905"/>
      <c r="BJ9" s="905"/>
      <c r="BK9" s="905"/>
      <c r="BL9" s="905"/>
      <c r="BM9" s="905"/>
      <c r="BN9" s="905"/>
      <c r="BO9" s="905"/>
      <c r="BP9" s="905"/>
      <c r="BQ9" s="905"/>
      <c r="BR9" s="896"/>
      <c r="BS9" s="896"/>
      <c r="BT9" s="896"/>
      <c r="BU9" s="896"/>
      <c r="BV9" s="896"/>
      <c r="BW9" s="896"/>
      <c r="BX9" s="896"/>
      <c r="BY9" s="896"/>
      <c r="BZ9" s="896"/>
      <c r="CA9" s="896"/>
      <c r="CB9" s="896"/>
      <c r="CC9" s="896"/>
      <c r="CD9" s="896"/>
      <c r="CE9" s="896"/>
      <c r="CF9" s="896"/>
      <c r="CG9" s="896"/>
      <c r="CH9" s="878"/>
    </row>
    <row r="10" spans="1:88" ht="6.95" customHeight="1">
      <c r="A10" s="220"/>
      <c r="B10" s="900"/>
      <c r="C10" s="900"/>
      <c r="D10" s="878"/>
      <c r="E10" s="943"/>
      <c r="F10" s="885"/>
      <c r="G10" s="248"/>
      <c r="H10" s="229"/>
      <c r="I10" s="229"/>
      <c r="J10" s="229"/>
      <c r="K10" s="229"/>
      <c r="L10" s="229"/>
      <c r="M10" s="229"/>
      <c r="N10" s="229"/>
      <c r="O10" s="229"/>
      <c r="P10" s="229"/>
      <c r="Q10" s="229"/>
      <c r="R10" s="229"/>
      <c r="S10" s="229"/>
      <c r="T10" s="229"/>
      <c r="U10" s="229"/>
      <c r="V10" s="229"/>
      <c r="W10" s="229"/>
      <c r="X10" s="229"/>
      <c r="Y10" s="229"/>
      <c r="Z10" s="249"/>
      <c r="AA10" s="906" t="str">
        <f>Index!C413</f>
        <v xml:space="preserve"> riadku</v>
      </c>
      <c r="AB10" s="906"/>
      <c r="AC10" s="906"/>
      <c r="AD10" s="903"/>
      <c r="AE10" s="903"/>
      <c r="AF10" s="903"/>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896"/>
      <c r="BS10" s="896"/>
      <c r="BT10" s="896"/>
      <c r="BU10" s="896"/>
      <c r="BV10" s="896"/>
      <c r="BW10" s="896"/>
      <c r="BX10" s="896"/>
      <c r="BY10" s="896"/>
      <c r="BZ10" s="896"/>
      <c r="CA10" s="896"/>
      <c r="CB10" s="896"/>
      <c r="CC10" s="896"/>
      <c r="CD10" s="896"/>
      <c r="CE10" s="896"/>
      <c r="CF10" s="896"/>
      <c r="CG10" s="896"/>
      <c r="CH10" s="878"/>
    </row>
    <row r="11" spans="1:88" s="250" customFormat="1" ht="15" customHeight="1">
      <c r="A11" s="220"/>
      <c r="B11" s="900"/>
      <c r="C11" s="900"/>
      <c r="D11" s="878"/>
      <c r="E11" s="908" t="s">
        <v>491</v>
      </c>
      <c r="F11" s="908"/>
      <c r="G11" s="909" t="s">
        <v>492</v>
      </c>
      <c r="H11" s="909"/>
      <c r="I11" s="909"/>
      <c r="J11" s="909"/>
      <c r="K11" s="909"/>
      <c r="L11" s="909"/>
      <c r="M11" s="909"/>
      <c r="N11" s="909"/>
      <c r="O11" s="909"/>
      <c r="P11" s="909"/>
      <c r="Q11" s="909"/>
      <c r="R11" s="909"/>
      <c r="S11" s="909"/>
      <c r="T11" s="909"/>
      <c r="U11" s="909"/>
      <c r="V11" s="909"/>
      <c r="W11" s="909"/>
      <c r="X11" s="909"/>
      <c r="Y11" s="909"/>
      <c r="Z11" s="909"/>
      <c r="AA11" s="845" t="s">
        <v>493</v>
      </c>
      <c r="AB11" s="845"/>
      <c r="AC11" s="845"/>
      <c r="AD11" s="903"/>
      <c r="AE11" s="903"/>
      <c r="AF11" s="903"/>
      <c r="AG11" s="905" t="str">
        <f>Index!C418</f>
        <v>Korekcia - časť 2</v>
      </c>
      <c r="AH11" s="905"/>
      <c r="AI11" s="905"/>
      <c r="AJ11" s="905"/>
      <c r="AK11" s="905"/>
      <c r="AL11" s="905"/>
      <c r="AM11" s="905"/>
      <c r="AN11" s="905"/>
      <c r="AO11" s="905"/>
      <c r="AP11" s="905"/>
      <c r="AQ11" s="905"/>
      <c r="AR11" s="905"/>
      <c r="AS11" s="905"/>
      <c r="AT11" s="905"/>
      <c r="AU11" s="905"/>
      <c r="AV11" s="905"/>
      <c r="AW11" s="905"/>
      <c r="AX11" s="905"/>
      <c r="AY11" s="905"/>
      <c r="AZ11" s="905"/>
      <c r="BA11" s="902"/>
      <c r="BB11" s="902"/>
      <c r="BC11" s="902"/>
      <c r="BD11" s="902"/>
      <c r="BE11" s="902"/>
      <c r="BF11" s="902"/>
      <c r="BG11" s="902"/>
      <c r="BH11" s="902"/>
      <c r="BI11" s="902"/>
      <c r="BJ11" s="902"/>
      <c r="BK11" s="902"/>
      <c r="BL11" s="902"/>
      <c r="BM11" s="902"/>
      <c r="BN11" s="902"/>
      <c r="BO11" s="902"/>
      <c r="BP11" s="902"/>
      <c r="BQ11" s="902"/>
      <c r="BR11" s="910" t="str">
        <f>Index!C419</f>
        <v>Netto   3</v>
      </c>
      <c r="BS11" s="910"/>
      <c r="BT11" s="910"/>
      <c r="BU11" s="910"/>
      <c r="BV11" s="910"/>
      <c r="BW11" s="910"/>
      <c r="BX11" s="910"/>
      <c r="BY11" s="910"/>
      <c r="BZ11" s="910"/>
      <c r="CA11" s="910"/>
      <c r="CB11" s="910"/>
      <c r="CC11" s="910"/>
      <c r="CD11" s="910"/>
      <c r="CE11" s="910"/>
      <c r="CF11" s="910"/>
      <c r="CG11" s="910"/>
      <c r="CH11" s="878"/>
    </row>
    <row r="12" spans="1:88" s="250" customFormat="1" ht="3" customHeight="1">
      <c r="A12" s="220"/>
      <c r="B12" s="900"/>
      <c r="C12" s="900"/>
      <c r="D12" s="878"/>
      <c r="E12" s="877" t="s">
        <v>1596</v>
      </c>
      <c r="F12" s="877"/>
      <c r="G12" s="862"/>
      <c r="H12" s="938" t="str">
        <f>Index!C94</f>
        <v>Pohľadávky z obchodného styku voči prepojeným účtovným jednotkám (311A, 312A, 313A, 314A, 315A, 31XA) - /391A/</v>
      </c>
      <c r="I12" s="938"/>
      <c r="J12" s="938"/>
      <c r="K12" s="938"/>
      <c r="L12" s="938"/>
      <c r="M12" s="938"/>
      <c r="N12" s="938"/>
      <c r="O12" s="938"/>
      <c r="P12" s="938"/>
      <c r="Q12" s="938"/>
      <c r="R12" s="938"/>
      <c r="S12" s="938"/>
      <c r="T12" s="938"/>
      <c r="U12" s="938"/>
      <c r="V12" s="938"/>
      <c r="W12" s="938"/>
      <c r="X12" s="938"/>
      <c r="Y12" s="938"/>
      <c r="Z12" s="938"/>
      <c r="AA12" s="866" t="s">
        <v>1597</v>
      </c>
      <c r="AB12" s="866"/>
      <c r="AC12" s="866"/>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4"/>
      <c r="BB12" s="844"/>
      <c r="BC12" s="844"/>
      <c r="BD12" s="844"/>
      <c r="BE12" s="844"/>
      <c r="BF12" s="844"/>
      <c r="BG12" s="844"/>
      <c r="BH12" s="844"/>
      <c r="BI12" s="844"/>
      <c r="BJ12" s="844"/>
      <c r="BK12" s="844"/>
      <c r="BL12" s="844"/>
      <c r="BM12" s="844"/>
      <c r="BN12" s="844"/>
      <c r="BO12" s="844"/>
      <c r="BP12" s="844"/>
      <c r="BQ12" s="844"/>
      <c r="BR12" s="251"/>
      <c r="BS12" s="251"/>
      <c r="BT12" s="251"/>
      <c r="BU12" s="251"/>
      <c r="BV12" s="251"/>
      <c r="BW12" s="252"/>
      <c r="BX12" s="251"/>
      <c r="BY12" s="251"/>
      <c r="BZ12" s="251"/>
      <c r="CA12" s="251"/>
      <c r="CB12" s="251"/>
      <c r="CC12" s="251"/>
      <c r="CD12" s="251"/>
      <c r="CE12" s="251"/>
      <c r="CF12" s="251"/>
      <c r="CG12" s="284"/>
      <c r="CH12" s="878"/>
    </row>
    <row r="13" spans="1:88" s="250" customFormat="1" ht="3" customHeight="1">
      <c r="A13" s="220"/>
      <c r="B13" s="900"/>
      <c r="C13" s="900"/>
      <c r="D13" s="878"/>
      <c r="E13" s="877"/>
      <c r="F13" s="877"/>
      <c r="G13" s="862"/>
      <c r="H13" s="938"/>
      <c r="I13" s="938"/>
      <c r="J13" s="938"/>
      <c r="K13" s="938"/>
      <c r="L13" s="938"/>
      <c r="M13" s="938"/>
      <c r="N13" s="938"/>
      <c r="O13" s="938"/>
      <c r="P13" s="938"/>
      <c r="Q13" s="938"/>
      <c r="R13" s="938"/>
      <c r="S13" s="938"/>
      <c r="T13" s="938"/>
      <c r="U13" s="938"/>
      <c r="V13" s="938"/>
      <c r="W13" s="938"/>
      <c r="X13" s="938"/>
      <c r="Y13" s="938"/>
      <c r="Z13" s="938"/>
      <c r="AA13" s="866"/>
      <c r="AB13" s="866"/>
      <c r="AC13" s="866"/>
      <c r="AD13" s="826"/>
      <c r="AE13" s="820"/>
      <c r="AF13" s="820"/>
      <c r="AG13" s="820"/>
      <c r="AH13" s="435"/>
      <c r="AI13" s="821"/>
      <c r="AJ13" s="821"/>
      <c r="AK13" s="821"/>
      <c r="AL13" s="821"/>
      <c r="AM13" s="821"/>
      <c r="AN13" s="818"/>
      <c r="AO13" s="822"/>
      <c r="AP13" s="822"/>
      <c r="AQ13" s="822"/>
      <c r="AR13" s="822"/>
      <c r="AS13" s="822"/>
      <c r="AT13" s="818"/>
      <c r="AU13" s="822"/>
      <c r="AV13" s="822"/>
      <c r="AW13" s="822"/>
      <c r="AX13" s="822"/>
      <c r="AY13" s="822"/>
      <c r="AZ13" s="827"/>
      <c r="BA13" s="826"/>
      <c r="BB13" s="820"/>
      <c r="BC13" s="820"/>
      <c r="BD13" s="820"/>
      <c r="BE13" s="435"/>
      <c r="BF13" s="821"/>
      <c r="BG13" s="821"/>
      <c r="BH13" s="821"/>
      <c r="BI13" s="821"/>
      <c r="BJ13" s="821"/>
      <c r="BK13" s="818"/>
      <c r="BL13" s="822"/>
      <c r="BM13" s="822"/>
      <c r="BN13" s="822"/>
      <c r="BO13" s="822"/>
      <c r="BP13" s="822"/>
      <c r="BQ13" s="819"/>
      <c r="BR13" s="822"/>
      <c r="BS13" s="822"/>
      <c r="BT13" s="822"/>
      <c r="BU13" s="822"/>
      <c r="BV13" s="822"/>
      <c r="BW13" s="441"/>
      <c r="BX13" s="442"/>
      <c r="BY13" s="442"/>
      <c r="BZ13" s="442"/>
      <c r="CA13" s="442"/>
      <c r="CB13" s="442"/>
      <c r="CC13" s="442"/>
      <c r="CD13" s="442"/>
      <c r="CE13" s="442"/>
      <c r="CF13" s="442"/>
      <c r="CG13" s="285"/>
      <c r="CH13" s="878"/>
    </row>
    <row r="14" spans="1:88" ht="15" customHeight="1">
      <c r="A14" s="220"/>
      <c r="B14" s="900"/>
      <c r="C14" s="900"/>
      <c r="D14" s="878"/>
      <c r="E14" s="877"/>
      <c r="F14" s="877"/>
      <c r="G14" s="862"/>
      <c r="H14" s="938"/>
      <c r="I14" s="938"/>
      <c r="J14" s="938"/>
      <c r="K14" s="938"/>
      <c r="L14" s="938"/>
      <c r="M14" s="938"/>
      <c r="N14" s="938"/>
      <c r="O14" s="938"/>
      <c r="P14" s="938"/>
      <c r="Q14" s="938"/>
      <c r="R14" s="938"/>
      <c r="S14" s="938"/>
      <c r="T14" s="938"/>
      <c r="U14" s="938"/>
      <c r="V14" s="938"/>
      <c r="W14" s="938"/>
      <c r="X14" s="938"/>
      <c r="Y14" s="938"/>
      <c r="Z14" s="938"/>
      <c r="AA14" s="866"/>
      <c r="AB14" s="866"/>
      <c r="AC14" s="866"/>
      <c r="AD14" s="826"/>
      <c r="AE14" s="432" t="str">
        <f>IF(LEN(VLOOKUP(AA12,suvaha!$D$8:$H$158,2,FALSE))&lt;11,"",LEFT(RIGHT(VLOOKUP(AA12,suvaha!$D$8:$H$158,2,FALSE),11),1))</f>
        <v/>
      </c>
      <c r="AF14" s="255"/>
      <c r="AG14" s="432" t="str">
        <f>IF(LEN(VLOOKUP(AA12,suvaha!$D$8:$H$158,2,FALSE))&lt;10,"",LEFT(RIGHT(VLOOKUP(AA12,suvaha!$D$8:$H$158,2,FALSE),10),1))</f>
        <v/>
      </c>
      <c r="AH14" s="434"/>
      <c r="AI14" s="432" t="str">
        <f>IF(LEN(VLOOKUP(AA12,suvaha!$D$8:$H$158,2,FALSE))&lt;9,"",LEFT(RIGHT(VLOOKUP(AA12,suvaha!$D$8:$H$158,2,FALSE),9),1))</f>
        <v/>
      </c>
      <c r="AJ14" s="255"/>
      <c r="AK14" s="432" t="str">
        <f>IF(LEN(VLOOKUP(AA12,suvaha!$D$8:$H$158,2,FALSE))&lt;8,"",LEFT(RIGHT(VLOOKUP(AA12,suvaha!$D$8:$H$158,2,FALSE),8),1))</f>
        <v/>
      </c>
      <c r="AL14" s="434"/>
      <c r="AM14" s="432" t="str">
        <f>IF(LEN(VLOOKUP(AA12,suvaha!$D$8:$H$158,2,FALSE))&lt;7,"",LEFT(RIGHT(VLOOKUP(AA12,suvaha!$D$8:$H$158,2,FALSE),7),1))</f>
        <v/>
      </c>
      <c r="AN14" s="818"/>
      <c r="AO14" s="432" t="str">
        <f>IF(LEN(VLOOKUP(AA12,suvaha!$D$8:$H$158,2,FALSE))&lt;6,"",LEFT(RIGHT(VLOOKUP(AA12,suvaha!$D$8:$H$158,2,FALSE),6),1))</f>
        <v/>
      </c>
      <c r="AP14" s="434"/>
      <c r="AQ14" s="432" t="str">
        <f>IF(LEN(VLOOKUP(AA12,suvaha!$D$8:$H$158,2,FALSE))&lt;5,"",LEFT(RIGHT(VLOOKUP(AA12,suvaha!$D$8:$H$158,2,FALSE),5),1))</f>
        <v/>
      </c>
      <c r="AR14" s="434"/>
      <c r="AS14" s="432" t="str">
        <f>IF(LEN(VLOOKUP(AA12,suvaha!$D$8:$H$158,2,FALSE))&lt;4,"",LEFT(RIGHT(VLOOKUP(AA12,suvaha!$D$8:$H$158,2,FALSE),4),1))</f>
        <v/>
      </c>
      <c r="AT14" s="818"/>
      <c r="AU14" s="432" t="str">
        <f>IF(LEN(VLOOKUP(AA12,suvaha!$D$8:$H$158,2,FALSE))&lt;3,"",LEFT(RIGHT(VLOOKUP(AA12,suvaha!$D$8:$H$158,2,FALSE),3),1))</f>
        <v/>
      </c>
      <c r="AV14" s="434"/>
      <c r="AW14" s="432" t="str">
        <f>IF(LEN(VLOOKUP(AA12,suvaha!$D$8:$H$158,2,FALSE))&lt;2,"",LEFT(RIGHT(VLOOKUP(AA12,suvaha!$D$8:$H$158,2,FALSE),2),1))</f>
        <v/>
      </c>
      <c r="AX14" s="434"/>
      <c r="AY14" s="432" t="str">
        <f>IF(VLOOKUP(AA12,suvaha!$D$8:$H$85,2,FALSE)=0,"",IF(LEN(VLOOKUP(AA12,suvaha!$D$8:$H$158,2,FALSE))&lt;1,"",LEFT(RIGHT(VLOOKUP(AA12,suvaha!$D$8:$H$158,2,FALSE),1),1)))</f>
        <v/>
      </c>
      <c r="AZ14" s="827"/>
      <c r="BA14" s="826"/>
      <c r="BB14" s="432" t="str">
        <f>IF(LEN(VLOOKUP(AA12,suvaha!$D$8:$H$158,4,FALSE))&lt;11,"",LEFT(RIGHT(VLOOKUP(AA12,suvaha!$D$8:$H$158,4,FALSE),11),1))</f>
        <v/>
      </c>
      <c r="BC14" s="255"/>
      <c r="BD14" s="432" t="str">
        <f>IF(LEN(VLOOKUP(AA12,suvaha!$D$8:$H$158,4,FALSE))&lt;10,"",LEFT(RIGHT(VLOOKUP(AA12,suvaha!$D$8:$H$158,4,FALSE),10),1))</f>
        <v/>
      </c>
      <c r="BE14" s="434"/>
      <c r="BF14" s="432" t="str">
        <f>IF(LEN(VLOOKUP(AA12,suvaha!$D$8:$H$158,4,FALSE))&lt;9,"",LEFT(RIGHT(VLOOKUP(AA12,suvaha!$D$8:$H$158,4,FALSE),9),1))</f>
        <v/>
      </c>
      <c r="BG14" s="255"/>
      <c r="BH14" s="432" t="str">
        <f>IF(LEN(VLOOKUP(AA12,suvaha!$D$8:$H$158,4,FALSE))&lt;8,"",LEFT(RIGHT(VLOOKUP(AA12,suvaha!$D$8:$H$158,4,FALSE),8),1))</f>
        <v/>
      </c>
      <c r="BI14" s="434"/>
      <c r="BJ14" s="432" t="str">
        <f>IF(LEN(VLOOKUP(AA12,suvaha!$D$8:$H$158,4,FALSE))&lt;7,"",LEFT(RIGHT(VLOOKUP(AA12,suvaha!$D$8:$H$158,4,FALSE),7),1))</f>
        <v/>
      </c>
      <c r="BK14" s="818"/>
      <c r="BL14" s="432" t="str">
        <f>IF(LEN(VLOOKUP(AA12,suvaha!$D$8:$H$158,4,FALSE))&lt;6,"",LEFT(RIGHT(VLOOKUP(AA12,suvaha!$D$8:$H$158,4,FALSE),6),1))</f>
        <v/>
      </c>
      <c r="BM14" s="434"/>
      <c r="BN14" s="432" t="str">
        <f>IF(LEN(VLOOKUP(AA12,suvaha!$D$8:$H$158,4,FALSE))&lt;5,"",LEFT(RIGHT(VLOOKUP(AA12,suvaha!$D$8:$H$158,4,FALSE),5),1))</f>
        <v/>
      </c>
      <c r="BO14" s="434"/>
      <c r="BP14" s="432" t="str">
        <f>IF(LEN(VLOOKUP(AA12,suvaha!$D$8:$H$158,4,FALSE))&lt;4,"",LEFT(RIGHT(VLOOKUP(AA12,suvaha!$D$8:$H$158,4,FALSE),4),1))</f>
        <v/>
      </c>
      <c r="BQ14" s="819"/>
      <c r="BR14" s="432" t="str">
        <f>IF(LEN(VLOOKUP(AA12,suvaha!$D$8:$H$158,4,FALSE))&lt;3,"",LEFT(RIGHT(VLOOKUP(AA12,suvaha!$D$8:$H$158,4,FALSE),3),1))</f>
        <v/>
      </c>
      <c r="BS14" s="434"/>
      <c r="BT14" s="432" t="str">
        <f>IF(LEN(VLOOKUP(AA12,suvaha!$D$8:$H$158,4,FALSE))&lt;2,"",LEFT(RIGHT(VLOOKUP(AA12,suvaha!$D$8:$H$158,4,FALSE),2),1))</f>
        <v/>
      </c>
      <c r="BU14" s="434"/>
      <c r="BV14" s="432" t="str">
        <f>IF(VLOOKUP(AA12,suvaha!$D$8:$H$85,4,FALSE)=0,"",IF(LEN(VLOOKUP(AA12,suvaha!$D$8:$H$158,4,FALSE))&lt;1,"",LEFT(RIGHT(VLOOKUP(AA12,suvaha!$D$8:$H$158,4,FALSE),1),1)))</f>
        <v/>
      </c>
      <c r="BW14" s="441"/>
      <c r="BX14" s="442"/>
      <c r="BY14" s="442"/>
      <c r="BZ14" s="442"/>
      <c r="CA14" s="442"/>
      <c r="CB14" s="442"/>
      <c r="CC14" s="442"/>
      <c r="CD14" s="442"/>
      <c r="CE14" s="442"/>
      <c r="CF14" s="442"/>
      <c r="CG14" s="285"/>
      <c r="CH14" s="878"/>
    </row>
    <row r="15" spans="1:88" ht="3" customHeight="1">
      <c r="A15" s="220"/>
      <c r="B15" s="900"/>
      <c r="C15" s="900"/>
      <c r="D15" s="878"/>
      <c r="E15" s="877"/>
      <c r="F15" s="877"/>
      <c r="G15" s="862"/>
      <c r="H15" s="938"/>
      <c r="I15" s="938"/>
      <c r="J15" s="938"/>
      <c r="K15" s="938"/>
      <c r="L15" s="938"/>
      <c r="M15" s="938"/>
      <c r="N15" s="938"/>
      <c r="O15" s="938"/>
      <c r="P15" s="938"/>
      <c r="Q15" s="938"/>
      <c r="R15" s="938"/>
      <c r="S15" s="938"/>
      <c r="T15" s="938"/>
      <c r="U15" s="938"/>
      <c r="V15" s="938"/>
      <c r="W15" s="938"/>
      <c r="X15" s="938"/>
      <c r="Y15" s="938"/>
      <c r="Z15" s="938"/>
      <c r="AA15" s="866"/>
      <c r="AB15" s="866"/>
      <c r="AC15" s="866"/>
      <c r="AD15" s="845"/>
      <c r="AE15" s="845"/>
      <c r="AF15" s="845"/>
      <c r="AG15" s="845"/>
      <c r="AH15" s="845"/>
      <c r="AI15" s="845"/>
      <c r="AJ15" s="845"/>
      <c r="AK15" s="845"/>
      <c r="AL15" s="845"/>
      <c r="AM15" s="845"/>
      <c r="AN15" s="845"/>
      <c r="AO15" s="845"/>
      <c r="AP15" s="845"/>
      <c r="AQ15" s="845"/>
      <c r="AR15" s="845"/>
      <c r="AS15" s="845"/>
      <c r="AT15" s="845"/>
      <c r="AU15" s="845"/>
      <c r="AV15" s="845"/>
      <c r="AW15" s="845"/>
      <c r="AX15" s="845"/>
      <c r="AY15" s="845"/>
      <c r="AZ15" s="845"/>
      <c r="BA15" s="846"/>
      <c r="BB15" s="846"/>
      <c r="BC15" s="846"/>
      <c r="BD15" s="846"/>
      <c r="BE15" s="846"/>
      <c r="BF15" s="846"/>
      <c r="BG15" s="846"/>
      <c r="BH15" s="846"/>
      <c r="BI15" s="846"/>
      <c r="BJ15" s="846"/>
      <c r="BK15" s="846"/>
      <c r="BL15" s="846"/>
      <c r="BM15" s="846"/>
      <c r="BN15" s="846"/>
      <c r="BO15" s="846"/>
      <c r="BP15" s="846"/>
      <c r="BQ15" s="846"/>
      <c r="BR15" s="310"/>
      <c r="BS15" s="310"/>
      <c r="BT15" s="310"/>
      <c r="BU15" s="310"/>
      <c r="BV15" s="310"/>
      <c r="BW15" s="443"/>
      <c r="BX15" s="310"/>
      <c r="BY15" s="310"/>
      <c r="BZ15" s="310"/>
      <c r="CA15" s="310"/>
      <c r="CB15" s="310"/>
      <c r="CC15" s="310"/>
      <c r="CD15" s="310"/>
      <c r="CE15" s="310"/>
      <c r="CF15" s="310"/>
      <c r="CG15" s="286"/>
      <c r="CH15" s="878"/>
    </row>
    <row r="16" spans="1:88" ht="3" customHeight="1">
      <c r="A16" s="220"/>
      <c r="B16" s="900"/>
      <c r="C16" s="900"/>
      <c r="D16" s="878"/>
      <c r="E16" s="877"/>
      <c r="F16" s="877"/>
      <c r="G16" s="862"/>
      <c r="H16" s="938"/>
      <c r="I16" s="938"/>
      <c r="J16" s="938"/>
      <c r="K16" s="938"/>
      <c r="L16" s="938"/>
      <c r="M16" s="938"/>
      <c r="N16" s="938"/>
      <c r="O16" s="938"/>
      <c r="P16" s="938"/>
      <c r="Q16" s="938"/>
      <c r="R16" s="938"/>
      <c r="S16" s="938"/>
      <c r="T16" s="938"/>
      <c r="U16" s="938"/>
      <c r="V16" s="938"/>
      <c r="W16" s="938"/>
      <c r="X16" s="938"/>
      <c r="Y16" s="938"/>
      <c r="Z16" s="938"/>
      <c r="AA16" s="866"/>
      <c r="AB16" s="866"/>
      <c r="AC16" s="866"/>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447"/>
      <c r="BB16" s="304"/>
      <c r="BC16" s="304"/>
      <c r="BD16" s="304"/>
      <c r="BE16" s="304"/>
      <c r="BF16" s="304"/>
      <c r="BG16" s="304"/>
      <c r="BH16" s="304"/>
      <c r="BI16" s="304"/>
      <c r="BJ16" s="446"/>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284"/>
      <c r="CH16" s="878"/>
    </row>
    <row r="17" spans="1:86" ht="3" customHeight="1">
      <c r="A17" s="220"/>
      <c r="B17" s="900"/>
      <c r="C17" s="900"/>
      <c r="D17" s="878"/>
      <c r="E17" s="877"/>
      <c r="F17" s="877"/>
      <c r="G17" s="862"/>
      <c r="H17" s="938"/>
      <c r="I17" s="938"/>
      <c r="J17" s="938"/>
      <c r="K17" s="938"/>
      <c r="L17" s="938"/>
      <c r="M17" s="938"/>
      <c r="N17" s="938"/>
      <c r="O17" s="938"/>
      <c r="P17" s="938"/>
      <c r="Q17" s="938"/>
      <c r="R17" s="938"/>
      <c r="S17" s="938"/>
      <c r="T17" s="938"/>
      <c r="U17" s="938"/>
      <c r="V17" s="938"/>
      <c r="W17" s="938"/>
      <c r="X17" s="938"/>
      <c r="Y17" s="938"/>
      <c r="Z17" s="938"/>
      <c r="AA17" s="866"/>
      <c r="AB17" s="866"/>
      <c r="AC17" s="866"/>
      <c r="AD17" s="826"/>
      <c r="AE17" s="820"/>
      <c r="AF17" s="820"/>
      <c r="AG17" s="820"/>
      <c r="AH17" s="435"/>
      <c r="AI17" s="821"/>
      <c r="AJ17" s="821"/>
      <c r="AK17" s="821"/>
      <c r="AL17" s="821"/>
      <c r="AM17" s="821"/>
      <c r="AN17" s="818"/>
      <c r="AO17" s="822"/>
      <c r="AP17" s="822"/>
      <c r="AQ17" s="822"/>
      <c r="AR17" s="822"/>
      <c r="AS17" s="822"/>
      <c r="AT17" s="818"/>
      <c r="AU17" s="822"/>
      <c r="AV17" s="822"/>
      <c r="AW17" s="822"/>
      <c r="AX17" s="822"/>
      <c r="AY17" s="822"/>
      <c r="AZ17" s="827"/>
      <c r="BA17" s="448"/>
      <c r="BB17" s="442"/>
      <c r="BC17" s="442"/>
      <c r="BD17" s="442"/>
      <c r="BE17" s="442"/>
      <c r="BF17" s="442"/>
      <c r="BG17" s="442"/>
      <c r="BH17" s="442"/>
      <c r="BI17" s="442"/>
      <c r="BJ17" s="441"/>
      <c r="BK17" s="442"/>
      <c r="BL17" s="820"/>
      <c r="BM17" s="820"/>
      <c r="BN17" s="820"/>
      <c r="BO17" s="442"/>
      <c r="BP17" s="444"/>
      <c r="BQ17" s="444"/>
      <c r="BR17" s="444"/>
      <c r="BS17" s="444"/>
      <c r="BT17" s="444"/>
      <c r="BU17" s="442"/>
      <c r="BV17" s="444"/>
      <c r="BW17" s="444"/>
      <c r="BX17" s="444"/>
      <c r="BY17" s="444"/>
      <c r="BZ17" s="444"/>
      <c r="CA17" s="445"/>
      <c r="CB17" s="444"/>
      <c r="CC17" s="444"/>
      <c r="CD17" s="444"/>
      <c r="CE17" s="444"/>
      <c r="CF17" s="444"/>
      <c r="CG17" s="287"/>
      <c r="CH17" s="878"/>
    </row>
    <row r="18" spans="1:86" ht="15" customHeight="1">
      <c r="A18" s="220"/>
      <c r="B18" s="900"/>
      <c r="C18" s="900"/>
      <c r="D18" s="878"/>
      <c r="E18" s="877"/>
      <c r="F18" s="877"/>
      <c r="G18" s="862"/>
      <c r="H18" s="938"/>
      <c r="I18" s="938"/>
      <c r="J18" s="938"/>
      <c r="K18" s="938"/>
      <c r="L18" s="938"/>
      <c r="M18" s="938"/>
      <c r="N18" s="938"/>
      <c r="O18" s="938"/>
      <c r="P18" s="938"/>
      <c r="Q18" s="938"/>
      <c r="R18" s="938"/>
      <c r="S18" s="938"/>
      <c r="T18" s="938"/>
      <c r="U18" s="938"/>
      <c r="V18" s="938"/>
      <c r="W18" s="938"/>
      <c r="X18" s="938"/>
      <c r="Y18" s="938"/>
      <c r="Z18" s="938"/>
      <c r="AA18" s="866"/>
      <c r="AB18" s="866"/>
      <c r="AC18" s="866"/>
      <c r="AD18" s="826"/>
      <c r="AE18" s="432" t="str">
        <f>IF(LEN(VLOOKUP(AA12,suvaha!$D$8:$H$158,3,FALSE))&lt;11,"",LEFT(RIGHT(VLOOKUP(AA12,suvaha!$D$8:$H$158,3,FALSE),11),1))</f>
        <v/>
      </c>
      <c r="AF18" s="255"/>
      <c r="AG18" s="432" t="str">
        <f>IF(LEN(VLOOKUP(AA12,suvaha!$D$8:$H$158,3,FALSE))&lt;10,"",LEFT(RIGHT(VLOOKUP(AA12,suvaha!$D$8:$H$158,3,FALSE),10),1))</f>
        <v/>
      </c>
      <c r="AH18" s="434"/>
      <c r="AI18" s="432" t="str">
        <f>IF(LEN(VLOOKUP(AA12,suvaha!$D$8:$H$158,3,FALSE))&lt;9,"",LEFT(RIGHT(VLOOKUP(AA12,suvaha!$D$8:$H$158,3,FALSE),9),1))</f>
        <v/>
      </c>
      <c r="AJ18" s="255"/>
      <c r="AK18" s="432" t="str">
        <f>IF(LEN(VLOOKUP(AA12,suvaha!$D$8:$H$158,3,FALSE))&lt;8,"",LEFT(RIGHT(VLOOKUP(AA12,suvaha!$D$8:$H$158,3,FALSE),8),1))</f>
        <v/>
      </c>
      <c r="AL18" s="434"/>
      <c r="AM18" s="432" t="str">
        <f>IF(LEN(VLOOKUP(AA12,suvaha!$D$8:$H$158,3,FALSE))&lt;7,"",LEFT(RIGHT(VLOOKUP(AA12,suvaha!$D$8:$H$158,3,FALSE),7),1))</f>
        <v/>
      </c>
      <c r="AN18" s="818"/>
      <c r="AO18" s="432" t="str">
        <f>IF(LEN(VLOOKUP(AA12,suvaha!$D$8:$H$158,3,FALSE))&lt;6,"",LEFT(RIGHT(VLOOKUP(AA12,suvaha!$D$8:$H$158,3,FALSE),6),1))</f>
        <v/>
      </c>
      <c r="AP18" s="434"/>
      <c r="AQ18" s="432" t="str">
        <f>IF(LEN(VLOOKUP(AA12,suvaha!$D$8:$H$158,3,FALSE))&lt;5,"",LEFT(RIGHT(VLOOKUP(AA12,suvaha!$D$8:$H$158,3,FALSE),5),1))</f>
        <v/>
      </c>
      <c r="AR18" s="434"/>
      <c r="AS18" s="432" t="str">
        <f>IF(LEN(VLOOKUP(AA12,suvaha!$D$8:$H$158,3,FALSE))&lt;4,"",LEFT(RIGHT(VLOOKUP(AA12,suvaha!$D$8:$H$158,3,FALSE),4),1))</f>
        <v/>
      </c>
      <c r="AT18" s="818"/>
      <c r="AU18" s="432" t="str">
        <f>IF(LEN(VLOOKUP(AA12,suvaha!$D$8:$H$158,3,FALSE))&lt;3,"",LEFT(RIGHT(VLOOKUP(AA12,suvaha!$D$8:$H$158,3,FALSE),3),1))</f>
        <v/>
      </c>
      <c r="AV18" s="434"/>
      <c r="AW18" s="432" t="str">
        <f>IF(LEN(VLOOKUP(AA12,suvaha!$D$8:$H$158,3,FALSE))&lt;2,"",LEFT(RIGHT(VLOOKUP(AA12,suvaha!$D$8:$H$158,3,FALSE),2),1))</f>
        <v/>
      </c>
      <c r="AX18" s="434"/>
      <c r="AY18" s="432" t="str">
        <f>IF(VLOOKUP(AA12,suvaha!$D$8:$H$85,3,FALSE)=0,"",IF(LEN(VLOOKUP(AA12,suvaha!$D$8:$H$158,3,FALSE))&lt;1,"",LEFT(RIGHT(VLOOKUP(AA12,suvaha!$D$8:$H$158,3,FALSE),1),1)))</f>
        <v/>
      </c>
      <c r="AZ18" s="827"/>
      <c r="BA18" s="448"/>
      <c r="BB18" s="442"/>
      <c r="BC18" s="442"/>
      <c r="BD18" s="442"/>
      <c r="BE18" s="442"/>
      <c r="BF18" s="442"/>
      <c r="BG18" s="442"/>
      <c r="BH18" s="442"/>
      <c r="BI18" s="442"/>
      <c r="BJ18" s="441"/>
      <c r="BK18" s="442"/>
      <c r="BL18" s="432" t="str">
        <f>IF(LEN(VLOOKUP(AA12,suvaha!$D$8:$H$158,5,FALSE))&lt;11,"",LEFT(RIGHT(VLOOKUP(AA12,suvaha!$D$8:$H$158,5,FALSE),11),1))</f>
        <v/>
      </c>
      <c r="BM18" s="255"/>
      <c r="BN18" s="432" t="str">
        <f>IF(LEN(VLOOKUP(AA12,suvaha!$D$8:$H$158,5,FALSE))&lt;10,"",LEFT(RIGHT(VLOOKUP(AA12,suvaha!$D$8:$H$158,5,FALSE),10),1))</f>
        <v/>
      </c>
      <c r="BO18" s="442"/>
      <c r="BP18" s="432" t="str">
        <f>IF(LEN(VLOOKUP(AA12,suvaha!$D$8:$H$158,5,FALSE))&lt;9,"",LEFT(RIGHT(VLOOKUP(AA12,suvaha!$D$8:$H$158,5,FALSE),9),1))</f>
        <v/>
      </c>
      <c r="BQ18" s="434"/>
      <c r="BR18" s="432" t="str">
        <f>IF(LEN(VLOOKUP(AA12,suvaha!$D$8:$H$158,5,FALSE))&lt;8,"",LEFT(RIGHT(VLOOKUP(AA12,suvaha!$D$8:$H$158,5,FALSE),8),1))</f>
        <v/>
      </c>
      <c r="BS18" s="434"/>
      <c r="BT18" s="432" t="str">
        <f>IF(LEN(VLOOKUP(AA12,suvaha!$D$8:$H$158,5,FALSE))&lt;7,"",LEFT(RIGHT(VLOOKUP(AA12,suvaha!$D$8:$H$158,5,FALSE),7),1))</f>
        <v/>
      </c>
      <c r="BU18" s="442"/>
      <c r="BV18" s="432" t="str">
        <f>IF(LEN(VLOOKUP(AA12,suvaha!$D$8:$H$158,5,FALSE))&lt;6,"",LEFT(RIGHT(VLOOKUP(AA12,suvaha!$D$8:$H$158,5,FALSE),6),1))</f>
        <v/>
      </c>
      <c r="BW18" s="434"/>
      <c r="BX18" s="432" t="str">
        <f>IF(LEN(VLOOKUP(AA12,suvaha!$D$8:$H$158,5,FALSE))&lt;5,"",LEFT(RIGHT(VLOOKUP(AA12,suvaha!$D$8:$H$158,5,FALSE),5),1))</f>
        <v/>
      </c>
      <c r="BY18" s="434"/>
      <c r="BZ18" s="432" t="str">
        <f>IF(LEN(VLOOKUP(AA12,suvaha!$D$8:$H$158,5,FALSE))&lt;4,"",LEFT(RIGHT(VLOOKUP(AA12,suvaha!$D$8:$H$158,5,FALSE),4),1))</f>
        <v/>
      </c>
      <c r="CA18" s="445"/>
      <c r="CB18" s="432" t="str">
        <f>IF(LEN(VLOOKUP(AA12,suvaha!$D$8:$H$158,5,FALSE))&lt;3,"",LEFT(RIGHT(VLOOKUP(AA12,suvaha!$D$8:$H$158,5,FALSE),3),1))</f>
        <v/>
      </c>
      <c r="CC18" s="434"/>
      <c r="CD18" s="432" t="str">
        <f>IF(LEN(VLOOKUP(AA12,suvaha!$D$8:$H$158,5,FALSE))&lt;2,"",LEFT(RIGHT(VLOOKUP(AA12,suvaha!$D$8:$H$158,5,FALSE),2),1))</f>
        <v/>
      </c>
      <c r="CE18" s="434"/>
      <c r="CF18" s="432" t="str">
        <f>IF(VLOOKUP(AA12,suvaha!$D$8:$H$85,5,FALSE)=0,"",IF(LEN(VLOOKUP(AA12,suvaha!$D$8:$H$158,5,FALSE))&lt;1,"",LEFT(RIGHT(VLOOKUP(AA12,suvaha!$D$8:$H$158,5,FALSE),1),1)))</f>
        <v/>
      </c>
      <c r="CG18" s="287"/>
      <c r="CH18" s="878"/>
    </row>
    <row r="19" spans="1:86" ht="6.75" customHeight="1">
      <c r="A19" s="220"/>
      <c r="B19" s="900"/>
      <c r="C19" s="900"/>
      <c r="D19" s="878"/>
      <c r="E19" s="877"/>
      <c r="F19" s="877"/>
      <c r="G19" s="862"/>
      <c r="H19" s="938"/>
      <c r="I19" s="938"/>
      <c r="J19" s="938"/>
      <c r="K19" s="938"/>
      <c r="L19" s="938"/>
      <c r="M19" s="938"/>
      <c r="N19" s="938"/>
      <c r="O19" s="938"/>
      <c r="P19" s="938"/>
      <c r="Q19" s="938"/>
      <c r="R19" s="938"/>
      <c r="S19" s="938"/>
      <c r="T19" s="938"/>
      <c r="U19" s="938"/>
      <c r="V19" s="938"/>
      <c r="W19" s="938"/>
      <c r="X19" s="938"/>
      <c r="Y19" s="938"/>
      <c r="Z19" s="938"/>
      <c r="AA19" s="866"/>
      <c r="AB19" s="866"/>
      <c r="AC19" s="866"/>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449"/>
      <c r="BB19" s="310"/>
      <c r="BC19" s="310"/>
      <c r="BD19" s="310"/>
      <c r="BE19" s="310"/>
      <c r="BF19" s="310"/>
      <c r="BG19" s="310"/>
      <c r="BH19" s="310"/>
      <c r="BI19" s="310"/>
      <c r="BJ19" s="443"/>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286"/>
      <c r="CH19" s="878"/>
    </row>
    <row r="20" spans="1:86" s="250" customFormat="1" ht="3" customHeight="1">
      <c r="A20" s="220"/>
      <c r="B20" s="900"/>
      <c r="C20" s="900"/>
      <c r="D20" s="878"/>
      <c r="E20" s="877" t="s">
        <v>1598</v>
      </c>
      <c r="F20" s="877"/>
      <c r="G20" s="862"/>
      <c r="H20" s="958" t="str">
        <f>Index!C95</f>
        <v>Pohľadávky z obchodného styku v rámci podielovej účasti okrem pohľadávok voči prepojeným účtovným jednotkám (311A, 312A, 313A, 314A, 315A, 31XA) - /391A/</v>
      </c>
      <c r="I20" s="958"/>
      <c r="J20" s="958"/>
      <c r="K20" s="958"/>
      <c r="L20" s="958"/>
      <c r="M20" s="958"/>
      <c r="N20" s="958"/>
      <c r="O20" s="958"/>
      <c r="P20" s="958"/>
      <c r="Q20" s="958"/>
      <c r="R20" s="958"/>
      <c r="S20" s="958"/>
      <c r="T20" s="958"/>
      <c r="U20" s="958"/>
      <c r="V20" s="958"/>
      <c r="W20" s="958"/>
      <c r="X20" s="958"/>
      <c r="Y20" s="958"/>
      <c r="Z20" s="958"/>
      <c r="AA20" s="866" t="s">
        <v>1599</v>
      </c>
      <c r="AB20" s="866"/>
      <c r="AC20" s="866"/>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67"/>
      <c r="BB20" s="867"/>
      <c r="BC20" s="867"/>
      <c r="BD20" s="867"/>
      <c r="BE20" s="867"/>
      <c r="BF20" s="867"/>
      <c r="BG20" s="867"/>
      <c r="BH20" s="867"/>
      <c r="BI20" s="867"/>
      <c r="BJ20" s="867"/>
      <c r="BK20" s="867"/>
      <c r="BL20" s="867"/>
      <c r="BM20" s="867"/>
      <c r="BN20" s="867"/>
      <c r="BO20" s="867"/>
      <c r="BP20" s="867"/>
      <c r="BQ20" s="867"/>
      <c r="BR20" s="304"/>
      <c r="BS20" s="304"/>
      <c r="BT20" s="304"/>
      <c r="BU20" s="304"/>
      <c r="BV20" s="304"/>
      <c r="BW20" s="446"/>
      <c r="BX20" s="304"/>
      <c r="BY20" s="304"/>
      <c r="BZ20" s="304"/>
      <c r="CA20" s="304"/>
      <c r="CB20" s="304"/>
      <c r="CC20" s="304"/>
      <c r="CD20" s="304"/>
      <c r="CE20" s="304"/>
      <c r="CF20" s="304"/>
      <c r="CG20" s="284"/>
      <c r="CH20" s="878"/>
    </row>
    <row r="21" spans="1:86" s="250" customFormat="1" ht="3" customHeight="1">
      <c r="A21" s="220"/>
      <c r="B21" s="900"/>
      <c r="C21" s="900"/>
      <c r="D21" s="878"/>
      <c r="E21" s="877"/>
      <c r="F21" s="877"/>
      <c r="G21" s="862"/>
      <c r="H21" s="958"/>
      <c r="I21" s="958"/>
      <c r="J21" s="958"/>
      <c r="K21" s="958"/>
      <c r="L21" s="958"/>
      <c r="M21" s="958"/>
      <c r="N21" s="958"/>
      <c r="O21" s="958"/>
      <c r="P21" s="958"/>
      <c r="Q21" s="958"/>
      <c r="R21" s="958"/>
      <c r="S21" s="958"/>
      <c r="T21" s="958"/>
      <c r="U21" s="958"/>
      <c r="V21" s="958"/>
      <c r="W21" s="958"/>
      <c r="X21" s="958"/>
      <c r="Y21" s="958"/>
      <c r="Z21" s="958"/>
      <c r="AA21" s="866"/>
      <c r="AB21" s="866"/>
      <c r="AC21" s="866"/>
      <c r="AD21" s="826"/>
      <c r="AE21" s="820"/>
      <c r="AF21" s="820"/>
      <c r="AG21" s="820"/>
      <c r="AH21" s="435"/>
      <c r="AI21" s="821"/>
      <c r="AJ21" s="821"/>
      <c r="AK21" s="821"/>
      <c r="AL21" s="821"/>
      <c r="AM21" s="821"/>
      <c r="AN21" s="818"/>
      <c r="AO21" s="822"/>
      <c r="AP21" s="822"/>
      <c r="AQ21" s="822"/>
      <c r="AR21" s="822"/>
      <c r="AS21" s="822"/>
      <c r="AT21" s="818"/>
      <c r="AU21" s="822"/>
      <c r="AV21" s="822"/>
      <c r="AW21" s="822"/>
      <c r="AX21" s="822"/>
      <c r="AY21" s="822"/>
      <c r="AZ21" s="827"/>
      <c r="BA21" s="826"/>
      <c r="BB21" s="820"/>
      <c r="BC21" s="820"/>
      <c r="BD21" s="820"/>
      <c r="BE21" s="435"/>
      <c r="BF21" s="821"/>
      <c r="BG21" s="821"/>
      <c r="BH21" s="821"/>
      <c r="BI21" s="821"/>
      <c r="BJ21" s="821"/>
      <c r="BK21" s="818"/>
      <c r="BL21" s="822"/>
      <c r="BM21" s="822"/>
      <c r="BN21" s="822"/>
      <c r="BO21" s="822"/>
      <c r="BP21" s="822"/>
      <c r="BQ21" s="819"/>
      <c r="BR21" s="822"/>
      <c r="BS21" s="822"/>
      <c r="BT21" s="822"/>
      <c r="BU21" s="822"/>
      <c r="BV21" s="822"/>
      <c r="BW21" s="441"/>
      <c r="BX21" s="442"/>
      <c r="BY21" s="442"/>
      <c r="BZ21" s="442"/>
      <c r="CA21" s="442"/>
      <c r="CB21" s="442"/>
      <c r="CC21" s="442"/>
      <c r="CD21" s="442"/>
      <c r="CE21" s="442"/>
      <c r="CF21" s="442"/>
      <c r="CG21" s="285"/>
      <c r="CH21" s="878"/>
    </row>
    <row r="22" spans="1:86" ht="18.75" customHeight="1">
      <c r="A22" s="220"/>
      <c r="B22" s="900"/>
      <c r="C22" s="900"/>
      <c r="D22" s="878"/>
      <c r="E22" s="877"/>
      <c r="F22" s="877"/>
      <c r="G22" s="862"/>
      <c r="H22" s="958"/>
      <c r="I22" s="958"/>
      <c r="J22" s="958"/>
      <c r="K22" s="958"/>
      <c r="L22" s="958"/>
      <c r="M22" s="958"/>
      <c r="N22" s="958"/>
      <c r="O22" s="958"/>
      <c r="P22" s="958"/>
      <c r="Q22" s="958"/>
      <c r="R22" s="958"/>
      <c r="S22" s="958"/>
      <c r="T22" s="958"/>
      <c r="U22" s="958"/>
      <c r="V22" s="958"/>
      <c r="W22" s="958"/>
      <c r="X22" s="958"/>
      <c r="Y22" s="958"/>
      <c r="Z22" s="958"/>
      <c r="AA22" s="866"/>
      <c r="AB22" s="866"/>
      <c r="AC22" s="866"/>
      <c r="AD22" s="826"/>
      <c r="AE22" s="432" t="str">
        <f>IF(LEN(VLOOKUP(AA20,suvaha!$D$8:$H$158,2,FALSE))&lt;11,"",LEFT(RIGHT(VLOOKUP(AA20,suvaha!$D$8:$H$158,2,FALSE),11),1))</f>
        <v/>
      </c>
      <c r="AF22" s="255"/>
      <c r="AG22" s="432" t="str">
        <f>IF(LEN(VLOOKUP(AA20,suvaha!$D$8:$H$158,2,FALSE))&lt;10,"",LEFT(RIGHT(VLOOKUP(AA20,suvaha!$D$8:$H$158,2,FALSE),10),1))</f>
        <v/>
      </c>
      <c r="AH22" s="434"/>
      <c r="AI22" s="432" t="str">
        <f>IF(LEN(VLOOKUP(AA20,suvaha!$D$8:$H$158,2,FALSE))&lt;9,"",LEFT(RIGHT(VLOOKUP(AA20,suvaha!$D$8:$H$158,2,FALSE),9),1))</f>
        <v/>
      </c>
      <c r="AJ22" s="255"/>
      <c r="AK22" s="432" t="str">
        <f>IF(LEN(VLOOKUP(AA20,suvaha!$D$8:$H$158,2,FALSE))&lt;8,"",LEFT(RIGHT(VLOOKUP(AA20,suvaha!$D$8:$H$158,2,FALSE),8),1))</f>
        <v/>
      </c>
      <c r="AL22" s="434"/>
      <c r="AM22" s="432" t="str">
        <f>IF(LEN(VLOOKUP(AA20,suvaha!$D$8:$H$158,2,FALSE))&lt;7,"",LEFT(RIGHT(VLOOKUP(AA20,suvaha!$D$8:$H$158,2,FALSE),7),1))</f>
        <v/>
      </c>
      <c r="AN22" s="818"/>
      <c r="AO22" s="432" t="str">
        <f>IF(LEN(VLOOKUP(AA20,suvaha!$D$8:$H$158,2,FALSE))&lt;6,"",LEFT(RIGHT(VLOOKUP(AA20,suvaha!$D$8:$H$158,2,FALSE),6),1))</f>
        <v/>
      </c>
      <c r="AP22" s="434"/>
      <c r="AQ22" s="432" t="str">
        <f>IF(LEN(VLOOKUP(AA20,suvaha!$D$8:$H$158,2,FALSE))&lt;5,"",LEFT(RIGHT(VLOOKUP(AA20,suvaha!$D$8:$H$158,2,FALSE),5),1))</f>
        <v/>
      </c>
      <c r="AR22" s="434"/>
      <c r="AS22" s="432" t="str">
        <f>IF(LEN(VLOOKUP(AA20,suvaha!$D$8:$H$158,2,FALSE))&lt;4,"",LEFT(RIGHT(VLOOKUP(AA20,suvaha!$D$8:$H$158,2,FALSE),4),1))</f>
        <v/>
      </c>
      <c r="AT22" s="818"/>
      <c r="AU22" s="432" t="str">
        <f>IF(LEN(VLOOKUP(AA20,suvaha!$D$8:$H$158,2,FALSE))&lt;3,"",LEFT(RIGHT(VLOOKUP(AA20,suvaha!$D$8:$H$158,2,FALSE),3),1))</f>
        <v/>
      </c>
      <c r="AV22" s="434"/>
      <c r="AW22" s="432" t="str">
        <f>IF(LEN(VLOOKUP(AA20,suvaha!$D$8:$H$158,2,FALSE))&lt;2,"",LEFT(RIGHT(VLOOKUP(AA20,suvaha!$D$8:$H$158,2,FALSE),2),1))</f>
        <v/>
      </c>
      <c r="AX22" s="434"/>
      <c r="AY22" s="432" t="str">
        <f>IF(VLOOKUP(AA20,suvaha!$D$8:$H$85,2,FALSE)=0,"",IF(LEN(VLOOKUP(AA20,suvaha!$D$8:$H$158,2,FALSE))&lt;1,"",LEFT(RIGHT(VLOOKUP(AA20,suvaha!$D$8:$H$158,2,FALSE),1),1)))</f>
        <v/>
      </c>
      <c r="AZ22" s="827"/>
      <c r="BA22" s="826"/>
      <c r="BB22" s="432" t="str">
        <f>IF(LEN(VLOOKUP(AA20,suvaha!$D$8:$H$158,4,FALSE))&lt;11,"",LEFT(RIGHT(VLOOKUP(AA20,suvaha!$D$8:$H$158,4,FALSE),11),1))</f>
        <v/>
      </c>
      <c r="BC22" s="255"/>
      <c r="BD22" s="432" t="str">
        <f>IF(LEN(VLOOKUP(AA20,suvaha!$D$8:$H$158,4,FALSE))&lt;10,"",LEFT(RIGHT(VLOOKUP(AA20,suvaha!$D$8:$H$158,4,FALSE),10),1))</f>
        <v/>
      </c>
      <c r="BE22" s="434"/>
      <c r="BF22" s="432" t="str">
        <f>IF(LEN(VLOOKUP(AA20,suvaha!$D$8:$H$158,4,FALSE))&lt;9,"",LEFT(RIGHT(VLOOKUP(AA20,suvaha!$D$8:$H$158,4,FALSE),9),1))</f>
        <v/>
      </c>
      <c r="BG22" s="255"/>
      <c r="BH22" s="432" t="str">
        <f>IF(LEN(VLOOKUP(AA20,suvaha!$D$8:$H$158,4,FALSE))&lt;8,"",LEFT(RIGHT(VLOOKUP(AA20,suvaha!$D$8:$H$158,4,FALSE),8),1))</f>
        <v/>
      </c>
      <c r="BI22" s="434"/>
      <c r="BJ22" s="432" t="str">
        <f>IF(LEN(VLOOKUP(AA20,suvaha!$D$8:$H$158,4,FALSE))&lt;7,"",LEFT(RIGHT(VLOOKUP(AA20,suvaha!$D$8:$H$158,4,FALSE),7),1))</f>
        <v/>
      </c>
      <c r="BK22" s="818"/>
      <c r="BL22" s="432" t="str">
        <f>IF(LEN(VLOOKUP(AA20,suvaha!$D$8:$H$158,4,FALSE))&lt;6,"",LEFT(RIGHT(VLOOKUP(AA20,suvaha!$D$8:$H$158,4,FALSE),6),1))</f>
        <v/>
      </c>
      <c r="BM22" s="434"/>
      <c r="BN22" s="432" t="str">
        <f>IF(LEN(VLOOKUP(AA20,suvaha!$D$8:$H$158,4,FALSE))&lt;5,"",LEFT(RIGHT(VLOOKUP(AA20,suvaha!$D$8:$H$158,4,FALSE),5),1))</f>
        <v/>
      </c>
      <c r="BO22" s="434"/>
      <c r="BP22" s="432" t="str">
        <f>IF(LEN(VLOOKUP(AA20,suvaha!$D$8:$H$158,4,FALSE))&lt;4,"",LEFT(RIGHT(VLOOKUP(AA20,suvaha!$D$8:$H$158,4,FALSE),4),1))</f>
        <v/>
      </c>
      <c r="BQ22" s="819"/>
      <c r="BR22" s="432" t="str">
        <f>IF(LEN(VLOOKUP(AA20,suvaha!$D$8:$H$158,4,FALSE))&lt;3,"",LEFT(RIGHT(VLOOKUP(AA20,suvaha!$D$8:$H$158,4,FALSE),3),1))</f>
        <v/>
      </c>
      <c r="BS22" s="434"/>
      <c r="BT22" s="432" t="str">
        <f>IF(LEN(VLOOKUP(AA20,suvaha!$D$8:$H$158,4,FALSE))&lt;2,"",LEFT(RIGHT(VLOOKUP(AA20,suvaha!$D$8:$H$158,4,FALSE),2),1))</f>
        <v/>
      </c>
      <c r="BU22" s="434"/>
      <c r="BV22" s="432" t="str">
        <f>IF(VLOOKUP(AA20,suvaha!$D$8:$H$85,4,FALSE)=0,"",IF(LEN(VLOOKUP(AA20,suvaha!$D$8:$H$158,4,FALSE))&lt;1,"",LEFT(RIGHT(VLOOKUP(AA20,suvaha!$D$8:$H$158,4,FALSE),1),1)))</f>
        <v/>
      </c>
      <c r="BW22" s="441"/>
      <c r="BX22" s="442"/>
      <c r="BY22" s="442"/>
      <c r="BZ22" s="442"/>
      <c r="CA22" s="442"/>
      <c r="CB22" s="442"/>
      <c r="CC22" s="442"/>
      <c r="CD22" s="442"/>
      <c r="CE22" s="442"/>
      <c r="CF22" s="442"/>
      <c r="CG22" s="285"/>
      <c r="CH22" s="878"/>
    </row>
    <row r="23" spans="1:86" ht="2.25" customHeight="1">
      <c r="A23" s="220"/>
      <c r="B23" s="900"/>
      <c r="C23" s="900"/>
      <c r="D23" s="878"/>
      <c r="E23" s="877"/>
      <c r="F23" s="877"/>
      <c r="G23" s="862"/>
      <c r="H23" s="958"/>
      <c r="I23" s="958"/>
      <c r="J23" s="958"/>
      <c r="K23" s="958"/>
      <c r="L23" s="958"/>
      <c r="M23" s="958"/>
      <c r="N23" s="958"/>
      <c r="O23" s="958"/>
      <c r="P23" s="958"/>
      <c r="Q23" s="958"/>
      <c r="R23" s="958"/>
      <c r="S23" s="958"/>
      <c r="T23" s="958"/>
      <c r="U23" s="958"/>
      <c r="V23" s="958"/>
      <c r="W23" s="958"/>
      <c r="X23" s="958"/>
      <c r="Y23" s="958"/>
      <c r="Z23" s="958"/>
      <c r="AA23" s="866"/>
      <c r="AB23" s="866"/>
      <c r="AC23" s="866"/>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6"/>
      <c r="BB23" s="846"/>
      <c r="BC23" s="846"/>
      <c r="BD23" s="846"/>
      <c r="BE23" s="846"/>
      <c r="BF23" s="846"/>
      <c r="BG23" s="846"/>
      <c r="BH23" s="846"/>
      <c r="BI23" s="846"/>
      <c r="BJ23" s="846"/>
      <c r="BK23" s="846"/>
      <c r="BL23" s="846"/>
      <c r="BM23" s="846"/>
      <c r="BN23" s="846"/>
      <c r="BO23" s="846"/>
      <c r="BP23" s="846"/>
      <c r="BQ23" s="846"/>
      <c r="BR23" s="310"/>
      <c r="BS23" s="310"/>
      <c r="BT23" s="310"/>
      <c r="BU23" s="310"/>
      <c r="BV23" s="310"/>
      <c r="BW23" s="443"/>
      <c r="BX23" s="310"/>
      <c r="BY23" s="310"/>
      <c r="BZ23" s="310"/>
      <c r="CA23" s="310"/>
      <c r="CB23" s="310"/>
      <c r="CC23" s="310"/>
      <c r="CD23" s="310"/>
      <c r="CE23" s="310"/>
      <c r="CF23" s="310"/>
      <c r="CG23" s="286"/>
      <c r="CH23" s="878"/>
    </row>
    <row r="24" spans="1:86" ht="2.25" customHeight="1">
      <c r="A24" s="220"/>
      <c r="B24" s="900"/>
      <c r="C24" s="900"/>
      <c r="D24" s="878"/>
      <c r="E24" s="877"/>
      <c r="F24" s="877"/>
      <c r="G24" s="862"/>
      <c r="H24" s="958"/>
      <c r="I24" s="958"/>
      <c r="J24" s="958"/>
      <c r="K24" s="958"/>
      <c r="L24" s="958"/>
      <c r="M24" s="958"/>
      <c r="N24" s="958"/>
      <c r="O24" s="958"/>
      <c r="P24" s="958"/>
      <c r="Q24" s="958"/>
      <c r="R24" s="958"/>
      <c r="S24" s="958"/>
      <c r="T24" s="958"/>
      <c r="U24" s="958"/>
      <c r="V24" s="958"/>
      <c r="W24" s="958"/>
      <c r="X24" s="958"/>
      <c r="Y24" s="958"/>
      <c r="Z24" s="958"/>
      <c r="AA24" s="866"/>
      <c r="AB24" s="866"/>
      <c r="AC24" s="866"/>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447"/>
      <c r="BB24" s="304"/>
      <c r="BC24" s="304"/>
      <c r="BD24" s="304"/>
      <c r="BE24" s="304"/>
      <c r="BF24" s="304"/>
      <c r="BG24" s="304"/>
      <c r="BH24" s="304"/>
      <c r="BI24" s="304"/>
      <c r="BJ24" s="446"/>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284"/>
      <c r="CH24" s="878"/>
    </row>
    <row r="25" spans="1:86" ht="2.25" customHeight="1">
      <c r="A25" s="220"/>
      <c r="B25" s="900"/>
      <c r="C25" s="900"/>
      <c r="D25" s="878"/>
      <c r="E25" s="877"/>
      <c r="F25" s="877"/>
      <c r="G25" s="862"/>
      <c r="H25" s="958"/>
      <c r="I25" s="958"/>
      <c r="J25" s="958"/>
      <c r="K25" s="958"/>
      <c r="L25" s="958"/>
      <c r="M25" s="958"/>
      <c r="N25" s="958"/>
      <c r="O25" s="958"/>
      <c r="P25" s="958"/>
      <c r="Q25" s="958"/>
      <c r="R25" s="958"/>
      <c r="S25" s="958"/>
      <c r="T25" s="958"/>
      <c r="U25" s="958"/>
      <c r="V25" s="958"/>
      <c r="W25" s="958"/>
      <c r="X25" s="958"/>
      <c r="Y25" s="958"/>
      <c r="Z25" s="958"/>
      <c r="AA25" s="866"/>
      <c r="AB25" s="866"/>
      <c r="AC25" s="866"/>
      <c r="AD25" s="826"/>
      <c r="AE25" s="820"/>
      <c r="AF25" s="820"/>
      <c r="AG25" s="820"/>
      <c r="AH25" s="435"/>
      <c r="AI25" s="821"/>
      <c r="AJ25" s="821"/>
      <c r="AK25" s="821"/>
      <c r="AL25" s="821"/>
      <c r="AM25" s="821"/>
      <c r="AN25" s="818"/>
      <c r="AO25" s="822"/>
      <c r="AP25" s="822"/>
      <c r="AQ25" s="822"/>
      <c r="AR25" s="822"/>
      <c r="AS25" s="822"/>
      <c r="AT25" s="819"/>
      <c r="AU25" s="822"/>
      <c r="AV25" s="822"/>
      <c r="AW25" s="822"/>
      <c r="AX25" s="822"/>
      <c r="AY25" s="822"/>
      <c r="AZ25" s="827"/>
      <c r="BA25" s="448"/>
      <c r="BB25" s="442"/>
      <c r="BC25" s="442"/>
      <c r="BD25" s="442"/>
      <c r="BE25" s="442"/>
      <c r="BF25" s="442"/>
      <c r="BG25" s="442"/>
      <c r="BH25" s="442"/>
      <c r="BI25" s="442"/>
      <c r="BJ25" s="441"/>
      <c r="BK25" s="442"/>
      <c r="BL25" s="820"/>
      <c r="BM25" s="820"/>
      <c r="BN25" s="820"/>
      <c r="BO25" s="435"/>
      <c r="BP25" s="821"/>
      <c r="BQ25" s="821"/>
      <c r="BR25" s="821"/>
      <c r="BS25" s="821"/>
      <c r="BT25" s="821"/>
      <c r="BU25" s="818"/>
      <c r="BV25" s="822"/>
      <c r="BW25" s="822"/>
      <c r="BX25" s="822"/>
      <c r="BY25" s="822"/>
      <c r="BZ25" s="822"/>
      <c r="CA25" s="819"/>
      <c r="CB25" s="822"/>
      <c r="CC25" s="822"/>
      <c r="CD25" s="822"/>
      <c r="CE25" s="822"/>
      <c r="CF25" s="822"/>
      <c r="CG25" s="287"/>
      <c r="CH25" s="878"/>
    </row>
    <row r="26" spans="1:86" ht="21.75" customHeight="1">
      <c r="A26" s="220"/>
      <c r="B26" s="900"/>
      <c r="C26" s="900"/>
      <c r="D26" s="878"/>
      <c r="E26" s="877"/>
      <c r="F26" s="877"/>
      <c r="G26" s="862"/>
      <c r="H26" s="958"/>
      <c r="I26" s="958"/>
      <c r="J26" s="958"/>
      <c r="K26" s="958"/>
      <c r="L26" s="958"/>
      <c r="M26" s="958"/>
      <c r="N26" s="958"/>
      <c r="O26" s="958"/>
      <c r="P26" s="958"/>
      <c r="Q26" s="958"/>
      <c r="R26" s="958"/>
      <c r="S26" s="958"/>
      <c r="T26" s="958"/>
      <c r="U26" s="958"/>
      <c r="V26" s="958"/>
      <c r="W26" s="958"/>
      <c r="X26" s="958"/>
      <c r="Y26" s="958"/>
      <c r="Z26" s="958"/>
      <c r="AA26" s="866"/>
      <c r="AB26" s="866"/>
      <c r="AC26" s="866"/>
      <c r="AD26" s="826"/>
      <c r="AE26" s="432" t="str">
        <f>IF(LEN(VLOOKUP(AA20,suvaha!$D$8:$H$158,3,FALSE))&lt;11,"",LEFT(RIGHT(VLOOKUP(AA20,suvaha!$D$8:$H$158,3,FALSE),11),1))</f>
        <v/>
      </c>
      <c r="AF26" s="255"/>
      <c r="AG26" s="432" t="str">
        <f>IF(LEN(VLOOKUP(AA20,suvaha!$D$8:$H$158,3,FALSE))&lt;10,"",LEFT(RIGHT(VLOOKUP(AA20,suvaha!$D$8:$H$158,3,FALSE),10),1))</f>
        <v/>
      </c>
      <c r="AH26" s="434"/>
      <c r="AI26" s="432" t="str">
        <f>IF(LEN(VLOOKUP(AA20,suvaha!$D$8:$H$158,3,FALSE))&lt;9,"",LEFT(RIGHT(VLOOKUP(AA20,suvaha!$D$8:$H$158,3,FALSE),9),1))</f>
        <v/>
      </c>
      <c r="AJ26" s="255"/>
      <c r="AK26" s="432" t="str">
        <f>IF(LEN(VLOOKUP(AA20,suvaha!$D$8:$H$158,3,FALSE))&lt;8,"",LEFT(RIGHT(VLOOKUP(AA20,suvaha!$D$8:$H$158,3,FALSE),8),1))</f>
        <v/>
      </c>
      <c r="AL26" s="434"/>
      <c r="AM26" s="432" t="str">
        <f>IF(LEN(VLOOKUP(AA20,suvaha!$D$8:$H$158,3,FALSE))&lt;7,"",LEFT(RIGHT(VLOOKUP(AA20,suvaha!$D$8:$H$158,3,FALSE),7),1))</f>
        <v/>
      </c>
      <c r="AN26" s="818"/>
      <c r="AO26" s="432" t="str">
        <f>IF(LEN(VLOOKUP(AA20,suvaha!$D$8:$H$158,3,FALSE))&lt;6,"",LEFT(RIGHT(VLOOKUP(AA20,suvaha!$D$8:$H$158,3,FALSE),6),1))</f>
        <v/>
      </c>
      <c r="AP26" s="434"/>
      <c r="AQ26" s="432" t="str">
        <f>IF(LEN(VLOOKUP(AA20,suvaha!$D$8:$H$158,3,FALSE))&lt;5,"",LEFT(RIGHT(VLOOKUP(AA20,suvaha!$D$8:$H$158,3,FALSE),5),1))</f>
        <v/>
      </c>
      <c r="AR26" s="434"/>
      <c r="AS26" s="432" t="str">
        <f>IF(LEN(VLOOKUP(AA20,suvaha!$D$8:$H$158,3,FALSE))&lt;4,"",LEFT(RIGHT(VLOOKUP(AA20,suvaha!$D$8:$H$158,3,FALSE),4),1))</f>
        <v/>
      </c>
      <c r="AT26" s="819"/>
      <c r="AU26" s="432" t="str">
        <f>IF(LEN(VLOOKUP(AA20,suvaha!$D$8:$H$158,3,FALSE))&lt;3,"",LEFT(RIGHT(VLOOKUP(AA20,suvaha!$D$8:$H$158,3,FALSE),3),1))</f>
        <v/>
      </c>
      <c r="AV26" s="434"/>
      <c r="AW26" s="432" t="str">
        <f>IF(LEN(VLOOKUP(AA20,suvaha!$D$8:$H$158,3,FALSE))&lt;2,"",LEFT(RIGHT(VLOOKUP(AA20,suvaha!$D$8:$H$158,3,FALSE),2),1))</f>
        <v/>
      </c>
      <c r="AX26" s="434"/>
      <c r="AY26" s="432" t="str">
        <f>IF(VLOOKUP(AA20,suvaha!$D$8:$H$85,3,FALSE)=0,"",IF(LEN(VLOOKUP(AA20,suvaha!$D$8:$H$158,3,FALSE))&lt;1,"",LEFT(RIGHT(VLOOKUP(AA20,suvaha!$D$8:$H$158,3,FALSE),1),1)))</f>
        <v/>
      </c>
      <c r="AZ26" s="827"/>
      <c r="BA26" s="448"/>
      <c r="BB26" s="442"/>
      <c r="BC26" s="442"/>
      <c r="BD26" s="442"/>
      <c r="BE26" s="442"/>
      <c r="BF26" s="442"/>
      <c r="BG26" s="442"/>
      <c r="BH26" s="442"/>
      <c r="BI26" s="442"/>
      <c r="BJ26" s="441"/>
      <c r="BK26" s="442"/>
      <c r="BL26" s="432" t="str">
        <f>IF(LEN(VLOOKUP(AA20,suvaha!$D$8:$H$158,5,FALSE))&lt;11,"",LEFT(RIGHT(VLOOKUP(AA20,suvaha!$D$8:$H$158,5,FALSE),11),1))</f>
        <v/>
      </c>
      <c r="BM26" s="255"/>
      <c r="BN26" s="432" t="str">
        <f>IF(LEN(VLOOKUP(AA20,suvaha!$D$8:$H$158,5,FALSE))&lt;10,"",LEFT(RIGHT(VLOOKUP(AA20,suvaha!$D$8:$H$158,5,FALSE),10),1))</f>
        <v/>
      </c>
      <c r="BO26" s="434"/>
      <c r="BP26" s="432" t="str">
        <f>IF(LEN(VLOOKUP(AA20,suvaha!$D$8:$H$158,5,FALSE))&lt;9,"",LEFT(RIGHT(VLOOKUP(AA20,suvaha!$D$8:$H$158,5,FALSE),9),1))</f>
        <v/>
      </c>
      <c r="BQ26" s="255"/>
      <c r="BR26" s="432" t="str">
        <f>IF(LEN(VLOOKUP(AA20,suvaha!$D$8:$H$158,5,FALSE))&lt;8,"",LEFT(RIGHT(VLOOKUP(AA20,suvaha!$D$8:$H$158,5,FALSE),8),1))</f>
        <v/>
      </c>
      <c r="BS26" s="434"/>
      <c r="BT26" s="432" t="str">
        <f>IF(LEN(VLOOKUP(AA20,suvaha!$D$8:$H$158,5,FALSE))&lt;7,"",LEFT(RIGHT(VLOOKUP(AA20,suvaha!$D$8:$H$158,5,FALSE),7),1))</f>
        <v/>
      </c>
      <c r="BU26" s="818"/>
      <c r="BV26" s="432" t="str">
        <f>IF(LEN(VLOOKUP(AA20,suvaha!$D$8:$H$158,5,FALSE))&lt;6,"",LEFT(RIGHT(VLOOKUP(AA20,suvaha!$D$8:$H$158,5,FALSE),6),1))</f>
        <v/>
      </c>
      <c r="BW26" s="434"/>
      <c r="BX26" s="432" t="str">
        <f>IF(LEN(VLOOKUP(AA20,suvaha!$D$8:$H$158,5,FALSE))&lt;5,"",LEFT(RIGHT(VLOOKUP(AA20,suvaha!$D$8:$H$158,5,FALSE),5),1))</f>
        <v/>
      </c>
      <c r="BY26" s="434"/>
      <c r="BZ26" s="432" t="str">
        <f>IF(LEN(VLOOKUP(AA20,suvaha!$D$8:$H$158,5,FALSE))&lt;4,"",LEFT(RIGHT(VLOOKUP(AA20,suvaha!$D$8:$H$158,5,FALSE),4),1))</f>
        <v/>
      </c>
      <c r="CA26" s="819"/>
      <c r="CB26" s="432" t="str">
        <f>IF(LEN(VLOOKUP(AA20,suvaha!$D$8:$H$158,5,FALSE))&lt;3,"",LEFT(RIGHT(VLOOKUP(AA20,suvaha!$D$8:$H$158,5,FALSE),3),1))</f>
        <v/>
      </c>
      <c r="CC26" s="434"/>
      <c r="CD26" s="432" t="str">
        <f>IF(LEN(VLOOKUP(AA20,suvaha!$D$8:$H$158,5,FALSE))&lt;2,"",LEFT(RIGHT(VLOOKUP(AA20,suvaha!$D$8:$H$158,5,FALSE),2),1))</f>
        <v/>
      </c>
      <c r="CE26" s="434"/>
      <c r="CF26" s="432" t="str">
        <f>IF(VLOOKUP(AA20,suvaha!$D$8:$H$85,5,FALSE)=0,"",IF(LEN(VLOOKUP(AA20,suvaha!$D$8:$H$158,5,FALSE))&lt;1,"",LEFT(RIGHT(VLOOKUP(AA20,suvaha!$D$8:$H$158,5,FALSE),1),1)))</f>
        <v/>
      </c>
      <c r="CG26" s="287"/>
      <c r="CH26" s="878"/>
    </row>
    <row r="27" spans="1:86" ht="3" customHeight="1">
      <c r="A27" s="220"/>
      <c r="B27" s="900"/>
      <c r="C27" s="900"/>
      <c r="D27" s="878"/>
      <c r="E27" s="877"/>
      <c r="F27" s="877"/>
      <c r="G27" s="862"/>
      <c r="H27" s="958"/>
      <c r="I27" s="958"/>
      <c r="J27" s="958"/>
      <c r="K27" s="958"/>
      <c r="L27" s="958"/>
      <c r="M27" s="958"/>
      <c r="N27" s="958"/>
      <c r="O27" s="958"/>
      <c r="P27" s="958"/>
      <c r="Q27" s="958"/>
      <c r="R27" s="958"/>
      <c r="S27" s="958"/>
      <c r="T27" s="958"/>
      <c r="U27" s="958"/>
      <c r="V27" s="958"/>
      <c r="W27" s="958"/>
      <c r="X27" s="958"/>
      <c r="Y27" s="958"/>
      <c r="Z27" s="958"/>
      <c r="AA27" s="866"/>
      <c r="AB27" s="866"/>
      <c r="AC27" s="866"/>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449"/>
      <c r="BB27" s="310"/>
      <c r="BC27" s="310"/>
      <c r="BD27" s="310"/>
      <c r="BE27" s="310"/>
      <c r="BF27" s="310"/>
      <c r="BG27" s="310"/>
      <c r="BH27" s="310"/>
      <c r="BI27" s="310"/>
      <c r="BJ27" s="443"/>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286"/>
      <c r="CH27" s="878"/>
    </row>
    <row r="28" spans="1:86" s="250" customFormat="1" ht="3" customHeight="1">
      <c r="A28" s="220"/>
      <c r="B28" s="900"/>
      <c r="C28" s="900"/>
      <c r="D28" s="878"/>
      <c r="E28" s="877" t="s">
        <v>1600</v>
      </c>
      <c r="F28" s="877"/>
      <c r="G28" s="862"/>
      <c r="H28" s="864" t="str">
        <f>Index!C96</f>
        <v>Ostatné pohľadávky z obchodného styku (311A, 312A, 313A, 314A, 315A, 31XA) - /391A/</v>
      </c>
      <c r="I28" s="864"/>
      <c r="J28" s="864"/>
      <c r="K28" s="864"/>
      <c r="L28" s="864"/>
      <c r="M28" s="864"/>
      <c r="N28" s="864"/>
      <c r="O28" s="864"/>
      <c r="P28" s="864"/>
      <c r="Q28" s="864"/>
      <c r="R28" s="864"/>
      <c r="S28" s="864"/>
      <c r="T28" s="864"/>
      <c r="U28" s="864"/>
      <c r="V28" s="864"/>
      <c r="W28" s="864"/>
      <c r="X28" s="864"/>
      <c r="Y28" s="864"/>
      <c r="Z28" s="864"/>
      <c r="AA28" s="866" t="s">
        <v>1601</v>
      </c>
      <c r="AB28" s="866"/>
      <c r="AC28" s="866"/>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67"/>
      <c r="BB28" s="867"/>
      <c r="BC28" s="867"/>
      <c r="BD28" s="867"/>
      <c r="BE28" s="867"/>
      <c r="BF28" s="867"/>
      <c r="BG28" s="867"/>
      <c r="BH28" s="867"/>
      <c r="BI28" s="867"/>
      <c r="BJ28" s="867"/>
      <c r="BK28" s="867"/>
      <c r="BL28" s="867"/>
      <c r="BM28" s="867"/>
      <c r="BN28" s="867"/>
      <c r="BO28" s="867"/>
      <c r="BP28" s="867"/>
      <c r="BQ28" s="867"/>
      <c r="BR28" s="304"/>
      <c r="BS28" s="304"/>
      <c r="BT28" s="304"/>
      <c r="BU28" s="304"/>
      <c r="BV28" s="304"/>
      <c r="BW28" s="446"/>
      <c r="BX28" s="304"/>
      <c r="BY28" s="304"/>
      <c r="BZ28" s="304"/>
      <c r="CA28" s="304"/>
      <c r="CB28" s="304"/>
      <c r="CC28" s="304"/>
      <c r="CD28" s="304"/>
      <c r="CE28" s="304"/>
      <c r="CF28" s="304"/>
      <c r="CG28" s="284"/>
      <c r="CH28" s="878"/>
    </row>
    <row r="29" spans="1:86" s="250" customFormat="1" ht="3" customHeight="1">
      <c r="A29" s="220"/>
      <c r="B29" s="900"/>
      <c r="C29" s="900"/>
      <c r="D29" s="878"/>
      <c r="E29" s="877"/>
      <c r="F29" s="877"/>
      <c r="G29" s="862"/>
      <c r="H29" s="864"/>
      <c r="I29" s="864"/>
      <c r="J29" s="864"/>
      <c r="K29" s="864"/>
      <c r="L29" s="864"/>
      <c r="M29" s="864"/>
      <c r="N29" s="864"/>
      <c r="O29" s="864"/>
      <c r="P29" s="864"/>
      <c r="Q29" s="864"/>
      <c r="R29" s="864"/>
      <c r="S29" s="864"/>
      <c r="T29" s="864"/>
      <c r="U29" s="864"/>
      <c r="V29" s="864"/>
      <c r="W29" s="864"/>
      <c r="X29" s="864"/>
      <c r="Y29" s="864"/>
      <c r="Z29" s="864"/>
      <c r="AA29" s="866"/>
      <c r="AB29" s="866"/>
      <c r="AC29" s="866"/>
      <c r="AD29" s="826"/>
      <c r="AE29" s="820"/>
      <c r="AF29" s="820"/>
      <c r="AG29" s="820"/>
      <c r="AH29" s="435"/>
      <c r="AI29" s="821"/>
      <c r="AJ29" s="821"/>
      <c r="AK29" s="821"/>
      <c r="AL29" s="821"/>
      <c r="AM29" s="821"/>
      <c r="AN29" s="818"/>
      <c r="AO29" s="822"/>
      <c r="AP29" s="822"/>
      <c r="AQ29" s="822"/>
      <c r="AR29" s="822"/>
      <c r="AS29" s="822"/>
      <c r="AT29" s="819"/>
      <c r="AU29" s="822"/>
      <c r="AV29" s="822"/>
      <c r="AW29" s="822"/>
      <c r="AX29" s="822"/>
      <c r="AY29" s="822"/>
      <c r="AZ29" s="827"/>
      <c r="BA29" s="826"/>
      <c r="BB29" s="820"/>
      <c r="BC29" s="820"/>
      <c r="BD29" s="820"/>
      <c r="BE29" s="435"/>
      <c r="BF29" s="821"/>
      <c r="BG29" s="821"/>
      <c r="BH29" s="821"/>
      <c r="BI29" s="821"/>
      <c r="BJ29" s="821"/>
      <c r="BK29" s="818"/>
      <c r="BL29" s="822"/>
      <c r="BM29" s="822"/>
      <c r="BN29" s="822"/>
      <c r="BO29" s="822"/>
      <c r="BP29" s="822"/>
      <c r="BQ29" s="819"/>
      <c r="BR29" s="822"/>
      <c r="BS29" s="822"/>
      <c r="BT29" s="822"/>
      <c r="BU29" s="822"/>
      <c r="BV29" s="822"/>
      <c r="BW29" s="441"/>
      <c r="BX29" s="442"/>
      <c r="BY29" s="442"/>
      <c r="BZ29" s="442"/>
      <c r="CA29" s="442"/>
      <c r="CB29" s="442"/>
      <c r="CC29" s="442"/>
      <c r="CD29" s="442"/>
      <c r="CE29" s="442"/>
      <c r="CF29" s="442"/>
      <c r="CG29" s="285"/>
      <c r="CH29" s="878"/>
    </row>
    <row r="30" spans="1:86" ht="15" customHeight="1">
      <c r="A30" s="220"/>
      <c r="B30" s="879"/>
      <c r="C30" s="879"/>
      <c r="D30" s="879"/>
      <c r="E30" s="877"/>
      <c r="F30" s="877"/>
      <c r="G30" s="862"/>
      <c r="H30" s="864"/>
      <c r="I30" s="864"/>
      <c r="J30" s="864"/>
      <c r="K30" s="864"/>
      <c r="L30" s="864"/>
      <c r="M30" s="864"/>
      <c r="N30" s="864"/>
      <c r="O30" s="864"/>
      <c r="P30" s="864"/>
      <c r="Q30" s="864"/>
      <c r="R30" s="864"/>
      <c r="S30" s="864"/>
      <c r="T30" s="864"/>
      <c r="U30" s="864"/>
      <c r="V30" s="864"/>
      <c r="W30" s="864"/>
      <c r="X30" s="864"/>
      <c r="Y30" s="864"/>
      <c r="Z30" s="864"/>
      <c r="AA30" s="866"/>
      <c r="AB30" s="866"/>
      <c r="AC30" s="866"/>
      <c r="AD30" s="826"/>
      <c r="AE30" s="432" t="str">
        <f>IF(LEN(VLOOKUP(AA28,suvaha!$D$8:$H$158,2,FALSE))&lt;11,"",LEFT(RIGHT(VLOOKUP(AA28,suvaha!$D$8:$H$158,2,FALSE),11),1))</f>
        <v/>
      </c>
      <c r="AF30" s="255"/>
      <c r="AG30" s="432" t="str">
        <f>IF(LEN(VLOOKUP(AA28,suvaha!$D$8:$H$158,2,FALSE))&lt;10,"",LEFT(RIGHT(VLOOKUP(AA28,suvaha!$D$8:$H$158,2,FALSE),10),1))</f>
        <v/>
      </c>
      <c r="AH30" s="434"/>
      <c r="AI30" s="432" t="str">
        <f>IF(LEN(VLOOKUP(AA28,suvaha!$D$8:$H$158,2,FALSE))&lt;9,"",LEFT(RIGHT(VLOOKUP(AA28,suvaha!$D$8:$H$158,2,FALSE),9),1))</f>
        <v/>
      </c>
      <c r="AJ30" s="255"/>
      <c r="AK30" s="432" t="str">
        <f>IF(LEN(VLOOKUP(AA28,suvaha!$D$8:$H$158,2,FALSE))&lt;8,"",LEFT(RIGHT(VLOOKUP(AA28,suvaha!$D$8:$H$158,2,FALSE),8),1))</f>
        <v/>
      </c>
      <c r="AL30" s="434"/>
      <c r="AM30" s="432" t="str">
        <f>IF(LEN(VLOOKUP(AA28,suvaha!$D$8:$H$158,2,FALSE))&lt;7,"",LEFT(RIGHT(VLOOKUP(AA28,suvaha!$D$8:$H$158,2,FALSE),7),1))</f>
        <v/>
      </c>
      <c r="AN30" s="818"/>
      <c r="AO30" s="432" t="str">
        <f>IF(LEN(VLOOKUP(AA28,suvaha!$D$8:$H$158,2,FALSE))&lt;6,"",LEFT(RIGHT(VLOOKUP(AA28,suvaha!$D$8:$H$158,2,FALSE),6),1))</f>
        <v/>
      </c>
      <c r="AP30" s="434"/>
      <c r="AQ30" s="432" t="str">
        <f>IF(LEN(VLOOKUP(AA28,suvaha!$D$8:$H$158,2,FALSE))&lt;5,"",LEFT(RIGHT(VLOOKUP(AA28,suvaha!$D$8:$H$158,2,FALSE),5),1))</f>
        <v>3</v>
      </c>
      <c r="AR30" s="434"/>
      <c r="AS30" s="432" t="str">
        <f>IF(LEN(VLOOKUP(AA28,suvaha!$D$8:$H$158,2,FALSE))&lt;4,"",LEFT(RIGHT(VLOOKUP(AA28,suvaha!$D$8:$H$158,2,FALSE),4),1))</f>
        <v>5</v>
      </c>
      <c r="AT30" s="819"/>
      <c r="AU30" s="432" t="str">
        <f>IF(LEN(VLOOKUP(AA28,suvaha!$D$8:$H$158,2,FALSE))&lt;3,"",LEFT(RIGHT(VLOOKUP(AA28,suvaha!$D$8:$H$158,2,FALSE),3),1))</f>
        <v>6</v>
      </c>
      <c r="AV30" s="434"/>
      <c r="AW30" s="432" t="str">
        <f>IF(LEN(VLOOKUP(AA28,suvaha!$D$8:$H$158,2,FALSE))&lt;2,"",LEFT(RIGHT(VLOOKUP(AA28,suvaha!$D$8:$H$158,2,FALSE),2),1))</f>
        <v>6</v>
      </c>
      <c r="AX30" s="434"/>
      <c r="AY30" s="432" t="str">
        <f>IF(VLOOKUP(AA28,suvaha!$D$8:$H$85,2,FALSE)=0,"",IF(LEN(VLOOKUP(AA28,suvaha!$D$8:$H$158,2,FALSE))&lt;1,"",LEFT(RIGHT(VLOOKUP(AA28,suvaha!$D$8:$H$158,2,FALSE),1),1)))</f>
        <v>0</v>
      </c>
      <c r="AZ30" s="827"/>
      <c r="BA30" s="826"/>
      <c r="BB30" s="432" t="str">
        <f>IF(LEN(VLOOKUP(AA28,suvaha!$D$8:$H$158,4,FALSE))&lt;11,"",LEFT(RIGHT(VLOOKUP(AA28,suvaha!$D$8:$H$158,4,FALSE),11),1))</f>
        <v/>
      </c>
      <c r="BC30" s="255"/>
      <c r="BD30" s="432" t="str">
        <f>IF(LEN(VLOOKUP(AA28,suvaha!$D$8:$H$158,4,FALSE))&lt;10,"",LEFT(RIGHT(VLOOKUP(AA28,suvaha!$D$8:$H$158,4,FALSE),10),1))</f>
        <v/>
      </c>
      <c r="BE30" s="434"/>
      <c r="BF30" s="432" t="str">
        <f>IF(LEN(VLOOKUP(AA28,suvaha!$D$8:$H$158,4,FALSE))&lt;9,"",LEFT(RIGHT(VLOOKUP(AA28,suvaha!$D$8:$H$158,4,FALSE),9),1))</f>
        <v/>
      </c>
      <c r="BG30" s="255"/>
      <c r="BH30" s="432" t="str">
        <f>IF(LEN(VLOOKUP(AA28,suvaha!$D$8:$H$158,4,FALSE))&lt;8,"",LEFT(RIGHT(VLOOKUP(AA28,suvaha!$D$8:$H$158,4,FALSE),8),1))</f>
        <v/>
      </c>
      <c r="BI30" s="434"/>
      <c r="BJ30" s="432" t="str">
        <f>IF(LEN(VLOOKUP(AA28,suvaha!$D$8:$H$158,4,FALSE))&lt;7,"",LEFT(RIGHT(VLOOKUP(AA28,suvaha!$D$8:$H$158,4,FALSE),7),1))</f>
        <v/>
      </c>
      <c r="BK30" s="818"/>
      <c r="BL30" s="432" t="str">
        <f>IF(LEN(VLOOKUP(AA28,suvaha!$D$8:$H$158,4,FALSE))&lt;6,"",LEFT(RIGHT(VLOOKUP(AA28,suvaha!$D$8:$H$158,4,FALSE),6),1))</f>
        <v/>
      </c>
      <c r="BM30" s="434"/>
      <c r="BN30" s="432" t="str">
        <f>IF(LEN(VLOOKUP(AA28,suvaha!$D$8:$H$158,4,FALSE))&lt;5,"",LEFT(RIGHT(VLOOKUP(AA28,suvaha!$D$8:$H$158,4,FALSE),5),1))</f>
        <v>3</v>
      </c>
      <c r="BO30" s="434"/>
      <c r="BP30" s="432" t="str">
        <f>IF(LEN(VLOOKUP(AA28,suvaha!$D$8:$H$158,4,FALSE))&lt;4,"",LEFT(RIGHT(VLOOKUP(AA28,suvaha!$D$8:$H$158,4,FALSE),4),1))</f>
        <v>5</v>
      </c>
      <c r="BQ30" s="819"/>
      <c r="BR30" s="432" t="str">
        <f>IF(LEN(VLOOKUP(AA28,suvaha!$D$8:$H$158,4,FALSE))&lt;3,"",LEFT(RIGHT(VLOOKUP(AA28,suvaha!$D$8:$H$158,4,FALSE),3),1))</f>
        <v>6</v>
      </c>
      <c r="BS30" s="434"/>
      <c r="BT30" s="432" t="str">
        <f>IF(LEN(VLOOKUP(AA28,suvaha!$D$8:$H$158,4,FALSE))&lt;2,"",LEFT(RIGHT(VLOOKUP(AA28,suvaha!$D$8:$H$158,4,FALSE),2),1))</f>
        <v>6</v>
      </c>
      <c r="BU30" s="434"/>
      <c r="BV30" s="432" t="str">
        <f>IF(VLOOKUP(AA28,suvaha!$D$8:$H$85,4,FALSE)=0,"",IF(LEN(VLOOKUP(AA28,suvaha!$D$8:$H$158,4,FALSE))&lt;1,"",LEFT(RIGHT(VLOOKUP(AA28,suvaha!$D$8:$H$158,4,FALSE),1),1)))</f>
        <v>0</v>
      </c>
      <c r="BW30" s="441"/>
      <c r="BX30" s="442"/>
      <c r="BY30" s="442"/>
      <c r="BZ30" s="442"/>
      <c r="CA30" s="442"/>
      <c r="CB30" s="442"/>
      <c r="CC30" s="442"/>
      <c r="CD30" s="442"/>
      <c r="CE30" s="442"/>
      <c r="CF30" s="442"/>
      <c r="CG30" s="285"/>
      <c r="CH30" s="878"/>
    </row>
    <row r="31" spans="1:86" ht="3" customHeight="1">
      <c r="A31" s="220"/>
      <c r="B31" s="879"/>
      <c r="C31" s="879"/>
      <c r="D31" s="879"/>
      <c r="E31" s="877"/>
      <c r="F31" s="877"/>
      <c r="G31" s="862"/>
      <c r="H31" s="864"/>
      <c r="I31" s="864"/>
      <c r="J31" s="864"/>
      <c r="K31" s="864"/>
      <c r="L31" s="864"/>
      <c r="M31" s="864"/>
      <c r="N31" s="864"/>
      <c r="O31" s="864"/>
      <c r="P31" s="864"/>
      <c r="Q31" s="864"/>
      <c r="R31" s="864"/>
      <c r="S31" s="864"/>
      <c r="T31" s="864"/>
      <c r="U31" s="864"/>
      <c r="V31" s="864"/>
      <c r="W31" s="864"/>
      <c r="X31" s="864"/>
      <c r="Y31" s="864"/>
      <c r="Z31" s="864"/>
      <c r="AA31" s="866"/>
      <c r="AB31" s="866"/>
      <c r="AC31" s="866"/>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6"/>
      <c r="BB31" s="846"/>
      <c r="BC31" s="846"/>
      <c r="BD31" s="846"/>
      <c r="BE31" s="846"/>
      <c r="BF31" s="846"/>
      <c r="BG31" s="846"/>
      <c r="BH31" s="846"/>
      <c r="BI31" s="846"/>
      <c r="BJ31" s="846"/>
      <c r="BK31" s="846"/>
      <c r="BL31" s="846"/>
      <c r="BM31" s="846"/>
      <c r="BN31" s="846"/>
      <c r="BO31" s="846"/>
      <c r="BP31" s="846"/>
      <c r="BQ31" s="846"/>
      <c r="BR31" s="310"/>
      <c r="BS31" s="310"/>
      <c r="BT31" s="310"/>
      <c r="BU31" s="310"/>
      <c r="BV31" s="310"/>
      <c r="BW31" s="443"/>
      <c r="BX31" s="310"/>
      <c r="BY31" s="310"/>
      <c r="BZ31" s="310"/>
      <c r="CA31" s="310"/>
      <c r="CB31" s="310"/>
      <c r="CC31" s="310"/>
      <c r="CD31" s="310"/>
      <c r="CE31" s="310"/>
      <c r="CF31" s="310"/>
      <c r="CG31" s="286"/>
      <c r="CH31" s="878"/>
    </row>
    <row r="32" spans="1:86" ht="3" customHeight="1">
      <c r="A32" s="220"/>
      <c r="B32" s="879"/>
      <c r="C32" s="879"/>
      <c r="D32" s="879"/>
      <c r="E32" s="877"/>
      <c r="F32" s="877"/>
      <c r="G32" s="862"/>
      <c r="H32" s="864"/>
      <c r="I32" s="864"/>
      <c r="J32" s="864"/>
      <c r="K32" s="864"/>
      <c r="L32" s="864"/>
      <c r="M32" s="864"/>
      <c r="N32" s="864"/>
      <c r="O32" s="864"/>
      <c r="P32" s="864"/>
      <c r="Q32" s="864"/>
      <c r="R32" s="864"/>
      <c r="S32" s="864"/>
      <c r="T32" s="864"/>
      <c r="U32" s="864"/>
      <c r="V32" s="864"/>
      <c r="W32" s="864"/>
      <c r="X32" s="864"/>
      <c r="Y32" s="864"/>
      <c r="Z32" s="864"/>
      <c r="AA32" s="866"/>
      <c r="AB32" s="866"/>
      <c r="AC32" s="866"/>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447"/>
      <c r="BB32" s="304"/>
      <c r="BC32" s="304"/>
      <c r="BD32" s="304"/>
      <c r="BE32" s="304"/>
      <c r="BF32" s="304"/>
      <c r="BG32" s="304"/>
      <c r="BH32" s="304"/>
      <c r="BI32" s="304"/>
      <c r="BJ32" s="446"/>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284"/>
      <c r="CH32" s="878"/>
    </row>
    <row r="33" spans="1:86" ht="3" customHeight="1">
      <c r="A33" s="220"/>
      <c r="B33" s="879"/>
      <c r="C33" s="879"/>
      <c r="D33" s="879"/>
      <c r="E33" s="877"/>
      <c r="F33" s="877"/>
      <c r="G33" s="862"/>
      <c r="H33" s="864"/>
      <c r="I33" s="864"/>
      <c r="J33" s="864"/>
      <c r="K33" s="864"/>
      <c r="L33" s="864"/>
      <c r="M33" s="864"/>
      <c r="N33" s="864"/>
      <c r="O33" s="864"/>
      <c r="P33" s="864"/>
      <c r="Q33" s="864"/>
      <c r="R33" s="864"/>
      <c r="S33" s="864"/>
      <c r="T33" s="864"/>
      <c r="U33" s="864"/>
      <c r="V33" s="864"/>
      <c r="W33" s="864"/>
      <c r="X33" s="864"/>
      <c r="Y33" s="864"/>
      <c r="Z33" s="864"/>
      <c r="AA33" s="866"/>
      <c r="AB33" s="866"/>
      <c r="AC33" s="866"/>
      <c r="AD33" s="826"/>
      <c r="AE33" s="820"/>
      <c r="AF33" s="820"/>
      <c r="AG33" s="820"/>
      <c r="AH33" s="435"/>
      <c r="AI33" s="821"/>
      <c r="AJ33" s="821"/>
      <c r="AK33" s="821"/>
      <c r="AL33" s="821"/>
      <c r="AM33" s="821"/>
      <c r="AN33" s="818"/>
      <c r="AO33" s="822"/>
      <c r="AP33" s="822"/>
      <c r="AQ33" s="822"/>
      <c r="AR33" s="822"/>
      <c r="AS33" s="822"/>
      <c r="AT33" s="819"/>
      <c r="AU33" s="822"/>
      <c r="AV33" s="822"/>
      <c r="AW33" s="822"/>
      <c r="AX33" s="822"/>
      <c r="AY33" s="822"/>
      <c r="AZ33" s="827"/>
      <c r="BA33" s="448"/>
      <c r="BB33" s="442"/>
      <c r="BC33" s="442"/>
      <c r="BD33" s="442"/>
      <c r="BE33" s="442"/>
      <c r="BF33" s="442"/>
      <c r="BG33" s="442"/>
      <c r="BH33" s="442"/>
      <c r="BI33" s="442"/>
      <c r="BJ33" s="441"/>
      <c r="BK33" s="442"/>
      <c r="BL33" s="820"/>
      <c r="BM33" s="820"/>
      <c r="BN33" s="820"/>
      <c r="BO33" s="435"/>
      <c r="BP33" s="821"/>
      <c r="BQ33" s="821"/>
      <c r="BR33" s="821"/>
      <c r="BS33" s="821"/>
      <c r="BT33" s="821"/>
      <c r="BU33" s="818"/>
      <c r="BV33" s="822"/>
      <c r="BW33" s="822"/>
      <c r="BX33" s="822"/>
      <c r="BY33" s="822"/>
      <c r="BZ33" s="822"/>
      <c r="CA33" s="819"/>
      <c r="CB33" s="822"/>
      <c r="CC33" s="822"/>
      <c r="CD33" s="822"/>
      <c r="CE33" s="822"/>
      <c r="CF33" s="822"/>
      <c r="CG33" s="287"/>
      <c r="CH33" s="878"/>
    </row>
    <row r="34" spans="1:86" ht="15" customHeight="1">
      <c r="A34" s="220"/>
      <c r="B34" s="879"/>
      <c r="C34" s="879"/>
      <c r="D34" s="879"/>
      <c r="E34" s="877"/>
      <c r="F34" s="877"/>
      <c r="G34" s="862"/>
      <c r="H34" s="864"/>
      <c r="I34" s="864"/>
      <c r="J34" s="864"/>
      <c r="K34" s="864"/>
      <c r="L34" s="864"/>
      <c r="M34" s="864"/>
      <c r="N34" s="864"/>
      <c r="O34" s="864"/>
      <c r="P34" s="864"/>
      <c r="Q34" s="864"/>
      <c r="R34" s="864"/>
      <c r="S34" s="864"/>
      <c r="T34" s="864"/>
      <c r="U34" s="864"/>
      <c r="V34" s="864"/>
      <c r="W34" s="864"/>
      <c r="X34" s="864"/>
      <c r="Y34" s="864"/>
      <c r="Z34" s="864"/>
      <c r="AA34" s="866"/>
      <c r="AB34" s="866"/>
      <c r="AC34" s="866"/>
      <c r="AD34" s="826"/>
      <c r="AE34" s="432" t="str">
        <f>IF(LEN(VLOOKUP(AA28,suvaha!$D$8:$H$158,3,FALSE))&lt;11,"",LEFT(RIGHT(VLOOKUP(AA28,suvaha!$D$8:$H$158,3,FALSE),11),1))</f>
        <v/>
      </c>
      <c r="AF34" s="255"/>
      <c r="AG34" s="432" t="str">
        <f>IF(LEN(VLOOKUP(AA28,suvaha!$D$8:$H$158,3,FALSE))&lt;10,"",LEFT(RIGHT(VLOOKUP(AA28,suvaha!$D$8:$H$158,3,FALSE),10),1))</f>
        <v/>
      </c>
      <c r="AH34" s="434"/>
      <c r="AI34" s="432" t="str">
        <f>IF(LEN(VLOOKUP(AA28,suvaha!$D$8:$H$158,3,FALSE))&lt;9,"",LEFT(RIGHT(VLOOKUP(AA28,suvaha!$D$8:$H$158,3,FALSE),9),1))</f>
        <v/>
      </c>
      <c r="AJ34" s="255"/>
      <c r="AK34" s="432" t="str">
        <f>IF(LEN(VLOOKUP(AA28,suvaha!$D$8:$H$158,3,FALSE))&lt;8,"",LEFT(RIGHT(VLOOKUP(AA28,suvaha!$D$8:$H$158,3,FALSE),8),1))</f>
        <v/>
      </c>
      <c r="AL34" s="434"/>
      <c r="AM34" s="432" t="str">
        <f>IF(LEN(VLOOKUP(AA28,suvaha!$D$8:$H$158,3,FALSE))&lt;7,"",LEFT(RIGHT(VLOOKUP(AA28,suvaha!$D$8:$H$158,3,FALSE),7),1))</f>
        <v/>
      </c>
      <c r="AN34" s="818"/>
      <c r="AO34" s="432" t="str">
        <f>IF(LEN(VLOOKUP(AA28,suvaha!$D$8:$H$158,3,FALSE))&lt;6,"",LEFT(RIGHT(VLOOKUP(AA28,suvaha!$D$8:$H$158,3,FALSE),6),1))</f>
        <v/>
      </c>
      <c r="AP34" s="434"/>
      <c r="AQ34" s="432" t="str">
        <f>IF(LEN(VLOOKUP(AA28,suvaha!$D$8:$H$158,3,FALSE))&lt;5,"",LEFT(RIGHT(VLOOKUP(AA28,suvaha!$D$8:$H$158,3,FALSE),5),1))</f>
        <v/>
      </c>
      <c r="AR34" s="434"/>
      <c r="AS34" s="432" t="str">
        <f>IF(LEN(VLOOKUP(AA28,suvaha!$D$8:$H$158,3,FALSE))&lt;4,"",LEFT(RIGHT(VLOOKUP(AA28,suvaha!$D$8:$H$158,3,FALSE),4),1))</f>
        <v/>
      </c>
      <c r="AT34" s="819"/>
      <c r="AU34" s="432" t="str">
        <f>IF(LEN(VLOOKUP(AA28,suvaha!$D$8:$H$158,3,FALSE))&lt;3,"",LEFT(RIGHT(VLOOKUP(AA28,suvaha!$D$8:$H$158,3,FALSE),3),1))</f>
        <v/>
      </c>
      <c r="AV34" s="434"/>
      <c r="AW34" s="432" t="str">
        <f>IF(LEN(VLOOKUP(AA28,suvaha!$D$8:$H$158,3,FALSE))&lt;2,"",LEFT(RIGHT(VLOOKUP(AA28,suvaha!$D$8:$H$158,3,FALSE),2),1))</f>
        <v/>
      </c>
      <c r="AX34" s="434"/>
      <c r="AY34" s="432" t="str">
        <f>IF(VLOOKUP(AA28,suvaha!$D$8:$H$85,3,FALSE)=0,"",IF(LEN(VLOOKUP(AA28,suvaha!$D$8:$H$158,3,FALSE))&lt;1,"",LEFT(RIGHT(VLOOKUP(AA28,suvaha!$D$8:$H$158,3,FALSE),1),1)))</f>
        <v/>
      </c>
      <c r="AZ34" s="827"/>
      <c r="BA34" s="448"/>
      <c r="BB34" s="442"/>
      <c r="BC34" s="442"/>
      <c r="BD34" s="442"/>
      <c r="BE34" s="442"/>
      <c r="BF34" s="442"/>
      <c r="BG34" s="442"/>
      <c r="BH34" s="442"/>
      <c r="BI34" s="442"/>
      <c r="BJ34" s="441"/>
      <c r="BK34" s="442"/>
      <c r="BL34" s="432" t="str">
        <f>IF(LEN(VLOOKUP(AA28,suvaha!$D$8:$H$158,5,FALSE))&lt;11,"",LEFT(RIGHT(VLOOKUP(AA28,suvaha!$D$8:$H$158,5,FALSE),11),1))</f>
        <v/>
      </c>
      <c r="BM34" s="255"/>
      <c r="BN34" s="432" t="str">
        <f>IF(LEN(VLOOKUP(AA28,suvaha!$D$8:$H$158,5,FALSE))&lt;10,"",LEFT(RIGHT(VLOOKUP(AA28,suvaha!$D$8:$H$158,5,FALSE),10),1))</f>
        <v/>
      </c>
      <c r="BO34" s="434"/>
      <c r="BP34" s="432" t="str">
        <f>IF(LEN(VLOOKUP(AA28,suvaha!$D$8:$H$158,5,FALSE))&lt;9,"",LEFT(RIGHT(VLOOKUP(AA28,suvaha!$D$8:$H$158,5,FALSE),9),1))</f>
        <v/>
      </c>
      <c r="BQ34" s="255"/>
      <c r="BR34" s="432" t="str">
        <f>IF(LEN(VLOOKUP(AA28,suvaha!$D$8:$H$158,5,FALSE))&lt;8,"",LEFT(RIGHT(VLOOKUP(AA28,suvaha!$D$8:$H$158,5,FALSE),8),1))</f>
        <v/>
      </c>
      <c r="BS34" s="434"/>
      <c r="BT34" s="432" t="str">
        <f>IF(LEN(VLOOKUP(AA28,suvaha!$D$8:$H$158,5,FALSE))&lt;7,"",LEFT(RIGHT(VLOOKUP(AA28,suvaha!$D$8:$H$158,5,FALSE),7),1))</f>
        <v/>
      </c>
      <c r="BU34" s="818"/>
      <c r="BV34" s="432" t="str">
        <f>IF(LEN(VLOOKUP(AA28,suvaha!$D$8:$H$158,5,FALSE))&lt;6,"",LEFT(RIGHT(VLOOKUP(AA28,suvaha!$D$8:$H$158,5,FALSE),6),1))</f>
        <v/>
      </c>
      <c r="BW34" s="434"/>
      <c r="BX34" s="432" t="str">
        <f>IF(LEN(VLOOKUP(AA28,suvaha!$D$8:$H$158,5,FALSE))&lt;5,"",LEFT(RIGHT(VLOOKUP(AA28,suvaha!$D$8:$H$158,5,FALSE),5),1))</f>
        <v/>
      </c>
      <c r="BY34" s="434"/>
      <c r="BZ34" s="432" t="str">
        <f>IF(LEN(VLOOKUP(AA28,suvaha!$D$8:$H$158,5,FALSE))&lt;4,"",LEFT(RIGHT(VLOOKUP(AA28,suvaha!$D$8:$H$158,5,FALSE),4),1))</f>
        <v/>
      </c>
      <c r="CA34" s="819"/>
      <c r="CB34" s="432" t="str">
        <f>IF(LEN(VLOOKUP(AA28,suvaha!$D$8:$H$158,5,FALSE))&lt;3,"",LEFT(RIGHT(VLOOKUP(AA28,suvaha!$D$8:$H$158,5,FALSE),3),1))</f>
        <v/>
      </c>
      <c r="CC34" s="434"/>
      <c r="CD34" s="432" t="str">
        <f>IF(LEN(VLOOKUP(AA28,suvaha!$D$8:$H$158,5,FALSE))&lt;2,"",LEFT(RIGHT(VLOOKUP(AA28,suvaha!$D$8:$H$158,5,FALSE),2),1))</f>
        <v/>
      </c>
      <c r="CE34" s="434"/>
      <c r="CF34" s="432" t="str">
        <f>IF(VLOOKUP(AA28,suvaha!$D$8:$H$85,5,FALSE)=0,"",IF(LEN(VLOOKUP(AA28,suvaha!$D$8:$H$158,5,FALSE))&lt;1,"",LEFT(RIGHT(VLOOKUP(AA28,suvaha!$D$8:$H$158,5,FALSE),1),1)))</f>
        <v/>
      </c>
      <c r="CG34" s="287"/>
      <c r="CH34" s="878"/>
    </row>
    <row r="35" spans="1:86" ht="3" customHeight="1">
      <c r="A35" s="220"/>
      <c r="B35" s="879"/>
      <c r="C35" s="879"/>
      <c r="D35" s="879"/>
      <c r="E35" s="877"/>
      <c r="F35" s="877"/>
      <c r="G35" s="862"/>
      <c r="H35" s="864"/>
      <c r="I35" s="864"/>
      <c r="J35" s="864"/>
      <c r="K35" s="864"/>
      <c r="L35" s="864"/>
      <c r="M35" s="864"/>
      <c r="N35" s="864"/>
      <c r="O35" s="864"/>
      <c r="P35" s="864"/>
      <c r="Q35" s="864"/>
      <c r="R35" s="864"/>
      <c r="S35" s="864"/>
      <c r="T35" s="864"/>
      <c r="U35" s="864"/>
      <c r="V35" s="864"/>
      <c r="W35" s="864"/>
      <c r="X35" s="864"/>
      <c r="Y35" s="864"/>
      <c r="Z35" s="864"/>
      <c r="AA35" s="866"/>
      <c r="AB35" s="866"/>
      <c r="AC35" s="866"/>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449"/>
      <c r="BB35" s="310"/>
      <c r="BC35" s="310"/>
      <c r="BD35" s="310"/>
      <c r="BE35" s="310"/>
      <c r="BF35" s="310"/>
      <c r="BG35" s="310"/>
      <c r="BH35" s="310"/>
      <c r="BI35" s="310"/>
      <c r="BJ35" s="443"/>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286"/>
      <c r="CH35" s="878"/>
    </row>
    <row r="36" spans="1:86" s="250" customFormat="1" ht="3" customHeight="1">
      <c r="A36" s="220"/>
      <c r="B36" s="879"/>
      <c r="C36" s="879"/>
      <c r="D36" s="879"/>
      <c r="E36" s="877" t="s">
        <v>1542</v>
      </c>
      <c r="F36" s="877"/>
      <c r="G36" s="862"/>
      <c r="H36" s="864" t="str">
        <f>Index!C97</f>
        <v>Čistá hodnota zákazky (316A)</v>
      </c>
      <c r="I36" s="864"/>
      <c r="J36" s="864"/>
      <c r="K36" s="864"/>
      <c r="L36" s="864"/>
      <c r="M36" s="864"/>
      <c r="N36" s="864"/>
      <c r="O36" s="864"/>
      <c r="P36" s="864"/>
      <c r="Q36" s="864"/>
      <c r="R36" s="864"/>
      <c r="S36" s="864"/>
      <c r="T36" s="864"/>
      <c r="U36" s="864"/>
      <c r="V36" s="864"/>
      <c r="W36" s="864"/>
      <c r="X36" s="864"/>
      <c r="Y36" s="864"/>
      <c r="Z36" s="864"/>
      <c r="AA36" s="866" t="s">
        <v>1602</v>
      </c>
      <c r="AB36" s="866"/>
      <c r="AC36" s="866"/>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67"/>
      <c r="BB36" s="867"/>
      <c r="BC36" s="867"/>
      <c r="BD36" s="867"/>
      <c r="BE36" s="867"/>
      <c r="BF36" s="867"/>
      <c r="BG36" s="867"/>
      <c r="BH36" s="867"/>
      <c r="BI36" s="867"/>
      <c r="BJ36" s="867"/>
      <c r="BK36" s="867"/>
      <c r="BL36" s="867"/>
      <c r="BM36" s="867"/>
      <c r="BN36" s="867"/>
      <c r="BO36" s="867"/>
      <c r="BP36" s="867"/>
      <c r="BQ36" s="867"/>
      <c r="BR36" s="304"/>
      <c r="BS36" s="304"/>
      <c r="BT36" s="304"/>
      <c r="BU36" s="304"/>
      <c r="BV36" s="304"/>
      <c r="BW36" s="446"/>
      <c r="BX36" s="304"/>
      <c r="BY36" s="304"/>
      <c r="BZ36" s="304"/>
      <c r="CA36" s="304"/>
      <c r="CB36" s="304"/>
      <c r="CC36" s="304"/>
      <c r="CD36" s="304"/>
      <c r="CE36" s="304"/>
      <c r="CF36" s="304"/>
      <c r="CG36" s="284"/>
      <c r="CH36" s="878"/>
    </row>
    <row r="37" spans="1:86" s="250" customFormat="1" ht="3" customHeight="1">
      <c r="A37" s="220"/>
      <c r="B37" s="879"/>
      <c r="C37" s="879"/>
      <c r="D37" s="879"/>
      <c r="E37" s="877"/>
      <c r="F37" s="877"/>
      <c r="G37" s="862"/>
      <c r="H37" s="864"/>
      <c r="I37" s="864"/>
      <c r="J37" s="864"/>
      <c r="K37" s="864"/>
      <c r="L37" s="864"/>
      <c r="M37" s="864"/>
      <c r="N37" s="864"/>
      <c r="O37" s="864"/>
      <c r="P37" s="864"/>
      <c r="Q37" s="864"/>
      <c r="R37" s="864"/>
      <c r="S37" s="864"/>
      <c r="T37" s="864"/>
      <c r="U37" s="864"/>
      <c r="V37" s="864"/>
      <c r="W37" s="864"/>
      <c r="X37" s="864"/>
      <c r="Y37" s="864"/>
      <c r="Z37" s="864"/>
      <c r="AA37" s="866"/>
      <c r="AB37" s="866"/>
      <c r="AC37" s="866"/>
      <c r="AD37" s="826"/>
      <c r="AE37" s="820"/>
      <c r="AF37" s="820"/>
      <c r="AG37" s="820"/>
      <c r="AH37" s="435"/>
      <c r="AI37" s="821"/>
      <c r="AJ37" s="821"/>
      <c r="AK37" s="821"/>
      <c r="AL37" s="821"/>
      <c r="AM37" s="821"/>
      <c r="AN37" s="818"/>
      <c r="AO37" s="822"/>
      <c r="AP37" s="822"/>
      <c r="AQ37" s="822"/>
      <c r="AR37" s="822"/>
      <c r="AS37" s="822"/>
      <c r="AT37" s="819"/>
      <c r="AU37" s="822"/>
      <c r="AV37" s="822"/>
      <c r="AW37" s="822"/>
      <c r="AX37" s="822"/>
      <c r="AY37" s="822"/>
      <c r="AZ37" s="827"/>
      <c r="BA37" s="826"/>
      <c r="BB37" s="820"/>
      <c r="BC37" s="820"/>
      <c r="BD37" s="820"/>
      <c r="BE37" s="435"/>
      <c r="BF37" s="821"/>
      <c r="BG37" s="821"/>
      <c r="BH37" s="821"/>
      <c r="BI37" s="821"/>
      <c r="BJ37" s="821"/>
      <c r="BK37" s="818"/>
      <c r="BL37" s="822"/>
      <c r="BM37" s="822"/>
      <c r="BN37" s="822"/>
      <c r="BO37" s="822"/>
      <c r="BP37" s="822"/>
      <c r="BQ37" s="819"/>
      <c r="BR37" s="822"/>
      <c r="BS37" s="822"/>
      <c r="BT37" s="822"/>
      <c r="BU37" s="822"/>
      <c r="BV37" s="822"/>
      <c r="BW37" s="441"/>
      <c r="BX37" s="442"/>
      <c r="BY37" s="442"/>
      <c r="BZ37" s="442"/>
      <c r="CA37" s="442"/>
      <c r="CB37" s="442"/>
      <c r="CC37" s="442"/>
      <c r="CD37" s="442"/>
      <c r="CE37" s="442"/>
      <c r="CF37" s="442"/>
      <c r="CG37" s="285"/>
      <c r="CH37" s="878"/>
    </row>
    <row r="38" spans="1:86" ht="15" customHeight="1">
      <c r="A38" s="220"/>
      <c r="B38" s="879"/>
      <c r="C38" s="879"/>
      <c r="D38" s="879"/>
      <c r="E38" s="877"/>
      <c r="F38" s="877"/>
      <c r="G38" s="862"/>
      <c r="H38" s="864"/>
      <c r="I38" s="864"/>
      <c r="J38" s="864"/>
      <c r="K38" s="864"/>
      <c r="L38" s="864"/>
      <c r="M38" s="864"/>
      <c r="N38" s="864"/>
      <c r="O38" s="864"/>
      <c r="P38" s="864"/>
      <c r="Q38" s="864"/>
      <c r="R38" s="864"/>
      <c r="S38" s="864"/>
      <c r="T38" s="864"/>
      <c r="U38" s="864"/>
      <c r="V38" s="864"/>
      <c r="W38" s="864"/>
      <c r="X38" s="864"/>
      <c r="Y38" s="864"/>
      <c r="Z38" s="864"/>
      <c r="AA38" s="866"/>
      <c r="AB38" s="866"/>
      <c r="AC38" s="866"/>
      <c r="AD38" s="826"/>
      <c r="AE38" s="432" t="str">
        <f>IF(LEN(VLOOKUP(AA36,suvaha!$D$8:$H$158,2,FALSE))&lt;11,"",LEFT(RIGHT(VLOOKUP(AA36,suvaha!$D$8:$H$158,2,FALSE),11),1))</f>
        <v/>
      </c>
      <c r="AF38" s="255"/>
      <c r="AG38" s="432" t="str">
        <f>IF(LEN(VLOOKUP(AA36,suvaha!$D$8:$H$158,2,FALSE))&lt;10,"",LEFT(RIGHT(VLOOKUP(AA36,suvaha!$D$8:$H$158,2,FALSE),10),1))</f>
        <v/>
      </c>
      <c r="AH38" s="434"/>
      <c r="AI38" s="432" t="str">
        <f>IF(LEN(VLOOKUP(AA36,suvaha!$D$8:$H$158,2,FALSE))&lt;9,"",LEFT(RIGHT(VLOOKUP(AA36,suvaha!$D$8:$H$158,2,FALSE),9),1))</f>
        <v/>
      </c>
      <c r="AJ38" s="255"/>
      <c r="AK38" s="432" t="str">
        <f>IF(LEN(VLOOKUP(AA36,suvaha!$D$8:$H$158,2,FALSE))&lt;8,"",LEFT(RIGHT(VLOOKUP(AA36,suvaha!$D$8:$H$158,2,FALSE),8),1))</f>
        <v/>
      </c>
      <c r="AL38" s="434"/>
      <c r="AM38" s="432" t="str">
        <f>IF(LEN(VLOOKUP(AA36,suvaha!$D$8:$H$158,2,FALSE))&lt;7,"",LEFT(RIGHT(VLOOKUP(AA36,suvaha!$D$8:$H$158,2,FALSE),7),1))</f>
        <v/>
      </c>
      <c r="AN38" s="818"/>
      <c r="AO38" s="432" t="str">
        <f>IF(LEN(VLOOKUP(AA36,suvaha!$D$8:$H$158,2,FALSE))&lt;6,"",LEFT(RIGHT(VLOOKUP(AA36,suvaha!$D$8:$H$158,2,FALSE),6),1))</f>
        <v/>
      </c>
      <c r="AP38" s="434"/>
      <c r="AQ38" s="432" t="str">
        <f>IF(LEN(VLOOKUP(AA36,suvaha!$D$8:$H$158,2,FALSE))&lt;5,"",LEFT(RIGHT(VLOOKUP(AA36,suvaha!$D$8:$H$158,2,FALSE),5),1))</f>
        <v/>
      </c>
      <c r="AR38" s="434"/>
      <c r="AS38" s="432" t="str">
        <f>IF(LEN(VLOOKUP(AA36,suvaha!$D$8:$H$158,2,FALSE))&lt;4,"",LEFT(RIGHT(VLOOKUP(AA36,suvaha!$D$8:$H$158,2,FALSE),4),1))</f>
        <v/>
      </c>
      <c r="AT38" s="819"/>
      <c r="AU38" s="432" t="str">
        <f>IF(LEN(VLOOKUP(AA36,suvaha!$D$8:$H$158,2,FALSE))&lt;3,"",LEFT(RIGHT(VLOOKUP(AA36,suvaha!$D$8:$H$158,2,FALSE),3),1))</f>
        <v/>
      </c>
      <c r="AV38" s="434"/>
      <c r="AW38" s="432" t="str">
        <f>IF(LEN(VLOOKUP(AA36,suvaha!$D$8:$H$158,2,FALSE))&lt;2,"",LEFT(RIGHT(VLOOKUP(AA36,suvaha!$D$8:$H$158,2,FALSE),2),1))</f>
        <v/>
      </c>
      <c r="AX38" s="434"/>
      <c r="AY38" s="432" t="str">
        <f>IF(VLOOKUP(AA36,suvaha!$D$8:$H$85,2,FALSE)=0,"",IF(LEN(VLOOKUP(AA36,suvaha!$D$8:$H$158,2,FALSE))&lt;1,"",LEFT(RIGHT(VLOOKUP(AA36,suvaha!$D$8:$H$158,2,FALSE),1),1)))</f>
        <v/>
      </c>
      <c r="AZ38" s="827"/>
      <c r="BA38" s="826"/>
      <c r="BB38" s="432" t="str">
        <f>IF(LEN(VLOOKUP(AA36,suvaha!$D$8:$H$158,4,FALSE))&lt;11,"",LEFT(RIGHT(VLOOKUP(AA36,suvaha!$D$8:$H$158,4,FALSE),11),1))</f>
        <v/>
      </c>
      <c r="BC38" s="255"/>
      <c r="BD38" s="432" t="str">
        <f>IF(LEN(VLOOKUP(AA36,suvaha!$D$8:$H$158,4,FALSE))&lt;10,"",LEFT(RIGHT(VLOOKUP(AA36,suvaha!$D$8:$H$158,4,FALSE),10),1))</f>
        <v/>
      </c>
      <c r="BE38" s="434"/>
      <c r="BF38" s="432" t="str">
        <f>IF(LEN(VLOOKUP(AA36,suvaha!$D$8:$H$158,4,FALSE))&lt;9,"",LEFT(RIGHT(VLOOKUP(AA36,suvaha!$D$8:$H$158,4,FALSE),9),1))</f>
        <v/>
      </c>
      <c r="BG38" s="255"/>
      <c r="BH38" s="432" t="str">
        <f>IF(LEN(VLOOKUP(AA36,suvaha!$D$8:$H$158,4,FALSE))&lt;8,"",LEFT(RIGHT(VLOOKUP(AA36,suvaha!$D$8:$H$158,4,FALSE),8),1))</f>
        <v/>
      </c>
      <c r="BI38" s="434"/>
      <c r="BJ38" s="432" t="str">
        <f>IF(LEN(VLOOKUP(AA36,suvaha!$D$8:$H$158,4,FALSE))&lt;7,"",LEFT(RIGHT(VLOOKUP(AA36,suvaha!$D$8:$H$158,4,FALSE),7),1))</f>
        <v/>
      </c>
      <c r="BK38" s="818"/>
      <c r="BL38" s="432" t="str">
        <f>IF(LEN(VLOOKUP(AA36,suvaha!$D$8:$H$158,4,FALSE))&lt;6,"",LEFT(RIGHT(VLOOKUP(AA36,suvaha!$D$8:$H$158,4,FALSE),6),1))</f>
        <v/>
      </c>
      <c r="BM38" s="434"/>
      <c r="BN38" s="432" t="str">
        <f>IF(LEN(VLOOKUP(AA36,suvaha!$D$8:$H$158,4,FALSE))&lt;5,"",LEFT(RIGHT(VLOOKUP(AA36,suvaha!$D$8:$H$158,4,FALSE),5),1))</f>
        <v/>
      </c>
      <c r="BO38" s="434"/>
      <c r="BP38" s="432" t="str">
        <f>IF(LEN(VLOOKUP(AA36,suvaha!$D$8:$H$158,4,FALSE))&lt;4,"",LEFT(RIGHT(VLOOKUP(AA36,suvaha!$D$8:$H$158,4,FALSE),4),1))</f>
        <v/>
      </c>
      <c r="BQ38" s="819"/>
      <c r="BR38" s="432" t="str">
        <f>IF(LEN(VLOOKUP(AA36,suvaha!$D$8:$H$158,4,FALSE))&lt;3,"",LEFT(RIGHT(VLOOKUP(AA36,suvaha!$D$8:$H$158,4,FALSE),3),1))</f>
        <v/>
      </c>
      <c r="BS38" s="434"/>
      <c r="BT38" s="432" t="str">
        <f>IF(LEN(VLOOKUP(AA36,suvaha!$D$8:$H$158,4,FALSE))&lt;2,"",LEFT(RIGHT(VLOOKUP(AA36,suvaha!$D$8:$H$158,4,FALSE),2),1))</f>
        <v/>
      </c>
      <c r="BU38" s="434"/>
      <c r="BV38" s="432" t="str">
        <f>IF(VLOOKUP(AA36,suvaha!$D$8:$H$85,4,FALSE)=0,"",IF(LEN(VLOOKUP(AA36,suvaha!$D$8:$H$158,4,FALSE))&lt;1,"",LEFT(RIGHT(VLOOKUP(AA36,suvaha!$D$8:$H$158,4,FALSE),1),1)))</f>
        <v/>
      </c>
      <c r="BW38" s="441"/>
      <c r="BX38" s="442"/>
      <c r="BY38" s="442"/>
      <c r="BZ38" s="442"/>
      <c r="CA38" s="442"/>
      <c r="CB38" s="442"/>
      <c r="CC38" s="442"/>
      <c r="CD38" s="442"/>
      <c r="CE38" s="442"/>
      <c r="CF38" s="442"/>
      <c r="CG38" s="285"/>
      <c r="CH38" s="878"/>
    </row>
    <row r="39" spans="1:86" ht="3" customHeight="1">
      <c r="A39" s="220"/>
      <c r="B39" s="879"/>
      <c r="C39" s="879"/>
      <c r="D39" s="879"/>
      <c r="E39" s="877"/>
      <c r="F39" s="877"/>
      <c r="G39" s="862"/>
      <c r="H39" s="864"/>
      <c r="I39" s="864"/>
      <c r="J39" s="864"/>
      <c r="K39" s="864"/>
      <c r="L39" s="864"/>
      <c r="M39" s="864"/>
      <c r="N39" s="864"/>
      <c r="O39" s="864"/>
      <c r="P39" s="864"/>
      <c r="Q39" s="864"/>
      <c r="R39" s="864"/>
      <c r="S39" s="864"/>
      <c r="T39" s="864"/>
      <c r="U39" s="864"/>
      <c r="V39" s="864"/>
      <c r="W39" s="864"/>
      <c r="X39" s="864"/>
      <c r="Y39" s="864"/>
      <c r="Z39" s="864"/>
      <c r="AA39" s="866"/>
      <c r="AB39" s="866"/>
      <c r="AC39" s="866"/>
      <c r="AD39" s="845"/>
      <c r="AE39" s="845"/>
      <c r="AF39" s="845"/>
      <c r="AG39" s="845"/>
      <c r="AH39" s="845"/>
      <c r="AI39" s="845"/>
      <c r="AJ39" s="845"/>
      <c r="AK39" s="845"/>
      <c r="AL39" s="845"/>
      <c r="AM39" s="845"/>
      <c r="AN39" s="845"/>
      <c r="AO39" s="845"/>
      <c r="AP39" s="845"/>
      <c r="AQ39" s="845"/>
      <c r="AR39" s="845"/>
      <c r="AS39" s="845"/>
      <c r="AT39" s="845"/>
      <c r="AU39" s="845"/>
      <c r="AV39" s="845"/>
      <c r="AW39" s="845"/>
      <c r="AX39" s="845"/>
      <c r="AY39" s="845"/>
      <c r="AZ39" s="845"/>
      <c r="BA39" s="846"/>
      <c r="BB39" s="846"/>
      <c r="BC39" s="846"/>
      <c r="BD39" s="846"/>
      <c r="BE39" s="846"/>
      <c r="BF39" s="846"/>
      <c r="BG39" s="846"/>
      <c r="BH39" s="846"/>
      <c r="BI39" s="846"/>
      <c r="BJ39" s="846"/>
      <c r="BK39" s="846"/>
      <c r="BL39" s="846"/>
      <c r="BM39" s="846"/>
      <c r="BN39" s="846"/>
      <c r="BO39" s="846"/>
      <c r="BP39" s="846"/>
      <c r="BQ39" s="846"/>
      <c r="BR39" s="310"/>
      <c r="BS39" s="310"/>
      <c r="BT39" s="310"/>
      <c r="BU39" s="310"/>
      <c r="BV39" s="310"/>
      <c r="BW39" s="443"/>
      <c r="BX39" s="310"/>
      <c r="BY39" s="310"/>
      <c r="BZ39" s="310"/>
      <c r="CA39" s="310"/>
      <c r="CB39" s="310"/>
      <c r="CC39" s="310"/>
      <c r="CD39" s="310"/>
      <c r="CE39" s="310"/>
      <c r="CF39" s="310"/>
      <c r="CG39" s="286"/>
      <c r="CH39" s="220"/>
    </row>
    <row r="40" spans="1:86" ht="3" customHeight="1">
      <c r="A40" s="220"/>
      <c r="B40" s="879"/>
      <c r="C40" s="879"/>
      <c r="D40" s="879"/>
      <c r="E40" s="877"/>
      <c r="F40" s="877"/>
      <c r="G40" s="862"/>
      <c r="H40" s="864"/>
      <c r="I40" s="864"/>
      <c r="J40" s="864"/>
      <c r="K40" s="864"/>
      <c r="L40" s="864"/>
      <c r="M40" s="864"/>
      <c r="N40" s="864"/>
      <c r="O40" s="864"/>
      <c r="P40" s="864"/>
      <c r="Q40" s="864"/>
      <c r="R40" s="864"/>
      <c r="S40" s="864"/>
      <c r="T40" s="864"/>
      <c r="U40" s="864"/>
      <c r="V40" s="864"/>
      <c r="W40" s="864"/>
      <c r="X40" s="864"/>
      <c r="Y40" s="864"/>
      <c r="Z40" s="864"/>
      <c r="AA40" s="866"/>
      <c r="AB40" s="866"/>
      <c r="AC40" s="866"/>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447"/>
      <c r="BB40" s="304"/>
      <c r="BC40" s="304"/>
      <c r="BD40" s="304"/>
      <c r="BE40" s="304"/>
      <c r="BF40" s="304"/>
      <c r="BG40" s="304"/>
      <c r="BH40" s="304"/>
      <c r="BI40" s="304"/>
      <c r="BJ40" s="446"/>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284"/>
      <c r="CH40" s="220"/>
    </row>
    <row r="41" spans="1:86" ht="3" customHeight="1">
      <c r="A41" s="220"/>
      <c r="B41" s="879"/>
      <c r="C41" s="879"/>
      <c r="D41" s="879"/>
      <c r="E41" s="877"/>
      <c r="F41" s="877"/>
      <c r="G41" s="862"/>
      <c r="H41" s="864"/>
      <c r="I41" s="864"/>
      <c r="J41" s="864"/>
      <c r="K41" s="864"/>
      <c r="L41" s="864"/>
      <c r="M41" s="864"/>
      <c r="N41" s="864"/>
      <c r="O41" s="864"/>
      <c r="P41" s="864"/>
      <c r="Q41" s="864"/>
      <c r="R41" s="864"/>
      <c r="S41" s="864"/>
      <c r="T41" s="864"/>
      <c r="U41" s="864"/>
      <c r="V41" s="864"/>
      <c r="W41" s="864"/>
      <c r="X41" s="864"/>
      <c r="Y41" s="864"/>
      <c r="Z41" s="864"/>
      <c r="AA41" s="866"/>
      <c r="AB41" s="866"/>
      <c r="AC41" s="866"/>
      <c r="AD41" s="826"/>
      <c r="AE41" s="820"/>
      <c r="AF41" s="820"/>
      <c r="AG41" s="820"/>
      <c r="AH41" s="435"/>
      <c r="AI41" s="821"/>
      <c r="AJ41" s="821"/>
      <c r="AK41" s="821"/>
      <c r="AL41" s="821"/>
      <c r="AM41" s="821"/>
      <c r="AN41" s="818"/>
      <c r="AO41" s="822"/>
      <c r="AP41" s="822"/>
      <c r="AQ41" s="822"/>
      <c r="AR41" s="822"/>
      <c r="AS41" s="822"/>
      <c r="AT41" s="819"/>
      <c r="AU41" s="822"/>
      <c r="AV41" s="822"/>
      <c r="AW41" s="822"/>
      <c r="AX41" s="822"/>
      <c r="AY41" s="822"/>
      <c r="AZ41" s="827"/>
      <c r="BA41" s="448"/>
      <c r="BB41" s="442"/>
      <c r="BC41" s="442"/>
      <c r="BD41" s="442"/>
      <c r="BE41" s="442"/>
      <c r="BF41" s="442"/>
      <c r="BG41" s="442"/>
      <c r="BH41" s="442"/>
      <c r="BI41" s="442"/>
      <c r="BJ41" s="441"/>
      <c r="BK41" s="442"/>
      <c r="BL41" s="820"/>
      <c r="BM41" s="820"/>
      <c r="BN41" s="820"/>
      <c r="BO41" s="435"/>
      <c r="BP41" s="821"/>
      <c r="BQ41" s="821"/>
      <c r="BR41" s="821"/>
      <c r="BS41" s="821"/>
      <c r="BT41" s="821"/>
      <c r="BU41" s="818"/>
      <c r="BV41" s="822"/>
      <c r="BW41" s="822"/>
      <c r="BX41" s="822"/>
      <c r="BY41" s="822"/>
      <c r="BZ41" s="822"/>
      <c r="CA41" s="819"/>
      <c r="CB41" s="822"/>
      <c r="CC41" s="822"/>
      <c r="CD41" s="822"/>
      <c r="CE41" s="822"/>
      <c r="CF41" s="822"/>
      <c r="CG41" s="287"/>
      <c r="CH41" s="220"/>
    </row>
    <row r="42" spans="1:86" ht="15" customHeight="1">
      <c r="A42" s="220"/>
      <c r="B42" s="879"/>
      <c r="C42" s="879"/>
      <c r="D42" s="879"/>
      <c r="E42" s="877"/>
      <c r="F42" s="877"/>
      <c r="G42" s="862"/>
      <c r="H42" s="864"/>
      <c r="I42" s="864"/>
      <c r="J42" s="864"/>
      <c r="K42" s="864"/>
      <c r="L42" s="864"/>
      <c r="M42" s="864"/>
      <c r="N42" s="864"/>
      <c r="O42" s="864"/>
      <c r="P42" s="864"/>
      <c r="Q42" s="864"/>
      <c r="R42" s="864"/>
      <c r="S42" s="864"/>
      <c r="T42" s="864"/>
      <c r="U42" s="864"/>
      <c r="V42" s="864"/>
      <c r="W42" s="864"/>
      <c r="X42" s="864"/>
      <c r="Y42" s="864"/>
      <c r="Z42" s="864"/>
      <c r="AA42" s="866"/>
      <c r="AB42" s="866"/>
      <c r="AC42" s="866"/>
      <c r="AD42" s="826"/>
      <c r="AE42" s="432" t="str">
        <f>IF(LEN(VLOOKUP(AA36,suvaha!$D$8:$H$158,3,FALSE))&lt;11,"",LEFT(RIGHT(VLOOKUP(AA36,suvaha!$D$8:$H$158,3,FALSE),11),1))</f>
        <v/>
      </c>
      <c r="AF42" s="255"/>
      <c r="AG42" s="432" t="str">
        <f>IF(LEN(VLOOKUP(AA36,suvaha!$D$8:$H$158,3,FALSE))&lt;10,"",LEFT(RIGHT(VLOOKUP(AA36,suvaha!$D$8:$H$158,3,FALSE),10),1))</f>
        <v/>
      </c>
      <c r="AH42" s="434"/>
      <c r="AI42" s="432" t="str">
        <f>IF(LEN(VLOOKUP(AA36,suvaha!$D$8:$H$158,3,FALSE))&lt;9,"",LEFT(RIGHT(VLOOKUP(AA36,suvaha!$D$8:$H$158,3,FALSE),9),1))</f>
        <v/>
      </c>
      <c r="AJ42" s="255"/>
      <c r="AK42" s="432" t="str">
        <f>IF(LEN(VLOOKUP(AA36,suvaha!$D$8:$H$158,3,FALSE))&lt;8,"",LEFT(RIGHT(VLOOKUP(AA36,suvaha!$D$8:$H$158,3,FALSE),8),1))</f>
        <v/>
      </c>
      <c r="AL42" s="434"/>
      <c r="AM42" s="432" t="str">
        <f>IF(LEN(VLOOKUP(AA36,suvaha!$D$8:$H$158,3,FALSE))&lt;7,"",LEFT(RIGHT(VLOOKUP(AA36,suvaha!$D$8:$H$158,3,FALSE),7),1))</f>
        <v/>
      </c>
      <c r="AN42" s="818"/>
      <c r="AO42" s="432" t="str">
        <f>IF(LEN(VLOOKUP(AA36,suvaha!$D$8:$H$158,3,FALSE))&lt;6,"",LEFT(RIGHT(VLOOKUP(AA36,suvaha!$D$8:$H$158,3,FALSE),6),1))</f>
        <v/>
      </c>
      <c r="AP42" s="434"/>
      <c r="AQ42" s="432" t="str">
        <f>IF(LEN(VLOOKUP(AA36,suvaha!$D$8:$H$158,3,FALSE))&lt;5,"",LEFT(RIGHT(VLOOKUP(AA36,suvaha!$D$8:$H$158,3,FALSE),5),1))</f>
        <v/>
      </c>
      <c r="AR42" s="434"/>
      <c r="AS42" s="432" t="str">
        <f>IF(LEN(VLOOKUP(AA36,suvaha!$D$8:$H$158,3,FALSE))&lt;4,"",LEFT(RIGHT(VLOOKUP(AA36,suvaha!$D$8:$H$158,3,FALSE),4),1))</f>
        <v/>
      </c>
      <c r="AT42" s="819"/>
      <c r="AU42" s="432" t="str">
        <f>IF(LEN(VLOOKUP(AA36,suvaha!$D$8:$H$158,3,FALSE))&lt;3,"",LEFT(RIGHT(VLOOKUP(AA36,suvaha!$D$8:$H$158,3,FALSE),3),1))</f>
        <v/>
      </c>
      <c r="AV42" s="434"/>
      <c r="AW42" s="432" t="str">
        <f>IF(LEN(VLOOKUP(AA36,suvaha!$D$8:$H$158,3,FALSE))&lt;2,"",LEFT(RIGHT(VLOOKUP(AA36,suvaha!$D$8:$H$158,3,FALSE),2),1))</f>
        <v/>
      </c>
      <c r="AX42" s="434"/>
      <c r="AY42" s="432" t="str">
        <f>IF(VLOOKUP(AA36,suvaha!$D$8:$H$85,3,FALSE)=0,"",IF(LEN(VLOOKUP(AA36,suvaha!$D$8:$H$158,3,FALSE))&lt;1,"",LEFT(RIGHT(VLOOKUP(AA36,suvaha!$D$8:$H$158,3,FALSE),1),1)))</f>
        <v/>
      </c>
      <c r="AZ42" s="827"/>
      <c r="BA42" s="448"/>
      <c r="BB42" s="442"/>
      <c r="BC42" s="442"/>
      <c r="BD42" s="442"/>
      <c r="BE42" s="442"/>
      <c r="BF42" s="442"/>
      <c r="BG42" s="442"/>
      <c r="BH42" s="442"/>
      <c r="BI42" s="442"/>
      <c r="BJ42" s="441"/>
      <c r="BK42" s="442"/>
      <c r="BL42" s="432" t="str">
        <f>IF(LEN(VLOOKUP(AA36,suvaha!$D$8:$H$158,5,FALSE))&lt;11,"",LEFT(RIGHT(VLOOKUP(AA36,suvaha!$D$8:$H$158,5,FALSE),11),1))</f>
        <v/>
      </c>
      <c r="BM42" s="255"/>
      <c r="BN42" s="432" t="str">
        <f>IF(LEN(VLOOKUP(AA36,suvaha!$D$8:$H$158,5,FALSE))&lt;10,"",LEFT(RIGHT(VLOOKUP(AA36,suvaha!$D$8:$H$158,5,FALSE),10),1))</f>
        <v/>
      </c>
      <c r="BO42" s="434"/>
      <c r="BP42" s="432" t="str">
        <f>IF(LEN(VLOOKUP(AA36,suvaha!$D$8:$H$158,5,FALSE))&lt;9,"",LEFT(RIGHT(VLOOKUP(AA36,suvaha!$D$8:$H$158,5,FALSE),9),1))</f>
        <v/>
      </c>
      <c r="BQ42" s="255"/>
      <c r="BR42" s="432" t="str">
        <f>IF(LEN(VLOOKUP(AA36,suvaha!$D$8:$H$158,5,FALSE))&lt;8,"",LEFT(RIGHT(VLOOKUP(AA36,suvaha!$D$8:$H$158,5,FALSE),8),1))</f>
        <v/>
      </c>
      <c r="BS42" s="434"/>
      <c r="BT42" s="432" t="str">
        <f>IF(LEN(VLOOKUP(AA36,suvaha!$D$8:$H$158,5,FALSE))&lt;7,"",LEFT(RIGHT(VLOOKUP(AA36,suvaha!$D$8:$H$158,5,FALSE),7),1))</f>
        <v/>
      </c>
      <c r="BU42" s="818"/>
      <c r="BV42" s="432" t="str">
        <f>IF(LEN(VLOOKUP(AA36,suvaha!$D$8:$H$158,5,FALSE))&lt;6,"",LEFT(RIGHT(VLOOKUP(AA36,suvaha!$D$8:$H$158,5,FALSE),6),1))</f>
        <v/>
      </c>
      <c r="BW42" s="434"/>
      <c r="BX42" s="432" t="str">
        <f>IF(LEN(VLOOKUP(AA36,suvaha!$D$8:$H$158,5,FALSE))&lt;5,"",LEFT(RIGHT(VLOOKUP(AA36,suvaha!$D$8:$H$158,5,FALSE),5),1))</f>
        <v/>
      </c>
      <c r="BY42" s="434"/>
      <c r="BZ42" s="432" t="str">
        <f>IF(LEN(VLOOKUP(AA36,suvaha!$D$8:$H$158,5,FALSE))&lt;4,"",LEFT(RIGHT(VLOOKUP(AA36,suvaha!$D$8:$H$158,5,FALSE),4),1))</f>
        <v/>
      </c>
      <c r="CA42" s="819"/>
      <c r="CB42" s="432" t="str">
        <f>IF(LEN(VLOOKUP(AA36,suvaha!$D$8:$H$158,5,FALSE))&lt;3,"",LEFT(RIGHT(VLOOKUP(AA36,suvaha!$D$8:$H$158,5,FALSE),3),1))</f>
        <v/>
      </c>
      <c r="CC42" s="434"/>
      <c r="CD42" s="432" t="str">
        <f>IF(LEN(VLOOKUP(AA36,suvaha!$D$8:$H$158,5,FALSE))&lt;2,"",LEFT(RIGHT(VLOOKUP(AA36,suvaha!$D$8:$H$158,5,FALSE),2),1))</f>
        <v/>
      </c>
      <c r="CE42" s="434"/>
      <c r="CF42" s="432" t="str">
        <f>IF(VLOOKUP(AA36,suvaha!$D$8:$H$85,5,FALSE)=0,"",IF(LEN(VLOOKUP(AA36,suvaha!$D$8:$H$158,5,FALSE))&lt;1,"",LEFT(RIGHT(VLOOKUP(AA36,suvaha!$D$8:$H$158,5,FALSE),1),1)))</f>
        <v/>
      </c>
      <c r="CG42" s="287"/>
      <c r="CH42" s="220"/>
    </row>
    <row r="43" spans="1:86" ht="3" customHeight="1">
      <c r="A43" s="220"/>
      <c r="B43" s="879"/>
      <c r="C43" s="879"/>
      <c r="D43" s="879"/>
      <c r="E43" s="877"/>
      <c r="F43" s="877"/>
      <c r="G43" s="862"/>
      <c r="H43" s="864"/>
      <c r="I43" s="864"/>
      <c r="J43" s="864"/>
      <c r="K43" s="864"/>
      <c r="L43" s="864"/>
      <c r="M43" s="864"/>
      <c r="N43" s="864"/>
      <c r="O43" s="864"/>
      <c r="P43" s="864"/>
      <c r="Q43" s="864"/>
      <c r="R43" s="864"/>
      <c r="S43" s="864"/>
      <c r="T43" s="864"/>
      <c r="U43" s="864"/>
      <c r="V43" s="864"/>
      <c r="W43" s="864"/>
      <c r="X43" s="864"/>
      <c r="Y43" s="864"/>
      <c r="Z43" s="864"/>
      <c r="AA43" s="866"/>
      <c r="AB43" s="866"/>
      <c r="AC43" s="866"/>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449"/>
      <c r="BB43" s="310"/>
      <c r="BC43" s="310"/>
      <c r="BD43" s="310"/>
      <c r="BE43" s="310"/>
      <c r="BF43" s="310"/>
      <c r="BG43" s="310"/>
      <c r="BH43" s="310"/>
      <c r="BI43" s="310"/>
      <c r="BJ43" s="443"/>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286"/>
    </row>
    <row r="44" spans="1:86" s="250" customFormat="1" ht="3" customHeight="1">
      <c r="A44" s="220"/>
      <c r="B44" s="879"/>
      <c r="C44" s="879"/>
      <c r="D44" s="879"/>
      <c r="E44" s="877" t="s">
        <v>1543</v>
      </c>
      <c r="F44" s="877"/>
      <c r="G44" s="862"/>
      <c r="H44" s="864" t="str">
        <f>Index!C98</f>
        <v>Ostatné pohľadávky voči prepojeným účtovným jednotkám (351A) - /391A/</v>
      </c>
      <c r="I44" s="864"/>
      <c r="J44" s="864"/>
      <c r="K44" s="864"/>
      <c r="L44" s="864"/>
      <c r="M44" s="864"/>
      <c r="N44" s="864"/>
      <c r="O44" s="864"/>
      <c r="P44" s="864"/>
      <c r="Q44" s="864"/>
      <c r="R44" s="864"/>
      <c r="S44" s="864"/>
      <c r="T44" s="864"/>
      <c r="U44" s="864"/>
      <c r="V44" s="864"/>
      <c r="W44" s="864"/>
      <c r="X44" s="864"/>
      <c r="Y44" s="864"/>
      <c r="Z44" s="864"/>
      <c r="AA44" s="866" t="s">
        <v>1603</v>
      </c>
      <c r="AB44" s="866"/>
      <c r="AC44" s="866"/>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67"/>
      <c r="BB44" s="867"/>
      <c r="BC44" s="867"/>
      <c r="BD44" s="867"/>
      <c r="BE44" s="867"/>
      <c r="BF44" s="867"/>
      <c r="BG44" s="867"/>
      <c r="BH44" s="867"/>
      <c r="BI44" s="867"/>
      <c r="BJ44" s="867"/>
      <c r="BK44" s="867"/>
      <c r="BL44" s="867"/>
      <c r="BM44" s="867"/>
      <c r="BN44" s="867"/>
      <c r="BO44" s="867"/>
      <c r="BP44" s="867"/>
      <c r="BQ44" s="867"/>
      <c r="BR44" s="304"/>
      <c r="BS44" s="304"/>
      <c r="BT44" s="304"/>
      <c r="BU44" s="304"/>
      <c r="BV44" s="304"/>
      <c r="BW44" s="446"/>
      <c r="BX44" s="304"/>
      <c r="BY44" s="304"/>
      <c r="BZ44" s="304"/>
      <c r="CA44" s="304"/>
      <c r="CB44" s="304"/>
      <c r="CC44" s="304"/>
      <c r="CD44" s="304"/>
      <c r="CE44" s="304"/>
      <c r="CF44" s="304"/>
      <c r="CG44" s="284"/>
      <c r="CH44" s="221"/>
    </row>
    <row r="45" spans="1:86" s="250" customFormat="1" ht="3" customHeight="1">
      <c r="A45" s="220"/>
      <c r="B45" s="879"/>
      <c r="C45" s="879"/>
      <c r="D45" s="879"/>
      <c r="E45" s="877"/>
      <c r="F45" s="877"/>
      <c r="G45" s="862"/>
      <c r="H45" s="864"/>
      <c r="I45" s="864"/>
      <c r="J45" s="864"/>
      <c r="K45" s="864"/>
      <c r="L45" s="864"/>
      <c r="M45" s="864"/>
      <c r="N45" s="864"/>
      <c r="O45" s="864"/>
      <c r="P45" s="864"/>
      <c r="Q45" s="864"/>
      <c r="R45" s="864"/>
      <c r="S45" s="864"/>
      <c r="T45" s="864"/>
      <c r="U45" s="864"/>
      <c r="V45" s="864"/>
      <c r="W45" s="864"/>
      <c r="X45" s="864"/>
      <c r="Y45" s="864"/>
      <c r="Z45" s="864"/>
      <c r="AA45" s="866"/>
      <c r="AB45" s="866"/>
      <c r="AC45" s="866"/>
      <c r="AD45" s="826"/>
      <c r="AE45" s="820"/>
      <c r="AF45" s="820"/>
      <c r="AG45" s="820"/>
      <c r="AH45" s="435"/>
      <c r="AI45" s="821"/>
      <c r="AJ45" s="821"/>
      <c r="AK45" s="821"/>
      <c r="AL45" s="821"/>
      <c r="AM45" s="821"/>
      <c r="AN45" s="818"/>
      <c r="AO45" s="822"/>
      <c r="AP45" s="822"/>
      <c r="AQ45" s="822"/>
      <c r="AR45" s="822"/>
      <c r="AS45" s="822"/>
      <c r="AT45" s="818"/>
      <c r="AU45" s="822"/>
      <c r="AV45" s="822"/>
      <c r="AW45" s="822"/>
      <c r="AX45" s="822"/>
      <c r="AY45" s="822"/>
      <c r="AZ45" s="827"/>
      <c r="BA45" s="826"/>
      <c r="BB45" s="820"/>
      <c r="BC45" s="820"/>
      <c r="BD45" s="820"/>
      <c r="BE45" s="435"/>
      <c r="BF45" s="821"/>
      <c r="BG45" s="821"/>
      <c r="BH45" s="821"/>
      <c r="BI45" s="821"/>
      <c r="BJ45" s="821"/>
      <c r="BK45" s="818"/>
      <c r="BL45" s="822"/>
      <c r="BM45" s="822"/>
      <c r="BN45" s="822"/>
      <c r="BO45" s="822"/>
      <c r="BP45" s="822"/>
      <c r="BQ45" s="819"/>
      <c r="BR45" s="822"/>
      <c r="BS45" s="822"/>
      <c r="BT45" s="822"/>
      <c r="BU45" s="822"/>
      <c r="BV45" s="822"/>
      <c r="BW45" s="441"/>
      <c r="BX45" s="442"/>
      <c r="BY45" s="442"/>
      <c r="BZ45" s="442"/>
      <c r="CA45" s="442"/>
      <c r="CB45" s="442"/>
      <c r="CC45" s="442"/>
      <c r="CD45" s="442"/>
      <c r="CE45" s="442"/>
      <c r="CF45" s="442"/>
      <c r="CG45" s="285"/>
      <c r="CH45" s="221"/>
    </row>
    <row r="46" spans="1:86" ht="15" customHeight="1">
      <c r="A46" s="220"/>
      <c r="B46" s="879"/>
      <c r="C46" s="879"/>
      <c r="D46" s="879"/>
      <c r="E46" s="877"/>
      <c r="F46" s="877"/>
      <c r="G46" s="862"/>
      <c r="H46" s="864"/>
      <c r="I46" s="864"/>
      <c r="J46" s="864"/>
      <c r="K46" s="864"/>
      <c r="L46" s="864"/>
      <c r="M46" s="864"/>
      <c r="N46" s="864"/>
      <c r="O46" s="864"/>
      <c r="P46" s="864"/>
      <c r="Q46" s="864"/>
      <c r="R46" s="864"/>
      <c r="S46" s="864"/>
      <c r="T46" s="864"/>
      <c r="U46" s="864"/>
      <c r="V46" s="864"/>
      <c r="W46" s="864"/>
      <c r="X46" s="864"/>
      <c r="Y46" s="864"/>
      <c r="Z46" s="864"/>
      <c r="AA46" s="866"/>
      <c r="AB46" s="866"/>
      <c r="AC46" s="866"/>
      <c r="AD46" s="826"/>
      <c r="AE46" s="432" t="str">
        <f>IF(LEN(VLOOKUP(AA44,suvaha!$D$8:$H$158,2,FALSE))&lt;11,"",LEFT(RIGHT(VLOOKUP(AA44,suvaha!$D$8:$H$158,2,FALSE),11),1))</f>
        <v/>
      </c>
      <c r="AF46" s="255"/>
      <c r="AG46" s="432" t="str">
        <f>IF(LEN(VLOOKUP(AA44,suvaha!$D$8:$H$158,2,FALSE))&lt;10,"",LEFT(RIGHT(VLOOKUP(AA44,suvaha!$D$8:$H$158,2,FALSE),10),1))</f>
        <v/>
      </c>
      <c r="AH46" s="434"/>
      <c r="AI46" s="432" t="str">
        <f>IF(LEN(VLOOKUP(AA44,suvaha!$D$8:$H$158,2,FALSE))&lt;9,"",LEFT(RIGHT(VLOOKUP(AA44,suvaha!$D$8:$H$158,2,FALSE),9),1))</f>
        <v/>
      </c>
      <c r="AJ46" s="255"/>
      <c r="AK46" s="432" t="str">
        <f>IF(LEN(VLOOKUP(AA44,suvaha!$D$8:$H$158,2,FALSE))&lt;8,"",LEFT(RIGHT(VLOOKUP(AA44,suvaha!$D$8:$H$158,2,FALSE),8),1))</f>
        <v/>
      </c>
      <c r="AL46" s="434"/>
      <c r="AM46" s="432" t="str">
        <f>IF(LEN(VLOOKUP(AA44,suvaha!$D$8:$H$158,2,FALSE))&lt;7,"",LEFT(RIGHT(VLOOKUP(AA44,suvaha!$D$8:$H$158,2,FALSE),7),1))</f>
        <v/>
      </c>
      <c r="AN46" s="818"/>
      <c r="AO46" s="432" t="str">
        <f>IF(LEN(VLOOKUP(AA44,suvaha!$D$8:$H$158,2,FALSE))&lt;6,"",LEFT(RIGHT(VLOOKUP(AA44,suvaha!$D$8:$H$158,2,FALSE),6),1))</f>
        <v/>
      </c>
      <c r="AP46" s="434"/>
      <c r="AQ46" s="432" t="str">
        <f>IF(LEN(VLOOKUP(AA44,suvaha!$D$8:$H$158,2,FALSE))&lt;5,"",LEFT(RIGHT(VLOOKUP(AA44,suvaha!$D$8:$H$158,2,FALSE),5),1))</f>
        <v/>
      </c>
      <c r="AR46" s="434"/>
      <c r="AS46" s="432" t="str">
        <f>IF(LEN(VLOOKUP(AA44,suvaha!$D$8:$H$158,2,FALSE))&lt;4,"",LEFT(RIGHT(VLOOKUP(AA44,suvaha!$D$8:$H$158,2,FALSE),4),1))</f>
        <v/>
      </c>
      <c r="AT46" s="818"/>
      <c r="AU46" s="432" t="str">
        <f>IF(LEN(VLOOKUP(AA44,suvaha!$D$8:$H$158,2,FALSE))&lt;3,"",LEFT(RIGHT(VLOOKUP(AA44,suvaha!$D$8:$H$158,2,FALSE),3),1))</f>
        <v/>
      </c>
      <c r="AV46" s="434"/>
      <c r="AW46" s="432" t="str">
        <f>IF(LEN(VLOOKUP(AA44,suvaha!$D$8:$H$158,2,FALSE))&lt;2,"",LEFT(RIGHT(VLOOKUP(AA44,suvaha!$D$8:$H$158,2,FALSE),2),1))</f>
        <v/>
      </c>
      <c r="AX46" s="434"/>
      <c r="AY46" s="432" t="str">
        <f>IF(VLOOKUP(AA44,suvaha!$D$8:$H$85,2,FALSE)=0,"",IF(LEN(VLOOKUP(AA44,suvaha!$D$8:$H$158,2,FALSE))&lt;1,"",LEFT(RIGHT(VLOOKUP(AA44,suvaha!$D$8:$H$158,2,FALSE),1),1)))</f>
        <v/>
      </c>
      <c r="AZ46" s="827"/>
      <c r="BA46" s="826"/>
      <c r="BB46" s="432" t="str">
        <f>IF(LEN(VLOOKUP(AA44,suvaha!$D$8:$H$158,4,FALSE))&lt;11,"",LEFT(RIGHT(VLOOKUP(AA44,suvaha!$D$8:$H$158,4,FALSE),11),1))</f>
        <v/>
      </c>
      <c r="BC46" s="255"/>
      <c r="BD46" s="432" t="str">
        <f>IF(LEN(VLOOKUP(AA44,suvaha!$D$8:$H$158,4,FALSE))&lt;10,"",LEFT(RIGHT(VLOOKUP(AA44,suvaha!$D$8:$H$158,4,FALSE),10),1))</f>
        <v/>
      </c>
      <c r="BE46" s="434"/>
      <c r="BF46" s="432" t="str">
        <f>IF(LEN(VLOOKUP(AA44,suvaha!$D$8:$H$158,4,FALSE))&lt;9,"",LEFT(RIGHT(VLOOKUP(AA44,suvaha!$D$8:$H$158,4,FALSE),9),1))</f>
        <v/>
      </c>
      <c r="BG46" s="255"/>
      <c r="BH46" s="432" t="str">
        <f>IF(LEN(VLOOKUP(AA44,suvaha!$D$8:$H$158,4,FALSE))&lt;8,"",LEFT(RIGHT(VLOOKUP(AA44,suvaha!$D$8:$H$158,4,FALSE),8),1))</f>
        <v/>
      </c>
      <c r="BI46" s="434"/>
      <c r="BJ46" s="432" t="str">
        <f>IF(LEN(VLOOKUP(AA44,suvaha!$D$8:$H$158,4,FALSE))&lt;7,"",LEFT(RIGHT(VLOOKUP(AA44,suvaha!$D$8:$H$158,4,FALSE),7),1))</f>
        <v/>
      </c>
      <c r="BK46" s="818"/>
      <c r="BL46" s="432" t="str">
        <f>IF(LEN(VLOOKUP(AA44,suvaha!$D$8:$H$158,4,FALSE))&lt;6,"",LEFT(RIGHT(VLOOKUP(AA44,suvaha!$D$8:$H$158,4,FALSE),6),1))</f>
        <v/>
      </c>
      <c r="BM46" s="434"/>
      <c r="BN46" s="432" t="str">
        <f>IF(LEN(VLOOKUP(AA44,suvaha!$D$8:$H$158,4,FALSE))&lt;5,"",LEFT(RIGHT(VLOOKUP(AA44,suvaha!$D$8:$H$158,4,FALSE),5),1))</f>
        <v/>
      </c>
      <c r="BO46" s="434"/>
      <c r="BP46" s="432" t="str">
        <f>IF(LEN(VLOOKUP(AA44,suvaha!$D$8:$H$158,4,FALSE))&lt;4,"",LEFT(RIGHT(VLOOKUP(AA44,suvaha!$D$8:$H$158,4,FALSE),4),1))</f>
        <v/>
      </c>
      <c r="BQ46" s="819"/>
      <c r="BR46" s="432" t="str">
        <f>IF(LEN(VLOOKUP(AA44,suvaha!$D$8:$H$158,4,FALSE))&lt;3,"",LEFT(RIGHT(VLOOKUP(AA44,suvaha!$D$8:$H$158,4,FALSE),3),1))</f>
        <v/>
      </c>
      <c r="BS46" s="434"/>
      <c r="BT46" s="432" t="str">
        <f>IF(LEN(VLOOKUP(AA44,suvaha!$D$8:$H$158,4,FALSE))&lt;2,"",LEFT(RIGHT(VLOOKUP(AA44,suvaha!$D$8:$H$158,4,FALSE),2),1))</f>
        <v/>
      </c>
      <c r="BU46" s="434"/>
      <c r="BV46" s="432" t="str">
        <f>IF(VLOOKUP(AA44,suvaha!$D$8:$H$85,4,FALSE)=0,"",IF(LEN(VLOOKUP(AA44,suvaha!$D$8:$H$158,4,FALSE))&lt;1,"",LEFT(RIGHT(VLOOKUP(AA44,suvaha!$D$8:$H$158,4,FALSE),1),1)))</f>
        <v/>
      </c>
      <c r="BW46" s="441"/>
      <c r="BX46" s="442"/>
      <c r="BY46" s="442"/>
      <c r="BZ46" s="442"/>
      <c r="CA46" s="442"/>
      <c r="CB46" s="442"/>
      <c r="CC46" s="442"/>
      <c r="CD46" s="442"/>
      <c r="CE46" s="442"/>
      <c r="CF46" s="442"/>
      <c r="CG46" s="285"/>
    </row>
    <row r="47" spans="1:86" ht="3" customHeight="1">
      <c r="A47" s="220"/>
      <c r="B47" s="879"/>
      <c r="C47" s="879"/>
      <c r="D47" s="879"/>
      <c r="E47" s="877"/>
      <c r="F47" s="877"/>
      <c r="G47" s="862"/>
      <c r="H47" s="864"/>
      <c r="I47" s="864"/>
      <c r="J47" s="864"/>
      <c r="K47" s="864"/>
      <c r="L47" s="864"/>
      <c r="M47" s="864"/>
      <c r="N47" s="864"/>
      <c r="O47" s="864"/>
      <c r="P47" s="864"/>
      <c r="Q47" s="864"/>
      <c r="R47" s="864"/>
      <c r="S47" s="864"/>
      <c r="T47" s="864"/>
      <c r="U47" s="864"/>
      <c r="V47" s="864"/>
      <c r="W47" s="864"/>
      <c r="X47" s="864"/>
      <c r="Y47" s="864"/>
      <c r="Z47" s="864"/>
      <c r="AA47" s="866"/>
      <c r="AB47" s="866"/>
      <c r="AC47" s="866"/>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6"/>
      <c r="BB47" s="846"/>
      <c r="BC47" s="846"/>
      <c r="BD47" s="846"/>
      <c r="BE47" s="846"/>
      <c r="BF47" s="846"/>
      <c r="BG47" s="846"/>
      <c r="BH47" s="846"/>
      <c r="BI47" s="846"/>
      <c r="BJ47" s="846"/>
      <c r="BK47" s="846"/>
      <c r="BL47" s="846"/>
      <c r="BM47" s="846"/>
      <c r="BN47" s="846"/>
      <c r="BO47" s="846"/>
      <c r="BP47" s="846"/>
      <c r="BQ47" s="846"/>
      <c r="BR47" s="310"/>
      <c r="BS47" s="310"/>
      <c r="BT47" s="310"/>
      <c r="BU47" s="310"/>
      <c r="BV47" s="310"/>
      <c r="BW47" s="443"/>
      <c r="BX47" s="310"/>
      <c r="BY47" s="310"/>
      <c r="BZ47" s="310"/>
      <c r="CA47" s="310"/>
      <c r="CB47" s="310"/>
      <c r="CC47" s="310"/>
      <c r="CD47" s="310"/>
      <c r="CE47" s="310"/>
      <c r="CF47" s="310"/>
      <c r="CG47" s="286"/>
    </row>
    <row r="48" spans="1:86" ht="3" customHeight="1">
      <c r="A48" s="220"/>
      <c r="B48" s="879"/>
      <c r="C48" s="879"/>
      <c r="D48" s="879"/>
      <c r="E48" s="877"/>
      <c r="F48" s="877"/>
      <c r="G48" s="862"/>
      <c r="H48" s="864"/>
      <c r="I48" s="864"/>
      <c r="J48" s="864"/>
      <c r="K48" s="864"/>
      <c r="L48" s="864"/>
      <c r="M48" s="864"/>
      <c r="N48" s="864"/>
      <c r="O48" s="864"/>
      <c r="P48" s="864"/>
      <c r="Q48" s="864"/>
      <c r="R48" s="864"/>
      <c r="S48" s="864"/>
      <c r="T48" s="864"/>
      <c r="U48" s="864"/>
      <c r="V48" s="864"/>
      <c r="W48" s="864"/>
      <c r="X48" s="864"/>
      <c r="Y48" s="864"/>
      <c r="Z48" s="864"/>
      <c r="AA48" s="866"/>
      <c r="AB48" s="866"/>
      <c r="AC48" s="866"/>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447"/>
      <c r="BB48" s="304"/>
      <c r="BC48" s="304"/>
      <c r="BD48" s="304"/>
      <c r="BE48" s="304"/>
      <c r="BF48" s="304"/>
      <c r="BG48" s="304"/>
      <c r="BH48" s="304"/>
      <c r="BI48" s="304"/>
      <c r="BJ48" s="446"/>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284"/>
    </row>
    <row r="49" spans="1:86" ht="3" customHeight="1">
      <c r="A49" s="220"/>
      <c r="B49" s="879"/>
      <c r="C49" s="879"/>
      <c r="D49" s="879"/>
      <c r="E49" s="877"/>
      <c r="F49" s="877"/>
      <c r="G49" s="862"/>
      <c r="H49" s="864"/>
      <c r="I49" s="864"/>
      <c r="J49" s="864"/>
      <c r="K49" s="864"/>
      <c r="L49" s="864"/>
      <c r="M49" s="864"/>
      <c r="N49" s="864"/>
      <c r="O49" s="864"/>
      <c r="P49" s="864"/>
      <c r="Q49" s="864"/>
      <c r="R49" s="864"/>
      <c r="S49" s="864"/>
      <c r="T49" s="864"/>
      <c r="U49" s="864"/>
      <c r="V49" s="864"/>
      <c r="W49" s="864"/>
      <c r="X49" s="864"/>
      <c r="Y49" s="864"/>
      <c r="Z49" s="864"/>
      <c r="AA49" s="866"/>
      <c r="AB49" s="866"/>
      <c r="AC49" s="866"/>
      <c r="AD49" s="826"/>
      <c r="AE49" s="820"/>
      <c r="AF49" s="820"/>
      <c r="AG49" s="820"/>
      <c r="AH49" s="435"/>
      <c r="AI49" s="821"/>
      <c r="AJ49" s="821"/>
      <c r="AK49" s="821"/>
      <c r="AL49" s="821"/>
      <c r="AM49" s="821"/>
      <c r="AN49" s="818"/>
      <c r="AO49" s="822"/>
      <c r="AP49" s="822"/>
      <c r="AQ49" s="822"/>
      <c r="AR49" s="822"/>
      <c r="AS49" s="822"/>
      <c r="AT49" s="818"/>
      <c r="AU49" s="822"/>
      <c r="AV49" s="822"/>
      <c r="AW49" s="822"/>
      <c r="AX49" s="822"/>
      <c r="AY49" s="822"/>
      <c r="AZ49" s="827"/>
      <c r="BA49" s="448"/>
      <c r="BB49" s="442"/>
      <c r="BC49" s="442"/>
      <c r="BD49" s="442"/>
      <c r="BE49" s="442"/>
      <c r="BF49" s="442"/>
      <c r="BG49" s="442"/>
      <c r="BH49" s="442"/>
      <c r="BI49" s="442"/>
      <c r="BJ49" s="441"/>
      <c r="BK49" s="442"/>
      <c r="BL49" s="820"/>
      <c r="BM49" s="820"/>
      <c r="BN49" s="820"/>
      <c r="BO49" s="442"/>
      <c r="BP49" s="444"/>
      <c r="BQ49" s="444"/>
      <c r="BR49" s="444"/>
      <c r="BS49" s="444"/>
      <c r="BT49" s="444"/>
      <c r="BU49" s="442"/>
      <c r="BV49" s="444"/>
      <c r="BW49" s="444"/>
      <c r="BX49" s="444"/>
      <c r="BY49" s="444"/>
      <c r="BZ49" s="444"/>
      <c r="CA49" s="445"/>
      <c r="CB49" s="444"/>
      <c r="CC49" s="444"/>
      <c r="CD49" s="444"/>
      <c r="CE49" s="444"/>
      <c r="CF49" s="444"/>
      <c r="CG49" s="287"/>
    </row>
    <row r="50" spans="1:86" ht="15" customHeight="1">
      <c r="A50" s="220"/>
      <c r="B50" s="879"/>
      <c r="C50" s="879"/>
      <c r="D50" s="879"/>
      <c r="E50" s="877"/>
      <c r="F50" s="877"/>
      <c r="G50" s="862"/>
      <c r="H50" s="864"/>
      <c r="I50" s="864"/>
      <c r="J50" s="864"/>
      <c r="K50" s="864"/>
      <c r="L50" s="864"/>
      <c r="M50" s="864"/>
      <c r="N50" s="864"/>
      <c r="O50" s="864"/>
      <c r="P50" s="864"/>
      <c r="Q50" s="864"/>
      <c r="R50" s="864"/>
      <c r="S50" s="864"/>
      <c r="T50" s="864"/>
      <c r="U50" s="864"/>
      <c r="V50" s="864"/>
      <c r="W50" s="864"/>
      <c r="X50" s="864"/>
      <c r="Y50" s="864"/>
      <c r="Z50" s="864"/>
      <c r="AA50" s="866"/>
      <c r="AB50" s="866"/>
      <c r="AC50" s="866"/>
      <c r="AD50" s="826"/>
      <c r="AE50" s="432" t="str">
        <f>IF(LEN(VLOOKUP(AA44,suvaha!$D$8:$H$158,3,FALSE))&lt;11,"",LEFT(RIGHT(VLOOKUP(AA44,suvaha!$D$8:$H$158,3,FALSE),11),1))</f>
        <v/>
      </c>
      <c r="AF50" s="255"/>
      <c r="AG50" s="432" t="str">
        <f>IF(LEN(VLOOKUP(AA44,suvaha!$D$8:$H$158,3,FALSE))&lt;10,"",LEFT(RIGHT(VLOOKUP(AA44,suvaha!$D$8:$H$158,3,FALSE),10),1))</f>
        <v/>
      </c>
      <c r="AH50" s="434"/>
      <c r="AI50" s="432" t="str">
        <f>IF(LEN(VLOOKUP(AA44,suvaha!$D$8:$H$158,3,FALSE))&lt;9,"",LEFT(RIGHT(VLOOKUP(AA44,suvaha!$D$8:$H$158,3,FALSE),9),1))</f>
        <v/>
      </c>
      <c r="AJ50" s="255"/>
      <c r="AK50" s="432" t="str">
        <f>IF(LEN(VLOOKUP(AA44,suvaha!$D$8:$H$158,3,FALSE))&lt;8,"",LEFT(RIGHT(VLOOKUP(AA44,suvaha!$D$8:$H$158,3,FALSE),8),1))</f>
        <v/>
      </c>
      <c r="AL50" s="434"/>
      <c r="AM50" s="432" t="str">
        <f>IF(LEN(VLOOKUP(AA44,suvaha!$D$8:$H$158,3,FALSE))&lt;7,"",LEFT(RIGHT(VLOOKUP(AA44,suvaha!$D$8:$H$158,3,FALSE),7),1))</f>
        <v/>
      </c>
      <c r="AN50" s="818"/>
      <c r="AO50" s="432" t="str">
        <f>IF(LEN(VLOOKUP(AA44,suvaha!$D$8:$H$158,3,FALSE))&lt;6,"",LEFT(RIGHT(VLOOKUP(AA44,suvaha!$D$8:$H$158,3,FALSE),6),1))</f>
        <v/>
      </c>
      <c r="AP50" s="434"/>
      <c r="AQ50" s="432" t="str">
        <f>IF(LEN(VLOOKUP(AA44,suvaha!$D$8:$H$158,3,FALSE))&lt;5,"",LEFT(RIGHT(VLOOKUP(AA44,suvaha!$D$8:$H$158,3,FALSE),5),1))</f>
        <v/>
      </c>
      <c r="AR50" s="434"/>
      <c r="AS50" s="432" t="str">
        <f>IF(LEN(VLOOKUP(AA44,suvaha!$D$8:$H$158,3,FALSE))&lt;4,"",LEFT(RIGHT(VLOOKUP(AA44,suvaha!$D$8:$H$158,3,FALSE),4),1))</f>
        <v/>
      </c>
      <c r="AT50" s="818"/>
      <c r="AU50" s="432" t="str">
        <f>IF(LEN(VLOOKUP(AA44,suvaha!$D$8:$H$158,3,FALSE))&lt;3,"",LEFT(RIGHT(VLOOKUP(AA44,suvaha!$D$8:$H$158,3,FALSE),3),1))</f>
        <v/>
      </c>
      <c r="AV50" s="434"/>
      <c r="AW50" s="432" t="str">
        <f>IF(LEN(VLOOKUP(AA44,suvaha!$D$8:$H$158,3,FALSE))&lt;2,"",LEFT(RIGHT(VLOOKUP(AA44,suvaha!$D$8:$H$158,3,FALSE),2),1))</f>
        <v/>
      </c>
      <c r="AX50" s="434"/>
      <c r="AY50" s="432" t="str">
        <f>IF(VLOOKUP(AA44,suvaha!$D$8:$H$85,3,FALSE)=0,"",IF(LEN(VLOOKUP(AA44,suvaha!$D$8:$H$158,3,FALSE))&lt;1,"",LEFT(RIGHT(VLOOKUP(AA44,suvaha!$D$8:$H$158,3,FALSE),1),1)))</f>
        <v/>
      </c>
      <c r="AZ50" s="827"/>
      <c r="BA50" s="448"/>
      <c r="BB50" s="442"/>
      <c r="BC50" s="442"/>
      <c r="BD50" s="442"/>
      <c r="BE50" s="442"/>
      <c r="BF50" s="442"/>
      <c r="BG50" s="442"/>
      <c r="BH50" s="442"/>
      <c r="BI50" s="442"/>
      <c r="BJ50" s="441"/>
      <c r="BK50" s="442"/>
      <c r="BL50" s="432" t="str">
        <f>IF(LEN(VLOOKUP(AA44,suvaha!$D$8:$H$158,5,FALSE))&lt;11,"",LEFT(RIGHT(VLOOKUP(AA44,suvaha!$D$8:$H$158,5,FALSE),11),1))</f>
        <v/>
      </c>
      <c r="BM50" s="255"/>
      <c r="BN50" s="432" t="str">
        <f>IF(LEN(VLOOKUP(AA44,suvaha!$D$8:$H$158,5,FALSE))&lt;10,"",LEFT(RIGHT(VLOOKUP(AA44,suvaha!$D$8:$H$158,5,FALSE),10),1))</f>
        <v/>
      </c>
      <c r="BO50" s="442"/>
      <c r="BP50" s="432" t="str">
        <f>IF(LEN(VLOOKUP(AA44,suvaha!$D$8:$H$158,5,FALSE))&lt;9,"",LEFT(RIGHT(VLOOKUP(AA44,suvaha!$D$8:$H$158,5,FALSE),9),1))</f>
        <v/>
      </c>
      <c r="BQ50" s="434"/>
      <c r="BR50" s="432" t="str">
        <f>IF(LEN(VLOOKUP(AA44,suvaha!$D$8:$H$158,5,FALSE))&lt;8,"",LEFT(RIGHT(VLOOKUP(AA44,suvaha!$D$8:$H$158,5,FALSE),8),1))</f>
        <v/>
      </c>
      <c r="BS50" s="434"/>
      <c r="BT50" s="432" t="str">
        <f>IF(LEN(VLOOKUP(AA44,suvaha!$D$8:$H$158,5,FALSE))&lt;7,"",LEFT(RIGHT(VLOOKUP(AA44,suvaha!$D$8:$H$158,5,FALSE),7),1))</f>
        <v/>
      </c>
      <c r="BU50" s="442"/>
      <c r="BV50" s="432" t="str">
        <f>IF(LEN(VLOOKUP(AA44,suvaha!$D$8:$H$158,5,FALSE))&lt;6,"",LEFT(RIGHT(VLOOKUP(AA44,suvaha!$D$8:$H$158,5,FALSE),6),1))</f>
        <v/>
      </c>
      <c r="BW50" s="434"/>
      <c r="BX50" s="432" t="str">
        <f>IF(LEN(VLOOKUP(AA44,suvaha!$D$8:$H$158,5,FALSE))&lt;5,"",LEFT(RIGHT(VLOOKUP(AA44,suvaha!$D$8:$H$158,5,FALSE),5),1))</f>
        <v/>
      </c>
      <c r="BY50" s="434"/>
      <c r="BZ50" s="432" t="str">
        <f>IF(LEN(VLOOKUP(AA44,suvaha!$D$8:$H$158,5,FALSE))&lt;4,"",LEFT(RIGHT(VLOOKUP(AA44,suvaha!$D$8:$H$158,5,FALSE),4),1))</f>
        <v/>
      </c>
      <c r="CA50" s="445"/>
      <c r="CB50" s="432" t="str">
        <f>IF(LEN(VLOOKUP(AA44,suvaha!$D$8:$H$158,5,FALSE))&lt;3,"",LEFT(RIGHT(VLOOKUP(AA44,suvaha!$D$8:$H$158,5,FALSE),3),1))</f>
        <v/>
      </c>
      <c r="CC50" s="434"/>
      <c r="CD50" s="432" t="str">
        <f>IF(LEN(VLOOKUP(AA44,suvaha!$D$8:$H$158,5,FALSE))&lt;2,"",LEFT(RIGHT(VLOOKUP(AA44,suvaha!$D$8:$H$158,5,FALSE),2),1))</f>
        <v/>
      </c>
      <c r="CE50" s="434"/>
      <c r="CF50" s="432" t="str">
        <f>IF(VLOOKUP(AA44,suvaha!$D$8:$H$85,5,FALSE)=0,"",IF(LEN(VLOOKUP(AA44,suvaha!$D$8:$H$158,5,FALSE))&lt;1,"",LEFT(RIGHT(VLOOKUP(AA44,suvaha!$D$8:$H$158,5,FALSE),1),1)))</f>
        <v/>
      </c>
      <c r="CG50" s="287"/>
    </row>
    <row r="51" spans="1:86" ht="3" customHeight="1">
      <c r="A51" s="220"/>
      <c r="B51" s="879"/>
      <c r="C51" s="879"/>
      <c r="D51" s="879"/>
      <c r="E51" s="877"/>
      <c r="F51" s="877"/>
      <c r="G51" s="862"/>
      <c r="H51" s="864"/>
      <c r="I51" s="864"/>
      <c r="J51" s="864"/>
      <c r="K51" s="864"/>
      <c r="L51" s="864"/>
      <c r="M51" s="864"/>
      <c r="N51" s="864"/>
      <c r="O51" s="864"/>
      <c r="P51" s="864"/>
      <c r="Q51" s="864"/>
      <c r="R51" s="864"/>
      <c r="S51" s="864"/>
      <c r="T51" s="864"/>
      <c r="U51" s="864"/>
      <c r="V51" s="864"/>
      <c r="W51" s="864"/>
      <c r="X51" s="864"/>
      <c r="Y51" s="864"/>
      <c r="Z51" s="864"/>
      <c r="AA51" s="866"/>
      <c r="AB51" s="866"/>
      <c r="AC51" s="866"/>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449"/>
      <c r="BB51" s="310"/>
      <c r="BC51" s="310"/>
      <c r="BD51" s="310"/>
      <c r="BE51" s="310"/>
      <c r="BF51" s="310"/>
      <c r="BG51" s="310"/>
      <c r="BH51" s="310"/>
      <c r="BI51" s="310"/>
      <c r="BJ51" s="443"/>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286"/>
    </row>
    <row r="52" spans="1:86" s="250" customFormat="1" ht="3" customHeight="1">
      <c r="A52" s="220"/>
      <c r="B52" s="879"/>
      <c r="C52" s="879"/>
      <c r="D52" s="879"/>
      <c r="E52" s="877" t="s">
        <v>1544</v>
      </c>
      <c r="F52" s="877"/>
      <c r="G52" s="862"/>
      <c r="H52" s="947" t="str">
        <f>Index!C99</f>
        <v>Ostatné pohľadávky v rámci podielovej účasti okrem pohľadávok voči prepojeným účtovným jednotkám (351A) - /391A/</v>
      </c>
      <c r="I52" s="947"/>
      <c r="J52" s="947"/>
      <c r="K52" s="947"/>
      <c r="L52" s="947"/>
      <c r="M52" s="947"/>
      <c r="N52" s="947"/>
      <c r="O52" s="947"/>
      <c r="P52" s="947"/>
      <c r="Q52" s="947"/>
      <c r="R52" s="947"/>
      <c r="S52" s="947"/>
      <c r="T52" s="947"/>
      <c r="U52" s="947"/>
      <c r="V52" s="947"/>
      <c r="W52" s="947"/>
      <c r="X52" s="947"/>
      <c r="Y52" s="947"/>
      <c r="Z52" s="947"/>
      <c r="AA52" s="866" t="s">
        <v>1604</v>
      </c>
      <c r="AB52" s="866"/>
      <c r="AC52" s="866"/>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67"/>
      <c r="BB52" s="867"/>
      <c r="BC52" s="867"/>
      <c r="BD52" s="867"/>
      <c r="BE52" s="867"/>
      <c r="BF52" s="867"/>
      <c r="BG52" s="867"/>
      <c r="BH52" s="867"/>
      <c r="BI52" s="867"/>
      <c r="BJ52" s="867"/>
      <c r="BK52" s="867"/>
      <c r="BL52" s="867"/>
      <c r="BM52" s="867"/>
      <c r="BN52" s="867"/>
      <c r="BO52" s="867"/>
      <c r="BP52" s="867"/>
      <c r="BQ52" s="867"/>
      <c r="BR52" s="304"/>
      <c r="BS52" s="304"/>
      <c r="BT52" s="304"/>
      <c r="BU52" s="304"/>
      <c r="BV52" s="304"/>
      <c r="BW52" s="446"/>
      <c r="BX52" s="304"/>
      <c r="BY52" s="304"/>
      <c r="BZ52" s="304"/>
      <c r="CA52" s="304"/>
      <c r="CB52" s="304"/>
      <c r="CC52" s="304"/>
      <c r="CD52" s="304"/>
      <c r="CE52" s="304"/>
      <c r="CF52" s="304"/>
      <c r="CG52" s="284"/>
      <c r="CH52" s="221"/>
    </row>
    <row r="53" spans="1:86" s="250" customFormat="1" ht="3" customHeight="1">
      <c r="A53" s="220"/>
      <c r="B53" s="879"/>
      <c r="C53" s="879"/>
      <c r="D53" s="879"/>
      <c r="E53" s="877"/>
      <c r="F53" s="877"/>
      <c r="G53" s="862"/>
      <c r="H53" s="947"/>
      <c r="I53" s="947"/>
      <c r="J53" s="947"/>
      <c r="K53" s="947"/>
      <c r="L53" s="947"/>
      <c r="M53" s="947"/>
      <c r="N53" s="947"/>
      <c r="O53" s="947"/>
      <c r="P53" s="947"/>
      <c r="Q53" s="947"/>
      <c r="R53" s="947"/>
      <c r="S53" s="947"/>
      <c r="T53" s="947"/>
      <c r="U53" s="947"/>
      <c r="V53" s="947"/>
      <c r="W53" s="947"/>
      <c r="X53" s="947"/>
      <c r="Y53" s="947"/>
      <c r="Z53" s="947"/>
      <c r="AA53" s="866"/>
      <c r="AB53" s="866"/>
      <c r="AC53" s="866"/>
      <c r="AD53" s="826"/>
      <c r="AE53" s="820"/>
      <c r="AF53" s="820"/>
      <c r="AG53" s="820"/>
      <c r="AH53" s="435"/>
      <c r="AI53" s="821"/>
      <c r="AJ53" s="821"/>
      <c r="AK53" s="821"/>
      <c r="AL53" s="821"/>
      <c r="AM53" s="821"/>
      <c r="AN53" s="818"/>
      <c r="AO53" s="822"/>
      <c r="AP53" s="822"/>
      <c r="AQ53" s="822"/>
      <c r="AR53" s="822"/>
      <c r="AS53" s="822"/>
      <c r="AT53" s="818"/>
      <c r="AU53" s="822"/>
      <c r="AV53" s="822"/>
      <c r="AW53" s="822"/>
      <c r="AX53" s="822"/>
      <c r="AY53" s="822"/>
      <c r="AZ53" s="827"/>
      <c r="BA53" s="826"/>
      <c r="BB53" s="820"/>
      <c r="BC53" s="820"/>
      <c r="BD53" s="820"/>
      <c r="BE53" s="435"/>
      <c r="BF53" s="821"/>
      <c r="BG53" s="821"/>
      <c r="BH53" s="821"/>
      <c r="BI53" s="821"/>
      <c r="BJ53" s="821"/>
      <c r="BK53" s="818"/>
      <c r="BL53" s="822"/>
      <c r="BM53" s="822"/>
      <c r="BN53" s="822"/>
      <c r="BO53" s="822"/>
      <c r="BP53" s="822"/>
      <c r="BQ53" s="819"/>
      <c r="BR53" s="822"/>
      <c r="BS53" s="822"/>
      <c r="BT53" s="822"/>
      <c r="BU53" s="822"/>
      <c r="BV53" s="822"/>
      <c r="BW53" s="441"/>
      <c r="BX53" s="442"/>
      <c r="BY53" s="442"/>
      <c r="BZ53" s="442"/>
      <c r="CA53" s="442"/>
      <c r="CB53" s="442"/>
      <c r="CC53" s="442"/>
      <c r="CD53" s="442"/>
      <c r="CE53" s="442"/>
      <c r="CF53" s="442"/>
      <c r="CG53" s="285"/>
      <c r="CH53" s="221"/>
    </row>
    <row r="54" spans="1:86" ht="15" customHeight="1">
      <c r="A54" s="220"/>
      <c r="B54" s="879"/>
      <c r="C54" s="879"/>
      <c r="D54" s="879"/>
      <c r="E54" s="877"/>
      <c r="F54" s="877"/>
      <c r="G54" s="862"/>
      <c r="H54" s="947"/>
      <c r="I54" s="947"/>
      <c r="J54" s="947"/>
      <c r="K54" s="947"/>
      <c r="L54" s="947"/>
      <c r="M54" s="947"/>
      <c r="N54" s="947"/>
      <c r="O54" s="947"/>
      <c r="P54" s="947"/>
      <c r="Q54" s="947"/>
      <c r="R54" s="947"/>
      <c r="S54" s="947"/>
      <c r="T54" s="947"/>
      <c r="U54" s="947"/>
      <c r="V54" s="947"/>
      <c r="W54" s="947"/>
      <c r="X54" s="947"/>
      <c r="Y54" s="947"/>
      <c r="Z54" s="947"/>
      <c r="AA54" s="866"/>
      <c r="AB54" s="866"/>
      <c r="AC54" s="866"/>
      <c r="AD54" s="826"/>
      <c r="AE54" s="432" t="str">
        <f>IF(LEN(VLOOKUP(AA52,suvaha!$D$8:$H$158,2,FALSE))&lt;11,"",LEFT(RIGHT(VLOOKUP(AA52,suvaha!$D$8:$H$158,2,FALSE),11),1))</f>
        <v/>
      </c>
      <c r="AF54" s="255"/>
      <c r="AG54" s="432" t="str">
        <f>IF(LEN(VLOOKUP(AA52,suvaha!$D$8:$H$158,2,FALSE))&lt;10,"",LEFT(RIGHT(VLOOKUP(AA52,suvaha!$D$8:$H$158,2,FALSE),10),1))</f>
        <v/>
      </c>
      <c r="AH54" s="434"/>
      <c r="AI54" s="432" t="str">
        <f>IF(LEN(VLOOKUP(AA52,suvaha!$D$8:$H$158,2,FALSE))&lt;9,"",LEFT(RIGHT(VLOOKUP(AA52,suvaha!$D$8:$H$158,2,FALSE),9),1))</f>
        <v/>
      </c>
      <c r="AJ54" s="255"/>
      <c r="AK54" s="432" t="str">
        <f>IF(LEN(VLOOKUP(AA52,suvaha!$D$8:$H$158,2,FALSE))&lt;8,"",LEFT(RIGHT(VLOOKUP(AA52,suvaha!$D$8:$H$158,2,FALSE),8),1))</f>
        <v/>
      </c>
      <c r="AL54" s="434"/>
      <c r="AM54" s="432" t="str">
        <f>IF(LEN(VLOOKUP(AA52,suvaha!$D$8:$H$158,2,FALSE))&lt;7,"",LEFT(RIGHT(VLOOKUP(AA52,suvaha!$D$8:$H$158,2,FALSE),7),1))</f>
        <v/>
      </c>
      <c r="AN54" s="818"/>
      <c r="AO54" s="432" t="str">
        <f>IF(LEN(VLOOKUP(AA52,suvaha!$D$8:$H$158,2,FALSE))&lt;6,"",LEFT(RIGHT(VLOOKUP(AA52,suvaha!$D$8:$H$158,2,FALSE),6),1))</f>
        <v/>
      </c>
      <c r="AP54" s="434"/>
      <c r="AQ54" s="432" t="str">
        <f>IF(LEN(VLOOKUP(AA52,suvaha!$D$8:$H$158,2,FALSE))&lt;5,"",LEFT(RIGHT(VLOOKUP(AA52,suvaha!$D$8:$H$158,2,FALSE),5),1))</f>
        <v/>
      </c>
      <c r="AR54" s="434"/>
      <c r="AS54" s="432" t="str">
        <f>IF(LEN(VLOOKUP(AA52,suvaha!$D$8:$H$158,2,FALSE))&lt;4,"",LEFT(RIGHT(VLOOKUP(AA52,suvaha!$D$8:$H$158,2,FALSE),4),1))</f>
        <v/>
      </c>
      <c r="AT54" s="818"/>
      <c r="AU54" s="432" t="str">
        <f>IF(LEN(VLOOKUP(AA52,suvaha!$D$8:$H$158,2,FALSE))&lt;3,"",LEFT(RIGHT(VLOOKUP(AA52,suvaha!$D$8:$H$158,2,FALSE),3),1))</f>
        <v/>
      </c>
      <c r="AV54" s="434"/>
      <c r="AW54" s="432" t="str">
        <f>IF(LEN(VLOOKUP(AA52,suvaha!$D$8:$H$158,2,FALSE))&lt;2,"",LEFT(RIGHT(VLOOKUP(AA52,suvaha!$D$8:$H$158,2,FALSE),2),1))</f>
        <v/>
      </c>
      <c r="AX54" s="434"/>
      <c r="AY54" s="432" t="str">
        <f>IF(VLOOKUP(AA52,suvaha!$D$8:$H$85,2,FALSE)=0,"",IF(LEN(VLOOKUP(AA52,suvaha!$D$8:$H$158,2,FALSE))&lt;1,"",LEFT(RIGHT(VLOOKUP(AA52,suvaha!$D$8:$H$158,2,FALSE),1),1)))</f>
        <v/>
      </c>
      <c r="AZ54" s="827"/>
      <c r="BA54" s="826"/>
      <c r="BB54" s="432" t="str">
        <f>IF(LEN(VLOOKUP(AA52,suvaha!$D$8:$H$158,4,FALSE))&lt;11,"",LEFT(RIGHT(VLOOKUP(AA52,suvaha!$D$8:$H$158,4,FALSE),11),1))</f>
        <v/>
      </c>
      <c r="BC54" s="255"/>
      <c r="BD54" s="432" t="str">
        <f>IF(LEN(VLOOKUP(AA52,suvaha!$D$8:$H$158,4,FALSE))&lt;10,"",LEFT(RIGHT(VLOOKUP(AA52,suvaha!$D$8:$H$158,4,FALSE),10),1))</f>
        <v/>
      </c>
      <c r="BE54" s="434"/>
      <c r="BF54" s="432" t="str">
        <f>IF(LEN(VLOOKUP(AA52,suvaha!$D$8:$H$158,4,FALSE))&lt;9,"",LEFT(RIGHT(VLOOKUP(AA52,suvaha!$D$8:$H$158,4,FALSE),9),1))</f>
        <v/>
      </c>
      <c r="BG54" s="255"/>
      <c r="BH54" s="432" t="str">
        <f>IF(LEN(VLOOKUP(AA52,suvaha!$D$8:$H$158,4,FALSE))&lt;8,"",LEFT(RIGHT(VLOOKUP(AA52,suvaha!$D$8:$H$158,4,FALSE),8),1))</f>
        <v/>
      </c>
      <c r="BI54" s="434"/>
      <c r="BJ54" s="432" t="str">
        <f>IF(LEN(VLOOKUP(AA52,suvaha!$D$8:$H$158,4,FALSE))&lt;7,"",LEFT(RIGHT(VLOOKUP(AA52,suvaha!$D$8:$H$158,4,FALSE),7),1))</f>
        <v/>
      </c>
      <c r="BK54" s="818"/>
      <c r="BL54" s="432" t="str">
        <f>IF(LEN(VLOOKUP(AA52,suvaha!$D$8:$H$158,4,FALSE))&lt;6,"",LEFT(RIGHT(VLOOKUP(AA52,suvaha!$D$8:$H$158,4,FALSE),6),1))</f>
        <v/>
      </c>
      <c r="BM54" s="434"/>
      <c r="BN54" s="432" t="str">
        <f>IF(LEN(VLOOKUP(AA52,suvaha!$D$8:$H$158,4,FALSE))&lt;5,"",LEFT(RIGHT(VLOOKUP(AA52,suvaha!$D$8:$H$158,4,FALSE),5),1))</f>
        <v/>
      </c>
      <c r="BO54" s="434"/>
      <c r="BP54" s="432" t="str">
        <f>IF(LEN(VLOOKUP(AA52,suvaha!$D$8:$H$158,4,FALSE))&lt;4,"",LEFT(RIGHT(VLOOKUP(AA52,suvaha!$D$8:$H$158,4,FALSE),4),1))</f>
        <v/>
      </c>
      <c r="BQ54" s="819"/>
      <c r="BR54" s="432" t="str">
        <f>IF(LEN(VLOOKUP(AA52,suvaha!$D$8:$H$158,4,FALSE))&lt;3,"",LEFT(RIGHT(VLOOKUP(AA52,suvaha!$D$8:$H$158,4,FALSE),3),1))</f>
        <v/>
      </c>
      <c r="BS54" s="434"/>
      <c r="BT54" s="432" t="str">
        <f>IF(LEN(VLOOKUP(AA52,suvaha!$D$8:$H$158,4,FALSE))&lt;2,"",LEFT(RIGHT(VLOOKUP(AA52,suvaha!$D$8:$H$158,4,FALSE),2),1))</f>
        <v/>
      </c>
      <c r="BU54" s="434"/>
      <c r="BV54" s="432" t="str">
        <f>IF(VLOOKUP(AA52,suvaha!$D$8:$H$85,4,FALSE)=0,"",IF(LEN(VLOOKUP(AA52,suvaha!$D$8:$H$158,4,FALSE))&lt;1,"",LEFT(RIGHT(VLOOKUP(AA52,suvaha!$D$8:$H$158,4,FALSE),1),1)))</f>
        <v/>
      </c>
      <c r="BW54" s="441"/>
      <c r="BX54" s="442"/>
      <c r="BY54" s="442"/>
      <c r="BZ54" s="442"/>
      <c r="CA54" s="442"/>
      <c r="CB54" s="442"/>
      <c r="CC54" s="442"/>
      <c r="CD54" s="442"/>
      <c r="CE54" s="442"/>
      <c r="CF54" s="442"/>
      <c r="CG54" s="285"/>
    </row>
    <row r="55" spans="1:86" ht="2.25" customHeight="1">
      <c r="A55" s="220"/>
      <c r="B55" s="879"/>
      <c r="C55" s="879"/>
      <c r="D55" s="879"/>
      <c r="E55" s="877"/>
      <c r="F55" s="877"/>
      <c r="G55" s="862"/>
      <c r="H55" s="947"/>
      <c r="I55" s="947"/>
      <c r="J55" s="947"/>
      <c r="K55" s="947"/>
      <c r="L55" s="947"/>
      <c r="M55" s="947"/>
      <c r="N55" s="947"/>
      <c r="O55" s="947"/>
      <c r="P55" s="947"/>
      <c r="Q55" s="947"/>
      <c r="R55" s="947"/>
      <c r="S55" s="947"/>
      <c r="T55" s="947"/>
      <c r="U55" s="947"/>
      <c r="V55" s="947"/>
      <c r="W55" s="947"/>
      <c r="X55" s="947"/>
      <c r="Y55" s="947"/>
      <c r="Z55" s="947"/>
      <c r="AA55" s="866"/>
      <c r="AB55" s="866"/>
      <c r="AC55" s="866"/>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6"/>
      <c r="BB55" s="846"/>
      <c r="BC55" s="846"/>
      <c r="BD55" s="846"/>
      <c r="BE55" s="846"/>
      <c r="BF55" s="846"/>
      <c r="BG55" s="846"/>
      <c r="BH55" s="846"/>
      <c r="BI55" s="846"/>
      <c r="BJ55" s="846"/>
      <c r="BK55" s="846"/>
      <c r="BL55" s="846"/>
      <c r="BM55" s="846"/>
      <c r="BN55" s="846"/>
      <c r="BO55" s="846"/>
      <c r="BP55" s="846"/>
      <c r="BQ55" s="846"/>
      <c r="BR55" s="310"/>
      <c r="BS55" s="310"/>
      <c r="BT55" s="310"/>
      <c r="BU55" s="310"/>
      <c r="BV55" s="310"/>
      <c r="BW55" s="443"/>
      <c r="BX55" s="310"/>
      <c r="BY55" s="310"/>
      <c r="BZ55" s="310"/>
      <c r="CA55" s="310"/>
      <c r="CB55" s="310"/>
      <c r="CC55" s="310"/>
      <c r="CD55" s="310"/>
      <c r="CE55" s="310"/>
      <c r="CF55" s="310"/>
      <c r="CG55" s="286"/>
    </row>
    <row r="56" spans="1:86" ht="2.25" customHeight="1">
      <c r="A56" s="220"/>
      <c r="B56" s="879"/>
      <c r="C56" s="879"/>
      <c r="D56" s="879"/>
      <c r="E56" s="877"/>
      <c r="F56" s="877"/>
      <c r="G56" s="862"/>
      <c r="H56" s="947"/>
      <c r="I56" s="947"/>
      <c r="J56" s="947"/>
      <c r="K56" s="947"/>
      <c r="L56" s="947"/>
      <c r="M56" s="947"/>
      <c r="N56" s="947"/>
      <c r="O56" s="947"/>
      <c r="P56" s="947"/>
      <c r="Q56" s="947"/>
      <c r="R56" s="947"/>
      <c r="S56" s="947"/>
      <c r="T56" s="947"/>
      <c r="U56" s="947"/>
      <c r="V56" s="947"/>
      <c r="W56" s="947"/>
      <c r="X56" s="947"/>
      <c r="Y56" s="947"/>
      <c r="Z56" s="947"/>
      <c r="AA56" s="866"/>
      <c r="AB56" s="866"/>
      <c r="AC56" s="866"/>
      <c r="AD56" s="825"/>
      <c r="AE56" s="825"/>
      <c r="AF56" s="825"/>
      <c r="AG56" s="825"/>
      <c r="AH56" s="825"/>
      <c r="AI56" s="825"/>
      <c r="AJ56" s="825"/>
      <c r="AK56" s="825"/>
      <c r="AL56" s="825"/>
      <c r="AM56" s="825"/>
      <c r="AN56" s="825"/>
      <c r="AO56" s="825"/>
      <c r="AP56" s="825"/>
      <c r="AQ56" s="825"/>
      <c r="AR56" s="825"/>
      <c r="AS56" s="825"/>
      <c r="AT56" s="825"/>
      <c r="AU56" s="825"/>
      <c r="AV56" s="825"/>
      <c r="AW56" s="825"/>
      <c r="AX56" s="825"/>
      <c r="AY56" s="825"/>
      <c r="AZ56" s="825"/>
      <c r="BA56" s="447"/>
      <c r="BB56" s="304"/>
      <c r="BC56" s="304"/>
      <c r="BD56" s="304"/>
      <c r="BE56" s="304"/>
      <c r="BF56" s="304"/>
      <c r="BG56" s="304"/>
      <c r="BH56" s="304"/>
      <c r="BI56" s="304"/>
      <c r="BJ56" s="446"/>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284"/>
    </row>
    <row r="57" spans="1:86" ht="2.25" customHeight="1">
      <c r="A57" s="220"/>
      <c r="B57" s="879"/>
      <c r="C57" s="879"/>
      <c r="D57" s="879"/>
      <c r="E57" s="877"/>
      <c r="F57" s="877"/>
      <c r="G57" s="862"/>
      <c r="H57" s="947"/>
      <c r="I57" s="947"/>
      <c r="J57" s="947"/>
      <c r="K57" s="947"/>
      <c r="L57" s="947"/>
      <c r="M57" s="947"/>
      <c r="N57" s="947"/>
      <c r="O57" s="947"/>
      <c r="P57" s="947"/>
      <c r="Q57" s="947"/>
      <c r="R57" s="947"/>
      <c r="S57" s="947"/>
      <c r="T57" s="947"/>
      <c r="U57" s="947"/>
      <c r="V57" s="947"/>
      <c r="W57" s="947"/>
      <c r="X57" s="947"/>
      <c r="Y57" s="947"/>
      <c r="Z57" s="947"/>
      <c r="AA57" s="866"/>
      <c r="AB57" s="866"/>
      <c r="AC57" s="866"/>
      <c r="AD57" s="826"/>
      <c r="AE57" s="820"/>
      <c r="AF57" s="820"/>
      <c r="AG57" s="820"/>
      <c r="AH57" s="435"/>
      <c r="AI57" s="821"/>
      <c r="AJ57" s="821"/>
      <c r="AK57" s="821"/>
      <c r="AL57" s="821"/>
      <c r="AM57" s="821"/>
      <c r="AN57" s="818"/>
      <c r="AO57" s="822"/>
      <c r="AP57" s="822"/>
      <c r="AQ57" s="822"/>
      <c r="AR57" s="822"/>
      <c r="AS57" s="822"/>
      <c r="AT57" s="819"/>
      <c r="AU57" s="822"/>
      <c r="AV57" s="822"/>
      <c r="AW57" s="822"/>
      <c r="AX57" s="822"/>
      <c r="AY57" s="822"/>
      <c r="AZ57" s="827"/>
      <c r="BA57" s="448"/>
      <c r="BB57" s="442"/>
      <c r="BC57" s="442"/>
      <c r="BD57" s="442"/>
      <c r="BE57" s="442"/>
      <c r="BF57" s="442"/>
      <c r="BG57" s="442"/>
      <c r="BH57" s="442"/>
      <c r="BI57" s="442"/>
      <c r="BJ57" s="441"/>
      <c r="BK57" s="442"/>
      <c r="BL57" s="820"/>
      <c r="BM57" s="820"/>
      <c r="BN57" s="820"/>
      <c r="BO57" s="435"/>
      <c r="BP57" s="821"/>
      <c r="BQ57" s="821"/>
      <c r="BR57" s="821"/>
      <c r="BS57" s="821"/>
      <c r="BT57" s="821"/>
      <c r="BU57" s="818"/>
      <c r="BV57" s="822"/>
      <c r="BW57" s="822"/>
      <c r="BX57" s="822"/>
      <c r="BY57" s="822"/>
      <c r="BZ57" s="822"/>
      <c r="CA57" s="819"/>
      <c r="CB57" s="822"/>
      <c r="CC57" s="822"/>
      <c r="CD57" s="822"/>
      <c r="CE57" s="822"/>
      <c r="CF57" s="822"/>
      <c r="CG57" s="287"/>
    </row>
    <row r="58" spans="1:86" ht="17.25" customHeight="1">
      <c r="A58" s="220"/>
      <c r="B58" s="879"/>
      <c r="C58" s="879"/>
      <c r="D58" s="879"/>
      <c r="E58" s="877"/>
      <c r="F58" s="877"/>
      <c r="G58" s="862"/>
      <c r="H58" s="947"/>
      <c r="I58" s="947"/>
      <c r="J58" s="947"/>
      <c r="K58" s="947"/>
      <c r="L58" s="947"/>
      <c r="M58" s="947"/>
      <c r="N58" s="947"/>
      <c r="O58" s="947"/>
      <c r="P58" s="947"/>
      <c r="Q58" s="947"/>
      <c r="R58" s="947"/>
      <c r="S58" s="947"/>
      <c r="T58" s="947"/>
      <c r="U58" s="947"/>
      <c r="V58" s="947"/>
      <c r="W58" s="947"/>
      <c r="X58" s="947"/>
      <c r="Y58" s="947"/>
      <c r="Z58" s="947"/>
      <c r="AA58" s="866"/>
      <c r="AB58" s="866"/>
      <c r="AC58" s="866"/>
      <c r="AD58" s="826"/>
      <c r="AE58" s="432" t="str">
        <f>IF(LEN(VLOOKUP(AA52,suvaha!$D$8:$H$158,3,FALSE))&lt;11,"",LEFT(RIGHT(VLOOKUP(AA52,suvaha!$D$8:$H$158,3,FALSE),11),1))</f>
        <v/>
      </c>
      <c r="AF58" s="255"/>
      <c r="AG58" s="432" t="str">
        <f>IF(LEN(VLOOKUP(AA52,suvaha!$D$8:$H$158,3,FALSE))&lt;10,"",LEFT(RIGHT(VLOOKUP(AA52,suvaha!$D$8:$H$158,3,FALSE),10),1))</f>
        <v/>
      </c>
      <c r="AH58" s="434"/>
      <c r="AI58" s="432" t="str">
        <f>IF(LEN(VLOOKUP(AA52,suvaha!$D$8:$H$158,3,FALSE))&lt;9,"",LEFT(RIGHT(VLOOKUP(AA52,suvaha!$D$8:$H$158,3,FALSE),9),1))</f>
        <v/>
      </c>
      <c r="AJ58" s="255"/>
      <c r="AK58" s="432" t="str">
        <f>IF(LEN(VLOOKUP(AA52,suvaha!$D$8:$H$158,3,FALSE))&lt;8,"",LEFT(RIGHT(VLOOKUP(AA52,suvaha!$D$8:$H$158,3,FALSE),8),1))</f>
        <v/>
      </c>
      <c r="AL58" s="434"/>
      <c r="AM58" s="432" t="str">
        <f>IF(LEN(VLOOKUP(AA52,suvaha!$D$8:$H$158,3,FALSE))&lt;7,"",LEFT(RIGHT(VLOOKUP(AA52,suvaha!$D$8:$H$158,3,FALSE),7),1))</f>
        <v/>
      </c>
      <c r="AN58" s="818"/>
      <c r="AO58" s="432" t="str">
        <f>IF(LEN(VLOOKUP(AA52,suvaha!$D$8:$H$158,3,FALSE))&lt;6,"",LEFT(RIGHT(VLOOKUP(AA52,suvaha!$D$8:$H$158,3,FALSE),6),1))</f>
        <v/>
      </c>
      <c r="AP58" s="434"/>
      <c r="AQ58" s="432" t="str">
        <f>IF(LEN(VLOOKUP(AA52,suvaha!$D$8:$H$158,3,FALSE))&lt;5,"",LEFT(RIGHT(VLOOKUP(AA52,suvaha!$D$8:$H$158,3,FALSE),5),1))</f>
        <v/>
      </c>
      <c r="AR58" s="434"/>
      <c r="AS58" s="432" t="str">
        <f>IF(LEN(VLOOKUP(AA52,suvaha!$D$8:$H$158,3,FALSE))&lt;4,"",LEFT(RIGHT(VLOOKUP(AA52,suvaha!$D$8:$H$158,3,FALSE),4),1))</f>
        <v/>
      </c>
      <c r="AT58" s="819"/>
      <c r="AU58" s="432" t="str">
        <f>IF(LEN(VLOOKUP(AA52,suvaha!$D$8:$H$158,3,FALSE))&lt;3,"",LEFT(RIGHT(VLOOKUP(AA52,suvaha!$D$8:$H$158,3,FALSE),3),1))</f>
        <v/>
      </c>
      <c r="AV58" s="434"/>
      <c r="AW58" s="432" t="str">
        <f>IF(LEN(VLOOKUP(AA52,suvaha!$D$8:$H$158,3,FALSE))&lt;2,"",LEFT(RIGHT(VLOOKUP(AA52,suvaha!$D$8:$H$158,3,FALSE),2),1))</f>
        <v/>
      </c>
      <c r="AX58" s="434"/>
      <c r="AY58" s="432" t="str">
        <f>IF(VLOOKUP(AA52,suvaha!$D$8:$H$85,3,FALSE)=0,"",IF(LEN(VLOOKUP(AA52,suvaha!$D$8:$H$158,3,FALSE))&lt;1,"",LEFT(RIGHT(VLOOKUP(AA52,suvaha!$D$8:$H$158,3,FALSE),1),1)))</f>
        <v/>
      </c>
      <c r="AZ58" s="827"/>
      <c r="BA58" s="448"/>
      <c r="BB58" s="442"/>
      <c r="BC58" s="442"/>
      <c r="BD58" s="442"/>
      <c r="BE58" s="442"/>
      <c r="BF58" s="442"/>
      <c r="BG58" s="442"/>
      <c r="BH58" s="442"/>
      <c r="BI58" s="442"/>
      <c r="BJ58" s="441"/>
      <c r="BK58" s="442"/>
      <c r="BL58" s="432" t="str">
        <f>IF(LEN(VLOOKUP(AA52,suvaha!$D$8:$H$158,5,FALSE))&lt;11,"",LEFT(RIGHT(VLOOKUP(AA52,suvaha!$D$8:$H$158,5,FALSE),11),1))</f>
        <v/>
      </c>
      <c r="BM58" s="255"/>
      <c r="BN58" s="432" t="str">
        <f>IF(LEN(VLOOKUP(AA52,suvaha!$D$8:$H$158,5,FALSE))&lt;10,"",LEFT(RIGHT(VLOOKUP(AA52,suvaha!$D$8:$H$158,5,FALSE),10),1))</f>
        <v/>
      </c>
      <c r="BO58" s="434"/>
      <c r="BP58" s="432" t="str">
        <f>IF(LEN(VLOOKUP(AA52,suvaha!$D$8:$H$158,5,FALSE))&lt;9,"",LEFT(RIGHT(VLOOKUP(AA52,suvaha!$D$8:$H$158,5,FALSE),9),1))</f>
        <v/>
      </c>
      <c r="BQ58" s="255"/>
      <c r="BR58" s="432" t="str">
        <f>IF(LEN(VLOOKUP(AA52,suvaha!$D$8:$H$158,5,FALSE))&lt;8,"",LEFT(RIGHT(VLOOKUP(AA52,suvaha!$D$8:$H$158,5,FALSE),8),1))</f>
        <v/>
      </c>
      <c r="BS58" s="434"/>
      <c r="BT58" s="432" t="str">
        <f>IF(LEN(VLOOKUP(AA52,suvaha!$D$8:$H$158,5,FALSE))&lt;7,"",LEFT(RIGHT(VLOOKUP(AA52,suvaha!$D$8:$H$158,5,FALSE),7),1))</f>
        <v/>
      </c>
      <c r="BU58" s="818"/>
      <c r="BV58" s="432" t="str">
        <f>IF(LEN(VLOOKUP(AA52,suvaha!$D$8:$H$158,5,FALSE))&lt;6,"",LEFT(RIGHT(VLOOKUP(AA52,suvaha!$D$8:$H$158,5,FALSE),6),1))</f>
        <v/>
      </c>
      <c r="BW58" s="434"/>
      <c r="BX58" s="432" t="str">
        <f>IF(LEN(VLOOKUP(AA52,suvaha!$D$8:$H$158,5,FALSE))&lt;5,"",LEFT(RIGHT(VLOOKUP(AA52,suvaha!$D$8:$H$158,5,FALSE),5),1))</f>
        <v/>
      </c>
      <c r="BY58" s="434"/>
      <c r="BZ58" s="432" t="str">
        <f>IF(LEN(VLOOKUP(AA52,suvaha!$D$8:$H$158,5,FALSE))&lt;4,"",LEFT(RIGHT(VLOOKUP(AA52,suvaha!$D$8:$H$158,5,FALSE),4),1))</f>
        <v/>
      </c>
      <c r="CA58" s="819"/>
      <c r="CB58" s="432" t="str">
        <f>IF(LEN(VLOOKUP(AA52,suvaha!$D$8:$H$158,5,FALSE))&lt;3,"",LEFT(RIGHT(VLOOKUP(AA52,suvaha!$D$8:$H$158,5,FALSE),3),1))</f>
        <v/>
      </c>
      <c r="CC58" s="434"/>
      <c r="CD58" s="432" t="str">
        <f>IF(LEN(VLOOKUP(AA52,suvaha!$D$8:$H$158,5,FALSE))&lt;2,"",LEFT(RIGHT(VLOOKUP(AA52,suvaha!$D$8:$H$158,5,FALSE),2),1))</f>
        <v/>
      </c>
      <c r="CE58" s="434"/>
      <c r="CF58" s="432" t="str">
        <f>IF(VLOOKUP(AA52,suvaha!$D$8:$H$85,5,FALSE)=0,"",IF(LEN(VLOOKUP(AA52,suvaha!$D$8:$H$158,5,FALSE))&lt;1,"",LEFT(RIGHT(VLOOKUP(AA52,suvaha!$D$8:$H$158,5,FALSE),1),1)))</f>
        <v/>
      </c>
      <c r="CG58" s="287"/>
    </row>
    <row r="59" spans="1:86">
      <c r="A59" s="220"/>
      <c r="B59" s="879"/>
      <c r="C59" s="879"/>
      <c r="D59" s="879"/>
      <c r="E59" s="877"/>
      <c r="F59" s="877"/>
      <c r="G59" s="862"/>
      <c r="H59" s="947"/>
      <c r="I59" s="947"/>
      <c r="J59" s="947"/>
      <c r="K59" s="947"/>
      <c r="L59" s="947"/>
      <c r="M59" s="947"/>
      <c r="N59" s="947"/>
      <c r="O59" s="947"/>
      <c r="P59" s="947"/>
      <c r="Q59" s="947"/>
      <c r="R59" s="947"/>
      <c r="S59" s="947"/>
      <c r="T59" s="947"/>
      <c r="U59" s="947"/>
      <c r="V59" s="947"/>
      <c r="W59" s="947"/>
      <c r="X59" s="947"/>
      <c r="Y59" s="947"/>
      <c r="Z59" s="947"/>
      <c r="AA59" s="866"/>
      <c r="AB59" s="866"/>
      <c r="AC59" s="866"/>
      <c r="AD59" s="848"/>
      <c r="AE59" s="848"/>
      <c r="AF59" s="848"/>
      <c r="AG59" s="848"/>
      <c r="AH59" s="848"/>
      <c r="AI59" s="848"/>
      <c r="AJ59" s="848"/>
      <c r="AK59" s="848"/>
      <c r="AL59" s="848"/>
      <c r="AM59" s="848"/>
      <c r="AN59" s="848"/>
      <c r="AO59" s="848"/>
      <c r="AP59" s="848"/>
      <c r="AQ59" s="848"/>
      <c r="AR59" s="848"/>
      <c r="AS59" s="848"/>
      <c r="AT59" s="848"/>
      <c r="AU59" s="848"/>
      <c r="AV59" s="848"/>
      <c r="AW59" s="848"/>
      <c r="AX59" s="848"/>
      <c r="AY59" s="848"/>
      <c r="AZ59" s="848"/>
      <c r="BA59" s="261"/>
      <c r="BB59" s="256"/>
      <c r="BC59" s="256"/>
      <c r="BD59" s="256"/>
      <c r="BE59" s="256"/>
      <c r="BF59" s="256"/>
      <c r="BG59" s="256"/>
      <c r="BH59" s="256"/>
      <c r="BI59" s="256"/>
      <c r="BJ59" s="257"/>
      <c r="BK59" s="256"/>
      <c r="BL59" s="256"/>
      <c r="BM59" s="256"/>
      <c r="BN59" s="256"/>
      <c r="BO59" s="256"/>
      <c r="BP59" s="256"/>
      <c r="BQ59" s="256"/>
      <c r="BR59" s="256"/>
      <c r="BS59" s="256"/>
      <c r="BT59" s="256"/>
      <c r="BU59" s="256"/>
      <c r="BV59" s="256"/>
      <c r="BW59" s="256"/>
      <c r="BX59" s="256"/>
      <c r="BY59" s="256"/>
      <c r="BZ59" s="256"/>
      <c r="CA59" s="256"/>
      <c r="CB59" s="256"/>
      <c r="CC59" s="256"/>
      <c r="CD59" s="256"/>
      <c r="CE59" s="256"/>
      <c r="CF59" s="256"/>
      <c r="CG59" s="286"/>
    </row>
    <row r="60" spans="1:86" s="250" customFormat="1" ht="3" customHeight="1">
      <c r="A60" s="220"/>
      <c r="B60" s="879"/>
      <c r="C60" s="879"/>
      <c r="D60" s="879"/>
      <c r="E60" s="877" t="s">
        <v>1545</v>
      </c>
      <c r="F60" s="877"/>
      <c r="G60" s="862"/>
      <c r="H60" s="864" t="str">
        <f>Index!C100</f>
        <v>Pohľadávky voči spoločníkom, členom a združeniu (354A, 355A, 358A, 35XA) - /391A/</v>
      </c>
      <c r="I60" s="864"/>
      <c r="J60" s="864"/>
      <c r="K60" s="864"/>
      <c r="L60" s="864"/>
      <c r="M60" s="864"/>
      <c r="N60" s="864"/>
      <c r="O60" s="864"/>
      <c r="P60" s="864"/>
      <c r="Q60" s="864"/>
      <c r="R60" s="864"/>
      <c r="S60" s="864"/>
      <c r="T60" s="864"/>
      <c r="U60" s="864"/>
      <c r="V60" s="864"/>
      <c r="W60" s="864"/>
      <c r="X60" s="864"/>
      <c r="Y60" s="864"/>
      <c r="Z60" s="864"/>
      <c r="AA60" s="866" t="s">
        <v>1605</v>
      </c>
      <c r="AB60" s="866"/>
      <c r="AC60" s="866"/>
      <c r="AD60" s="843"/>
      <c r="AE60" s="843"/>
      <c r="AF60" s="843"/>
      <c r="AG60" s="843"/>
      <c r="AH60" s="843"/>
      <c r="AI60" s="843"/>
      <c r="AJ60" s="843"/>
      <c r="AK60" s="843"/>
      <c r="AL60" s="843"/>
      <c r="AM60" s="843"/>
      <c r="AN60" s="843"/>
      <c r="AO60" s="843"/>
      <c r="AP60" s="843"/>
      <c r="AQ60" s="843"/>
      <c r="AR60" s="843"/>
      <c r="AS60" s="843"/>
      <c r="AT60" s="843"/>
      <c r="AU60" s="843"/>
      <c r="AV60" s="843"/>
      <c r="AW60" s="843"/>
      <c r="AX60" s="843"/>
      <c r="AY60" s="843"/>
      <c r="AZ60" s="843"/>
      <c r="BA60" s="844"/>
      <c r="BB60" s="844"/>
      <c r="BC60" s="844"/>
      <c r="BD60" s="844"/>
      <c r="BE60" s="844"/>
      <c r="BF60" s="844"/>
      <c r="BG60" s="844"/>
      <c r="BH60" s="844"/>
      <c r="BI60" s="844"/>
      <c r="BJ60" s="844"/>
      <c r="BK60" s="844"/>
      <c r="BL60" s="844"/>
      <c r="BM60" s="844"/>
      <c r="BN60" s="844"/>
      <c r="BO60" s="844"/>
      <c r="BP60" s="844"/>
      <c r="BQ60" s="844"/>
      <c r="BR60" s="251"/>
      <c r="BS60" s="251"/>
      <c r="BT60" s="251"/>
      <c r="BU60" s="251"/>
      <c r="BV60" s="251"/>
      <c r="BW60" s="252"/>
      <c r="BX60" s="251"/>
      <c r="BY60" s="251"/>
      <c r="BZ60" s="251"/>
      <c r="CA60" s="251"/>
      <c r="CB60" s="251"/>
      <c r="CC60" s="251"/>
      <c r="CD60" s="251"/>
      <c r="CE60" s="251"/>
      <c r="CF60" s="251"/>
      <c r="CG60" s="284"/>
      <c r="CH60" s="221"/>
    </row>
    <row r="61" spans="1:86" s="250" customFormat="1" ht="3" customHeight="1">
      <c r="A61" s="220"/>
      <c r="B61" s="879"/>
      <c r="C61" s="879"/>
      <c r="D61" s="879"/>
      <c r="E61" s="877"/>
      <c r="F61" s="877"/>
      <c r="G61" s="862"/>
      <c r="H61" s="864"/>
      <c r="I61" s="864"/>
      <c r="J61" s="864"/>
      <c r="K61" s="864"/>
      <c r="L61" s="864"/>
      <c r="M61" s="864"/>
      <c r="N61" s="864"/>
      <c r="O61" s="864"/>
      <c r="P61" s="864"/>
      <c r="Q61" s="864"/>
      <c r="R61" s="864"/>
      <c r="S61" s="864"/>
      <c r="T61" s="864"/>
      <c r="U61" s="864"/>
      <c r="V61" s="864"/>
      <c r="W61" s="864"/>
      <c r="X61" s="864"/>
      <c r="Y61" s="864"/>
      <c r="Z61" s="864"/>
      <c r="AA61" s="866"/>
      <c r="AB61" s="866"/>
      <c r="AC61" s="866"/>
      <c r="AD61" s="826"/>
      <c r="AE61" s="820"/>
      <c r="AF61" s="820"/>
      <c r="AG61" s="820"/>
      <c r="AH61" s="435"/>
      <c r="AI61" s="821"/>
      <c r="AJ61" s="821"/>
      <c r="AK61" s="821"/>
      <c r="AL61" s="821"/>
      <c r="AM61" s="821"/>
      <c r="AN61" s="818"/>
      <c r="AO61" s="822"/>
      <c r="AP61" s="822"/>
      <c r="AQ61" s="822"/>
      <c r="AR61" s="822"/>
      <c r="AS61" s="822"/>
      <c r="AT61" s="819"/>
      <c r="AU61" s="822"/>
      <c r="AV61" s="822"/>
      <c r="AW61" s="822"/>
      <c r="AX61" s="822"/>
      <c r="AY61" s="822"/>
      <c r="AZ61" s="827"/>
      <c r="BA61" s="826"/>
      <c r="BB61" s="820"/>
      <c r="BC61" s="820"/>
      <c r="BD61" s="820"/>
      <c r="BE61" s="435"/>
      <c r="BF61" s="821"/>
      <c r="BG61" s="821"/>
      <c r="BH61" s="821"/>
      <c r="BI61" s="821"/>
      <c r="BJ61" s="821"/>
      <c r="BK61" s="818"/>
      <c r="BL61" s="822"/>
      <c r="BM61" s="822"/>
      <c r="BN61" s="822"/>
      <c r="BO61" s="822"/>
      <c r="BP61" s="822"/>
      <c r="BQ61" s="819"/>
      <c r="BR61" s="822"/>
      <c r="BS61" s="822"/>
      <c r="BT61" s="822"/>
      <c r="BU61" s="822"/>
      <c r="BV61" s="822"/>
      <c r="BW61" s="441"/>
      <c r="BX61" s="442"/>
      <c r="BY61" s="442"/>
      <c r="BZ61" s="442"/>
      <c r="CA61" s="442"/>
      <c r="CB61" s="442"/>
      <c r="CC61" s="442"/>
      <c r="CD61" s="442"/>
      <c r="CE61" s="442"/>
      <c r="CF61" s="442"/>
      <c r="CG61" s="285"/>
      <c r="CH61" s="221"/>
    </row>
    <row r="62" spans="1:86" ht="15" customHeight="1">
      <c r="A62" s="220"/>
      <c r="B62" s="879"/>
      <c r="C62" s="879"/>
      <c r="D62" s="879"/>
      <c r="E62" s="877"/>
      <c r="F62" s="877"/>
      <c r="G62" s="862"/>
      <c r="H62" s="864"/>
      <c r="I62" s="864"/>
      <c r="J62" s="864"/>
      <c r="K62" s="864"/>
      <c r="L62" s="864"/>
      <c r="M62" s="864"/>
      <c r="N62" s="864"/>
      <c r="O62" s="864"/>
      <c r="P62" s="864"/>
      <c r="Q62" s="864"/>
      <c r="R62" s="864"/>
      <c r="S62" s="864"/>
      <c r="T62" s="864"/>
      <c r="U62" s="864"/>
      <c r="V62" s="864"/>
      <c r="W62" s="864"/>
      <c r="X62" s="864"/>
      <c r="Y62" s="864"/>
      <c r="Z62" s="864"/>
      <c r="AA62" s="866"/>
      <c r="AB62" s="866"/>
      <c r="AC62" s="866"/>
      <c r="AD62" s="826"/>
      <c r="AE62" s="432" t="str">
        <f>IF(LEN(VLOOKUP(AA60,suvaha!$D$8:$H$158,2,FALSE))&lt;11,"",LEFT(RIGHT(VLOOKUP(AA60,suvaha!$D$8:$H$158,2,FALSE),11),1))</f>
        <v/>
      </c>
      <c r="AF62" s="255"/>
      <c r="AG62" s="432" t="str">
        <f>IF(LEN(VLOOKUP(AA60,suvaha!$D$8:$H$158,2,FALSE))&lt;10,"",LEFT(RIGHT(VLOOKUP(AA60,suvaha!$D$8:$H$158,2,FALSE),10),1))</f>
        <v/>
      </c>
      <c r="AH62" s="434"/>
      <c r="AI62" s="432" t="str">
        <f>IF(LEN(VLOOKUP(AA60,suvaha!$D$8:$H$158,2,FALSE))&lt;9,"",LEFT(RIGHT(VLOOKUP(AA60,suvaha!$D$8:$H$158,2,FALSE),9),1))</f>
        <v/>
      </c>
      <c r="AJ62" s="255"/>
      <c r="AK62" s="432" t="str">
        <f>IF(LEN(VLOOKUP(AA60,suvaha!$D$8:$H$158,2,FALSE))&lt;8,"",LEFT(RIGHT(VLOOKUP(AA60,suvaha!$D$8:$H$158,2,FALSE),8),1))</f>
        <v/>
      </c>
      <c r="AL62" s="434"/>
      <c r="AM62" s="432" t="str">
        <f>IF(LEN(VLOOKUP(AA60,suvaha!$D$8:$H$158,2,FALSE))&lt;7,"",LEFT(RIGHT(VLOOKUP(AA60,suvaha!$D$8:$H$158,2,FALSE),7),1))</f>
        <v/>
      </c>
      <c r="AN62" s="818"/>
      <c r="AO62" s="432" t="str">
        <f>IF(LEN(VLOOKUP(AA60,suvaha!$D$8:$H$158,2,FALSE))&lt;6,"",LEFT(RIGHT(VLOOKUP(AA60,suvaha!$D$8:$H$158,2,FALSE),6),1))</f>
        <v/>
      </c>
      <c r="AP62" s="434"/>
      <c r="AQ62" s="432" t="str">
        <f>IF(LEN(VLOOKUP(AA60,suvaha!$D$8:$H$158,2,FALSE))&lt;5,"",LEFT(RIGHT(VLOOKUP(AA60,suvaha!$D$8:$H$158,2,FALSE),5),1))</f>
        <v/>
      </c>
      <c r="AR62" s="434"/>
      <c r="AS62" s="432" t="str">
        <f>IF(LEN(VLOOKUP(AA60,suvaha!$D$8:$H$158,2,FALSE))&lt;4,"",LEFT(RIGHT(VLOOKUP(AA60,suvaha!$D$8:$H$158,2,FALSE),4),1))</f>
        <v/>
      </c>
      <c r="AT62" s="819"/>
      <c r="AU62" s="432" t="str">
        <f>IF(LEN(VLOOKUP(AA60,suvaha!$D$8:$H$158,2,FALSE))&lt;3,"",LEFT(RIGHT(VLOOKUP(AA60,suvaha!$D$8:$H$158,2,FALSE),3),1))</f>
        <v/>
      </c>
      <c r="AV62" s="434"/>
      <c r="AW62" s="432" t="str">
        <f>IF(LEN(VLOOKUP(AA60,suvaha!$D$8:$H$158,2,FALSE))&lt;2,"",LEFT(RIGHT(VLOOKUP(AA60,suvaha!$D$8:$H$158,2,FALSE),2),1))</f>
        <v/>
      </c>
      <c r="AX62" s="434"/>
      <c r="AY62" s="432" t="str">
        <f>IF(VLOOKUP(AA60,suvaha!$D$8:$H$85,2,FALSE)=0,"",IF(LEN(VLOOKUP(AA60,suvaha!$D$8:$H$158,2,FALSE))&lt;1,"",LEFT(RIGHT(VLOOKUP(AA60,suvaha!$D$8:$H$158,2,FALSE),1),1)))</f>
        <v/>
      </c>
      <c r="AZ62" s="827"/>
      <c r="BA62" s="826"/>
      <c r="BB62" s="432" t="str">
        <f>IF(LEN(VLOOKUP(AA60,suvaha!$D$8:$H$158,4,FALSE))&lt;11,"",LEFT(RIGHT(VLOOKUP(AA60,suvaha!$D$8:$H$158,4,FALSE),11),1))</f>
        <v/>
      </c>
      <c r="BC62" s="255"/>
      <c r="BD62" s="432" t="str">
        <f>IF(LEN(VLOOKUP(AA60,suvaha!$D$8:$H$158,4,FALSE))&lt;10,"",LEFT(RIGHT(VLOOKUP(AA60,suvaha!$D$8:$H$158,4,FALSE),10),1))</f>
        <v/>
      </c>
      <c r="BE62" s="434"/>
      <c r="BF62" s="432" t="str">
        <f>IF(LEN(VLOOKUP(AA60,suvaha!$D$8:$H$158,4,FALSE))&lt;9,"",LEFT(RIGHT(VLOOKUP(AA60,suvaha!$D$8:$H$158,4,FALSE),9),1))</f>
        <v/>
      </c>
      <c r="BG62" s="255"/>
      <c r="BH62" s="432" t="str">
        <f>IF(LEN(VLOOKUP(AA60,suvaha!$D$8:$H$158,4,FALSE))&lt;8,"",LEFT(RIGHT(VLOOKUP(AA60,suvaha!$D$8:$H$158,4,FALSE),8),1))</f>
        <v/>
      </c>
      <c r="BI62" s="434"/>
      <c r="BJ62" s="432" t="str">
        <f>IF(LEN(VLOOKUP(AA60,suvaha!$D$8:$H$158,4,FALSE))&lt;7,"",LEFT(RIGHT(VLOOKUP(AA60,suvaha!$D$8:$H$158,4,FALSE),7),1))</f>
        <v/>
      </c>
      <c r="BK62" s="818"/>
      <c r="BL62" s="432" t="str">
        <f>IF(LEN(VLOOKUP(AA60,suvaha!$D$8:$H$158,4,FALSE))&lt;6,"",LEFT(RIGHT(VLOOKUP(AA60,suvaha!$D$8:$H$158,4,FALSE),6),1))</f>
        <v/>
      </c>
      <c r="BM62" s="434"/>
      <c r="BN62" s="432" t="str">
        <f>IF(LEN(VLOOKUP(AA60,suvaha!$D$8:$H$158,4,FALSE))&lt;5,"",LEFT(RIGHT(VLOOKUP(AA60,suvaha!$D$8:$H$158,4,FALSE),5),1))</f>
        <v/>
      </c>
      <c r="BO62" s="434"/>
      <c r="BP62" s="432" t="str">
        <f>IF(LEN(VLOOKUP(AA60,suvaha!$D$8:$H$158,4,FALSE))&lt;4,"",LEFT(RIGHT(VLOOKUP(AA60,suvaha!$D$8:$H$158,4,FALSE),4),1))</f>
        <v/>
      </c>
      <c r="BQ62" s="819"/>
      <c r="BR62" s="432" t="str">
        <f>IF(LEN(VLOOKUP(AA60,suvaha!$D$8:$H$158,4,FALSE))&lt;3,"",LEFT(RIGHT(VLOOKUP(AA60,suvaha!$D$8:$H$158,4,FALSE),3),1))</f>
        <v/>
      </c>
      <c r="BS62" s="434"/>
      <c r="BT62" s="432" t="str">
        <f>IF(LEN(VLOOKUP(AA60,suvaha!$D$8:$H$158,4,FALSE))&lt;2,"",LEFT(RIGHT(VLOOKUP(AA60,suvaha!$D$8:$H$158,4,FALSE),2),1))</f>
        <v/>
      </c>
      <c r="BU62" s="434"/>
      <c r="BV62" s="432" t="str">
        <f>IF(VLOOKUP(AA60,suvaha!$D$8:$H$85,4,FALSE)=0,"",IF(LEN(VLOOKUP(AA60,suvaha!$D$8:$H$158,4,FALSE))&lt;1,"",LEFT(RIGHT(VLOOKUP(AA60,suvaha!$D$8:$H$158,4,FALSE),1),1)))</f>
        <v/>
      </c>
      <c r="BW62" s="441"/>
      <c r="BX62" s="442"/>
      <c r="BY62" s="442"/>
      <c r="BZ62" s="442"/>
      <c r="CA62" s="442"/>
      <c r="CB62" s="442"/>
      <c r="CC62" s="442"/>
      <c r="CD62" s="442"/>
      <c r="CE62" s="442"/>
      <c r="CF62" s="442"/>
      <c r="CG62" s="285"/>
    </row>
    <row r="63" spans="1:86" ht="3" customHeight="1">
      <c r="A63" s="220"/>
      <c r="B63" s="879"/>
      <c r="C63" s="879"/>
      <c r="D63" s="879"/>
      <c r="E63" s="877"/>
      <c r="F63" s="877"/>
      <c r="G63" s="862"/>
      <c r="H63" s="864"/>
      <c r="I63" s="864"/>
      <c r="J63" s="864"/>
      <c r="K63" s="864"/>
      <c r="L63" s="864"/>
      <c r="M63" s="864"/>
      <c r="N63" s="864"/>
      <c r="O63" s="864"/>
      <c r="P63" s="864"/>
      <c r="Q63" s="864"/>
      <c r="R63" s="864"/>
      <c r="S63" s="864"/>
      <c r="T63" s="864"/>
      <c r="U63" s="864"/>
      <c r="V63" s="864"/>
      <c r="W63" s="864"/>
      <c r="X63" s="864"/>
      <c r="Y63" s="864"/>
      <c r="Z63" s="864"/>
      <c r="AA63" s="866"/>
      <c r="AB63" s="866"/>
      <c r="AC63" s="866"/>
      <c r="AD63" s="845"/>
      <c r="AE63" s="845"/>
      <c r="AF63" s="845"/>
      <c r="AG63" s="845"/>
      <c r="AH63" s="845"/>
      <c r="AI63" s="845"/>
      <c r="AJ63" s="845"/>
      <c r="AK63" s="845"/>
      <c r="AL63" s="845"/>
      <c r="AM63" s="845"/>
      <c r="AN63" s="845"/>
      <c r="AO63" s="845"/>
      <c r="AP63" s="845"/>
      <c r="AQ63" s="845"/>
      <c r="AR63" s="845"/>
      <c r="AS63" s="845"/>
      <c r="AT63" s="845"/>
      <c r="AU63" s="845"/>
      <c r="AV63" s="845"/>
      <c r="AW63" s="845"/>
      <c r="AX63" s="845"/>
      <c r="AY63" s="845"/>
      <c r="AZ63" s="845"/>
      <c r="BA63" s="846"/>
      <c r="BB63" s="846"/>
      <c r="BC63" s="846"/>
      <c r="BD63" s="846"/>
      <c r="BE63" s="846"/>
      <c r="BF63" s="846"/>
      <c r="BG63" s="846"/>
      <c r="BH63" s="846"/>
      <c r="BI63" s="846"/>
      <c r="BJ63" s="846"/>
      <c r="BK63" s="846"/>
      <c r="BL63" s="846"/>
      <c r="BM63" s="846"/>
      <c r="BN63" s="846"/>
      <c r="BO63" s="846"/>
      <c r="BP63" s="846"/>
      <c r="BQ63" s="846"/>
      <c r="BR63" s="310"/>
      <c r="BS63" s="310"/>
      <c r="BT63" s="310"/>
      <c r="BU63" s="310"/>
      <c r="BV63" s="310"/>
      <c r="BW63" s="443"/>
      <c r="BX63" s="310"/>
      <c r="BY63" s="310"/>
      <c r="BZ63" s="310"/>
      <c r="CA63" s="310"/>
      <c r="CB63" s="310"/>
      <c r="CC63" s="310"/>
      <c r="CD63" s="310"/>
      <c r="CE63" s="310"/>
      <c r="CF63" s="310"/>
      <c r="CG63" s="286"/>
    </row>
    <row r="64" spans="1:86" ht="3" customHeight="1">
      <c r="A64" s="220"/>
      <c r="B64" s="879"/>
      <c r="C64" s="879"/>
      <c r="D64" s="879"/>
      <c r="E64" s="877"/>
      <c r="F64" s="877"/>
      <c r="G64" s="862"/>
      <c r="H64" s="864"/>
      <c r="I64" s="864"/>
      <c r="J64" s="864"/>
      <c r="K64" s="864"/>
      <c r="L64" s="864"/>
      <c r="M64" s="864"/>
      <c r="N64" s="864"/>
      <c r="O64" s="864"/>
      <c r="P64" s="864"/>
      <c r="Q64" s="864"/>
      <c r="R64" s="864"/>
      <c r="S64" s="864"/>
      <c r="T64" s="864"/>
      <c r="U64" s="864"/>
      <c r="V64" s="864"/>
      <c r="W64" s="864"/>
      <c r="X64" s="864"/>
      <c r="Y64" s="864"/>
      <c r="Z64" s="864"/>
      <c r="AA64" s="866"/>
      <c r="AB64" s="866"/>
      <c r="AC64" s="866"/>
      <c r="AD64" s="825"/>
      <c r="AE64" s="825"/>
      <c r="AF64" s="825"/>
      <c r="AG64" s="825"/>
      <c r="AH64" s="825"/>
      <c r="AI64" s="825"/>
      <c r="AJ64" s="825"/>
      <c r="AK64" s="825"/>
      <c r="AL64" s="825"/>
      <c r="AM64" s="825"/>
      <c r="AN64" s="825"/>
      <c r="AO64" s="825"/>
      <c r="AP64" s="825"/>
      <c r="AQ64" s="825"/>
      <c r="AR64" s="825"/>
      <c r="AS64" s="825"/>
      <c r="AT64" s="825"/>
      <c r="AU64" s="825"/>
      <c r="AV64" s="825"/>
      <c r="AW64" s="825"/>
      <c r="AX64" s="825"/>
      <c r="AY64" s="825"/>
      <c r="AZ64" s="825"/>
      <c r="BA64" s="447"/>
      <c r="BB64" s="304"/>
      <c r="BC64" s="304"/>
      <c r="BD64" s="304"/>
      <c r="BE64" s="304"/>
      <c r="BF64" s="304"/>
      <c r="BG64" s="304"/>
      <c r="BH64" s="304"/>
      <c r="BI64" s="304"/>
      <c r="BJ64" s="446"/>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284"/>
    </row>
    <row r="65" spans="1:86" ht="3" customHeight="1">
      <c r="A65" s="220"/>
      <c r="B65" s="879"/>
      <c r="C65" s="879"/>
      <c r="D65" s="879"/>
      <c r="E65" s="877"/>
      <c r="F65" s="877"/>
      <c r="G65" s="862"/>
      <c r="H65" s="864"/>
      <c r="I65" s="864"/>
      <c r="J65" s="864"/>
      <c r="K65" s="864"/>
      <c r="L65" s="864"/>
      <c r="M65" s="864"/>
      <c r="N65" s="864"/>
      <c r="O65" s="864"/>
      <c r="P65" s="864"/>
      <c r="Q65" s="864"/>
      <c r="R65" s="864"/>
      <c r="S65" s="864"/>
      <c r="T65" s="864"/>
      <c r="U65" s="864"/>
      <c r="V65" s="864"/>
      <c r="W65" s="864"/>
      <c r="X65" s="864"/>
      <c r="Y65" s="864"/>
      <c r="Z65" s="864"/>
      <c r="AA65" s="866"/>
      <c r="AB65" s="866"/>
      <c r="AC65" s="866"/>
      <c r="AD65" s="826"/>
      <c r="AE65" s="820"/>
      <c r="AF65" s="820"/>
      <c r="AG65" s="820"/>
      <c r="AH65" s="435"/>
      <c r="AI65" s="821"/>
      <c r="AJ65" s="821"/>
      <c r="AK65" s="821"/>
      <c r="AL65" s="821"/>
      <c r="AM65" s="821"/>
      <c r="AN65" s="818"/>
      <c r="AO65" s="822"/>
      <c r="AP65" s="822"/>
      <c r="AQ65" s="822"/>
      <c r="AR65" s="822"/>
      <c r="AS65" s="822"/>
      <c r="AT65" s="819"/>
      <c r="AU65" s="822"/>
      <c r="AV65" s="822"/>
      <c r="AW65" s="822"/>
      <c r="AX65" s="822"/>
      <c r="AY65" s="822"/>
      <c r="AZ65" s="827"/>
      <c r="BA65" s="448"/>
      <c r="BB65" s="442"/>
      <c r="BC65" s="442"/>
      <c r="BD65" s="442"/>
      <c r="BE65" s="442"/>
      <c r="BF65" s="442"/>
      <c r="BG65" s="442"/>
      <c r="BH65" s="442"/>
      <c r="BI65" s="442"/>
      <c r="BJ65" s="441"/>
      <c r="BK65" s="442"/>
      <c r="BL65" s="820"/>
      <c r="BM65" s="820"/>
      <c r="BN65" s="820"/>
      <c r="BO65" s="435"/>
      <c r="BP65" s="821"/>
      <c r="BQ65" s="821"/>
      <c r="BR65" s="821"/>
      <c r="BS65" s="821"/>
      <c r="BT65" s="821"/>
      <c r="BU65" s="818"/>
      <c r="BV65" s="822"/>
      <c r="BW65" s="822"/>
      <c r="BX65" s="822"/>
      <c r="BY65" s="822"/>
      <c r="BZ65" s="822"/>
      <c r="CA65" s="819"/>
      <c r="CB65" s="822"/>
      <c r="CC65" s="822"/>
      <c r="CD65" s="822"/>
      <c r="CE65" s="822"/>
      <c r="CF65" s="822"/>
      <c r="CG65" s="287"/>
    </row>
    <row r="66" spans="1:86" ht="15" customHeight="1">
      <c r="A66" s="220"/>
      <c r="B66" s="879"/>
      <c r="C66" s="879"/>
      <c r="D66" s="879"/>
      <c r="E66" s="877"/>
      <c r="F66" s="877"/>
      <c r="G66" s="862"/>
      <c r="H66" s="864"/>
      <c r="I66" s="864"/>
      <c r="J66" s="864"/>
      <c r="K66" s="864"/>
      <c r="L66" s="864"/>
      <c r="M66" s="864"/>
      <c r="N66" s="864"/>
      <c r="O66" s="864"/>
      <c r="P66" s="864"/>
      <c r="Q66" s="864"/>
      <c r="R66" s="864"/>
      <c r="S66" s="864"/>
      <c r="T66" s="864"/>
      <c r="U66" s="864"/>
      <c r="V66" s="864"/>
      <c r="W66" s="864"/>
      <c r="X66" s="864"/>
      <c r="Y66" s="864"/>
      <c r="Z66" s="864"/>
      <c r="AA66" s="866"/>
      <c r="AB66" s="866"/>
      <c r="AC66" s="866"/>
      <c r="AD66" s="826"/>
      <c r="AE66" s="432" t="str">
        <f>IF(LEN(VLOOKUP(AA60,suvaha!$D$8:$H$158,3,FALSE))&lt;11,"",LEFT(RIGHT(VLOOKUP(AA60,suvaha!$D$8:$H$158,3,FALSE),11),1))</f>
        <v/>
      </c>
      <c r="AF66" s="255"/>
      <c r="AG66" s="432" t="str">
        <f>IF(LEN(VLOOKUP(AA60,suvaha!$D$8:$H$158,3,FALSE))&lt;10,"",LEFT(RIGHT(VLOOKUP(AA60,suvaha!$D$8:$H$158,3,FALSE),10),1))</f>
        <v/>
      </c>
      <c r="AH66" s="434"/>
      <c r="AI66" s="432" t="str">
        <f>IF(LEN(VLOOKUP(AA60,suvaha!$D$8:$H$158,3,FALSE))&lt;9,"",LEFT(RIGHT(VLOOKUP(AA60,suvaha!$D$8:$H$158,3,FALSE),9),1))</f>
        <v/>
      </c>
      <c r="AJ66" s="255"/>
      <c r="AK66" s="432" t="str">
        <f>IF(LEN(VLOOKUP(AA60,suvaha!$D$8:$H$158,3,FALSE))&lt;8,"",LEFT(RIGHT(VLOOKUP(AA60,suvaha!$D$8:$H$158,3,FALSE),8),1))</f>
        <v/>
      </c>
      <c r="AL66" s="434"/>
      <c r="AM66" s="432" t="str">
        <f>IF(LEN(VLOOKUP(AA60,suvaha!$D$8:$H$158,3,FALSE))&lt;7,"",LEFT(RIGHT(VLOOKUP(AA60,suvaha!$D$8:$H$158,3,FALSE),7),1))</f>
        <v/>
      </c>
      <c r="AN66" s="818"/>
      <c r="AO66" s="432" t="str">
        <f>IF(LEN(VLOOKUP(AA60,suvaha!$D$8:$H$158,3,FALSE))&lt;6,"",LEFT(RIGHT(VLOOKUP(AA60,suvaha!$D$8:$H$158,3,FALSE),6),1))</f>
        <v/>
      </c>
      <c r="AP66" s="434"/>
      <c r="AQ66" s="432" t="str">
        <f>IF(LEN(VLOOKUP(AA60,suvaha!$D$8:$H$158,3,FALSE))&lt;5,"",LEFT(RIGHT(VLOOKUP(AA60,suvaha!$D$8:$H$158,3,FALSE),5),1))</f>
        <v/>
      </c>
      <c r="AR66" s="434"/>
      <c r="AS66" s="432" t="str">
        <f>IF(LEN(VLOOKUP(AA60,suvaha!$D$8:$H$158,3,FALSE))&lt;4,"",LEFT(RIGHT(VLOOKUP(AA60,suvaha!$D$8:$H$158,3,FALSE),4),1))</f>
        <v/>
      </c>
      <c r="AT66" s="819"/>
      <c r="AU66" s="432" t="str">
        <f>IF(LEN(VLOOKUP(AA60,suvaha!$D$8:$H$158,3,FALSE))&lt;3,"",LEFT(RIGHT(VLOOKUP(AA60,suvaha!$D$8:$H$158,3,FALSE),3),1))</f>
        <v/>
      </c>
      <c r="AV66" s="434"/>
      <c r="AW66" s="432" t="str">
        <f>IF(LEN(VLOOKUP(AA60,suvaha!$D$8:$H$158,3,FALSE))&lt;2,"",LEFT(RIGHT(VLOOKUP(AA60,suvaha!$D$8:$H$158,3,FALSE),2),1))</f>
        <v/>
      </c>
      <c r="AX66" s="434"/>
      <c r="AY66" s="432" t="str">
        <f>IF(VLOOKUP(AA60,suvaha!$D$8:$H$85,3,FALSE)=0,"",IF(LEN(VLOOKUP(AA60,suvaha!$D$8:$H$158,3,FALSE))&lt;1,"",LEFT(RIGHT(VLOOKUP(AA60,suvaha!$D$8:$H$158,3,FALSE),1),1)))</f>
        <v/>
      </c>
      <c r="AZ66" s="827"/>
      <c r="BA66" s="448"/>
      <c r="BB66" s="442"/>
      <c r="BC66" s="442"/>
      <c r="BD66" s="442"/>
      <c r="BE66" s="442"/>
      <c r="BF66" s="442"/>
      <c r="BG66" s="442"/>
      <c r="BH66" s="442"/>
      <c r="BI66" s="442"/>
      <c r="BJ66" s="441"/>
      <c r="BK66" s="442"/>
      <c r="BL66" s="432" t="str">
        <f>IF(LEN(VLOOKUP(AA60,suvaha!$D$8:$H$158,5,FALSE))&lt;11,"",LEFT(RIGHT(VLOOKUP(AA60,suvaha!$D$8:$H$158,5,FALSE),11),1))</f>
        <v/>
      </c>
      <c r="BM66" s="255"/>
      <c r="BN66" s="432" t="str">
        <f>IF(LEN(VLOOKUP(AA60,suvaha!$D$8:$H$158,5,FALSE))&lt;10,"",LEFT(RIGHT(VLOOKUP(AA60,suvaha!$D$8:$H$158,5,FALSE),10),1))</f>
        <v/>
      </c>
      <c r="BO66" s="434"/>
      <c r="BP66" s="432" t="str">
        <f>IF(LEN(VLOOKUP(AA60,suvaha!$D$8:$H$158,5,FALSE))&lt;9,"",LEFT(RIGHT(VLOOKUP(AA60,suvaha!$D$8:$H$158,5,FALSE),9),1))</f>
        <v/>
      </c>
      <c r="BQ66" s="255"/>
      <c r="BR66" s="432" t="str">
        <f>IF(LEN(VLOOKUP(AA60,suvaha!$D$8:$H$158,5,FALSE))&lt;8,"",LEFT(RIGHT(VLOOKUP(AA60,suvaha!$D$8:$H$158,5,FALSE),8),1))</f>
        <v/>
      </c>
      <c r="BS66" s="434"/>
      <c r="BT66" s="432" t="str">
        <f>IF(LEN(VLOOKUP(AA60,suvaha!$D$8:$H$158,5,FALSE))&lt;7,"",LEFT(RIGHT(VLOOKUP(AA60,suvaha!$D$8:$H$158,5,FALSE),7),1))</f>
        <v/>
      </c>
      <c r="BU66" s="818"/>
      <c r="BV66" s="432" t="str">
        <f>IF(LEN(VLOOKUP(AA60,suvaha!$D$8:$H$158,5,FALSE))&lt;6,"",LEFT(RIGHT(VLOOKUP(AA60,suvaha!$D$8:$H$158,5,FALSE),6),1))</f>
        <v/>
      </c>
      <c r="BW66" s="434"/>
      <c r="BX66" s="432" t="str">
        <f>IF(LEN(VLOOKUP(AA60,suvaha!$D$8:$H$158,5,FALSE))&lt;5,"",LEFT(RIGHT(VLOOKUP(AA60,suvaha!$D$8:$H$158,5,FALSE),5),1))</f>
        <v/>
      </c>
      <c r="BY66" s="434"/>
      <c r="BZ66" s="432" t="str">
        <f>IF(LEN(VLOOKUP(AA60,suvaha!$D$8:$H$158,5,FALSE))&lt;4,"",LEFT(RIGHT(VLOOKUP(AA60,suvaha!$D$8:$H$158,5,FALSE),4),1))</f>
        <v/>
      </c>
      <c r="CA66" s="819"/>
      <c r="CB66" s="432" t="str">
        <f>IF(LEN(VLOOKUP(AA60,suvaha!$D$8:$H$158,5,FALSE))&lt;3,"",LEFT(RIGHT(VLOOKUP(AA60,suvaha!$D$8:$H$158,5,FALSE),3),1))</f>
        <v/>
      </c>
      <c r="CC66" s="434"/>
      <c r="CD66" s="432" t="str">
        <f>IF(LEN(VLOOKUP(AA60,suvaha!$D$8:$H$158,5,FALSE))&lt;2,"",LEFT(RIGHT(VLOOKUP(AA60,suvaha!$D$8:$H$158,5,FALSE),2),1))</f>
        <v/>
      </c>
      <c r="CE66" s="434"/>
      <c r="CF66" s="432" t="str">
        <f>IF(VLOOKUP(AA60,suvaha!$D$8:$H$85,5,FALSE)=0,"",IF(LEN(VLOOKUP(AA60,suvaha!$D$8:$H$158,5,FALSE))&lt;1,"",LEFT(RIGHT(VLOOKUP(AA60,suvaha!$D$8:$H$158,5,FALSE),1),1)))</f>
        <v/>
      </c>
      <c r="CG66" s="287"/>
    </row>
    <row r="67" spans="1:86" ht="3" customHeight="1">
      <c r="A67" s="220"/>
      <c r="B67" s="879"/>
      <c r="C67" s="879"/>
      <c r="D67" s="879"/>
      <c r="E67" s="877"/>
      <c r="F67" s="877"/>
      <c r="G67" s="862"/>
      <c r="H67" s="864"/>
      <c r="I67" s="864"/>
      <c r="J67" s="864"/>
      <c r="K67" s="864"/>
      <c r="L67" s="864"/>
      <c r="M67" s="864"/>
      <c r="N67" s="864"/>
      <c r="O67" s="864"/>
      <c r="P67" s="864"/>
      <c r="Q67" s="864"/>
      <c r="R67" s="864"/>
      <c r="S67" s="864"/>
      <c r="T67" s="864"/>
      <c r="U67" s="864"/>
      <c r="V67" s="864"/>
      <c r="W67" s="864"/>
      <c r="X67" s="864"/>
      <c r="Y67" s="864"/>
      <c r="Z67" s="864"/>
      <c r="AA67" s="866"/>
      <c r="AB67" s="866"/>
      <c r="AC67" s="866"/>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449"/>
      <c r="BB67" s="310"/>
      <c r="BC67" s="310"/>
      <c r="BD67" s="310"/>
      <c r="BE67" s="310"/>
      <c r="BF67" s="310"/>
      <c r="BG67" s="310"/>
      <c r="BH67" s="310"/>
      <c r="BI67" s="310"/>
      <c r="BJ67" s="443"/>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286"/>
    </row>
    <row r="68" spans="1:86" s="250" customFormat="1" ht="3" customHeight="1">
      <c r="A68" s="220"/>
      <c r="B68" s="879"/>
      <c r="C68" s="879"/>
      <c r="D68" s="879"/>
      <c r="E68" s="877" t="s">
        <v>1546</v>
      </c>
      <c r="F68" s="877"/>
      <c r="G68" s="862"/>
      <c r="H68" s="864" t="str">
        <f>Index!C101</f>
        <v>Pohľadávky z derivátových operácií (373A, 376A)</v>
      </c>
      <c r="I68" s="864"/>
      <c r="J68" s="864"/>
      <c r="K68" s="864"/>
      <c r="L68" s="864"/>
      <c r="M68" s="864"/>
      <c r="N68" s="864"/>
      <c r="O68" s="864"/>
      <c r="P68" s="864"/>
      <c r="Q68" s="864"/>
      <c r="R68" s="864"/>
      <c r="S68" s="864"/>
      <c r="T68" s="864"/>
      <c r="U68" s="864"/>
      <c r="V68" s="864"/>
      <c r="W68" s="864"/>
      <c r="X68" s="864"/>
      <c r="Y68" s="864"/>
      <c r="Z68" s="864"/>
      <c r="AA68" s="866" t="s">
        <v>1607</v>
      </c>
      <c r="AB68" s="866"/>
      <c r="AC68" s="866"/>
      <c r="AD68" s="825"/>
      <c r="AE68" s="825"/>
      <c r="AF68" s="825"/>
      <c r="AG68" s="825"/>
      <c r="AH68" s="825"/>
      <c r="AI68" s="825"/>
      <c r="AJ68" s="825"/>
      <c r="AK68" s="825"/>
      <c r="AL68" s="825"/>
      <c r="AM68" s="825"/>
      <c r="AN68" s="825"/>
      <c r="AO68" s="825"/>
      <c r="AP68" s="825"/>
      <c r="AQ68" s="825"/>
      <c r="AR68" s="825"/>
      <c r="AS68" s="825"/>
      <c r="AT68" s="825"/>
      <c r="AU68" s="825"/>
      <c r="AV68" s="825"/>
      <c r="AW68" s="825"/>
      <c r="AX68" s="825"/>
      <c r="AY68" s="825"/>
      <c r="AZ68" s="825"/>
      <c r="BA68" s="867"/>
      <c r="BB68" s="867"/>
      <c r="BC68" s="867"/>
      <c r="BD68" s="867"/>
      <c r="BE68" s="867"/>
      <c r="BF68" s="867"/>
      <c r="BG68" s="867"/>
      <c r="BH68" s="867"/>
      <c r="BI68" s="867"/>
      <c r="BJ68" s="867"/>
      <c r="BK68" s="867"/>
      <c r="BL68" s="867"/>
      <c r="BM68" s="867"/>
      <c r="BN68" s="867"/>
      <c r="BO68" s="867"/>
      <c r="BP68" s="867"/>
      <c r="BQ68" s="867"/>
      <c r="BR68" s="304"/>
      <c r="BS68" s="304"/>
      <c r="BT68" s="304"/>
      <c r="BU68" s="304"/>
      <c r="BV68" s="304"/>
      <c r="BW68" s="446"/>
      <c r="BX68" s="304"/>
      <c r="BY68" s="304"/>
      <c r="BZ68" s="304"/>
      <c r="CA68" s="304"/>
      <c r="CB68" s="304"/>
      <c r="CC68" s="304"/>
      <c r="CD68" s="304"/>
      <c r="CE68" s="304"/>
      <c r="CF68" s="304"/>
      <c r="CG68" s="284"/>
      <c r="CH68" s="221"/>
    </row>
    <row r="69" spans="1:86" s="250" customFormat="1" ht="3" customHeight="1">
      <c r="A69" s="220"/>
      <c r="B69" s="879"/>
      <c r="C69" s="879"/>
      <c r="D69" s="879"/>
      <c r="E69" s="877"/>
      <c r="F69" s="877"/>
      <c r="G69" s="862"/>
      <c r="H69" s="864"/>
      <c r="I69" s="864"/>
      <c r="J69" s="864"/>
      <c r="K69" s="864"/>
      <c r="L69" s="864"/>
      <c r="M69" s="864"/>
      <c r="N69" s="864"/>
      <c r="O69" s="864"/>
      <c r="P69" s="864"/>
      <c r="Q69" s="864"/>
      <c r="R69" s="864"/>
      <c r="S69" s="864"/>
      <c r="T69" s="864"/>
      <c r="U69" s="864"/>
      <c r="V69" s="864"/>
      <c r="W69" s="864"/>
      <c r="X69" s="864"/>
      <c r="Y69" s="864"/>
      <c r="Z69" s="864"/>
      <c r="AA69" s="866"/>
      <c r="AB69" s="866"/>
      <c r="AC69" s="866"/>
      <c r="AD69" s="826"/>
      <c r="AE69" s="820"/>
      <c r="AF69" s="820"/>
      <c r="AG69" s="820"/>
      <c r="AH69" s="435"/>
      <c r="AI69" s="821"/>
      <c r="AJ69" s="821"/>
      <c r="AK69" s="821"/>
      <c r="AL69" s="821"/>
      <c r="AM69" s="821"/>
      <c r="AN69" s="818"/>
      <c r="AO69" s="822"/>
      <c r="AP69" s="822"/>
      <c r="AQ69" s="822"/>
      <c r="AR69" s="822"/>
      <c r="AS69" s="822"/>
      <c r="AT69" s="819"/>
      <c r="AU69" s="822"/>
      <c r="AV69" s="822"/>
      <c r="AW69" s="822"/>
      <c r="AX69" s="822"/>
      <c r="AY69" s="822"/>
      <c r="AZ69" s="827"/>
      <c r="BA69" s="826"/>
      <c r="BB69" s="820"/>
      <c r="BC69" s="820"/>
      <c r="BD69" s="820"/>
      <c r="BE69" s="435"/>
      <c r="BF69" s="821"/>
      <c r="BG69" s="821"/>
      <c r="BH69" s="821"/>
      <c r="BI69" s="821"/>
      <c r="BJ69" s="821"/>
      <c r="BK69" s="818"/>
      <c r="BL69" s="822"/>
      <c r="BM69" s="822"/>
      <c r="BN69" s="822"/>
      <c r="BO69" s="822"/>
      <c r="BP69" s="822"/>
      <c r="BQ69" s="819"/>
      <c r="BR69" s="822"/>
      <c r="BS69" s="822"/>
      <c r="BT69" s="822"/>
      <c r="BU69" s="822"/>
      <c r="BV69" s="822"/>
      <c r="BW69" s="441"/>
      <c r="BX69" s="442"/>
      <c r="BY69" s="442"/>
      <c r="BZ69" s="442"/>
      <c r="CA69" s="442"/>
      <c r="CB69" s="442"/>
      <c r="CC69" s="442"/>
      <c r="CD69" s="442"/>
      <c r="CE69" s="442"/>
      <c r="CF69" s="442"/>
      <c r="CG69" s="285"/>
      <c r="CH69" s="221"/>
    </row>
    <row r="70" spans="1:86" ht="15" customHeight="1">
      <c r="A70" s="220"/>
      <c r="B70" s="879"/>
      <c r="C70" s="879"/>
      <c r="D70" s="879"/>
      <c r="E70" s="877"/>
      <c r="F70" s="877"/>
      <c r="G70" s="862"/>
      <c r="H70" s="864"/>
      <c r="I70" s="864"/>
      <c r="J70" s="864"/>
      <c r="K70" s="864"/>
      <c r="L70" s="864"/>
      <c r="M70" s="864"/>
      <c r="N70" s="864"/>
      <c r="O70" s="864"/>
      <c r="P70" s="864"/>
      <c r="Q70" s="864"/>
      <c r="R70" s="864"/>
      <c r="S70" s="864"/>
      <c r="T70" s="864"/>
      <c r="U70" s="864"/>
      <c r="V70" s="864"/>
      <c r="W70" s="864"/>
      <c r="X70" s="864"/>
      <c r="Y70" s="864"/>
      <c r="Z70" s="864"/>
      <c r="AA70" s="866"/>
      <c r="AB70" s="866"/>
      <c r="AC70" s="866"/>
      <c r="AD70" s="826"/>
      <c r="AE70" s="432" t="str">
        <f>IF(LEN(VLOOKUP(AA68,suvaha!$D$8:$H$158,2,FALSE))&lt;11,"",LEFT(RIGHT(VLOOKUP(AA68,suvaha!$D$8:$H$158,2,FALSE),11),1))</f>
        <v/>
      </c>
      <c r="AF70" s="255"/>
      <c r="AG70" s="432" t="str">
        <f>IF(LEN(VLOOKUP(AA68,suvaha!$D$8:$H$158,2,FALSE))&lt;10,"",LEFT(RIGHT(VLOOKUP(AA68,suvaha!$D$8:$H$158,2,FALSE),10),1))</f>
        <v/>
      </c>
      <c r="AH70" s="434"/>
      <c r="AI70" s="432" t="str">
        <f>IF(LEN(VLOOKUP(AA68,suvaha!$D$8:$H$158,2,FALSE))&lt;9,"",LEFT(RIGHT(VLOOKUP(AA68,suvaha!$D$8:$H$158,2,FALSE),9),1))</f>
        <v/>
      </c>
      <c r="AJ70" s="255"/>
      <c r="AK70" s="432" t="str">
        <f>IF(LEN(VLOOKUP(AA68,suvaha!$D$8:$H$158,2,FALSE))&lt;8,"",LEFT(RIGHT(VLOOKUP(AA68,suvaha!$D$8:$H$158,2,FALSE),8),1))</f>
        <v/>
      </c>
      <c r="AL70" s="434"/>
      <c r="AM70" s="432" t="str">
        <f>IF(LEN(VLOOKUP(AA68,suvaha!$D$8:$H$158,2,FALSE))&lt;7,"",LEFT(RIGHT(VLOOKUP(AA68,suvaha!$D$8:$H$158,2,FALSE),7),1))</f>
        <v/>
      </c>
      <c r="AN70" s="818"/>
      <c r="AO70" s="432" t="str">
        <f>IF(LEN(VLOOKUP(AA68,suvaha!$D$8:$H$158,2,FALSE))&lt;6,"",LEFT(RIGHT(VLOOKUP(AA68,suvaha!$D$8:$H$158,2,FALSE),6),1))</f>
        <v/>
      </c>
      <c r="AP70" s="434"/>
      <c r="AQ70" s="432" t="str">
        <f>IF(LEN(VLOOKUP(AA68,suvaha!$D$8:$H$158,2,FALSE))&lt;5,"",LEFT(RIGHT(VLOOKUP(AA68,suvaha!$D$8:$H$158,2,FALSE),5),1))</f>
        <v/>
      </c>
      <c r="AR70" s="434"/>
      <c r="AS70" s="432" t="str">
        <f>IF(LEN(VLOOKUP(AA68,suvaha!$D$8:$H$158,2,FALSE))&lt;4,"",LEFT(RIGHT(VLOOKUP(AA68,suvaha!$D$8:$H$158,2,FALSE),4),1))</f>
        <v/>
      </c>
      <c r="AT70" s="819"/>
      <c r="AU70" s="432" t="str">
        <f>IF(LEN(VLOOKUP(AA68,suvaha!$D$8:$H$158,2,FALSE))&lt;3,"",LEFT(RIGHT(VLOOKUP(AA68,suvaha!$D$8:$H$158,2,FALSE),3),1))</f>
        <v/>
      </c>
      <c r="AV70" s="434"/>
      <c r="AW70" s="432" t="str">
        <f>IF(LEN(VLOOKUP(AA68,suvaha!$D$8:$H$158,2,FALSE))&lt;2,"",LEFT(RIGHT(VLOOKUP(AA68,suvaha!$D$8:$H$158,2,FALSE),2),1))</f>
        <v/>
      </c>
      <c r="AX70" s="434"/>
      <c r="AY70" s="432" t="str">
        <f>IF(VLOOKUP(AA68,suvaha!$D$8:$H$85,2,FALSE)=0,"",IF(LEN(VLOOKUP(AA68,suvaha!$D$8:$H$158,2,FALSE))&lt;1,"",LEFT(RIGHT(VLOOKUP(AA68,suvaha!$D$8:$H$158,2,FALSE),1),1)))</f>
        <v/>
      </c>
      <c r="AZ70" s="827"/>
      <c r="BA70" s="826"/>
      <c r="BB70" s="432" t="str">
        <f>IF(LEN(VLOOKUP(AA68,suvaha!$D$8:$H$158,4,FALSE))&lt;11,"",LEFT(RIGHT(VLOOKUP(AA68,suvaha!$D$8:$H$158,4,FALSE),11),1))</f>
        <v/>
      </c>
      <c r="BC70" s="255"/>
      <c r="BD70" s="432" t="str">
        <f>IF(LEN(VLOOKUP(AA68,suvaha!$D$8:$H$158,4,FALSE))&lt;10,"",LEFT(RIGHT(VLOOKUP(AA68,suvaha!$D$8:$H$158,4,FALSE),10),1))</f>
        <v/>
      </c>
      <c r="BE70" s="434"/>
      <c r="BF70" s="432" t="str">
        <f>IF(LEN(VLOOKUP(AA68,suvaha!$D$8:$H$158,4,FALSE))&lt;9,"",LEFT(RIGHT(VLOOKUP(AA68,suvaha!$D$8:$H$158,4,FALSE),9),1))</f>
        <v/>
      </c>
      <c r="BG70" s="255"/>
      <c r="BH70" s="432" t="str">
        <f>IF(LEN(VLOOKUP(AA68,suvaha!$D$8:$H$158,4,FALSE))&lt;8,"",LEFT(RIGHT(VLOOKUP(AA68,suvaha!$D$8:$H$158,4,FALSE),8),1))</f>
        <v/>
      </c>
      <c r="BI70" s="434"/>
      <c r="BJ70" s="432" t="str">
        <f>IF(LEN(VLOOKUP(AA68,suvaha!$D$8:$H$158,4,FALSE))&lt;7,"",LEFT(RIGHT(VLOOKUP(AA68,suvaha!$D$8:$H$158,4,FALSE),7),1))</f>
        <v/>
      </c>
      <c r="BK70" s="818"/>
      <c r="BL70" s="432" t="str">
        <f>IF(LEN(VLOOKUP(AA68,suvaha!$D$8:$H$158,4,FALSE))&lt;6,"",LEFT(RIGHT(VLOOKUP(AA68,suvaha!$D$8:$H$158,4,FALSE),6),1))</f>
        <v/>
      </c>
      <c r="BM70" s="434"/>
      <c r="BN70" s="432" t="str">
        <f>IF(LEN(VLOOKUP(AA68,suvaha!$D$8:$H$158,4,FALSE))&lt;5,"",LEFT(RIGHT(VLOOKUP(AA68,suvaha!$D$8:$H$158,4,FALSE),5),1))</f>
        <v/>
      </c>
      <c r="BO70" s="434"/>
      <c r="BP70" s="432" t="str">
        <f>IF(LEN(VLOOKUP(AA68,suvaha!$D$8:$H$158,4,FALSE))&lt;4,"",LEFT(RIGHT(VLOOKUP(AA68,suvaha!$D$8:$H$158,4,FALSE),4),1))</f>
        <v/>
      </c>
      <c r="BQ70" s="819"/>
      <c r="BR70" s="432" t="str">
        <f>IF(LEN(VLOOKUP(AA68,suvaha!$D$8:$H$158,4,FALSE))&lt;3,"",LEFT(RIGHT(VLOOKUP(AA68,suvaha!$D$8:$H$158,4,FALSE),3),1))</f>
        <v/>
      </c>
      <c r="BS70" s="434"/>
      <c r="BT70" s="432" t="str">
        <f>IF(LEN(VLOOKUP(AA68,suvaha!$D$8:$H$158,4,FALSE))&lt;2,"",LEFT(RIGHT(VLOOKUP(AA68,suvaha!$D$8:$H$158,4,FALSE),2),1))</f>
        <v/>
      </c>
      <c r="BU70" s="434"/>
      <c r="BV70" s="432" t="str">
        <f>IF(VLOOKUP(AA68,suvaha!$D$8:$H$85,4,FALSE)=0,"",IF(LEN(VLOOKUP(AA68,suvaha!$D$8:$H$158,4,FALSE))&lt;1,"",LEFT(RIGHT(VLOOKUP(AA68,suvaha!$D$8:$H$158,4,FALSE),1),1)))</f>
        <v/>
      </c>
      <c r="BW70" s="441"/>
      <c r="BX70" s="442"/>
      <c r="BY70" s="442"/>
      <c r="BZ70" s="442"/>
      <c r="CA70" s="442"/>
      <c r="CB70" s="442"/>
      <c r="CC70" s="442"/>
      <c r="CD70" s="442"/>
      <c r="CE70" s="442"/>
      <c r="CF70" s="442"/>
      <c r="CG70" s="285"/>
    </row>
    <row r="71" spans="1:86" ht="3" customHeight="1">
      <c r="A71" s="220"/>
      <c r="B71" s="879"/>
      <c r="C71" s="879"/>
      <c r="D71" s="879"/>
      <c r="E71" s="877"/>
      <c r="F71" s="877"/>
      <c r="G71" s="862"/>
      <c r="H71" s="864"/>
      <c r="I71" s="864"/>
      <c r="J71" s="864"/>
      <c r="K71" s="864"/>
      <c r="L71" s="864"/>
      <c r="M71" s="864"/>
      <c r="N71" s="864"/>
      <c r="O71" s="864"/>
      <c r="P71" s="864"/>
      <c r="Q71" s="864"/>
      <c r="R71" s="864"/>
      <c r="S71" s="864"/>
      <c r="T71" s="864"/>
      <c r="U71" s="864"/>
      <c r="V71" s="864"/>
      <c r="W71" s="864"/>
      <c r="X71" s="864"/>
      <c r="Y71" s="864"/>
      <c r="Z71" s="864"/>
      <c r="AA71" s="866"/>
      <c r="AB71" s="866"/>
      <c r="AC71" s="866"/>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6"/>
      <c r="BB71" s="846"/>
      <c r="BC71" s="846"/>
      <c r="BD71" s="846"/>
      <c r="BE71" s="846"/>
      <c r="BF71" s="846"/>
      <c r="BG71" s="846"/>
      <c r="BH71" s="846"/>
      <c r="BI71" s="846"/>
      <c r="BJ71" s="846"/>
      <c r="BK71" s="846"/>
      <c r="BL71" s="846"/>
      <c r="BM71" s="846"/>
      <c r="BN71" s="846"/>
      <c r="BO71" s="846"/>
      <c r="BP71" s="846"/>
      <c r="BQ71" s="846"/>
      <c r="BR71" s="310"/>
      <c r="BS71" s="310"/>
      <c r="BT71" s="310"/>
      <c r="BU71" s="310"/>
      <c r="BV71" s="310"/>
      <c r="BW71" s="443"/>
      <c r="BX71" s="310"/>
      <c r="BY71" s="310"/>
      <c r="BZ71" s="310"/>
      <c r="CA71" s="310"/>
      <c r="CB71" s="310"/>
      <c r="CC71" s="310"/>
      <c r="CD71" s="310"/>
      <c r="CE71" s="310"/>
      <c r="CF71" s="310"/>
      <c r="CG71" s="286"/>
      <c r="CH71" s="220"/>
    </row>
    <row r="72" spans="1:86" ht="3" customHeight="1">
      <c r="A72" s="220"/>
      <c r="B72" s="879"/>
      <c r="C72" s="879"/>
      <c r="D72" s="879"/>
      <c r="E72" s="877"/>
      <c r="F72" s="877"/>
      <c r="G72" s="862"/>
      <c r="H72" s="864"/>
      <c r="I72" s="864"/>
      <c r="J72" s="864"/>
      <c r="K72" s="864"/>
      <c r="L72" s="864"/>
      <c r="M72" s="864"/>
      <c r="N72" s="864"/>
      <c r="O72" s="864"/>
      <c r="P72" s="864"/>
      <c r="Q72" s="864"/>
      <c r="R72" s="864"/>
      <c r="S72" s="864"/>
      <c r="T72" s="864"/>
      <c r="U72" s="864"/>
      <c r="V72" s="864"/>
      <c r="W72" s="864"/>
      <c r="X72" s="864"/>
      <c r="Y72" s="864"/>
      <c r="Z72" s="864"/>
      <c r="AA72" s="866"/>
      <c r="AB72" s="866"/>
      <c r="AC72" s="866"/>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25"/>
      <c r="BA72" s="447"/>
      <c r="BB72" s="304"/>
      <c r="BC72" s="304"/>
      <c r="BD72" s="304"/>
      <c r="BE72" s="304"/>
      <c r="BF72" s="304"/>
      <c r="BG72" s="304"/>
      <c r="BH72" s="304"/>
      <c r="BI72" s="304"/>
      <c r="BJ72" s="446"/>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284"/>
      <c r="CH72" s="220"/>
    </row>
    <row r="73" spans="1:86" ht="3" customHeight="1">
      <c r="A73" s="220"/>
      <c r="B73" s="879"/>
      <c r="C73" s="879"/>
      <c r="D73" s="879"/>
      <c r="E73" s="877"/>
      <c r="F73" s="877"/>
      <c r="G73" s="862"/>
      <c r="H73" s="864"/>
      <c r="I73" s="864"/>
      <c r="J73" s="864"/>
      <c r="K73" s="864"/>
      <c r="L73" s="864"/>
      <c r="M73" s="864"/>
      <c r="N73" s="864"/>
      <c r="O73" s="864"/>
      <c r="P73" s="864"/>
      <c r="Q73" s="864"/>
      <c r="R73" s="864"/>
      <c r="S73" s="864"/>
      <c r="T73" s="864"/>
      <c r="U73" s="864"/>
      <c r="V73" s="864"/>
      <c r="W73" s="864"/>
      <c r="X73" s="864"/>
      <c r="Y73" s="864"/>
      <c r="Z73" s="864"/>
      <c r="AA73" s="866"/>
      <c r="AB73" s="866"/>
      <c r="AC73" s="866"/>
      <c r="AD73" s="826"/>
      <c r="AE73" s="820"/>
      <c r="AF73" s="820"/>
      <c r="AG73" s="820"/>
      <c r="AH73" s="435"/>
      <c r="AI73" s="821"/>
      <c r="AJ73" s="821"/>
      <c r="AK73" s="821"/>
      <c r="AL73" s="821"/>
      <c r="AM73" s="821"/>
      <c r="AN73" s="818"/>
      <c r="AO73" s="822"/>
      <c r="AP73" s="822"/>
      <c r="AQ73" s="822"/>
      <c r="AR73" s="822"/>
      <c r="AS73" s="822"/>
      <c r="AT73" s="819"/>
      <c r="AU73" s="822"/>
      <c r="AV73" s="822"/>
      <c r="AW73" s="822"/>
      <c r="AX73" s="822"/>
      <c r="AY73" s="822"/>
      <c r="AZ73" s="827"/>
      <c r="BA73" s="448"/>
      <c r="BB73" s="442"/>
      <c r="BC73" s="442"/>
      <c r="BD73" s="442"/>
      <c r="BE73" s="442"/>
      <c r="BF73" s="442"/>
      <c r="BG73" s="442"/>
      <c r="BH73" s="442"/>
      <c r="BI73" s="442"/>
      <c r="BJ73" s="441"/>
      <c r="BK73" s="442"/>
      <c r="BL73" s="820"/>
      <c r="BM73" s="820"/>
      <c r="BN73" s="820"/>
      <c r="BO73" s="435"/>
      <c r="BP73" s="821"/>
      <c r="BQ73" s="821"/>
      <c r="BR73" s="821"/>
      <c r="BS73" s="821"/>
      <c r="BT73" s="821"/>
      <c r="BU73" s="818"/>
      <c r="BV73" s="822"/>
      <c r="BW73" s="822"/>
      <c r="BX73" s="822"/>
      <c r="BY73" s="822"/>
      <c r="BZ73" s="822"/>
      <c r="CA73" s="819"/>
      <c r="CB73" s="822"/>
      <c r="CC73" s="822"/>
      <c r="CD73" s="822"/>
      <c r="CE73" s="822"/>
      <c r="CF73" s="822"/>
      <c r="CG73" s="287"/>
      <c r="CH73" s="220"/>
    </row>
    <row r="74" spans="1:86" ht="15" customHeight="1">
      <c r="A74" s="220"/>
      <c r="B74" s="879"/>
      <c r="C74" s="879"/>
      <c r="D74" s="879"/>
      <c r="E74" s="877"/>
      <c r="F74" s="877"/>
      <c r="G74" s="862"/>
      <c r="H74" s="864"/>
      <c r="I74" s="864"/>
      <c r="J74" s="864"/>
      <c r="K74" s="864"/>
      <c r="L74" s="864"/>
      <c r="M74" s="864"/>
      <c r="N74" s="864"/>
      <c r="O74" s="864"/>
      <c r="P74" s="864"/>
      <c r="Q74" s="864"/>
      <c r="R74" s="864"/>
      <c r="S74" s="864"/>
      <c r="T74" s="864"/>
      <c r="U74" s="864"/>
      <c r="V74" s="864"/>
      <c r="W74" s="864"/>
      <c r="X74" s="864"/>
      <c r="Y74" s="864"/>
      <c r="Z74" s="864"/>
      <c r="AA74" s="866"/>
      <c r="AB74" s="866"/>
      <c r="AC74" s="866"/>
      <c r="AD74" s="826"/>
      <c r="AE74" s="432" t="str">
        <f>IF(LEN(VLOOKUP(AA68,suvaha!$D$8:$H$158,3,FALSE))&lt;11,"",LEFT(RIGHT(VLOOKUP(AA68,suvaha!$D$8:$H$158,3,FALSE),11),1))</f>
        <v/>
      </c>
      <c r="AF74" s="255"/>
      <c r="AG74" s="432" t="str">
        <f>IF(LEN(VLOOKUP(AA68,suvaha!$D$8:$H$158,3,FALSE))&lt;10,"",LEFT(RIGHT(VLOOKUP(AA68,suvaha!$D$8:$H$158,3,FALSE),10),1))</f>
        <v/>
      </c>
      <c r="AH74" s="434"/>
      <c r="AI74" s="432" t="str">
        <f>IF(LEN(VLOOKUP(AA68,suvaha!$D$8:$H$158,3,FALSE))&lt;9,"",LEFT(RIGHT(VLOOKUP(AA68,suvaha!$D$8:$H$158,3,FALSE),9),1))</f>
        <v/>
      </c>
      <c r="AJ74" s="255"/>
      <c r="AK74" s="432" t="str">
        <f>IF(LEN(VLOOKUP(AA68,suvaha!$D$8:$H$158,3,FALSE))&lt;8,"",LEFT(RIGHT(VLOOKUP(AA68,suvaha!$D$8:$H$158,3,FALSE),8),1))</f>
        <v/>
      </c>
      <c r="AL74" s="434"/>
      <c r="AM74" s="432" t="str">
        <f>IF(LEN(VLOOKUP(AA68,suvaha!$D$8:$H$158,3,FALSE))&lt;7,"",LEFT(RIGHT(VLOOKUP(AA68,suvaha!$D$8:$H$158,3,FALSE),7),1))</f>
        <v/>
      </c>
      <c r="AN74" s="818"/>
      <c r="AO74" s="432" t="str">
        <f>IF(LEN(VLOOKUP(AA68,suvaha!$D$8:$H$158,3,FALSE))&lt;6,"",LEFT(RIGHT(VLOOKUP(AA68,suvaha!$D$8:$H$158,3,FALSE),6),1))</f>
        <v/>
      </c>
      <c r="AP74" s="434"/>
      <c r="AQ74" s="432" t="str">
        <f>IF(LEN(VLOOKUP(AA68,suvaha!$D$8:$H$158,3,FALSE))&lt;5,"",LEFT(RIGHT(VLOOKUP(AA68,suvaha!$D$8:$H$158,3,FALSE),5),1))</f>
        <v/>
      </c>
      <c r="AR74" s="434"/>
      <c r="AS74" s="432" t="str">
        <f>IF(LEN(VLOOKUP(AA68,suvaha!$D$8:$H$158,3,FALSE))&lt;4,"",LEFT(RIGHT(VLOOKUP(AA68,suvaha!$D$8:$H$158,3,FALSE),4),1))</f>
        <v/>
      </c>
      <c r="AT74" s="819"/>
      <c r="AU74" s="432" t="str">
        <f>IF(LEN(VLOOKUP(AA68,suvaha!$D$8:$H$158,3,FALSE))&lt;3,"",LEFT(RIGHT(VLOOKUP(AA68,suvaha!$D$8:$H$158,3,FALSE),3),1))</f>
        <v/>
      </c>
      <c r="AV74" s="434"/>
      <c r="AW74" s="432" t="str">
        <f>IF(LEN(VLOOKUP(AA68,suvaha!$D$8:$H$158,3,FALSE))&lt;2,"",LEFT(RIGHT(VLOOKUP(AA68,suvaha!$D$8:$H$158,3,FALSE),2),1))</f>
        <v/>
      </c>
      <c r="AX74" s="434"/>
      <c r="AY74" s="432" t="str">
        <f>IF(VLOOKUP(AA68,suvaha!$D$8:$H$85,3,FALSE)=0,"",IF(LEN(VLOOKUP(AA68,suvaha!$D$8:$H$158,3,FALSE))&lt;1,"",LEFT(RIGHT(VLOOKUP(AA68,suvaha!$D$8:$H$158,3,FALSE),1),1)))</f>
        <v/>
      </c>
      <c r="AZ74" s="827"/>
      <c r="BA74" s="448"/>
      <c r="BB74" s="442"/>
      <c r="BC74" s="442"/>
      <c r="BD74" s="442"/>
      <c r="BE74" s="442"/>
      <c r="BF74" s="442"/>
      <c r="BG74" s="442"/>
      <c r="BH74" s="442"/>
      <c r="BI74" s="442"/>
      <c r="BJ74" s="441"/>
      <c r="BK74" s="442"/>
      <c r="BL74" s="432" t="str">
        <f>IF(LEN(VLOOKUP(AA68,suvaha!$D$8:$H$158,5,FALSE))&lt;11,"",LEFT(RIGHT(VLOOKUP(AA68,suvaha!$D$8:$H$158,5,FALSE),11),1))</f>
        <v/>
      </c>
      <c r="BM74" s="255"/>
      <c r="BN74" s="432" t="str">
        <f>IF(LEN(VLOOKUP(AA68,suvaha!$D$8:$H$158,5,FALSE))&lt;10,"",LEFT(RIGHT(VLOOKUP(AA68,suvaha!$D$8:$H$158,5,FALSE),10),1))</f>
        <v/>
      </c>
      <c r="BO74" s="434"/>
      <c r="BP74" s="432" t="str">
        <f>IF(LEN(VLOOKUP(AA68,suvaha!$D$8:$H$158,5,FALSE))&lt;9,"",LEFT(RIGHT(VLOOKUP(AA68,suvaha!$D$8:$H$158,5,FALSE),9),1))</f>
        <v/>
      </c>
      <c r="BQ74" s="255"/>
      <c r="BR74" s="432" t="str">
        <f>IF(LEN(VLOOKUP(AA68,suvaha!$D$8:$H$158,5,FALSE))&lt;8,"",LEFT(RIGHT(VLOOKUP(AA68,suvaha!$D$8:$H$158,5,FALSE),8),1))</f>
        <v/>
      </c>
      <c r="BS74" s="434"/>
      <c r="BT74" s="432" t="str">
        <f>IF(LEN(VLOOKUP(AA68,suvaha!$D$8:$H$158,5,FALSE))&lt;7,"",LEFT(RIGHT(VLOOKUP(AA68,suvaha!$D$8:$H$158,5,FALSE),7),1))</f>
        <v/>
      </c>
      <c r="BU74" s="818"/>
      <c r="BV74" s="432" t="str">
        <f>IF(LEN(VLOOKUP(AA68,suvaha!$D$8:$H$158,5,FALSE))&lt;6,"",LEFT(RIGHT(VLOOKUP(AA68,suvaha!$D$8:$H$158,5,FALSE),6),1))</f>
        <v/>
      </c>
      <c r="BW74" s="434"/>
      <c r="BX74" s="432" t="str">
        <f>IF(LEN(VLOOKUP(AA68,suvaha!$D$8:$H$158,5,FALSE))&lt;5,"",LEFT(RIGHT(VLOOKUP(AA68,suvaha!$D$8:$H$158,5,FALSE),5),1))</f>
        <v/>
      </c>
      <c r="BY74" s="434"/>
      <c r="BZ74" s="432" t="str">
        <f>IF(LEN(VLOOKUP(AA68,suvaha!$D$8:$H$158,5,FALSE))&lt;4,"",LEFT(RIGHT(VLOOKUP(AA68,suvaha!$D$8:$H$158,5,FALSE),4),1))</f>
        <v/>
      </c>
      <c r="CA74" s="819"/>
      <c r="CB74" s="432" t="str">
        <f>IF(LEN(VLOOKUP(AA68,suvaha!$D$8:$H$158,5,FALSE))&lt;3,"",LEFT(RIGHT(VLOOKUP(AA68,suvaha!$D$8:$H$158,5,FALSE),3),1))</f>
        <v/>
      </c>
      <c r="CC74" s="434"/>
      <c r="CD74" s="432" t="str">
        <f>IF(LEN(VLOOKUP(AA68,suvaha!$D$8:$H$158,5,FALSE))&lt;2,"",LEFT(RIGHT(VLOOKUP(AA68,suvaha!$D$8:$H$158,5,FALSE),2),1))</f>
        <v/>
      </c>
      <c r="CE74" s="434"/>
      <c r="CF74" s="432" t="str">
        <f>IF(VLOOKUP(AA68,suvaha!$D$8:$H$85,5,FALSE)=0,"",IF(LEN(VLOOKUP(AA68,suvaha!$D$8:$H$158,5,FALSE))&lt;1,"",LEFT(RIGHT(VLOOKUP(AA68,suvaha!$D$8:$H$158,5,FALSE),1),1)))</f>
        <v/>
      </c>
      <c r="CG74" s="287"/>
      <c r="CH74" s="220"/>
    </row>
    <row r="75" spans="1:86" ht="3" customHeight="1">
      <c r="A75" s="220"/>
      <c r="B75" s="879"/>
      <c r="C75" s="879"/>
      <c r="D75" s="879"/>
      <c r="E75" s="877"/>
      <c r="F75" s="877"/>
      <c r="G75" s="862"/>
      <c r="H75" s="864"/>
      <c r="I75" s="864"/>
      <c r="J75" s="864"/>
      <c r="K75" s="864"/>
      <c r="L75" s="864"/>
      <c r="M75" s="864"/>
      <c r="N75" s="864"/>
      <c r="O75" s="864"/>
      <c r="P75" s="864"/>
      <c r="Q75" s="864"/>
      <c r="R75" s="864"/>
      <c r="S75" s="864"/>
      <c r="T75" s="864"/>
      <c r="U75" s="864"/>
      <c r="V75" s="864"/>
      <c r="W75" s="864"/>
      <c r="X75" s="864"/>
      <c r="Y75" s="864"/>
      <c r="Z75" s="864"/>
      <c r="AA75" s="866"/>
      <c r="AB75" s="866"/>
      <c r="AC75" s="866"/>
      <c r="AD75" s="845"/>
      <c r="AE75" s="845"/>
      <c r="AF75" s="845"/>
      <c r="AG75" s="845"/>
      <c r="AH75" s="845"/>
      <c r="AI75" s="845"/>
      <c r="AJ75" s="845"/>
      <c r="AK75" s="845"/>
      <c r="AL75" s="845"/>
      <c r="AM75" s="845"/>
      <c r="AN75" s="845"/>
      <c r="AO75" s="845"/>
      <c r="AP75" s="845"/>
      <c r="AQ75" s="845"/>
      <c r="AR75" s="845"/>
      <c r="AS75" s="845"/>
      <c r="AT75" s="845"/>
      <c r="AU75" s="845"/>
      <c r="AV75" s="845"/>
      <c r="AW75" s="845"/>
      <c r="AX75" s="845"/>
      <c r="AY75" s="845"/>
      <c r="AZ75" s="845"/>
      <c r="BA75" s="449"/>
      <c r="BB75" s="310"/>
      <c r="BC75" s="310"/>
      <c r="BD75" s="310"/>
      <c r="BE75" s="310"/>
      <c r="BF75" s="310"/>
      <c r="BG75" s="310"/>
      <c r="BH75" s="310"/>
      <c r="BI75" s="310"/>
      <c r="BJ75" s="443"/>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286"/>
    </row>
    <row r="76" spans="1:86" s="250" customFormat="1" ht="3" customHeight="1">
      <c r="A76" s="220"/>
      <c r="B76" s="879"/>
      <c r="C76" s="879"/>
      <c r="D76" s="879"/>
      <c r="E76" s="877" t="s">
        <v>1547</v>
      </c>
      <c r="F76" s="877"/>
      <c r="G76" s="862"/>
      <c r="H76" s="864" t="str">
        <f>Index!C102</f>
        <v>Iné pohľadávky (335A, 336A, 33XA, 371A, 374A, 375A, 378A) - /391A/</v>
      </c>
      <c r="I76" s="864"/>
      <c r="J76" s="864"/>
      <c r="K76" s="864"/>
      <c r="L76" s="864"/>
      <c r="M76" s="864"/>
      <c r="N76" s="864"/>
      <c r="O76" s="864"/>
      <c r="P76" s="864"/>
      <c r="Q76" s="864"/>
      <c r="R76" s="864"/>
      <c r="S76" s="864"/>
      <c r="T76" s="864"/>
      <c r="U76" s="864"/>
      <c r="V76" s="864"/>
      <c r="W76" s="864"/>
      <c r="X76" s="864"/>
      <c r="Y76" s="864"/>
      <c r="Z76" s="864"/>
      <c r="AA76" s="866" t="s">
        <v>1608</v>
      </c>
      <c r="AB76" s="866"/>
      <c r="AC76" s="866"/>
      <c r="AD76" s="825"/>
      <c r="AE76" s="825"/>
      <c r="AF76" s="825"/>
      <c r="AG76" s="825"/>
      <c r="AH76" s="825"/>
      <c r="AI76" s="825"/>
      <c r="AJ76" s="825"/>
      <c r="AK76" s="825"/>
      <c r="AL76" s="825"/>
      <c r="AM76" s="825"/>
      <c r="AN76" s="825"/>
      <c r="AO76" s="825"/>
      <c r="AP76" s="825"/>
      <c r="AQ76" s="825"/>
      <c r="AR76" s="825"/>
      <c r="AS76" s="825"/>
      <c r="AT76" s="825"/>
      <c r="AU76" s="825"/>
      <c r="AV76" s="825"/>
      <c r="AW76" s="825"/>
      <c r="AX76" s="825"/>
      <c r="AY76" s="825"/>
      <c r="AZ76" s="825"/>
      <c r="BA76" s="867"/>
      <c r="BB76" s="867"/>
      <c r="BC76" s="867"/>
      <c r="BD76" s="867"/>
      <c r="BE76" s="867"/>
      <c r="BF76" s="867"/>
      <c r="BG76" s="867"/>
      <c r="BH76" s="867"/>
      <c r="BI76" s="867"/>
      <c r="BJ76" s="867"/>
      <c r="BK76" s="867"/>
      <c r="BL76" s="867"/>
      <c r="BM76" s="867"/>
      <c r="BN76" s="867"/>
      <c r="BO76" s="867"/>
      <c r="BP76" s="867"/>
      <c r="BQ76" s="867"/>
      <c r="BR76" s="304"/>
      <c r="BS76" s="304"/>
      <c r="BT76" s="304"/>
      <c r="BU76" s="304"/>
      <c r="BV76" s="304"/>
      <c r="BW76" s="446"/>
      <c r="BX76" s="304"/>
      <c r="BY76" s="304"/>
      <c r="BZ76" s="304"/>
      <c r="CA76" s="304"/>
      <c r="CB76" s="304"/>
      <c r="CC76" s="304"/>
      <c r="CD76" s="304"/>
      <c r="CE76" s="304"/>
      <c r="CF76" s="304"/>
      <c r="CG76" s="284"/>
      <c r="CH76" s="221"/>
    </row>
    <row r="77" spans="1:86" s="250" customFormat="1" ht="3" customHeight="1">
      <c r="A77" s="220"/>
      <c r="B77" s="879"/>
      <c r="C77" s="879"/>
      <c r="D77" s="879"/>
      <c r="E77" s="877"/>
      <c r="F77" s="877"/>
      <c r="G77" s="862"/>
      <c r="H77" s="864"/>
      <c r="I77" s="864"/>
      <c r="J77" s="864"/>
      <c r="K77" s="864"/>
      <c r="L77" s="864"/>
      <c r="M77" s="864"/>
      <c r="N77" s="864"/>
      <c r="O77" s="864"/>
      <c r="P77" s="864"/>
      <c r="Q77" s="864"/>
      <c r="R77" s="864"/>
      <c r="S77" s="864"/>
      <c r="T77" s="864"/>
      <c r="U77" s="864"/>
      <c r="V77" s="864"/>
      <c r="W77" s="864"/>
      <c r="X77" s="864"/>
      <c r="Y77" s="864"/>
      <c r="Z77" s="864"/>
      <c r="AA77" s="866"/>
      <c r="AB77" s="866"/>
      <c r="AC77" s="866"/>
      <c r="AD77" s="826"/>
      <c r="AE77" s="820"/>
      <c r="AF77" s="820"/>
      <c r="AG77" s="820"/>
      <c r="AH77" s="435"/>
      <c r="AI77" s="821"/>
      <c r="AJ77" s="821"/>
      <c r="AK77" s="821"/>
      <c r="AL77" s="821"/>
      <c r="AM77" s="821"/>
      <c r="AN77" s="818"/>
      <c r="AO77" s="822"/>
      <c r="AP77" s="822"/>
      <c r="AQ77" s="822"/>
      <c r="AR77" s="822"/>
      <c r="AS77" s="822"/>
      <c r="AT77" s="819"/>
      <c r="AU77" s="822"/>
      <c r="AV77" s="822"/>
      <c r="AW77" s="822"/>
      <c r="AX77" s="822"/>
      <c r="AY77" s="822"/>
      <c r="AZ77" s="827"/>
      <c r="BA77" s="826"/>
      <c r="BB77" s="820"/>
      <c r="BC77" s="820"/>
      <c r="BD77" s="820"/>
      <c r="BE77" s="435"/>
      <c r="BF77" s="821"/>
      <c r="BG77" s="821"/>
      <c r="BH77" s="821"/>
      <c r="BI77" s="821"/>
      <c r="BJ77" s="821"/>
      <c r="BK77" s="818"/>
      <c r="BL77" s="822"/>
      <c r="BM77" s="822"/>
      <c r="BN77" s="822"/>
      <c r="BO77" s="822"/>
      <c r="BP77" s="822"/>
      <c r="BQ77" s="819"/>
      <c r="BR77" s="822"/>
      <c r="BS77" s="822"/>
      <c r="BT77" s="822"/>
      <c r="BU77" s="822"/>
      <c r="BV77" s="822"/>
      <c r="BW77" s="441"/>
      <c r="BX77" s="442"/>
      <c r="BY77" s="442"/>
      <c r="BZ77" s="442"/>
      <c r="CA77" s="442"/>
      <c r="CB77" s="442"/>
      <c r="CC77" s="442"/>
      <c r="CD77" s="442"/>
      <c r="CE77" s="442"/>
      <c r="CF77" s="442"/>
      <c r="CG77" s="285"/>
      <c r="CH77" s="221"/>
    </row>
    <row r="78" spans="1:86" ht="15" customHeight="1">
      <c r="A78" s="220"/>
      <c r="B78" s="879"/>
      <c r="C78" s="879"/>
      <c r="D78" s="879"/>
      <c r="E78" s="877"/>
      <c r="F78" s="877"/>
      <c r="G78" s="862"/>
      <c r="H78" s="864"/>
      <c r="I78" s="864"/>
      <c r="J78" s="864"/>
      <c r="K78" s="864"/>
      <c r="L78" s="864"/>
      <c r="M78" s="864"/>
      <c r="N78" s="864"/>
      <c r="O78" s="864"/>
      <c r="P78" s="864"/>
      <c r="Q78" s="864"/>
      <c r="R78" s="864"/>
      <c r="S78" s="864"/>
      <c r="T78" s="864"/>
      <c r="U78" s="864"/>
      <c r="V78" s="864"/>
      <c r="W78" s="864"/>
      <c r="X78" s="864"/>
      <c r="Y78" s="864"/>
      <c r="Z78" s="864"/>
      <c r="AA78" s="866"/>
      <c r="AB78" s="866"/>
      <c r="AC78" s="866"/>
      <c r="AD78" s="826"/>
      <c r="AE78" s="432" t="str">
        <f>IF(LEN(VLOOKUP(AA76,suvaha!$D$8:$H$158,2,FALSE))&lt;11,"",LEFT(RIGHT(VLOOKUP(AA76,suvaha!$D$8:$H$158,2,FALSE),11),1))</f>
        <v/>
      </c>
      <c r="AF78" s="255"/>
      <c r="AG78" s="432" t="str">
        <f>IF(LEN(VLOOKUP(AA76,suvaha!$D$8:$H$158,2,FALSE))&lt;10,"",LEFT(RIGHT(VLOOKUP(AA76,suvaha!$D$8:$H$158,2,FALSE),10),1))</f>
        <v/>
      </c>
      <c r="AH78" s="434"/>
      <c r="AI78" s="432" t="str">
        <f>IF(LEN(VLOOKUP(AA76,suvaha!$D$8:$H$158,2,FALSE))&lt;9,"",LEFT(RIGHT(VLOOKUP(AA76,suvaha!$D$8:$H$158,2,FALSE),9),1))</f>
        <v/>
      </c>
      <c r="AJ78" s="255"/>
      <c r="AK78" s="432" t="str">
        <f>IF(LEN(VLOOKUP(AA76,suvaha!$D$8:$H$158,2,FALSE))&lt;8,"",LEFT(RIGHT(VLOOKUP(AA76,suvaha!$D$8:$H$158,2,FALSE),8),1))</f>
        <v/>
      </c>
      <c r="AL78" s="434"/>
      <c r="AM78" s="432" t="str">
        <f>IF(LEN(VLOOKUP(AA76,suvaha!$D$8:$H$158,2,FALSE))&lt;7,"",LEFT(RIGHT(VLOOKUP(AA76,suvaha!$D$8:$H$158,2,FALSE),7),1))</f>
        <v/>
      </c>
      <c r="AN78" s="818"/>
      <c r="AO78" s="432" t="str">
        <f>IF(LEN(VLOOKUP(AA76,suvaha!$D$8:$H$158,2,FALSE))&lt;6,"",LEFT(RIGHT(VLOOKUP(AA76,suvaha!$D$8:$H$158,2,FALSE),6),1))</f>
        <v/>
      </c>
      <c r="AP78" s="434"/>
      <c r="AQ78" s="432" t="str">
        <f>IF(LEN(VLOOKUP(AA76,suvaha!$D$8:$H$158,2,FALSE))&lt;5,"",LEFT(RIGHT(VLOOKUP(AA76,suvaha!$D$8:$H$158,2,FALSE),5),1))</f>
        <v/>
      </c>
      <c r="AR78" s="434"/>
      <c r="AS78" s="432" t="str">
        <f>IF(LEN(VLOOKUP(AA76,suvaha!$D$8:$H$158,2,FALSE))&lt;4,"",LEFT(RIGHT(VLOOKUP(AA76,suvaha!$D$8:$H$158,2,FALSE),4),1))</f>
        <v/>
      </c>
      <c r="AT78" s="819"/>
      <c r="AU78" s="432" t="str">
        <f>IF(LEN(VLOOKUP(AA76,suvaha!$D$8:$H$158,2,FALSE))&lt;3,"",LEFT(RIGHT(VLOOKUP(AA76,suvaha!$D$8:$H$158,2,FALSE),3),1))</f>
        <v/>
      </c>
      <c r="AV78" s="434"/>
      <c r="AW78" s="432" t="str">
        <f>IF(LEN(VLOOKUP(AA76,suvaha!$D$8:$H$158,2,FALSE))&lt;2,"",LEFT(RIGHT(VLOOKUP(AA76,suvaha!$D$8:$H$158,2,FALSE),2),1))</f>
        <v/>
      </c>
      <c r="AX78" s="434"/>
      <c r="AY78" s="432" t="str">
        <f>IF(VLOOKUP(AA76,suvaha!$D$8:$H$85,2,FALSE)=0,"",IF(LEN(VLOOKUP(AA76,suvaha!$D$8:$H$158,2,FALSE))&lt;1,"",LEFT(RIGHT(VLOOKUP(AA76,suvaha!$D$8:$H$158,2,FALSE),1),1)))</f>
        <v/>
      </c>
      <c r="AZ78" s="827"/>
      <c r="BA78" s="826"/>
      <c r="BB78" s="432" t="str">
        <f>IF(LEN(VLOOKUP(AA76,suvaha!$D$8:$H$158,4,FALSE))&lt;11,"",LEFT(RIGHT(VLOOKUP(AA76,suvaha!$D$8:$H$158,4,FALSE),11),1))</f>
        <v/>
      </c>
      <c r="BC78" s="255"/>
      <c r="BD78" s="432" t="str">
        <f>IF(LEN(VLOOKUP(AA76,suvaha!$D$8:$H$158,4,FALSE))&lt;10,"",LEFT(RIGHT(VLOOKUP(AA76,suvaha!$D$8:$H$158,4,FALSE),10),1))</f>
        <v/>
      </c>
      <c r="BE78" s="434"/>
      <c r="BF78" s="432" t="str">
        <f>IF(LEN(VLOOKUP(AA76,suvaha!$D$8:$H$158,4,FALSE))&lt;9,"",LEFT(RIGHT(VLOOKUP(AA76,suvaha!$D$8:$H$158,4,FALSE),9),1))</f>
        <v/>
      </c>
      <c r="BG78" s="255"/>
      <c r="BH78" s="432" t="str">
        <f>IF(LEN(VLOOKUP(AA76,suvaha!$D$8:$H$158,4,FALSE))&lt;8,"",LEFT(RIGHT(VLOOKUP(AA76,suvaha!$D$8:$H$158,4,FALSE),8),1))</f>
        <v/>
      </c>
      <c r="BI78" s="434"/>
      <c r="BJ78" s="432" t="str">
        <f>IF(LEN(VLOOKUP(AA76,suvaha!$D$8:$H$158,4,FALSE))&lt;7,"",LEFT(RIGHT(VLOOKUP(AA76,suvaha!$D$8:$H$158,4,FALSE),7),1))</f>
        <v/>
      </c>
      <c r="BK78" s="818"/>
      <c r="BL78" s="432" t="str">
        <f>IF(LEN(VLOOKUP(AA76,suvaha!$D$8:$H$158,4,FALSE))&lt;6,"",LEFT(RIGHT(VLOOKUP(AA76,suvaha!$D$8:$H$158,4,FALSE),6),1))</f>
        <v/>
      </c>
      <c r="BM78" s="434"/>
      <c r="BN78" s="432" t="str">
        <f>IF(LEN(VLOOKUP(AA76,suvaha!$D$8:$H$158,4,FALSE))&lt;5,"",LEFT(RIGHT(VLOOKUP(AA76,suvaha!$D$8:$H$158,4,FALSE),5),1))</f>
        <v/>
      </c>
      <c r="BO78" s="434"/>
      <c r="BP78" s="432" t="str">
        <f>IF(LEN(VLOOKUP(AA76,suvaha!$D$8:$H$158,4,FALSE))&lt;4,"",LEFT(RIGHT(VLOOKUP(AA76,suvaha!$D$8:$H$158,4,FALSE),4),1))</f>
        <v/>
      </c>
      <c r="BQ78" s="819"/>
      <c r="BR78" s="432" t="str">
        <f>IF(LEN(VLOOKUP(AA76,suvaha!$D$8:$H$158,4,FALSE))&lt;3,"",LEFT(RIGHT(VLOOKUP(AA76,suvaha!$D$8:$H$158,4,FALSE),3),1))</f>
        <v/>
      </c>
      <c r="BS78" s="434"/>
      <c r="BT78" s="432" t="str">
        <f>IF(LEN(VLOOKUP(AA76,suvaha!$D$8:$H$158,4,FALSE))&lt;2,"",LEFT(RIGHT(VLOOKUP(AA76,suvaha!$D$8:$H$158,4,FALSE),2),1))</f>
        <v/>
      </c>
      <c r="BU78" s="434"/>
      <c r="BV78" s="432" t="str">
        <f>IF(VLOOKUP(AA76,suvaha!$D$8:$H$85,4,FALSE)=0,"",IF(LEN(VLOOKUP(AA76,suvaha!$D$8:$H$158,4,FALSE))&lt;1,"",LEFT(RIGHT(VLOOKUP(AA76,suvaha!$D$8:$H$158,4,FALSE),1),1)))</f>
        <v/>
      </c>
      <c r="BW78" s="441"/>
      <c r="BX78" s="442"/>
      <c r="BY78" s="442"/>
      <c r="BZ78" s="442"/>
      <c r="CA78" s="442"/>
      <c r="CB78" s="442"/>
      <c r="CC78" s="442"/>
      <c r="CD78" s="442"/>
      <c r="CE78" s="442"/>
      <c r="CF78" s="442"/>
      <c r="CG78" s="285"/>
    </row>
    <row r="79" spans="1:86" ht="3" customHeight="1">
      <c r="A79" s="220"/>
      <c r="B79" s="879"/>
      <c r="C79" s="879"/>
      <c r="D79" s="879"/>
      <c r="E79" s="877"/>
      <c r="F79" s="877"/>
      <c r="G79" s="862"/>
      <c r="H79" s="864"/>
      <c r="I79" s="864"/>
      <c r="J79" s="864"/>
      <c r="K79" s="864"/>
      <c r="L79" s="864"/>
      <c r="M79" s="864"/>
      <c r="N79" s="864"/>
      <c r="O79" s="864"/>
      <c r="P79" s="864"/>
      <c r="Q79" s="864"/>
      <c r="R79" s="864"/>
      <c r="S79" s="864"/>
      <c r="T79" s="864"/>
      <c r="U79" s="864"/>
      <c r="V79" s="864"/>
      <c r="W79" s="864"/>
      <c r="X79" s="864"/>
      <c r="Y79" s="864"/>
      <c r="Z79" s="864"/>
      <c r="AA79" s="866"/>
      <c r="AB79" s="866"/>
      <c r="AC79" s="866"/>
      <c r="AD79" s="845"/>
      <c r="AE79" s="845"/>
      <c r="AF79" s="845"/>
      <c r="AG79" s="845"/>
      <c r="AH79" s="845"/>
      <c r="AI79" s="845"/>
      <c r="AJ79" s="845"/>
      <c r="AK79" s="845"/>
      <c r="AL79" s="845"/>
      <c r="AM79" s="845"/>
      <c r="AN79" s="845"/>
      <c r="AO79" s="845"/>
      <c r="AP79" s="845"/>
      <c r="AQ79" s="845"/>
      <c r="AR79" s="845"/>
      <c r="AS79" s="845"/>
      <c r="AT79" s="845"/>
      <c r="AU79" s="845"/>
      <c r="AV79" s="845"/>
      <c r="AW79" s="845"/>
      <c r="AX79" s="845"/>
      <c r="AY79" s="845"/>
      <c r="AZ79" s="845"/>
      <c r="BA79" s="846"/>
      <c r="BB79" s="846"/>
      <c r="BC79" s="846"/>
      <c r="BD79" s="846"/>
      <c r="BE79" s="846"/>
      <c r="BF79" s="846"/>
      <c r="BG79" s="846"/>
      <c r="BH79" s="846"/>
      <c r="BI79" s="846"/>
      <c r="BJ79" s="846"/>
      <c r="BK79" s="846"/>
      <c r="BL79" s="846"/>
      <c r="BM79" s="846"/>
      <c r="BN79" s="846"/>
      <c r="BO79" s="846"/>
      <c r="BP79" s="846"/>
      <c r="BQ79" s="846"/>
      <c r="BR79" s="310"/>
      <c r="BS79" s="310"/>
      <c r="BT79" s="310"/>
      <c r="BU79" s="310"/>
      <c r="BV79" s="310"/>
      <c r="BW79" s="443"/>
      <c r="BX79" s="310"/>
      <c r="BY79" s="310"/>
      <c r="BZ79" s="310"/>
      <c r="CA79" s="310"/>
      <c r="CB79" s="310"/>
      <c r="CC79" s="310"/>
      <c r="CD79" s="310"/>
      <c r="CE79" s="310"/>
      <c r="CF79" s="310"/>
      <c r="CG79" s="286"/>
    </row>
    <row r="80" spans="1:86" ht="3" customHeight="1">
      <c r="A80" s="220"/>
      <c r="B80" s="879"/>
      <c r="C80" s="879"/>
      <c r="D80" s="879"/>
      <c r="E80" s="877"/>
      <c r="F80" s="877"/>
      <c r="G80" s="862"/>
      <c r="H80" s="864"/>
      <c r="I80" s="864"/>
      <c r="J80" s="864"/>
      <c r="K80" s="864"/>
      <c r="L80" s="864"/>
      <c r="M80" s="864"/>
      <c r="N80" s="864"/>
      <c r="O80" s="864"/>
      <c r="P80" s="864"/>
      <c r="Q80" s="864"/>
      <c r="R80" s="864"/>
      <c r="S80" s="864"/>
      <c r="T80" s="864"/>
      <c r="U80" s="864"/>
      <c r="V80" s="864"/>
      <c r="W80" s="864"/>
      <c r="X80" s="864"/>
      <c r="Y80" s="864"/>
      <c r="Z80" s="864"/>
      <c r="AA80" s="866"/>
      <c r="AB80" s="866"/>
      <c r="AC80" s="866"/>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25"/>
      <c r="BA80" s="447"/>
      <c r="BB80" s="304"/>
      <c r="BC80" s="304"/>
      <c r="BD80" s="304"/>
      <c r="BE80" s="304"/>
      <c r="BF80" s="304"/>
      <c r="BG80" s="304"/>
      <c r="BH80" s="304"/>
      <c r="BI80" s="304"/>
      <c r="BJ80" s="446"/>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284"/>
    </row>
    <row r="81" spans="1:86" ht="3" customHeight="1">
      <c r="A81" s="220"/>
      <c r="B81" s="879"/>
      <c r="C81" s="879"/>
      <c r="D81" s="879"/>
      <c r="E81" s="877"/>
      <c r="F81" s="877"/>
      <c r="G81" s="862"/>
      <c r="H81" s="864"/>
      <c r="I81" s="864"/>
      <c r="J81" s="864"/>
      <c r="K81" s="864"/>
      <c r="L81" s="864"/>
      <c r="M81" s="864"/>
      <c r="N81" s="864"/>
      <c r="O81" s="864"/>
      <c r="P81" s="864"/>
      <c r="Q81" s="864"/>
      <c r="R81" s="864"/>
      <c r="S81" s="864"/>
      <c r="T81" s="864"/>
      <c r="U81" s="864"/>
      <c r="V81" s="864"/>
      <c r="W81" s="864"/>
      <c r="X81" s="864"/>
      <c r="Y81" s="864"/>
      <c r="Z81" s="864"/>
      <c r="AA81" s="866"/>
      <c r="AB81" s="866"/>
      <c r="AC81" s="866"/>
      <c r="AD81" s="826"/>
      <c r="AE81" s="820"/>
      <c r="AF81" s="820"/>
      <c r="AG81" s="820"/>
      <c r="AH81" s="435"/>
      <c r="AI81" s="821"/>
      <c r="AJ81" s="821"/>
      <c r="AK81" s="821"/>
      <c r="AL81" s="821"/>
      <c r="AM81" s="821"/>
      <c r="AN81" s="818"/>
      <c r="AO81" s="822"/>
      <c r="AP81" s="822"/>
      <c r="AQ81" s="822"/>
      <c r="AR81" s="822"/>
      <c r="AS81" s="822"/>
      <c r="AT81" s="819"/>
      <c r="AU81" s="822"/>
      <c r="AV81" s="822"/>
      <c r="AW81" s="822"/>
      <c r="AX81" s="822"/>
      <c r="AY81" s="822"/>
      <c r="AZ81" s="827"/>
      <c r="BA81" s="448"/>
      <c r="BB81" s="442"/>
      <c r="BC81" s="442"/>
      <c r="BD81" s="442"/>
      <c r="BE81" s="442"/>
      <c r="BF81" s="442"/>
      <c r="BG81" s="442"/>
      <c r="BH81" s="442"/>
      <c r="BI81" s="442"/>
      <c r="BJ81" s="441"/>
      <c r="BK81" s="442"/>
      <c r="BL81" s="820"/>
      <c r="BM81" s="820"/>
      <c r="BN81" s="820"/>
      <c r="BO81" s="435"/>
      <c r="BP81" s="821"/>
      <c r="BQ81" s="821"/>
      <c r="BR81" s="821"/>
      <c r="BS81" s="821"/>
      <c r="BT81" s="821"/>
      <c r="BU81" s="818"/>
      <c r="BV81" s="822"/>
      <c r="BW81" s="822"/>
      <c r="BX81" s="822"/>
      <c r="BY81" s="822"/>
      <c r="BZ81" s="822"/>
      <c r="CA81" s="819"/>
      <c r="CB81" s="822"/>
      <c r="CC81" s="822"/>
      <c r="CD81" s="822"/>
      <c r="CE81" s="822"/>
      <c r="CF81" s="822"/>
      <c r="CG81" s="287"/>
    </row>
    <row r="82" spans="1:86" ht="15" customHeight="1">
      <c r="A82" s="220"/>
      <c r="B82" s="879"/>
      <c r="C82" s="879"/>
      <c r="D82" s="879"/>
      <c r="E82" s="877"/>
      <c r="F82" s="877"/>
      <c r="G82" s="862"/>
      <c r="H82" s="864"/>
      <c r="I82" s="864"/>
      <c r="J82" s="864"/>
      <c r="K82" s="864"/>
      <c r="L82" s="864"/>
      <c r="M82" s="864"/>
      <c r="N82" s="864"/>
      <c r="O82" s="864"/>
      <c r="P82" s="864"/>
      <c r="Q82" s="864"/>
      <c r="R82" s="864"/>
      <c r="S82" s="864"/>
      <c r="T82" s="864"/>
      <c r="U82" s="864"/>
      <c r="V82" s="864"/>
      <c r="W82" s="864"/>
      <c r="X82" s="864"/>
      <c r="Y82" s="864"/>
      <c r="Z82" s="864"/>
      <c r="AA82" s="866"/>
      <c r="AB82" s="866"/>
      <c r="AC82" s="866"/>
      <c r="AD82" s="826"/>
      <c r="AE82" s="432" t="str">
        <f>IF(LEN(VLOOKUP(AA76,suvaha!$D$8:$H$158,3,FALSE))&lt;11,"",LEFT(RIGHT(VLOOKUP(AA76,suvaha!$D$8:$H$158,3,FALSE),11),1))</f>
        <v/>
      </c>
      <c r="AF82" s="255"/>
      <c r="AG82" s="432" t="str">
        <f>IF(LEN(VLOOKUP(AA76,suvaha!$D$8:$H$158,3,FALSE))&lt;10,"",LEFT(RIGHT(VLOOKUP(AA76,suvaha!$D$8:$H$158,3,FALSE),10),1))</f>
        <v/>
      </c>
      <c r="AH82" s="434"/>
      <c r="AI82" s="432" t="str">
        <f>IF(LEN(VLOOKUP(AA76,suvaha!$D$8:$H$158,3,FALSE))&lt;9,"",LEFT(RIGHT(VLOOKUP(AA76,suvaha!$D$8:$H$158,3,FALSE),9),1))</f>
        <v/>
      </c>
      <c r="AJ82" s="255"/>
      <c r="AK82" s="432" t="str">
        <f>IF(LEN(VLOOKUP(AA76,suvaha!$D$8:$H$158,3,FALSE))&lt;8,"",LEFT(RIGHT(VLOOKUP(AA76,suvaha!$D$8:$H$158,3,FALSE),8),1))</f>
        <v/>
      </c>
      <c r="AL82" s="434"/>
      <c r="AM82" s="432" t="str">
        <f>IF(LEN(VLOOKUP(AA76,suvaha!$D$8:$H$158,3,FALSE))&lt;7,"",LEFT(RIGHT(VLOOKUP(AA76,suvaha!$D$8:$H$158,3,FALSE),7),1))</f>
        <v/>
      </c>
      <c r="AN82" s="818"/>
      <c r="AO82" s="432" t="str">
        <f>IF(LEN(VLOOKUP(AA76,suvaha!$D$8:$H$158,3,FALSE))&lt;6,"",LEFT(RIGHT(VLOOKUP(AA76,suvaha!$D$8:$H$158,3,FALSE),6),1))</f>
        <v/>
      </c>
      <c r="AP82" s="434"/>
      <c r="AQ82" s="432" t="str">
        <f>IF(LEN(VLOOKUP(AA76,suvaha!$D$8:$H$158,3,FALSE))&lt;5,"",LEFT(RIGHT(VLOOKUP(AA76,suvaha!$D$8:$H$158,3,FALSE),5),1))</f>
        <v/>
      </c>
      <c r="AR82" s="434"/>
      <c r="AS82" s="432" t="str">
        <f>IF(LEN(VLOOKUP(AA76,suvaha!$D$8:$H$158,3,FALSE))&lt;4,"",LEFT(RIGHT(VLOOKUP(AA76,suvaha!$D$8:$H$158,3,FALSE),4),1))</f>
        <v/>
      </c>
      <c r="AT82" s="819"/>
      <c r="AU82" s="432" t="str">
        <f>IF(LEN(VLOOKUP(AA76,suvaha!$D$8:$H$158,3,FALSE))&lt;3,"",LEFT(RIGHT(VLOOKUP(AA76,suvaha!$D$8:$H$158,3,FALSE),3),1))</f>
        <v/>
      </c>
      <c r="AV82" s="434"/>
      <c r="AW82" s="432" t="str">
        <f>IF(LEN(VLOOKUP(AA76,suvaha!$D$8:$H$158,3,FALSE))&lt;2,"",LEFT(RIGHT(VLOOKUP(AA76,suvaha!$D$8:$H$158,3,FALSE),2),1))</f>
        <v/>
      </c>
      <c r="AX82" s="434"/>
      <c r="AY82" s="432" t="str">
        <f>IF(VLOOKUP(AA76,suvaha!$D$8:$H$85,3,FALSE)=0,"",IF(LEN(VLOOKUP(AA76,suvaha!$D$8:$H$158,3,FALSE))&lt;1,"",LEFT(RIGHT(VLOOKUP(AA76,suvaha!$D$8:$H$158,3,FALSE),1),1)))</f>
        <v/>
      </c>
      <c r="AZ82" s="827"/>
      <c r="BA82" s="448"/>
      <c r="BB82" s="442"/>
      <c r="BC82" s="442"/>
      <c r="BD82" s="442"/>
      <c r="BE82" s="442"/>
      <c r="BF82" s="442"/>
      <c r="BG82" s="442"/>
      <c r="BH82" s="442"/>
      <c r="BI82" s="442"/>
      <c r="BJ82" s="441"/>
      <c r="BK82" s="442"/>
      <c r="BL82" s="432" t="str">
        <f>IF(LEN(VLOOKUP(AA76,suvaha!$D$8:$H$158,5,FALSE))&lt;11,"",LEFT(RIGHT(VLOOKUP(AA76,suvaha!$D$8:$H$158,5,FALSE),11),1))</f>
        <v/>
      </c>
      <c r="BM82" s="255"/>
      <c r="BN82" s="432" t="str">
        <f>IF(LEN(VLOOKUP(AA76,suvaha!$D$8:$H$158,5,FALSE))&lt;10,"",LEFT(RIGHT(VLOOKUP(AA76,suvaha!$D$8:$H$158,5,FALSE),10),1))</f>
        <v/>
      </c>
      <c r="BO82" s="434"/>
      <c r="BP82" s="432" t="str">
        <f>IF(LEN(VLOOKUP(AA76,suvaha!$D$8:$H$158,5,FALSE))&lt;9,"",LEFT(RIGHT(VLOOKUP(AA76,suvaha!$D$8:$H$158,5,FALSE),9),1))</f>
        <v/>
      </c>
      <c r="BQ82" s="255"/>
      <c r="BR82" s="432" t="str">
        <f>IF(LEN(VLOOKUP(AA76,suvaha!$D$8:$H$158,5,FALSE))&lt;8,"",LEFT(RIGHT(VLOOKUP(AA76,suvaha!$D$8:$H$158,5,FALSE),8),1))</f>
        <v/>
      </c>
      <c r="BS82" s="434"/>
      <c r="BT82" s="432" t="str">
        <f>IF(LEN(VLOOKUP(AA76,suvaha!$D$8:$H$158,5,FALSE))&lt;7,"",LEFT(RIGHT(VLOOKUP(AA76,suvaha!$D$8:$H$158,5,FALSE),7),1))</f>
        <v/>
      </c>
      <c r="BU82" s="818"/>
      <c r="BV82" s="432" t="str">
        <f>IF(LEN(VLOOKUP(AA76,suvaha!$D$8:$H$158,5,FALSE))&lt;6,"",LEFT(RIGHT(VLOOKUP(AA76,suvaha!$D$8:$H$158,5,FALSE),6),1))</f>
        <v/>
      </c>
      <c r="BW82" s="434"/>
      <c r="BX82" s="432" t="str">
        <f>IF(LEN(VLOOKUP(AA76,suvaha!$D$8:$H$158,5,FALSE))&lt;5,"",LEFT(RIGHT(VLOOKUP(AA76,suvaha!$D$8:$H$158,5,FALSE),5),1))</f>
        <v>3</v>
      </c>
      <c r="BY82" s="434"/>
      <c r="BZ82" s="432" t="str">
        <f>IF(LEN(VLOOKUP(AA76,suvaha!$D$8:$H$158,5,FALSE))&lt;4,"",LEFT(RIGHT(VLOOKUP(AA76,suvaha!$D$8:$H$158,5,FALSE),4),1))</f>
        <v>5</v>
      </c>
      <c r="CA82" s="819"/>
      <c r="CB82" s="432" t="str">
        <f>IF(LEN(VLOOKUP(AA76,suvaha!$D$8:$H$158,5,FALSE))&lt;3,"",LEFT(RIGHT(VLOOKUP(AA76,suvaha!$D$8:$H$158,5,FALSE),3),1))</f>
        <v>5</v>
      </c>
      <c r="CC82" s="434"/>
      <c r="CD82" s="432" t="str">
        <f>IF(LEN(VLOOKUP(AA76,suvaha!$D$8:$H$158,5,FALSE))&lt;2,"",LEFT(RIGHT(VLOOKUP(AA76,suvaha!$D$8:$H$158,5,FALSE),2),1))</f>
        <v>8</v>
      </c>
      <c r="CE82" s="434"/>
      <c r="CF82" s="432" t="str">
        <f>IF(VLOOKUP(AA76,suvaha!$D$8:$H$85,5,FALSE)=0,"",IF(LEN(VLOOKUP(AA76,suvaha!$D$8:$H$158,5,FALSE))&lt;1,"",LEFT(RIGHT(VLOOKUP(AA76,suvaha!$D$8:$H$158,5,FALSE),1),1)))</f>
        <v>9</v>
      </c>
      <c r="CG82" s="287"/>
    </row>
    <row r="83" spans="1:86" ht="3" customHeight="1">
      <c r="A83" s="220"/>
      <c r="B83" s="879"/>
      <c r="C83" s="879"/>
      <c r="D83" s="879"/>
      <c r="E83" s="877"/>
      <c r="F83" s="877"/>
      <c r="G83" s="862"/>
      <c r="H83" s="864"/>
      <c r="I83" s="864"/>
      <c r="J83" s="864"/>
      <c r="K83" s="864"/>
      <c r="L83" s="864"/>
      <c r="M83" s="864"/>
      <c r="N83" s="864"/>
      <c r="O83" s="864"/>
      <c r="P83" s="864"/>
      <c r="Q83" s="864"/>
      <c r="R83" s="864"/>
      <c r="S83" s="864"/>
      <c r="T83" s="864"/>
      <c r="U83" s="864"/>
      <c r="V83" s="864"/>
      <c r="W83" s="864"/>
      <c r="X83" s="864"/>
      <c r="Y83" s="864"/>
      <c r="Z83" s="864"/>
      <c r="AA83" s="866"/>
      <c r="AB83" s="866"/>
      <c r="AC83" s="866"/>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845"/>
      <c r="AZ83" s="845"/>
      <c r="BA83" s="449"/>
      <c r="BB83" s="310"/>
      <c r="BC83" s="310"/>
      <c r="BD83" s="310"/>
      <c r="BE83" s="310"/>
      <c r="BF83" s="310"/>
      <c r="BG83" s="310"/>
      <c r="BH83" s="310"/>
      <c r="BI83" s="310"/>
      <c r="BJ83" s="443"/>
      <c r="BK83" s="310"/>
      <c r="BL83" s="310"/>
      <c r="BM83" s="310"/>
      <c r="BN83" s="310"/>
      <c r="BO83" s="310"/>
      <c r="BP83" s="310"/>
      <c r="BQ83" s="310"/>
      <c r="BR83" s="310"/>
      <c r="BS83" s="310"/>
      <c r="BT83" s="310"/>
      <c r="BU83" s="310"/>
      <c r="BV83" s="310"/>
      <c r="BW83" s="310"/>
      <c r="BX83" s="310"/>
      <c r="BY83" s="310"/>
      <c r="BZ83" s="310"/>
      <c r="CA83" s="310"/>
      <c r="CB83" s="310"/>
      <c r="CC83" s="310"/>
      <c r="CD83" s="310"/>
      <c r="CE83" s="310"/>
      <c r="CF83" s="310"/>
      <c r="CG83" s="286"/>
    </row>
    <row r="84" spans="1:86" s="250" customFormat="1" ht="3" customHeight="1">
      <c r="A84" s="220"/>
      <c r="B84" s="879"/>
      <c r="C84" s="879"/>
      <c r="D84" s="879"/>
      <c r="E84" s="877" t="s">
        <v>1559</v>
      </c>
      <c r="F84" s="877"/>
      <c r="G84" s="862"/>
      <c r="H84" s="864" t="str">
        <f>Index!C103</f>
        <v>Odložená daňová pohľadávka (481A)</v>
      </c>
      <c r="I84" s="864"/>
      <c r="J84" s="864"/>
      <c r="K84" s="864"/>
      <c r="L84" s="864"/>
      <c r="M84" s="864"/>
      <c r="N84" s="864"/>
      <c r="O84" s="864"/>
      <c r="P84" s="864"/>
      <c r="Q84" s="864"/>
      <c r="R84" s="864"/>
      <c r="S84" s="864"/>
      <c r="T84" s="864"/>
      <c r="U84" s="864"/>
      <c r="V84" s="864"/>
      <c r="W84" s="864"/>
      <c r="X84" s="864"/>
      <c r="Y84" s="864"/>
      <c r="Z84" s="864"/>
      <c r="AA84" s="866" t="s">
        <v>1609</v>
      </c>
      <c r="AB84" s="866"/>
      <c r="AC84" s="866"/>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25"/>
      <c r="BA84" s="867"/>
      <c r="BB84" s="867"/>
      <c r="BC84" s="867"/>
      <c r="BD84" s="867"/>
      <c r="BE84" s="867"/>
      <c r="BF84" s="867"/>
      <c r="BG84" s="867"/>
      <c r="BH84" s="867"/>
      <c r="BI84" s="867"/>
      <c r="BJ84" s="867"/>
      <c r="BK84" s="867"/>
      <c r="BL84" s="867"/>
      <c r="BM84" s="867"/>
      <c r="BN84" s="867"/>
      <c r="BO84" s="867"/>
      <c r="BP84" s="867"/>
      <c r="BQ84" s="867"/>
      <c r="BR84" s="304"/>
      <c r="BS84" s="304"/>
      <c r="BT84" s="304"/>
      <c r="BU84" s="304"/>
      <c r="BV84" s="304"/>
      <c r="BW84" s="446"/>
      <c r="BX84" s="304"/>
      <c r="BY84" s="304"/>
      <c r="BZ84" s="304"/>
      <c r="CA84" s="304"/>
      <c r="CB84" s="304"/>
      <c r="CC84" s="304"/>
      <c r="CD84" s="304"/>
      <c r="CE84" s="304"/>
      <c r="CF84" s="304"/>
      <c r="CG84" s="284"/>
      <c r="CH84" s="221"/>
    </row>
    <row r="85" spans="1:86" s="250" customFormat="1" ht="3" customHeight="1">
      <c r="A85" s="220"/>
      <c r="B85" s="879"/>
      <c r="C85" s="879"/>
      <c r="D85" s="879"/>
      <c r="E85" s="877"/>
      <c r="F85" s="877"/>
      <c r="G85" s="862"/>
      <c r="H85" s="864"/>
      <c r="I85" s="864"/>
      <c r="J85" s="864"/>
      <c r="K85" s="864"/>
      <c r="L85" s="864"/>
      <c r="M85" s="864"/>
      <c r="N85" s="864"/>
      <c r="O85" s="864"/>
      <c r="P85" s="864"/>
      <c r="Q85" s="864"/>
      <c r="R85" s="864"/>
      <c r="S85" s="864"/>
      <c r="T85" s="864"/>
      <c r="U85" s="864"/>
      <c r="V85" s="864"/>
      <c r="W85" s="864"/>
      <c r="X85" s="864"/>
      <c r="Y85" s="864"/>
      <c r="Z85" s="864"/>
      <c r="AA85" s="866"/>
      <c r="AB85" s="866"/>
      <c r="AC85" s="866"/>
      <c r="AD85" s="826"/>
      <c r="AE85" s="820"/>
      <c r="AF85" s="820"/>
      <c r="AG85" s="820"/>
      <c r="AH85" s="435"/>
      <c r="AI85" s="821"/>
      <c r="AJ85" s="821"/>
      <c r="AK85" s="821"/>
      <c r="AL85" s="821"/>
      <c r="AM85" s="821"/>
      <c r="AN85" s="818"/>
      <c r="AO85" s="822"/>
      <c r="AP85" s="822"/>
      <c r="AQ85" s="822"/>
      <c r="AR85" s="822"/>
      <c r="AS85" s="822"/>
      <c r="AT85" s="819"/>
      <c r="AU85" s="822"/>
      <c r="AV85" s="822"/>
      <c r="AW85" s="822"/>
      <c r="AX85" s="822"/>
      <c r="AY85" s="822"/>
      <c r="AZ85" s="827"/>
      <c r="BA85" s="826"/>
      <c r="BB85" s="820"/>
      <c r="BC85" s="820"/>
      <c r="BD85" s="820"/>
      <c r="BE85" s="435"/>
      <c r="BF85" s="821"/>
      <c r="BG85" s="821"/>
      <c r="BH85" s="821"/>
      <c r="BI85" s="821"/>
      <c r="BJ85" s="821"/>
      <c r="BK85" s="818"/>
      <c r="BL85" s="822"/>
      <c r="BM85" s="822"/>
      <c r="BN85" s="822"/>
      <c r="BO85" s="822"/>
      <c r="BP85" s="822"/>
      <c r="BQ85" s="819"/>
      <c r="BR85" s="822"/>
      <c r="BS85" s="822"/>
      <c r="BT85" s="822"/>
      <c r="BU85" s="822"/>
      <c r="BV85" s="822"/>
      <c r="BW85" s="441"/>
      <c r="BX85" s="442"/>
      <c r="BY85" s="442"/>
      <c r="BZ85" s="442"/>
      <c r="CA85" s="442"/>
      <c r="CB85" s="442"/>
      <c r="CC85" s="442"/>
      <c r="CD85" s="442"/>
      <c r="CE85" s="442"/>
      <c r="CF85" s="442"/>
      <c r="CG85" s="285"/>
      <c r="CH85" s="221"/>
    </row>
    <row r="86" spans="1:86" ht="15" customHeight="1">
      <c r="A86" s="220"/>
      <c r="B86" s="879"/>
      <c r="C86" s="879"/>
      <c r="D86" s="879"/>
      <c r="E86" s="877"/>
      <c r="F86" s="877"/>
      <c r="G86" s="862"/>
      <c r="H86" s="864"/>
      <c r="I86" s="864"/>
      <c r="J86" s="864"/>
      <c r="K86" s="864"/>
      <c r="L86" s="864"/>
      <c r="M86" s="864"/>
      <c r="N86" s="864"/>
      <c r="O86" s="864"/>
      <c r="P86" s="864"/>
      <c r="Q86" s="864"/>
      <c r="R86" s="864"/>
      <c r="S86" s="864"/>
      <c r="T86" s="864"/>
      <c r="U86" s="864"/>
      <c r="V86" s="864"/>
      <c r="W86" s="864"/>
      <c r="X86" s="864"/>
      <c r="Y86" s="864"/>
      <c r="Z86" s="864"/>
      <c r="AA86" s="866"/>
      <c r="AB86" s="866"/>
      <c r="AC86" s="866"/>
      <c r="AD86" s="826"/>
      <c r="AE86" s="432" t="str">
        <f>IF(LEN(VLOOKUP(AA84,suvaha!$D$8:$H$158,2,FALSE))&lt;11,"",LEFT(RIGHT(VLOOKUP(AA84,suvaha!$D$8:$H$158,2,FALSE),11),1))</f>
        <v/>
      </c>
      <c r="AF86" s="255"/>
      <c r="AG86" s="432" t="str">
        <f>IF(LEN(VLOOKUP(AA84,suvaha!$D$8:$H$158,2,FALSE))&lt;10,"",LEFT(RIGHT(VLOOKUP(AA84,suvaha!$D$8:$H$158,2,FALSE),10),1))</f>
        <v/>
      </c>
      <c r="AH86" s="434"/>
      <c r="AI86" s="432" t="str">
        <f>IF(LEN(VLOOKUP(AA84,suvaha!$D$8:$H$158,2,FALSE))&lt;9,"",LEFT(RIGHT(VLOOKUP(AA84,suvaha!$D$8:$H$158,2,FALSE),9),1))</f>
        <v/>
      </c>
      <c r="AJ86" s="255"/>
      <c r="AK86" s="432" t="str">
        <f>IF(LEN(VLOOKUP(AA84,suvaha!$D$8:$H$158,2,FALSE))&lt;8,"",LEFT(RIGHT(VLOOKUP(AA84,suvaha!$D$8:$H$158,2,FALSE),8),1))</f>
        <v/>
      </c>
      <c r="AL86" s="434"/>
      <c r="AM86" s="432" t="str">
        <f>IF(LEN(VLOOKUP(AA84,suvaha!$D$8:$H$158,2,FALSE))&lt;7,"",LEFT(RIGHT(VLOOKUP(AA84,suvaha!$D$8:$H$158,2,FALSE),7),1))</f>
        <v/>
      </c>
      <c r="AN86" s="818"/>
      <c r="AO86" s="432" t="str">
        <f>IF(LEN(VLOOKUP(AA84,suvaha!$D$8:$H$158,2,FALSE))&lt;6,"",LEFT(RIGHT(VLOOKUP(AA84,suvaha!$D$8:$H$158,2,FALSE),6),1))</f>
        <v/>
      </c>
      <c r="AP86" s="434"/>
      <c r="AQ86" s="432" t="str">
        <f>IF(LEN(VLOOKUP(AA84,suvaha!$D$8:$H$158,2,FALSE))&lt;5,"",LEFT(RIGHT(VLOOKUP(AA84,suvaha!$D$8:$H$158,2,FALSE),5),1))</f>
        <v/>
      </c>
      <c r="AR86" s="434"/>
      <c r="AS86" s="432" t="str">
        <f>IF(LEN(VLOOKUP(AA84,suvaha!$D$8:$H$158,2,FALSE))&lt;4,"",LEFT(RIGHT(VLOOKUP(AA84,suvaha!$D$8:$H$158,2,FALSE),4),1))</f>
        <v/>
      </c>
      <c r="AT86" s="819"/>
      <c r="AU86" s="432" t="str">
        <f>IF(LEN(VLOOKUP(AA84,suvaha!$D$8:$H$158,2,FALSE))&lt;3,"",LEFT(RIGHT(VLOOKUP(AA84,suvaha!$D$8:$H$158,2,FALSE),3),1))</f>
        <v/>
      </c>
      <c r="AV86" s="434"/>
      <c r="AW86" s="432" t="str">
        <f>IF(LEN(VLOOKUP(AA84,suvaha!$D$8:$H$158,2,FALSE))&lt;2,"",LEFT(RIGHT(VLOOKUP(AA84,suvaha!$D$8:$H$158,2,FALSE),2),1))</f>
        <v/>
      </c>
      <c r="AX86" s="434"/>
      <c r="AY86" s="432" t="str">
        <f>IF(VLOOKUP(AA84,suvaha!$D$8:$H$85,2,FALSE)=0,"",IF(LEN(VLOOKUP(AA84,suvaha!$D$8:$H$158,2,FALSE))&lt;1,"",LEFT(RIGHT(VLOOKUP(AA84,suvaha!$D$8:$H$158,2,FALSE),1),1)))</f>
        <v/>
      </c>
      <c r="AZ86" s="827"/>
      <c r="BA86" s="826"/>
      <c r="BB86" s="432" t="str">
        <f>IF(LEN(VLOOKUP(AA84,suvaha!$D$8:$H$158,4,FALSE))&lt;11,"",LEFT(RIGHT(VLOOKUP(AA84,suvaha!$D$8:$H$158,4,FALSE),11),1))</f>
        <v/>
      </c>
      <c r="BC86" s="255"/>
      <c r="BD86" s="432" t="str">
        <f>IF(LEN(VLOOKUP(AA84,suvaha!$D$8:$H$158,4,FALSE))&lt;10,"",LEFT(RIGHT(VLOOKUP(AA84,suvaha!$D$8:$H$158,4,FALSE),10),1))</f>
        <v/>
      </c>
      <c r="BE86" s="434"/>
      <c r="BF86" s="432" t="str">
        <f>IF(LEN(VLOOKUP(AA84,suvaha!$D$8:$H$158,4,FALSE))&lt;9,"",LEFT(RIGHT(VLOOKUP(AA84,suvaha!$D$8:$H$158,4,FALSE),9),1))</f>
        <v/>
      </c>
      <c r="BG86" s="255"/>
      <c r="BH86" s="432" t="str">
        <f>IF(LEN(VLOOKUP(AA84,suvaha!$D$8:$H$158,4,FALSE))&lt;8,"",LEFT(RIGHT(VLOOKUP(AA84,suvaha!$D$8:$H$158,4,FALSE),8),1))</f>
        <v/>
      </c>
      <c r="BI86" s="434"/>
      <c r="BJ86" s="432" t="str">
        <f>IF(LEN(VLOOKUP(AA84,suvaha!$D$8:$H$158,4,FALSE))&lt;7,"",LEFT(RIGHT(VLOOKUP(AA84,suvaha!$D$8:$H$158,4,FALSE),7),1))</f>
        <v/>
      </c>
      <c r="BK86" s="818"/>
      <c r="BL86" s="432" t="str">
        <f>IF(LEN(VLOOKUP(AA84,suvaha!$D$8:$H$158,4,FALSE))&lt;6,"",LEFT(RIGHT(VLOOKUP(AA84,suvaha!$D$8:$H$158,4,FALSE),6),1))</f>
        <v/>
      </c>
      <c r="BM86" s="434"/>
      <c r="BN86" s="432" t="str">
        <f>IF(LEN(VLOOKUP(AA84,suvaha!$D$8:$H$158,4,FALSE))&lt;5,"",LEFT(RIGHT(VLOOKUP(AA84,suvaha!$D$8:$H$158,4,FALSE),5),1))</f>
        <v/>
      </c>
      <c r="BO86" s="434"/>
      <c r="BP86" s="432" t="str">
        <f>IF(LEN(VLOOKUP(AA84,suvaha!$D$8:$H$158,4,FALSE))&lt;4,"",LEFT(RIGHT(VLOOKUP(AA84,suvaha!$D$8:$H$158,4,FALSE),4),1))</f>
        <v/>
      </c>
      <c r="BQ86" s="819"/>
      <c r="BR86" s="432" t="str">
        <f>IF(LEN(VLOOKUP(AA84,suvaha!$D$8:$H$158,4,FALSE))&lt;3,"",LEFT(RIGHT(VLOOKUP(AA84,suvaha!$D$8:$H$158,4,FALSE),3),1))</f>
        <v/>
      </c>
      <c r="BS86" s="434"/>
      <c r="BT86" s="432" t="str">
        <f>IF(LEN(VLOOKUP(AA84,suvaha!$D$8:$H$158,4,FALSE))&lt;2,"",LEFT(RIGHT(VLOOKUP(AA84,suvaha!$D$8:$H$158,4,FALSE),2),1))</f>
        <v/>
      </c>
      <c r="BU86" s="434"/>
      <c r="BV86" s="432" t="str">
        <f>IF(VLOOKUP(AA84,suvaha!$D$8:$H$85,4,FALSE)=0,"",IF(LEN(VLOOKUP(AA84,suvaha!$D$8:$H$158,4,FALSE))&lt;1,"",LEFT(RIGHT(VLOOKUP(AA84,suvaha!$D$8:$H$158,4,FALSE),1),1)))</f>
        <v/>
      </c>
      <c r="BW86" s="441"/>
      <c r="BX86" s="442"/>
      <c r="BY86" s="442"/>
      <c r="BZ86" s="442"/>
      <c r="CA86" s="442"/>
      <c r="CB86" s="442"/>
      <c r="CC86" s="442"/>
      <c r="CD86" s="442"/>
      <c r="CE86" s="442"/>
      <c r="CF86" s="442"/>
      <c r="CG86" s="285"/>
    </row>
    <row r="87" spans="1:86" ht="3" customHeight="1">
      <c r="A87" s="220"/>
      <c r="B87" s="879"/>
      <c r="C87" s="879"/>
      <c r="D87" s="879"/>
      <c r="E87" s="877"/>
      <c r="F87" s="877"/>
      <c r="G87" s="862"/>
      <c r="H87" s="864"/>
      <c r="I87" s="864"/>
      <c r="J87" s="864"/>
      <c r="K87" s="864"/>
      <c r="L87" s="864"/>
      <c r="M87" s="864"/>
      <c r="N87" s="864"/>
      <c r="O87" s="864"/>
      <c r="P87" s="864"/>
      <c r="Q87" s="864"/>
      <c r="R87" s="864"/>
      <c r="S87" s="864"/>
      <c r="T87" s="864"/>
      <c r="U87" s="864"/>
      <c r="V87" s="864"/>
      <c r="W87" s="864"/>
      <c r="X87" s="864"/>
      <c r="Y87" s="864"/>
      <c r="Z87" s="864"/>
      <c r="AA87" s="866"/>
      <c r="AB87" s="866"/>
      <c r="AC87" s="866"/>
      <c r="AD87" s="845"/>
      <c r="AE87" s="845"/>
      <c r="AF87" s="845"/>
      <c r="AG87" s="845"/>
      <c r="AH87" s="845"/>
      <c r="AI87" s="845"/>
      <c r="AJ87" s="845"/>
      <c r="AK87" s="845"/>
      <c r="AL87" s="845"/>
      <c r="AM87" s="845"/>
      <c r="AN87" s="845"/>
      <c r="AO87" s="845"/>
      <c r="AP87" s="845"/>
      <c r="AQ87" s="845"/>
      <c r="AR87" s="845"/>
      <c r="AS87" s="845"/>
      <c r="AT87" s="845"/>
      <c r="AU87" s="845"/>
      <c r="AV87" s="845"/>
      <c r="AW87" s="845"/>
      <c r="AX87" s="845"/>
      <c r="AY87" s="845"/>
      <c r="AZ87" s="845"/>
      <c r="BA87" s="846"/>
      <c r="BB87" s="846"/>
      <c r="BC87" s="846"/>
      <c r="BD87" s="846"/>
      <c r="BE87" s="846"/>
      <c r="BF87" s="846"/>
      <c r="BG87" s="846"/>
      <c r="BH87" s="846"/>
      <c r="BI87" s="846"/>
      <c r="BJ87" s="846"/>
      <c r="BK87" s="846"/>
      <c r="BL87" s="846"/>
      <c r="BM87" s="846"/>
      <c r="BN87" s="846"/>
      <c r="BO87" s="846"/>
      <c r="BP87" s="846"/>
      <c r="BQ87" s="846"/>
      <c r="BR87" s="310"/>
      <c r="BS87" s="310"/>
      <c r="BT87" s="310"/>
      <c r="BU87" s="310"/>
      <c r="BV87" s="310"/>
      <c r="BW87" s="443"/>
      <c r="BX87" s="310"/>
      <c r="BY87" s="310"/>
      <c r="BZ87" s="310"/>
      <c r="CA87" s="310"/>
      <c r="CB87" s="310"/>
      <c r="CC87" s="310"/>
      <c r="CD87" s="310"/>
      <c r="CE87" s="310"/>
      <c r="CF87" s="310"/>
      <c r="CG87" s="286"/>
      <c r="CH87" s="220"/>
    </row>
    <row r="88" spans="1:86" ht="3" customHeight="1">
      <c r="A88" s="220"/>
      <c r="B88" s="879"/>
      <c r="C88" s="879"/>
      <c r="D88" s="879"/>
      <c r="E88" s="877"/>
      <c r="F88" s="877"/>
      <c r="G88" s="862"/>
      <c r="H88" s="864"/>
      <c r="I88" s="864"/>
      <c r="J88" s="864"/>
      <c r="K88" s="864"/>
      <c r="L88" s="864"/>
      <c r="M88" s="864"/>
      <c r="N88" s="864"/>
      <c r="O88" s="864"/>
      <c r="P88" s="864"/>
      <c r="Q88" s="864"/>
      <c r="R88" s="864"/>
      <c r="S88" s="864"/>
      <c r="T88" s="864"/>
      <c r="U88" s="864"/>
      <c r="V88" s="864"/>
      <c r="W88" s="864"/>
      <c r="X88" s="864"/>
      <c r="Y88" s="864"/>
      <c r="Z88" s="864"/>
      <c r="AA88" s="866"/>
      <c r="AB88" s="866"/>
      <c r="AC88" s="866"/>
      <c r="AD88" s="825"/>
      <c r="AE88" s="825"/>
      <c r="AF88" s="825"/>
      <c r="AG88" s="825"/>
      <c r="AH88" s="825"/>
      <c r="AI88" s="825"/>
      <c r="AJ88" s="825"/>
      <c r="AK88" s="825"/>
      <c r="AL88" s="825"/>
      <c r="AM88" s="825"/>
      <c r="AN88" s="825"/>
      <c r="AO88" s="825"/>
      <c r="AP88" s="825"/>
      <c r="AQ88" s="825"/>
      <c r="AR88" s="825"/>
      <c r="AS88" s="825"/>
      <c r="AT88" s="825"/>
      <c r="AU88" s="825"/>
      <c r="AV88" s="825"/>
      <c r="AW88" s="825"/>
      <c r="AX88" s="825"/>
      <c r="AY88" s="825"/>
      <c r="AZ88" s="825"/>
      <c r="BA88" s="447"/>
      <c r="BB88" s="304"/>
      <c r="BC88" s="304"/>
      <c r="BD88" s="304"/>
      <c r="BE88" s="304"/>
      <c r="BF88" s="304"/>
      <c r="BG88" s="304"/>
      <c r="BH88" s="304"/>
      <c r="BI88" s="304"/>
      <c r="BJ88" s="446"/>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284"/>
      <c r="CH88" s="220"/>
    </row>
    <row r="89" spans="1:86" ht="3" customHeight="1">
      <c r="A89" s="220"/>
      <c r="B89" s="879"/>
      <c r="C89" s="879"/>
      <c r="D89" s="879"/>
      <c r="E89" s="877"/>
      <c r="F89" s="877"/>
      <c r="G89" s="862"/>
      <c r="H89" s="864"/>
      <c r="I89" s="864"/>
      <c r="J89" s="864"/>
      <c r="K89" s="864"/>
      <c r="L89" s="864"/>
      <c r="M89" s="864"/>
      <c r="N89" s="864"/>
      <c r="O89" s="864"/>
      <c r="P89" s="864"/>
      <c r="Q89" s="864"/>
      <c r="R89" s="864"/>
      <c r="S89" s="864"/>
      <c r="T89" s="864"/>
      <c r="U89" s="864"/>
      <c r="V89" s="864"/>
      <c r="W89" s="864"/>
      <c r="X89" s="864"/>
      <c r="Y89" s="864"/>
      <c r="Z89" s="864"/>
      <c r="AA89" s="866"/>
      <c r="AB89" s="866"/>
      <c r="AC89" s="866"/>
      <c r="AD89" s="826"/>
      <c r="AE89" s="820"/>
      <c r="AF89" s="820"/>
      <c r="AG89" s="820"/>
      <c r="AH89" s="435"/>
      <c r="AI89" s="821"/>
      <c r="AJ89" s="821"/>
      <c r="AK89" s="821"/>
      <c r="AL89" s="821"/>
      <c r="AM89" s="821"/>
      <c r="AN89" s="818"/>
      <c r="AO89" s="822"/>
      <c r="AP89" s="822"/>
      <c r="AQ89" s="822"/>
      <c r="AR89" s="822"/>
      <c r="AS89" s="822"/>
      <c r="AT89" s="819"/>
      <c r="AU89" s="822"/>
      <c r="AV89" s="822"/>
      <c r="AW89" s="822"/>
      <c r="AX89" s="822"/>
      <c r="AY89" s="822"/>
      <c r="AZ89" s="827"/>
      <c r="BA89" s="448"/>
      <c r="BB89" s="442"/>
      <c r="BC89" s="442"/>
      <c r="BD89" s="442"/>
      <c r="BE89" s="442"/>
      <c r="BF89" s="442"/>
      <c r="BG89" s="442"/>
      <c r="BH89" s="442"/>
      <c r="BI89" s="442"/>
      <c r="BJ89" s="441"/>
      <c r="BK89" s="442"/>
      <c r="BL89" s="820"/>
      <c r="BM89" s="820"/>
      <c r="BN89" s="820"/>
      <c r="BO89" s="435"/>
      <c r="BP89" s="821"/>
      <c r="BQ89" s="821"/>
      <c r="BR89" s="821"/>
      <c r="BS89" s="821"/>
      <c r="BT89" s="821"/>
      <c r="BU89" s="818"/>
      <c r="BV89" s="822"/>
      <c r="BW89" s="822"/>
      <c r="BX89" s="822"/>
      <c r="BY89" s="822"/>
      <c r="BZ89" s="822"/>
      <c r="CA89" s="819"/>
      <c r="CB89" s="822"/>
      <c r="CC89" s="822"/>
      <c r="CD89" s="822"/>
      <c r="CE89" s="822"/>
      <c r="CF89" s="822"/>
      <c r="CG89" s="287"/>
      <c r="CH89" s="220"/>
    </row>
    <row r="90" spans="1:86" ht="15" customHeight="1">
      <c r="A90" s="220"/>
      <c r="B90" s="879"/>
      <c r="C90" s="879"/>
      <c r="D90" s="879"/>
      <c r="E90" s="877"/>
      <c r="F90" s="877"/>
      <c r="G90" s="862"/>
      <c r="H90" s="864"/>
      <c r="I90" s="864"/>
      <c r="J90" s="864"/>
      <c r="K90" s="864"/>
      <c r="L90" s="864"/>
      <c r="M90" s="864"/>
      <c r="N90" s="864"/>
      <c r="O90" s="864"/>
      <c r="P90" s="864"/>
      <c r="Q90" s="864"/>
      <c r="R90" s="864"/>
      <c r="S90" s="864"/>
      <c r="T90" s="864"/>
      <c r="U90" s="864"/>
      <c r="V90" s="864"/>
      <c r="W90" s="864"/>
      <c r="X90" s="864"/>
      <c r="Y90" s="864"/>
      <c r="Z90" s="864"/>
      <c r="AA90" s="866"/>
      <c r="AB90" s="866"/>
      <c r="AC90" s="866"/>
      <c r="AD90" s="826"/>
      <c r="AE90" s="432" t="str">
        <f>IF(LEN(VLOOKUP(AA84,suvaha!$D$8:$H$158,3,FALSE))&lt;11,"",LEFT(RIGHT(VLOOKUP(AA84,suvaha!$D$8:$H$158,3,FALSE),11),1))</f>
        <v/>
      </c>
      <c r="AF90" s="255"/>
      <c r="AG90" s="432" t="str">
        <f>IF(LEN(VLOOKUP(AA84,suvaha!$D$8:$H$158,3,FALSE))&lt;10,"",LEFT(RIGHT(VLOOKUP(AA84,suvaha!$D$8:$H$158,3,FALSE),10),1))</f>
        <v/>
      </c>
      <c r="AH90" s="434"/>
      <c r="AI90" s="432" t="str">
        <f>IF(LEN(VLOOKUP(AA84,suvaha!$D$8:$H$158,3,FALSE))&lt;9,"",LEFT(RIGHT(VLOOKUP(AA84,suvaha!$D$8:$H$158,3,FALSE),9),1))</f>
        <v/>
      </c>
      <c r="AJ90" s="255"/>
      <c r="AK90" s="432" t="str">
        <f>IF(LEN(VLOOKUP(AA84,suvaha!$D$8:$H$158,3,FALSE))&lt;8,"",LEFT(RIGHT(VLOOKUP(AA84,suvaha!$D$8:$H$158,3,FALSE),8),1))</f>
        <v/>
      </c>
      <c r="AL90" s="434"/>
      <c r="AM90" s="432" t="str">
        <f>IF(LEN(VLOOKUP(AA84,suvaha!$D$8:$H$158,3,FALSE))&lt;7,"",LEFT(RIGHT(VLOOKUP(AA84,suvaha!$D$8:$H$158,3,FALSE),7),1))</f>
        <v/>
      </c>
      <c r="AN90" s="818"/>
      <c r="AO90" s="432" t="str">
        <f>IF(LEN(VLOOKUP(AA84,suvaha!$D$8:$H$158,3,FALSE))&lt;6,"",LEFT(RIGHT(VLOOKUP(AA84,suvaha!$D$8:$H$158,3,FALSE),6),1))</f>
        <v/>
      </c>
      <c r="AP90" s="434"/>
      <c r="AQ90" s="432" t="str">
        <f>IF(LEN(VLOOKUP(AA84,suvaha!$D$8:$H$158,3,FALSE))&lt;5,"",LEFT(RIGHT(VLOOKUP(AA84,suvaha!$D$8:$H$158,3,FALSE),5),1))</f>
        <v/>
      </c>
      <c r="AR90" s="434"/>
      <c r="AS90" s="432" t="str">
        <f>IF(LEN(VLOOKUP(AA84,suvaha!$D$8:$H$158,3,FALSE))&lt;4,"",LEFT(RIGHT(VLOOKUP(AA84,suvaha!$D$8:$H$158,3,FALSE),4),1))</f>
        <v/>
      </c>
      <c r="AT90" s="819"/>
      <c r="AU90" s="432" t="str">
        <f>IF(LEN(VLOOKUP(AA84,suvaha!$D$8:$H$158,3,FALSE))&lt;3,"",LEFT(RIGHT(VLOOKUP(AA84,suvaha!$D$8:$H$158,3,FALSE),3),1))</f>
        <v/>
      </c>
      <c r="AV90" s="434"/>
      <c r="AW90" s="432" t="str">
        <f>IF(LEN(VLOOKUP(AA84,suvaha!$D$8:$H$158,3,FALSE))&lt;2,"",LEFT(RIGHT(VLOOKUP(AA84,suvaha!$D$8:$H$158,3,FALSE),2),1))</f>
        <v/>
      </c>
      <c r="AX90" s="434"/>
      <c r="AY90" s="432" t="str">
        <f>IF(VLOOKUP(AA84,suvaha!$D$8:$H$85,3,FALSE)=0,"",IF(LEN(VLOOKUP(AA84,suvaha!$D$8:$H$158,3,FALSE))&lt;1,"",LEFT(RIGHT(VLOOKUP(AA84,suvaha!$D$8:$H$158,3,FALSE),1),1)))</f>
        <v/>
      </c>
      <c r="AZ90" s="827"/>
      <c r="BA90" s="448"/>
      <c r="BB90" s="442"/>
      <c r="BC90" s="442"/>
      <c r="BD90" s="442"/>
      <c r="BE90" s="442"/>
      <c r="BF90" s="442"/>
      <c r="BG90" s="442"/>
      <c r="BH90" s="442"/>
      <c r="BI90" s="442"/>
      <c r="BJ90" s="441"/>
      <c r="BK90" s="442"/>
      <c r="BL90" s="432" t="str">
        <f>IF(LEN(VLOOKUP(AA84,suvaha!$D$8:$H$158,5,FALSE))&lt;11,"",LEFT(RIGHT(VLOOKUP(AA84,suvaha!$D$8:$H$158,5,FALSE),11),1))</f>
        <v/>
      </c>
      <c r="BM90" s="255"/>
      <c r="BN90" s="432" t="str">
        <f>IF(LEN(VLOOKUP(AA84,suvaha!$D$8:$H$158,5,FALSE))&lt;10,"",LEFT(RIGHT(VLOOKUP(AA84,suvaha!$D$8:$H$158,5,FALSE),10),1))</f>
        <v/>
      </c>
      <c r="BO90" s="434"/>
      <c r="BP90" s="432" t="str">
        <f>IF(LEN(VLOOKUP(AA84,suvaha!$D$8:$H$158,5,FALSE))&lt;9,"",LEFT(RIGHT(VLOOKUP(AA84,suvaha!$D$8:$H$158,5,FALSE),9),1))</f>
        <v/>
      </c>
      <c r="BQ90" s="255"/>
      <c r="BR90" s="432" t="str">
        <f>IF(LEN(VLOOKUP(AA84,suvaha!$D$8:$H$158,5,FALSE))&lt;8,"",LEFT(RIGHT(VLOOKUP(AA84,suvaha!$D$8:$H$158,5,FALSE),8),1))</f>
        <v/>
      </c>
      <c r="BS90" s="434"/>
      <c r="BT90" s="432" t="str">
        <f>IF(LEN(VLOOKUP(AA84,suvaha!$D$8:$H$158,5,FALSE))&lt;7,"",LEFT(RIGHT(VLOOKUP(AA84,suvaha!$D$8:$H$158,5,FALSE),7),1))</f>
        <v/>
      </c>
      <c r="BU90" s="818"/>
      <c r="BV90" s="432" t="str">
        <f>IF(LEN(VLOOKUP(AA84,suvaha!$D$8:$H$158,5,FALSE))&lt;6,"",LEFT(RIGHT(VLOOKUP(AA84,suvaha!$D$8:$H$158,5,FALSE),6),1))</f>
        <v/>
      </c>
      <c r="BW90" s="434"/>
      <c r="BX90" s="432" t="str">
        <f>IF(LEN(VLOOKUP(AA84,suvaha!$D$8:$H$158,5,FALSE))&lt;5,"",LEFT(RIGHT(VLOOKUP(AA84,suvaha!$D$8:$H$158,5,FALSE),5),1))</f>
        <v/>
      </c>
      <c r="BY90" s="434"/>
      <c r="BZ90" s="432" t="str">
        <f>IF(LEN(VLOOKUP(AA84,suvaha!$D$8:$H$158,5,FALSE))&lt;4,"",LEFT(RIGHT(VLOOKUP(AA84,suvaha!$D$8:$H$158,5,FALSE),4),1))</f>
        <v/>
      </c>
      <c r="CA90" s="819"/>
      <c r="CB90" s="432" t="str">
        <f>IF(LEN(VLOOKUP(AA84,suvaha!$D$8:$H$158,5,FALSE))&lt;3,"",LEFT(RIGHT(VLOOKUP(AA84,suvaha!$D$8:$H$158,5,FALSE),3),1))</f>
        <v/>
      </c>
      <c r="CC90" s="434"/>
      <c r="CD90" s="432" t="str">
        <f>IF(LEN(VLOOKUP(AA84,suvaha!$D$8:$H$158,5,FALSE))&lt;2,"",LEFT(RIGHT(VLOOKUP(AA84,suvaha!$D$8:$H$158,5,FALSE),2),1))</f>
        <v/>
      </c>
      <c r="CE90" s="434"/>
      <c r="CF90" s="432" t="str">
        <f>IF(VLOOKUP(AA84,suvaha!$D$8:$H$85,5,FALSE)=0,"",IF(LEN(VLOOKUP(AA84,suvaha!$D$8:$H$158,5,FALSE))&lt;1,"",LEFT(RIGHT(VLOOKUP(AA84,suvaha!$D$8:$H$158,5,FALSE),1),1)))</f>
        <v/>
      </c>
      <c r="CG90" s="287"/>
      <c r="CH90" s="220"/>
    </row>
    <row r="91" spans="1:86" ht="3" customHeight="1">
      <c r="A91" s="220"/>
      <c r="B91" s="879"/>
      <c r="C91" s="879"/>
      <c r="D91" s="879"/>
      <c r="E91" s="877"/>
      <c r="F91" s="877"/>
      <c r="G91" s="862"/>
      <c r="H91" s="864"/>
      <c r="I91" s="864"/>
      <c r="J91" s="864"/>
      <c r="K91" s="864"/>
      <c r="L91" s="864"/>
      <c r="M91" s="864"/>
      <c r="N91" s="864"/>
      <c r="O91" s="864"/>
      <c r="P91" s="864"/>
      <c r="Q91" s="864"/>
      <c r="R91" s="864"/>
      <c r="S91" s="864"/>
      <c r="T91" s="864"/>
      <c r="U91" s="864"/>
      <c r="V91" s="864"/>
      <c r="W91" s="864"/>
      <c r="X91" s="864"/>
      <c r="Y91" s="864"/>
      <c r="Z91" s="864"/>
      <c r="AA91" s="866"/>
      <c r="AB91" s="866"/>
      <c r="AC91" s="866"/>
      <c r="AD91" s="845"/>
      <c r="AE91" s="845"/>
      <c r="AF91" s="845"/>
      <c r="AG91" s="845"/>
      <c r="AH91" s="845"/>
      <c r="AI91" s="845"/>
      <c r="AJ91" s="845"/>
      <c r="AK91" s="845"/>
      <c r="AL91" s="845"/>
      <c r="AM91" s="845"/>
      <c r="AN91" s="845"/>
      <c r="AO91" s="845"/>
      <c r="AP91" s="845"/>
      <c r="AQ91" s="845"/>
      <c r="AR91" s="845"/>
      <c r="AS91" s="845"/>
      <c r="AT91" s="845"/>
      <c r="AU91" s="845"/>
      <c r="AV91" s="845"/>
      <c r="AW91" s="845"/>
      <c r="AX91" s="845"/>
      <c r="AY91" s="845"/>
      <c r="AZ91" s="845"/>
      <c r="BA91" s="449"/>
      <c r="BB91" s="310"/>
      <c r="BC91" s="310"/>
      <c r="BD91" s="310"/>
      <c r="BE91" s="310"/>
      <c r="BF91" s="310"/>
      <c r="BG91" s="310"/>
      <c r="BH91" s="310"/>
      <c r="BI91" s="310"/>
      <c r="BJ91" s="443"/>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286"/>
    </row>
    <row r="92" spans="1:86" s="250" customFormat="1" ht="3" customHeight="1">
      <c r="A92" s="220"/>
      <c r="B92" s="879"/>
      <c r="C92" s="879"/>
      <c r="D92" s="879"/>
      <c r="E92" s="939" t="s">
        <v>559</v>
      </c>
      <c r="F92" s="939"/>
      <c r="G92" s="862"/>
      <c r="H92" s="874" t="str">
        <f>Index!C104</f>
        <v>Krátkodobé pohľadávky súčet (r. 54 + r. 58 až r. 65)</v>
      </c>
      <c r="I92" s="874"/>
      <c r="J92" s="874"/>
      <c r="K92" s="874"/>
      <c r="L92" s="874"/>
      <c r="M92" s="874"/>
      <c r="N92" s="874"/>
      <c r="O92" s="874"/>
      <c r="P92" s="874"/>
      <c r="Q92" s="874"/>
      <c r="R92" s="874"/>
      <c r="S92" s="874"/>
      <c r="T92" s="874"/>
      <c r="U92" s="874"/>
      <c r="V92" s="874"/>
      <c r="W92" s="874"/>
      <c r="X92" s="874"/>
      <c r="Y92" s="874"/>
      <c r="Z92" s="874"/>
      <c r="AA92" s="875" t="s">
        <v>1610</v>
      </c>
      <c r="AB92" s="875"/>
      <c r="AC92" s="875"/>
      <c r="AD92" s="825"/>
      <c r="AE92" s="825"/>
      <c r="AF92" s="825"/>
      <c r="AG92" s="825"/>
      <c r="AH92" s="825"/>
      <c r="AI92" s="825"/>
      <c r="AJ92" s="825"/>
      <c r="AK92" s="825"/>
      <c r="AL92" s="825"/>
      <c r="AM92" s="825"/>
      <c r="AN92" s="825"/>
      <c r="AO92" s="825"/>
      <c r="AP92" s="825"/>
      <c r="AQ92" s="825"/>
      <c r="AR92" s="825"/>
      <c r="AS92" s="825"/>
      <c r="AT92" s="825"/>
      <c r="AU92" s="825"/>
      <c r="AV92" s="825"/>
      <c r="AW92" s="825"/>
      <c r="AX92" s="825"/>
      <c r="AY92" s="825"/>
      <c r="AZ92" s="825"/>
      <c r="BA92" s="867"/>
      <c r="BB92" s="867"/>
      <c r="BC92" s="867"/>
      <c r="BD92" s="867"/>
      <c r="BE92" s="867"/>
      <c r="BF92" s="867"/>
      <c r="BG92" s="867"/>
      <c r="BH92" s="867"/>
      <c r="BI92" s="867"/>
      <c r="BJ92" s="867"/>
      <c r="BK92" s="867"/>
      <c r="BL92" s="867"/>
      <c r="BM92" s="867"/>
      <c r="BN92" s="867"/>
      <c r="BO92" s="867"/>
      <c r="BP92" s="867"/>
      <c r="BQ92" s="867"/>
      <c r="BR92" s="304"/>
      <c r="BS92" s="304"/>
      <c r="BT92" s="304"/>
      <c r="BU92" s="304"/>
      <c r="BV92" s="304"/>
      <c r="BW92" s="446"/>
      <c r="BX92" s="304"/>
      <c r="BY92" s="304"/>
      <c r="BZ92" s="304"/>
      <c r="CA92" s="304"/>
      <c r="CB92" s="304"/>
      <c r="CC92" s="304"/>
      <c r="CD92" s="304"/>
      <c r="CE92" s="304"/>
      <c r="CF92" s="304"/>
      <c r="CG92" s="284"/>
    </row>
    <row r="93" spans="1:86" s="250" customFormat="1" ht="3" customHeight="1">
      <c r="A93" s="220"/>
      <c r="B93" s="879"/>
      <c r="C93" s="879"/>
      <c r="D93" s="879"/>
      <c r="E93" s="939"/>
      <c r="F93" s="939"/>
      <c r="G93" s="862"/>
      <c r="H93" s="874"/>
      <c r="I93" s="874"/>
      <c r="J93" s="874"/>
      <c r="K93" s="874"/>
      <c r="L93" s="874"/>
      <c r="M93" s="874"/>
      <c r="N93" s="874"/>
      <c r="O93" s="874"/>
      <c r="P93" s="874"/>
      <c r="Q93" s="874"/>
      <c r="R93" s="874"/>
      <c r="S93" s="874"/>
      <c r="T93" s="874"/>
      <c r="U93" s="874"/>
      <c r="V93" s="874"/>
      <c r="W93" s="874"/>
      <c r="X93" s="874"/>
      <c r="Y93" s="874"/>
      <c r="Z93" s="874"/>
      <c r="AA93" s="875"/>
      <c r="AB93" s="875"/>
      <c r="AC93" s="875"/>
      <c r="AD93" s="826"/>
      <c r="AE93" s="820"/>
      <c r="AF93" s="820"/>
      <c r="AG93" s="820"/>
      <c r="AH93" s="435"/>
      <c r="AI93" s="821"/>
      <c r="AJ93" s="821"/>
      <c r="AK93" s="821"/>
      <c r="AL93" s="821"/>
      <c r="AM93" s="821"/>
      <c r="AN93" s="818"/>
      <c r="AO93" s="822"/>
      <c r="AP93" s="822"/>
      <c r="AQ93" s="822"/>
      <c r="AR93" s="822"/>
      <c r="AS93" s="822"/>
      <c r="AT93" s="819"/>
      <c r="AU93" s="822"/>
      <c r="AV93" s="822"/>
      <c r="AW93" s="822"/>
      <c r="AX93" s="822"/>
      <c r="AY93" s="822"/>
      <c r="AZ93" s="827"/>
      <c r="BA93" s="826"/>
      <c r="BB93" s="820"/>
      <c r="BC93" s="820"/>
      <c r="BD93" s="820"/>
      <c r="BE93" s="435"/>
      <c r="BF93" s="821"/>
      <c r="BG93" s="821"/>
      <c r="BH93" s="821"/>
      <c r="BI93" s="821"/>
      <c r="BJ93" s="821"/>
      <c r="BK93" s="818"/>
      <c r="BL93" s="822"/>
      <c r="BM93" s="822"/>
      <c r="BN93" s="822"/>
      <c r="BO93" s="822"/>
      <c r="BP93" s="822"/>
      <c r="BQ93" s="819"/>
      <c r="BR93" s="822"/>
      <c r="BS93" s="822"/>
      <c r="BT93" s="822"/>
      <c r="BU93" s="822"/>
      <c r="BV93" s="822"/>
      <c r="BW93" s="441"/>
      <c r="BX93" s="442"/>
      <c r="BY93" s="442"/>
      <c r="BZ93" s="442"/>
      <c r="CA93" s="442"/>
      <c r="CB93" s="442"/>
      <c r="CC93" s="442"/>
      <c r="CD93" s="442"/>
      <c r="CE93" s="442"/>
      <c r="CF93" s="442"/>
      <c r="CG93" s="285"/>
    </row>
    <row r="94" spans="1:86" ht="15" customHeight="1">
      <c r="A94" s="220"/>
      <c r="B94" s="879"/>
      <c r="C94" s="879"/>
      <c r="D94" s="879"/>
      <c r="E94" s="939"/>
      <c r="F94" s="939"/>
      <c r="G94" s="862"/>
      <c r="H94" s="874"/>
      <c r="I94" s="874"/>
      <c r="J94" s="874"/>
      <c r="K94" s="874"/>
      <c r="L94" s="874"/>
      <c r="M94" s="874"/>
      <c r="N94" s="874"/>
      <c r="O94" s="874"/>
      <c r="P94" s="874"/>
      <c r="Q94" s="874"/>
      <c r="R94" s="874"/>
      <c r="S94" s="874"/>
      <c r="T94" s="874"/>
      <c r="U94" s="874"/>
      <c r="V94" s="874"/>
      <c r="W94" s="874"/>
      <c r="X94" s="874"/>
      <c r="Y94" s="874"/>
      <c r="Z94" s="874"/>
      <c r="AA94" s="875"/>
      <c r="AB94" s="875"/>
      <c r="AC94" s="875"/>
      <c r="AD94" s="826"/>
      <c r="AE94" s="432" t="str">
        <f>IF(LEN(VLOOKUP(AA92,suvaha!$D$8:$H$158,2,FALSE))&lt;11,"",LEFT(RIGHT(VLOOKUP(AA92,suvaha!$D$8:$H$158,2,FALSE),11),1))</f>
        <v/>
      </c>
      <c r="AF94" s="255"/>
      <c r="AG94" s="432" t="str">
        <f>IF(LEN(VLOOKUP(AA92,suvaha!$D$8:$H$158,2,FALSE))&lt;10,"",LEFT(RIGHT(VLOOKUP(AA92,suvaha!$D$8:$H$158,2,FALSE),10),1))</f>
        <v/>
      </c>
      <c r="AH94" s="434"/>
      <c r="AI94" s="432" t="str">
        <f>IF(LEN(VLOOKUP(AA92,suvaha!$D$8:$H$158,2,FALSE))&lt;9,"",LEFT(RIGHT(VLOOKUP(AA92,suvaha!$D$8:$H$158,2,FALSE),9),1))</f>
        <v/>
      </c>
      <c r="AJ94" s="255"/>
      <c r="AK94" s="432" t="str">
        <f>IF(LEN(VLOOKUP(AA92,suvaha!$D$8:$H$158,2,FALSE))&lt;8,"",LEFT(RIGHT(VLOOKUP(AA92,suvaha!$D$8:$H$158,2,FALSE),8),1))</f>
        <v>1</v>
      </c>
      <c r="AL94" s="434"/>
      <c r="AM94" s="432" t="str">
        <f>IF(LEN(VLOOKUP(AA92,suvaha!$D$8:$H$158,2,FALSE))&lt;7,"",LEFT(RIGHT(VLOOKUP(AA92,suvaha!$D$8:$H$158,2,FALSE),7),1))</f>
        <v>8</v>
      </c>
      <c r="AN94" s="818"/>
      <c r="AO94" s="432" t="str">
        <f>IF(LEN(VLOOKUP(AA92,suvaha!$D$8:$H$158,2,FALSE))&lt;6,"",LEFT(RIGHT(VLOOKUP(AA92,suvaha!$D$8:$H$158,2,FALSE),6),1))</f>
        <v>1</v>
      </c>
      <c r="AP94" s="434"/>
      <c r="AQ94" s="432" t="str">
        <f>IF(LEN(VLOOKUP(AA92,suvaha!$D$8:$H$158,2,FALSE))&lt;5,"",LEFT(RIGHT(VLOOKUP(AA92,suvaha!$D$8:$H$158,2,FALSE),5),1))</f>
        <v>6</v>
      </c>
      <c r="AR94" s="434"/>
      <c r="AS94" s="432" t="str">
        <f>IF(LEN(VLOOKUP(AA92,suvaha!$D$8:$H$158,2,FALSE))&lt;4,"",LEFT(RIGHT(VLOOKUP(AA92,suvaha!$D$8:$H$158,2,FALSE),4),1))</f>
        <v>2</v>
      </c>
      <c r="AT94" s="819"/>
      <c r="AU94" s="432" t="str">
        <f>IF(LEN(VLOOKUP(AA92,suvaha!$D$8:$H$158,2,FALSE))&lt;3,"",LEFT(RIGHT(VLOOKUP(AA92,suvaha!$D$8:$H$158,2,FALSE),3),1))</f>
        <v>4</v>
      </c>
      <c r="AV94" s="434"/>
      <c r="AW94" s="432" t="str">
        <f>IF(LEN(VLOOKUP(AA92,suvaha!$D$8:$H$158,2,FALSE))&lt;2,"",LEFT(RIGHT(VLOOKUP(AA92,suvaha!$D$8:$H$158,2,FALSE),2),1))</f>
        <v>2</v>
      </c>
      <c r="AX94" s="434"/>
      <c r="AY94" s="432" t="str">
        <f>IF(VLOOKUP(AA92,suvaha!$D$8:$H$85,2,FALSE)=0,"",IF(LEN(VLOOKUP(AA92,suvaha!$D$8:$H$158,2,FALSE))&lt;1,"",LEFT(RIGHT(VLOOKUP(AA92,suvaha!$D$8:$H$158,2,FALSE),1),1)))</f>
        <v>8</v>
      </c>
      <c r="AZ94" s="827"/>
      <c r="BA94" s="826"/>
      <c r="BB94" s="432" t="str">
        <f>IF(LEN(VLOOKUP(AA92,suvaha!$D$8:$H$158,4,FALSE))&lt;11,"",LEFT(RIGHT(VLOOKUP(AA92,suvaha!$D$8:$H$158,4,FALSE),11),1))</f>
        <v/>
      </c>
      <c r="BC94" s="255"/>
      <c r="BD94" s="432" t="str">
        <f>IF(LEN(VLOOKUP(AA92,suvaha!$D$8:$H$158,4,FALSE))&lt;10,"",LEFT(RIGHT(VLOOKUP(AA92,suvaha!$D$8:$H$158,4,FALSE),10),1))</f>
        <v/>
      </c>
      <c r="BE94" s="434"/>
      <c r="BF94" s="432" t="str">
        <f>IF(LEN(VLOOKUP(AA92,suvaha!$D$8:$H$158,4,FALSE))&lt;9,"",LEFT(RIGHT(VLOOKUP(AA92,suvaha!$D$8:$H$158,4,FALSE),9),1))</f>
        <v/>
      </c>
      <c r="BG94" s="255"/>
      <c r="BH94" s="432" t="str">
        <f>IF(LEN(VLOOKUP(AA92,suvaha!$D$8:$H$158,4,FALSE))&lt;8,"",LEFT(RIGHT(VLOOKUP(AA92,suvaha!$D$8:$H$158,4,FALSE),8),1))</f>
        <v>1</v>
      </c>
      <c r="BI94" s="434"/>
      <c r="BJ94" s="432" t="str">
        <f>IF(LEN(VLOOKUP(AA92,suvaha!$D$8:$H$158,4,FALSE))&lt;7,"",LEFT(RIGHT(VLOOKUP(AA92,suvaha!$D$8:$H$158,4,FALSE),7),1))</f>
        <v>6</v>
      </c>
      <c r="BK94" s="818"/>
      <c r="BL94" s="432" t="str">
        <f>IF(LEN(VLOOKUP(AA92,suvaha!$D$8:$H$158,4,FALSE))&lt;6,"",LEFT(RIGHT(VLOOKUP(AA92,suvaha!$D$8:$H$158,4,FALSE),6),1))</f>
        <v>1</v>
      </c>
      <c r="BM94" s="434"/>
      <c r="BN94" s="432" t="str">
        <f>IF(LEN(VLOOKUP(AA92,suvaha!$D$8:$H$158,4,FALSE))&lt;5,"",LEFT(RIGHT(VLOOKUP(AA92,suvaha!$D$8:$H$158,4,FALSE),5),1))</f>
        <v>9</v>
      </c>
      <c r="BO94" s="434"/>
      <c r="BP94" s="432" t="str">
        <f>IF(LEN(VLOOKUP(AA92,suvaha!$D$8:$H$158,4,FALSE))&lt;4,"",LEFT(RIGHT(VLOOKUP(AA92,suvaha!$D$8:$H$158,4,FALSE),4),1))</f>
        <v>4</v>
      </c>
      <c r="BQ94" s="819"/>
      <c r="BR94" s="432" t="str">
        <f>IF(LEN(VLOOKUP(AA92,suvaha!$D$8:$H$158,4,FALSE))&lt;3,"",LEFT(RIGHT(VLOOKUP(AA92,suvaha!$D$8:$H$158,4,FALSE),3),1))</f>
        <v>3</v>
      </c>
      <c r="BS94" s="434"/>
      <c r="BT94" s="432" t="str">
        <f>IF(LEN(VLOOKUP(AA92,suvaha!$D$8:$H$158,4,FALSE))&lt;2,"",LEFT(RIGHT(VLOOKUP(AA92,suvaha!$D$8:$H$158,4,FALSE),2),1))</f>
        <v>9</v>
      </c>
      <c r="BU94" s="434"/>
      <c r="BV94" s="432" t="str">
        <f>IF(VLOOKUP(AA92,suvaha!$D$8:$H$85,4,FALSE)=0,"",IF(LEN(VLOOKUP(AA92,suvaha!$D$8:$H$158,4,FALSE))&lt;1,"",LEFT(RIGHT(VLOOKUP(AA92,suvaha!$D$8:$H$158,4,FALSE),1),1)))</f>
        <v>0</v>
      </c>
      <c r="BW94" s="441"/>
      <c r="BX94" s="442"/>
      <c r="BY94" s="442"/>
      <c r="BZ94" s="442"/>
      <c r="CA94" s="442"/>
      <c r="CB94" s="442"/>
      <c r="CC94" s="442"/>
      <c r="CD94" s="442"/>
      <c r="CE94" s="442"/>
      <c r="CF94" s="442"/>
      <c r="CG94" s="285"/>
    </row>
    <row r="95" spans="1:86" ht="3" customHeight="1">
      <c r="A95" s="220"/>
      <c r="B95" s="879"/>
      <c r="C95" s="879"/>
      <c r="D95" s="879"/>
      <c r="E95" s="939"/>
      <c r="F95" s="939"/>
      <c r="G95" s="862"/>
      <c r="H95" s="874"/>
      <c r="I95" s="874"/>
      <c r="J95" s="874"/>
      <c r="K95" s="874"/>
      <c r="L95" s="874"/>
      <c r="M95" s="874"/>
      <c r="N95" s="874"/>
      <c r="O95" s="874"/>
      <c r="P95" s="874"/>
      <c r="Q95" s="874"/>
      <c r="R95" s="874"/>
      <c r="S95" s="874"/>
      <c r="T95" s="874"/>
      <c r="U95" s="874"/>
      <c r="V95" s="874"/>
      <c r="W95" s="874"/>
      <c r="X95" s="874"/>
      <c r="Y95" s="874"/>
      <c r="Z95" s="874"/>
      <c r="AA95" s="875"/>
      <c r="AB95" s="875"/>
      <c r="AC95" s="875"/>
      <c r="AD95" s="845"/>
      <c r="AE95" s="845"/>
      <c r="AF95" s="845"/>
      <c r="AG95" s="845"/>
      <c r="AH95" s="845"/>
      <c r="AI95" s="845"/>
      <c r="AJ95" s="845"/>
      <c r="AK95" s="845"/>
      <c r="AL95" s="845"/>
      <c r="AM95" s="845"/>
      <c r="AN95" s="845"/>
      <c r="AO95" s="845"/>
      <c r="AP95" s="845"/>
      <c r="AQ95" s="845"/>
      <c r="AR95" s="845"/>
      <c r="AS95" s="845"/>
      <c r="AT95" s="845"/>
      <c r="AU95" s="845"/>
      <c r="AV95" s="845"/>
      <c r="AW95" s="845"/>
      <c r="AX95" s="845"/>
      <c r="AY95" s="845"/>
      <c r="AZ95" s="845"/>
      <c r="BA95" s="846"/>
      <c r="BB95" s="846"/>
      <c r="BC95" s="846"/>
      <c r="BD95" s="846"/>
      <c r="BE95" s="846"/>
      <c r="BF95" s="846"/>
      <c r="BG95" s="846"/>
      <c r="BH95" s="846"/>
      <c r="BI95" s="846"/>
      <c r="BJ95" s="846"/>
      <c r="BK95" s="846"/>
      <c r="BL95" s="846"/>
      <c r="BM95" s="846"/>
      <c r="BN95" s="846"/>
      <c r="BO95" s="846"/>
      <c r="BP95" s="846"/>
      <c r="BQ95" s="846"/>
      <c r="BR95" s="310"/>
      <c r="BS95" s="310"/>
      <c r="BT95" s="310"/>
      <c r="BU95" s="310"/>
      <c r="BV95" s="310"/>
      <c r="BW95" s="443"/>
      <c r="BX95" s="310"/>
      <c r="BY95" s="310"/>
      <c r="BZ95" s="310"/>
      <c r="CA95" s="310"/>
      <c r="CB95" s="310"/>
      <c r="CC95" s="310"/>
      <c r="CD95" s="310"/>
      <c r="CE95" s="310"/>
      <c r="CF95" s="310"/>
      <c r="CG95" s="286"/>
    </row>
    <row r="96" spans="1:86" ht="3" customHeight="1">
      <c r="A96" s="220"/>
      <c r="B96" s="879"/>
      <c r="C96" s="879"/>
      <c r="D96" s="879"/>
      <c r="E96" s="939"/>
      <c r="F96" s="939"/>
      <c r="G96" s="862"/>
      <c r="H96" s="874"/>
      <c r="I96" s="874"/>
      <c r="J96" s="874"/>
      <c r="K96" s="874"/>
      <c r="L96" s="874"/>
      <c r="M96" s="874"/>
      <c r="N96" s="874"/>
      <c r="O96" s="874"/>
      <c r="P96" s="874"/>
      <c r="Q96" s="874"/>
      <c r="R96" s="874"/>
      <c r="S96" s="874"/>
      <c r="T96" s="874"/>
      <c r="U96" s="874"/>
      <c r="V96" s="874"/>
      <c r="W96" s="874"/>
      <c r="X96" s="874"/>
      <c r="Y96" s="874"/>
      <c r="Z96" s="874"/>
      <c r="AA96" s="875"/>
      <c r="AB96" s="875"/>
      <c r="AC96" s="875"/>
      <c r="AD96" s="825"/>
      <c r="AE96" s="825"/>
      <c r="AF96" s="825"/>
      <c r="AG96" s="825"/>
      <c r="AH96" s="825"/>
      <c r="AI96" s="825"/>
      <c r="AJ96" s="825"/>
      <c r="AK96" s="825"/>
      <c r="AL96" s="825"/>
      <c r="AM96" s="825"/>
      <c r="AN96" s="825"/>
      <c r="AO96" s="825"/>
      <c r="AP96" s="825"/>
      <c r="AQ96" s="825"/>
      <c r="AR96" s="825"/>
      <c r="AS96" s="825"/>
      <c r="AT96" s="825"/>
      <c r="AU96" s="825"/>
      <c r="AV96" s="825"/>
      <c r="AW96" s="825"/>
      <c r="AX96" s="825"/>
      <c r="AY96" s="825"/>
      <c r="AZ96" s="825"/>
      <c r="BA96" s="447"/>
      <c r="BB96" s="304"/>
      <c r="BC96" s="304"/>
      <c r="BD96" s="304"/>
      <c r="BE96" s="304"/>
      <c r="BF96" s="304"/>
      <c r="BG96" s="304"/>
      <c r="BH96" s="304"/>
      <c r="BI96" s="304"/>
      <c r="BJ96" s="446"/>
      <c r="BK96" s="304"/>
      <c r="BL96" s="304"/>
      <c r="BM96" s="304"/>
      <c r="BN96" s="304"/>
      <c r="BO96" s="304"/>
      <c r="BP96" s="304"/>
      <c r="BQ96" s="304"/>
      <c r="BR96" s="304"/>
      <c r="BS96" s="304"/>
      <c r="BT96" s="304"/>
      <c r="BU96" s="304"/>
      <c r="BV96" s="304"/>
      <c r="BW96" s="304"/>
      <c r="BX96" s="304"/>
      <c r="BY96" s="304"/>
      <c r="BZ96" s="304"/>
      <c r="CA96" s="304"/>
      <c r="CB96" s="304"/>
      <c r="CC96" s="304"/>
      <c r="CD96" s="304"/>
      <c r="CE96" s="304"/>
      <c r="CF96" s="304"/>
      <c r="CG96" s="284"/>
    </row>
    <row r="97" spans="1:85" ht="3" customHeight="1">
      <c r="A97" s="220"/>
      <c r="B97" s="879"/>
      <c r="C97" s="879"/>
      <c r="D97" s="879"/>
      <c r="E97" s="939"/>
      <c r="F97" s="939"/>
      <c r="G97" s="862"/>
      <c r="H97" s="874"/>
      <c r="I97" s="874"/>
      <c r="J97" s="874"/>
      <c r="K97" s="874"/>
      <c r="L97" s="874"/>
      <c r="M97" s="874"/>
      <c r="N97" s="874"/>
      <c r="O97" s="874"/>
      <c r="P97" s="874"/>
      <c r="Q97" s="874"/>
      <c r="R97" s="874"/>
      <c r="S97" s="874"/>
      <c r="T97" s="874"/>
      <c r="U97" s="874"/>
      <c r="V97" s="874"/>
      <c r="W97" s="874"/>
      <c r="X97" s="874"/>
      <c r="Y97" s="874"/>
      <c r="Z97" s="874"/>
      <c r="AA97" s="875"/>
      <c r="AB97" s="875"/>
      <c r="AC97" s="875"/>
      <c r="AD97" s="826"/>
      <c r="AE97" s="820"/>
      <c r="AF97" s="820"/>
      <c r="AG97" s="820"/>
      <c r="AH97" s="435"/>
      <c r="AI97" s="821"/>
      <c r="AJ97" s="821"/>
      <c r="AK97" s="821"/>
      <c r="AL97" s="821"/>
      <c r="AM97" s="821"/>
      <c r="AN97" s="818"/>
      <c r="AO97" s="822"/>
      <c r="AP97" s="822"/>
      <c r="AQ97" s="822"/>
      <c r="AR97" s="822"/>
      <c r="AS97" s="822"/>
      <c r="AT97" s="819"/>
      <c r="AU97" s="822"/>
      <c r="AV97" s="822"/>
      <c r="AW97" s="822"/>
      <c r="AX97" s="822"/>
      <c r="AY97" s="822"/>
      <c r="AZ97" s="827"/>
      <c r="BA97" s="448"/>
      <c r="BB97" s="442"/>
      <c r="BC97" s="442"/>
      <c r="BD97" s="442"/>
      <c r="BE97" s="442"/>
      <c r="BF97" s="442"/>
      <c r="BG97" s="442"/>
      <c r="BH97" s="442"/>
      <c r="BI97" s="442"/>
      <c r="BJ97" s="441"/>
      <c r="BK97" s="442"/>
      <c r="BL97" s="820"/>
      <c r="BM97" s="820"/>
      <c r="BN97" s="820"/>
      <c r="BO97" s="435"/>
      <c r="BP97" s="821"/>
      <c r="BQ97" s="821"/>
      <c r="BR97" s="821"/>
      <c r="BS97" s="821"/>
      <c r="BT97" s="821"/>
      <c r="BU97" s="818"/>
      <c r="BV97" s="822"/>
      <c r="BW97" s="822"/>
      <c r="BX97" s="822"/>
      <c r="BY97" s="822"/>
      <c r="BZ97" s="822"/>
      <c r="CA97" s="819"/>
      <c r="CB97" s="822"/>
      <c r="CC97" s="822"/>
      <c r="CD97" s="822"/>
      <c r="CE97" s="822"/>
      <c r="CF97" s="822"/>
      <c r="CG97" s="287"/>
    </row>
    <row r="98" spans="1:85" ht="15" customHeight="1">
      <c r="A98" s="220"/>
      <c r="B98" s="879"/>
      <c r="C98" s="879"/>
      <c r="D98" s="879"/>
      <c r="E98" s="939"/>
      <c r="F98" s="939"/>
      <c r="G98" s="862"/>
      <c r="H98" s="874"/>
      <c r="I98" s="874"/>
      <c r="J98" s="874"/>
      <c r="K98" s="874"/>
      <c r="L98" s="874"/>
      <c r="M98" s="874"/>
      <c r="N98" s="874"/>
      <c r="O98" s="874"/>
      <c r="P98" s="874"/>
      <c r="Q98" s="874"/>
      <c r="R98" s="874"/>
      <c r="S98" s="874"/>
      <c r="T98" s="874"/>
      <c r="U98" s="874"/>
      <c r="V98" s="874"/>
      <c r="W98" s="874"/>
      <c r="X98" s="874"/>
      <c r="Y98" s="874"/>
      <c r="Z98" s="874"/>
      <c r="AA98" s="875"/>
      <c r="AB98" s="875"/>
      <c r="AC98" s="875"/>
      <c r="AD98" s="826"/>
      <c r="AE98" s="432" t="str">
        <f>IF(LEN(VLOOKUP(AA92,suvaha!$D$8:$H$158,3,FALSE))&lt;11,"",LEFT(RIGHT(VLOOKUP(AA92,suvaha!$D$8:$H$158,3,FALSE),11),1))</f>
        <v/>
      </c>
      <c r="AF98" s="255"/>
      <c r="AG98" s="432" t="str">
        <f>IF(LEN(VLOOKUP(AA92,suvaha!$D$8:$H$158,3,FALSE))&lt;10,"",LEFT(RIGHT(VLOOKUP(AA92,suvaha!$D$8:$H$158,3,FALSE),10),1))</f>
        <v/>
      </c>
      <c r="AH98" s="434"/>
      <c r="AI98" s="432" t="str">
        <f>IF(LEN(VLOOKUP(AA92,suvaha!$D$8:$H$158,3,FALSE))&lt;9,"",LEFT(RIGHT(VLOOKUP(AA92,suvaha!$D$8:$H$158,3,FALSE),9),1))</f>
        <v/>
      </c>
      <c r="AJ98" s="255"/>
      <c r="AK98" s="432" t="str">
        <f>IF(LEN(VLOOKUP(AA92,suvaha!$D$8:$H$158,3,FALSE))&lt;8,"",LEFT(RIGHT(VLOOKUP(AA92,suvaha!$D$8:$H$158,3,FALSE),8),1))</f>
        <v/>
      </c>
      <c r="AL98" s="434"/>
      <c r="AM98" s="432" t="str">
        <f>IF(LEN(VLOOKUP(AA92,suvaha!$D$8:$H$158,3,FALSE))&lt;7,"",LEFT(RIGHT(VLOOKUP(AA92,suvaha!$D$8:$H$158,3,FALSE),7),1))</f>
        <v>1</v>
      </c>
      <c r="AN98" s="818"/>
      <c r="AO98" s="432" t="str">
        <f>IF(LEN(VLOOKUP(AA92,suvaha!$D$8:$H$158,3,FALSE))&lt;6,"",LEFT(RIGHT(VLOOKUP(AA92,suvaha!$D$8:$H$158,3,FALSE),6),1))</f>
        <v>9</v>
      </c>
      <c r="AP98" s="434"/>
      <c r="AQ98" s="432" t="str">
        <f>IF(LEN(VLOOKUP(AA92,suvaha!$D$8:$H$158,3,FALSE))&lt;5,"",LEFT(RIGHT(VLOOKUP(AA92,suvaha!$D$8:$H$158,3,FALSE),5),1))</f>
        <v>6</v>
      </c>
      <c r="AR98" s="434"/>
      <c r="AS98" s="432" t="str">
        <f>IF(LEN(VLOOKUP(AA92,suvaha!$D$8:$H$158,3,FALSE))&lt;4,"",LEFT(RIGHT(VLOOKUP(AA92,suvaha!$D$8:$H$158,3,FALSE),4),1))</f>
        <v>8</v>
      </c>
      <c r="AT98" s="819"/>
      <c r="AU98" s="432" t="str">
        <f>IF(LEN(VLOOKUP(AA92,suvaha!$D$8:$H$158,3,FALSE))&lt;3,"",LEFT(RIGHT(VLOOKUP(AA92,suvaha!$D$8:$H$158,3,FALSE),3),1))</f>
        <v>0</v>
      </c>
      <c r="AV98" s="434"/>
      <c r="AW98" s="432" t="str">
        <f>IF(LEN(VLOOKUP(AA92,suvaha!$D$8:$H$158,3,FALSE))&lt;2,"",LEFT(RIGHT(VLOOKUP(AA92,suvaha!$D$8:$H$158,3,FALSE),2),1))</f>
        <v>3</v>
      </c>
      <c r="AX98" s="434"/>
      <c r="AY98" s="432" t="str">
        <f>IF(VLOOKUP(AA92,suvaha!$D$8:$H$85,3,FALSE)=0,"",IF(LEN(VLOOKUP(AA92,suvaha!$D$8:$H$158,3,FALSE))&lt;1,"",LEFT(RIGHT(VLOOKUP(AA92,suvaha!$D$8:$H$158,3,FALSE),1),1)))</f>
        <v>8</v>
      </c>
      <c r="AZ98" s="827"/>
      <c r="BA98" s="448"/>
      <c r="BB98" s="442"/>
      <c r="BC98" s="442"/>
      <c r="BD98" s="442"/>
      <c r="BE98" s="442"/>
      <c r="BF98" s="442"/>
      <c r="BG98" s="442"/>
      <c r="BH98" s="442"/>
      <c r="BI98" s="442"/>
      <c r="BJ98" s="441"/>
      <c r="BK98" s="442"/>
      <c r="BL98" s="432" t="str">
        <f>IF(LEN(VLOOKUP(AA92,suvaha!$D$8:$H$158,5,FALSE))&lt;11,"",LEFT(RIGHT(VLOOKUP(AA92,suvaha!$D$8:$H$158,5,FALSE),11),1))</f>
        <v/>
      </c>
      <c r="BM98" s="255"/>
      <c r="BN98" s="432" t="str">
        <f>IF(LEN(VLOOKUP(AA92,suvaha!$D$8:$H$158,5,FALSE))&lt;10,"",LEFT(RIGHT(VLOOKUP(AA92,suvaha!$D$8:$H$158,5,FALSE),10),1))</f>
        <v/>
      </c>
      <c r="BO98" s="434"/>
      <c r="BP98" s="432" t="str">
        <f>IF(LEN(VLOOKUP(AA92,suvaha!$D$8:$H$158,5,FALSE))&lt;9,"",LEFT(RIGHT(VLOOKUP(AA92,suvaha!$D$8:$H$158,5,FALSE),9),1))</f>
        <v/>
      </c>
      <c r="BQ98" s="255"/>
      <c r="BR98" s="432" t="str">
        <f>IF(LEN(VLOOKUP(AA92,suvaha!$D$8:$H$158,5,FALSE))&lt;8,"",LEFT(RIGHT(VLOOKUP(AA92,suvaha!$D$8:$H$158,5,FALSE),8),1))</f>
        <v>2</v>
      </c>
      <c r="BS98" s="434"/>
      <c r="BT98" s="432" t="str">
        <f>IF(LEN(VLOOKUP(AA92,suvaha!$D$8:$H$158,5,FALSE))&lt;7,"",LEFT(RIGHT(VLOOKUP(AA92,suvaha!$D$8:$H$158,5,FALSE),7),1))</f>
        <v>5</v>
      </c>
      <c r="BU98" s="818"/>
      <c r="BV98" s="432" t="str">
        <f>IF(LEN(VLOOKUP(AA92,suvaha!$D$8:$H$158,5,FALSE))&lt;6,"",LEFT(RIGHT(VLOOKUP(AA92,suvaha!$D$8:$H$158,5,FALSE),6),1))</f>
        <v>7</v>
      </c>
      <c r="BW98" s="434"/>
      <c r="BX98" s="432" t="str">
        <f>IF(LEN(VLOOKUP(AA92,suvaha!$D$8:$H$158,5,FALSE))&lt;5,"",LEFT(RIGHT(VLOOKUP(AA92,suvaha!$D$8:$H$158,5,FALSE),5),1))</f>
        <v>8</v>
      </c>
      <c r="BY98" s="434"/>
      <c r="BZ98" s="432" t="str">
        <f>IF(LEN(VLOOKUP(AA92,suvaha!$D$8:$H$158,5,FALSE))&lt;4,"",LEFT(RIGHT(VLOOKUP(AA92,suvaha!$D$8:$H$158,5,FALSE),4),1))</f>
        <v>2</v>
      </c>
      <c r="CA98" s="819"/>
      <c r="CB98" s="432" t="str">
        <f>IF(LEN(VLOOKUP(AA92,suvaha!$D$8:$H$158,5,FALSE))&lt;3,"",LEFT(RIGHT(VLOOKUP(AA92,suvaha!$D$8:$H$158,5,FALSE),3),1))</f>
        <v>6</v>
      </c>
      <c r="CC98" s="434"/>
      <c r="CD98" s="432" t="str">
        <f>IF(LEN(VLOOKUP(AA92,suvaha!$D$8:$H$158,5,FALSE))&lt;2,"",LEFT(RIGHT(VLOOKUP(AA92,suvaha!$D$8:$H$158,5,FALSE),2),1))</f>
        <v>3</v>
      </c>
      <c r="CE98" s="434"/>
      <c r="CF98" s="432" t="str">
        <f>IF(VLOOKUP(AA92,suvaha!$D$8:$H$85,5,FALSE)=0,"",IF(LEN(VLOOKUP(AA92,suvaha!$D$8:$H$158,5,FALSE))&lt;1,"",LEFT(RIGHT(VLOOKUP(AA92,suvaha!$D$8:$H$158,5,FALSE),1),1)))</f>
        <v>2</v>
      </c>
      <c r="CG98" s="287"/>
    </row>
    <row r="99" spans="1:85" ht="3" customHeight="1">
      <c r="A99" s="220"/>
      <c r="B99" s="879"/>
      <c r="C99" s="879"/>
      <c r="D99" s="879"/>
      <c r="E99" s="939"/>
      <c r="F99" s="939"/>
      <c r="G99" s="862"/>
      <c r="H99" s="874"/>
      <c r="I99" s="874"/>
      <c r="J99" s="874"/>
      <c r="K99" s="874"/>
      <c r="L99" s="874"/>
      <c r="M99" s="874"/>
      <c r="N99" s="874"/>
      <c r="O99" s="874"/>
      <c r="P99" s="874"/>
      <c r="Q99" s="874"/>
      <c r="R99" s="874"/>
      <c r="S99" s="874"/>
      <c r="T99" s="874"/>
      <c r="U99" s="874"/>
      <c r="V99" s="874"/>
      <c r="W99" s="874"/>
      <c r="X99" s="874"/>
      <c r="Y99" s="874"/>
      <c r="Z99" s="874"/>
      <c r="AA99" s="875"/>
      <c r="AB99" s="875"/>
      <c r="AC99" s="875"/>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449"/>
      <c r="BB99" s="310"/>
      <c r="BC99" s="310"/>
      <c r="BD99" s="310"/>
      <c r="BE99" s="310"/>
      <c r="BF99" s="310"/>
      <c r="BG99" s="310"/>
      <c r="BH99" s="310"/>
      <c r="BI99" s="310"/>
      <c r="BJ99" s="443"/>
      <c r="BK99" s="310"/>
      <c r="BL99" s="310"/>
      <c r="BM99" s="310"/>
      <c r="BN99" s="310"/>
      <c r="BO99" s="310"/>
      <c r="BP99" s="310"/>
      <c r="BQ99" s="310"/>
      <c r="BR99" s="310"/>
      <c r="BS99" s="310"/>
      <c r="BT99" s="310"/>
      <c r="BU99" s="310"/>
      <c r="BV99" s="310"/>
      <c r="BW99" s="310"/>
      <c r="BX99" s="310"/>
      <c r="BY99" s="310"/>
      <c r="BZ99" s="310"/>
      <c r="CA99" s="310"/>
      <c r="CB99" s="310"/>
      <c r="CC99" s="310"/>
      <c r="CD99" s="310"/>
      <c r="CE99" s="310"/>
      <c r="CF99" s="310"/>
      <c r="CG99" s="286"/>
    </row>
    <row r="100" spans="1:85" s="250" customFormat="1" ht="3" customHeight="1">
      <c r="A100" s="220"/>
      <c r="B100" s="879"/>
      <c r="C100" s="879"/>
      <c r="D100" s="879"/>
      <c r="E100" s="881" t="s">
        <v>560</v>
      </c>
      <c r="F100" s="881"/>
      <c r="G100" s="946"/>
      <c r="H100" s="874" t="str">
        <f>Index!C105</f>
        <v>Pohľadávky z obchodného styku súčet (r. 55 až r. 57)</v>
      </c>
      <c r="I100" s="874"/>
      <c r="J100" s="874"/>
      <c r="K100" s="874"/>
      <c r="L100" s="874"/>
      <c r="M100" s="874"/>
      <c r="N100" s="874"/>
      <c r="O100" s="874"/>
      <c r="P100" s="874"/>
      <c r="Q100" s="874"/>
      <c r="R100" s="874"/>
      <c r="S100" s="874"/>
      <c r="T100" s="874"/>
      <c r="U100" s="874"/>
      <c r="V100" s="874"/>
      <c r="W100" s="874"/>
      <c r="X100" s="874"/>
      <c r="Y100" s="874"/>
      <c r="Z100" s="874"/>
      <c r="AA100" s="875" t="s">
        <v>1612</v>
      </c>
      <c r="AB100" s="875"/>
      <c r="AC100" s="875"/>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67"/>
      <c r="BB100" s="867"/>
      <c r="BC100" s="867"/>
      <c r="BD100" s="867"/>
      <c r="BE100" s="867"/>
      <c r="BF100" s="867"/>
      <c r="BG100" s="867"/>
      <c r="BH100" s="867"/>
      <c r="BI100" s="867"/>
      <c r="BJ100" s="867"/>
      <c r="BK100" s="867"/>
      <c r="BL100" s="867"/>
      <c r="BM100" s="867"/>
      <c r="BN100" s="867"/>
      <c r="BO100" s="867"/>
      <c r="BP100" s="867"/>
      <c r="BQ100" s="867"/>
      <c r="BR100" s="304"/>
      <c r="BS100" s="304"/>
      <c r="BT100" s="304"/>
      <c r="BU100" s="304"/>
      <c r="BV100" s="304"/>
      <c r="BW100" s="446"/>
      <c r="BX100" s="304"/>
      <c r="BY100" s="304"/>
      <c r="BZ100" s="304"/>
      <c r="CA100" s="304"/>
      <c r="CB100" s="304"/>
      <c r="CC100" s="304"/>
      <c r="CD100" s="304"/>
      <c r="CE100" s="304"/>
      <c r="CF100" s="304"/>
      <c r="CG100" s="284"/>
    </row>
    <row r="101" spans="1:85" s="250" customFormat="1" ht="3" customHeight="1">
      <c r="A101" s="220"/>
      <c r="B101" s="879"/>
      <c r="C101" s="879"/>
      <c r="D101" s="879"/>
      <c r="E101" s="881"/>
      <c r="F101" s="881"/>
      <c r="G101" s="946"/>
      <c r="H101" s="874"/>
      <c r="I101" s="874"/>
      <c r="J101" s="874"/>
      <c r="K101" s="874"/>
      <c r="L101" s="874"/>
      <c r="M101" s="874"/>
      <c r="N101" s="874"/>
      <c r="O101" s="874"/>
      <c r="P101" s="874"/>
      <c r="Q101" s="874"/>
      <c r="R101" s="874"/>
      <c r="S101" s="874"/>
      <c r="T101" s="874"/>
      <c r="U101" s="874"/>
      <c r="V101" s="874"/>
      <c r="W101" s="874"/>
      <c r="X101" s="874"/>
      <c r="Y101" s="874"/>
      <c r="Z101" s="874"/>
      <c r="AA101" s="875"/>
      <c r="AB101" s="875"/>
      <c r="AC101" s="875"/>
      <c r="AD101" s="826"/>
      <c r="AE101" s="820"/>
      <c r="AF101" s="820"/>
      <c r="AG101" s="820"/>
      <c r="AH101" s="435"/>
      <c r="AI101" s="821"/>
      <c r="AJ101" s="821"/>
      <c r="AK101" s="821"/>
      <c r="AL101" s="821"/>
      <c r="AM101" s="821"/>
      <c r="AN101" s="818"/>
      <c r="AO101" s="822"/>
      <c r="AP101" s="822"/>
      <c r="AQ101" s="822"/>
      <c r="AR101" s="822"/>
      <c r="AS101" s="822"/>
      <c r="AT101" s="819"/>
      <c r="AU101" s="822"/>
      <c r="AV101" s="822"/>
      <c r="AW101" s="822"/>
      <c r="AX101" s="822"/>
      <c r="AY101" s="822"/>
      <c r="AZ101" s="827"/>
      <c r="BA101" s="826"/>
      <c r="BB101" s="820"/>
      <c r="BC101" s="820"/>
      <c r="BD101" s="820"/>
      <c r="BE101" s="435"/>
      <c r="BF101" s="821"/>
      <c r="BG101" s="821"/>
      <c r="BH101" s="821"/>
      <c r="BI101" s="821"/>
      <c r="BJ101" s="821"/>
      <c r="BK101" s="818"/>
      <c r="BL101" s="822"/>
      <c r="BM101" s="822"/>
      <c r="BN101" s="822"/>
      <c r="BO101" s="822"/>
      <c r="BP101" s="822"/>
      <c r="BQ101" s="819"/>
      <c r="BR101" s="822"/>
      <c r="BS101" s="822"/>
      <c r="BT101" s="822"/>
      <c r="BU101" s="822"/>
      <c r="BV101" s="822"/>
      <c r="BW101" s="441"/>
      <c r="BX101" s="442"/>
      <c r="BY101" s="442"/>
      <c r="BZ101" s="442"/>
      <c r="CA101" s="442"/>
      <c r="CB101" s="442"/>
      <c r="CC101" s="442"/>
      <c r="CD101" s="442"/>
      <c r="CE101" s="442"/>
      <c r="CF101" s="442"/>
      <c r="CG101" s="285"/>
    </row>
    <row r="102" spans="1:85" ht="15" customHeight="1">
      <c r="A102" s="220"/>
      <c r="B102" s="879"/>
      <c r="C102" s="879"/>
      <c r="D102" s="879"/>
      <c r="E102" s="881"/>
      <c r="F102" s="881"/>
      <c r="G102" s="946"/>
      <c r="H102" s="874"/>
      <c r="I102" s="874"/>
      <c r="J102" s="874"/>
      <c r="K102" s="874"/>
      <c r="L102" s="874"/>
      <c r="M102" s="874"/>
      <c r="N102" s="874"/>
      <c r="O102" s="874"/>
      <c r="P102" s="874"/>
      <c r="Q102" s="874"/>
      <c r="R102" s="874"/>
      <c r="S102" s="874"/>
      <c r="T102" s="874"/>
      <c r="U102" s="874"/>
      <c r="V102" s="874"/>
      <c r="W102" s="874"/>
      <c r="X102" s="874"/>
      <c r="Y102" s="874"/>
      <c r="Z102" s="874"/>
      <c r="AA102" s="875"/>
      <c r="AB102" s="875"/>
      <c r="AC102" s="875"/>
      <c r="AD102" s="826"/>
      <c r="AE102" s="432" t="str">
        <f>IF(LEN(VLOOKUP(AA100,suvaha!$D$8:$H$158,2,FALSE))&lt;11,"",LEFT(RIGHT(VLOOKUP(AA100,suvaha!$D$8:$H$158,2,FALSE),11),1))</f>
        <v/>
      </c>
      <c r="AF102" s="255"/>
      <c r="AG102" s="432" t="str">
        <f>IF(LEN(VLOOKUP(AA100,suvaha!$D$8:$H$158,2,FALSE))&lt;10,"",LEFT(RIGHT(VLOOKUP(AA100,suvaha!$D$8:$H$158,2,FALSE),10),1))</f>
        <v/>
      </c>
      <c r="AH102" s="434"/>
      <c r="AI102" s="432" t="str">
        <f>IF(LEN(VLOOKUP(AA100,suvaha!$D$8:$H$158,2,FALSE))&lt;9,"",LEFT(RIGHT(VLOOKUP(AA100,suvaha!$D$8:$H$158,2,FALSE),9),1))</f>
        <v/>
      </c>
      <c r="AJ102" s="255"/>
      <c r="AK102" s="432" t="str">
        <f>IF(LEN(VLOOKUP(AA100,suvaha!$D$8:$H$158,2,FALSE))&lt;8,"",LEFT(RIGHT(VLOOKUP(AA100,suvaha!$D$8:$H$158,2,FALSE),8),1))</f>
        <v/>
      </c>
      <c r="AL102" s="434"/>
      <c r="AM102" s="432" t="str">
        <f>IF(LEN(VLOOKUP(AA100,suvaha!$D$8:$H$158,2,FALSE))&lt;7,"",LEFT(RIGHT(VLOOKUP(AA100,suvaha!$D$8:$H$158,2,FALSE),7),1))</f>
        <v>4</v>
      </c>
      <c r="AN102" s="818"/>
      <c r="AO102" s="432" t="str">
        <f>IF(LEN(VLOOKUP(AA100,suvaha!$D$8:$H$158,2,FALSE))&lt;6,"",LEFT(RIGHT(VLOOKUP(AA100,suvaha!$D$8:$H$158,2,FALSE),6),1))</f>
        <v>0</v>
      </c>
      <c r="AP102" s="434"/>
      <c r="AQ102" s="432" t="str">
        <f>IF(LEN(VLOOKUP(AA100,suvaha!$D$8:$H$158,2,FALSE))&lt;5,"",LEFT(RIGHT(VLOOKUP(AA100,suvaha!$D$8:$H$158,2,FALSE),5),1))</f>
        <v>1</v>
      </c>
      <c r="AR102" s="434"/>
      <c r="AS102" s="432" t="str">
        <f>IF(LEN(VLOOKUP(AA100,suvaha!$D$8:$H$158,2,FALSE))&lt;4,"",LEFT(RIGHT(VLOOKUP(AA100,suvaha!$D$8:$H$158,2,FALSE),4),1))</f>
        <v>5</v>
      </c>
      <c r="AT102" s="819"/>
      <c r="AU102" s="432" t="str">
        <f>IF(LEN(VLOOKUP(AA100,suvaha!$D$8:$H$158,2,FALSE))&lt;3,"",LEFT(RIGHT(VLOOKUP(AA100,suvaha!$D$8:$H$158,2,FALSE),3),1))</f>
        <v>3</v>
      </c>
      <c r="AV102" s="434"/>
      <c r="AW102" s="432" t="str">
        <f>IF(LEN(VLOOKUP(AA100,suvaha!$D$8:$H$158,2,FALSE))&lt;2,"",LEFT(RIGHT(VLOOKUP(AA100,suvaha!$D$8:$H$158,2,FALSE),2),1))</f>
        <v>2</v>
      </c>
      <c r="AX102" s="434"/>
      <c r="AY102" s="432" t="str">
        <f>IF(VLOOKUP(AA100,suvaha!$D$8:$H$85,2,FALSE)=0,"",IF(LEN(VLOOKUP(AA100,suvaha!$D$8:$H$158,2,FALSE))&lt;1,"",LEFT(RIGHT(VLOOKUP(AA100,suvaha!$D$8:$H$158,2,FALSE),1),1)))</f>
        <v>6</v>
      </c>
      <c r="AZ102" s="827"/>
      <c r="BA102" s="826"/>
      <c r="BB102" s="432" t="str">
        <f>IF(LEN(VLOOKUP(AA100,suvaha!$D$8:$H$158,4,FALSE))&lt;11,"",LEFT(RIGHT(VLOOKUP(AA100,suvaha!$D$8:$H$158,4,FALSE),11),1))</f>
        <v/>
      </c>
      <c r="BC102" s="255"/>
      <c r="BD102" s="432" t="str">
        <f>IF(LEN(VLOOKUP(AA100,suvaha!$D$8:$H$158,4,FALSE))&lt;10,"",LEFT(RIGHT(VLOOKUP(AA100,suvaha!$D$8:$H$158,4,FALSE),10),1))</f>
        <v/>
      </c>
      <c r="BE102" s="434"/>
      <c r="BF102" s="432" t="str">
        <f>IF(LEN(VLOOKUP(AA100,suvaha!$D$8:$H$158,4,FALSE))&lt;9,"",LEFT(RIGHT(VLOOKUP(AA100,suvaha!$D$8:$H$158,4,FALSE),9),1))</f>
        <v/>
      </c>
      <c r="BG102" s="255"/>
      <c r="BH102" s="432" t="str">
        <f>IF(LEN(VLOOKUP(AA100,suvaha!$D$8:$H$158,4,FALSE))&lt;8,"",LEFT(RIGHT(VLOOKUP(AA100,suvaha!$D$8:$H$158,4,FALSE),8),1))</f>
        <v/>
      </c>
      <c r="BI102" s="434"/>
      <c r="BJ102" s="432" t="str">
        <f>IF(LEN(VLOOKUP(AA100,suvaha!$D$8:$H$158,4,FALSE))&lt;7,"",LEFT(RIGHT(VLOOKUP(AA100,suvaha!$D$8:$H$158,4,FALSE),7),1))</f>
        <v>2</v>
      </c>
      <c r="BK102" s="818"/>
      <c r="BL102" s="432" t="str">
        <f>IF(LEN(VLOOKUP(AA100,suvaha!$D$8:$H$158,4,FALSE))&lt;6,"",LEFT(RIGHT(VLOOKUP(AA100,suvaha!$D$8:$H$158,4,FALSE),6),1))</f>
        <v>0</v>
      </c>
      <c r="BM102" s="434"/>
      <c r="BN102" s="432" t="str">
        <f>IF(LEN(VLOOKUP(AA100,suvaha!$D$8:$H$158,4,FALSE))&lt;5,"",LEFT(RIGHT(VLOOKUP(AA100,suvaha!$D$8:$H$158,4,FALSE),5),1))</f>
        <v>4</v>
      </c>
      <c r="BO102" s="434"/>
      <c r="BP102" s="432" t="str">
        <f>IF(LEN(VLOOKUP(AA100,suvaha!$D$8:$H$158,4,FALSE))&lt;4,"",LEFT(RIGHT(VLOOKUP(AA100,suvaha!$D$8:$H$158,4,FALSE),4),1))</f>
        <v>7</v>
      </c>
      <c r="BQ102" s="819"/>
      <c r="BR102" s="432" t="str">
        <f>IF(LEN(VLOOKUP(AA100,suvaha!$D$8:$H$158,4,FALSE))&lt;3,"",LEFT(RIGHT(VLOOKUP(AA100,suvaha!$D$8:$H$158,4,FALSE),3),1))</f>
        <v>2</v>
      </c>
      <c r="BS102" s="434"/>
      <c r="BT102" s="432" t="str">
        <f>IF(LEN(VLOOKUP(AA100,suvaha!$D$8:$H$158,4,FALSE))&lt;2,"",LEFT(RIGHT(VLOOKUP(AA100,suvaha!$D$8:$H$158,4,FALSE),2),1))</f>
        <v>8</v>
      </c>
      <c r="BU102" s="434"/>
      <c r="BV102" s="432" t="str">
        <f>IF(VLOOKUP(AA100,suvaha!$D$8:$H$85,4,FALSE)=0,"",IF(LEN(VLOOKUP(AA100,suvaha!$D$8:$H$158,4,FALSE))&lt;1,"",LEFT(RIGHT(VLOOKUP(AA100,suvaha!$D$8:$H$158,4,FALSE),1),1)))</f>
        <v>8</v>
      </c>
      <c r="BW102" s="441"/>
      <c r="BX102" s="442"/>
      <c r="BY102" s="442"/>
      <c r="BZ102" s="442"/>
      <c r="CA102" s="442"/>
      <c r="CB102" s="442"/>
      <c r="CC102" s="442"/>
      <c r="CD102" s="442"/>
      <c r="CE102" s="442"/>
      <c r="CF102" s="442"/>
      <c r="CG102" s="285"/>
    </row>
    <row r="103" spans="1:85" ht="3" customHeight="1">
      <c r="A103" s="220"/>
      <c r="B103" s="879"/>
      <c r="C103" s="879"/>
      <c r="D103" s="879"/>
      <c r="E103" s="881"/>
      <c r="F103" s="881"/>
      <c r="G103" s="946"/>
      <c r="H103" s="874"/>
      <c r="I103" s="874"/>
      <c r="J103" s="874"/>
      <c r="K103" s="874"/>
      <c r="L103" s="874"/>
      <c r="M103" s="874"/>
      <c r="N103" s="874"/>
      <c r="O103" s="874"/>
      <c r="P103" s="874"/>
      <c r="Q103" s="874"/>
      <c r="R103" s="874"/>
      <c r="S103" s="874"/>
      <c r="T103" s="874"/>
      <c r="U103" s="874"/>
      <c r="V103" s="874"/>
      <c r="W103" s="874"/>
      <c r="X103" s="874"/>
      <c r="Y103" s="874"/>
      <c r="Z103" s="874"/>
      <c r="AA103" s="875"/>
      <c r="AB103" s="875"/>
      <c r="AC103" s="875"/>
      <c r="AD103" s="845"/>
      <c r="AE103" s="845"/>
      <c r="AF103" s="845"/>
      <c r="AG103" s="845"/>
      <c r="AH103" s="845"/>
      <c r="AI103" s="845"/>
      <c r="AJ103" s="845"/>
      <c r="AK103" s="845"/>
      <c r="AL103" s="845"/>
      <c r="AM103" s="845"/>
      <c r="AN103" s="845"/>
      <c r="AO103" s="845"/>
      <c r="AP103" s="845"/>
      <c r="AQ103" s="845"/>
      <c r="AR103" s="845"/>
      <c r="AS103" s="845"/>
      <c r="AT103" s="845"/>
      <c r="AU103" s="845"/>
      <c r="AV103" s="845"/>
      <c r="AW103" s="845"/>
      <c r="AX103" s="845"/>
      <c r="AY103" s="845"/>
      <c r="AZ103" s="845"/>
      <c r="BA103" s="846"/>
      <c r="BB103" s="846"/>
      <c r="BC103" s="846"/>
      <c r="BD103" s="846"/>
      <c r="BE103" s="846"/>
      <c r="BF103" s="846"/>
      <c r="BG103" s="846"/>
      <c r="BH103" s="846"/>
      <c r="BI103" s="846"/>
      <c r="BJ103" s="846"/>
      <c r="BK103" s="846"/>
      <c r="BL103" s="846"/>
      <c r="BM103" s="846"/>
      <c r="BN103" s="846"/>
      <c r="BO103" s="846"/>
      <c r="BP103" s="846"/>
      <c r="BQ103" s="846"/>
      <c r="BR103" s="310"/>
      <c r="BS103" s="310"/>
      <c r="BT103" s="310"/>
      <c r="BU103" s="310"/>
      <c r="BV103" s="310"/>
      <c r="BW103" s="443"/>
      <c r="BX103" s="310"/>
      <c r="BY103" s="310"/>
      <c r="BZ103" s="310"/>
      <c r="CA103" s="310"/>
      <c r="CB103" s="310"/>
      <c r="CC103" s="310"/>
      <c r="CD103" s="310"/>
      <c r="CE103" s="310"/>
      <c r="CF103" s="310"/>
      <c r="CG103" s="286"/>
    </row>
    <row r="104" spans="1:85" ht="3" customHeight="1">
      <c r="A104" s="220"/>
      <c r="B104" s="879"/>
      <c r="C104" s="879"/>
      <c r="D104" s="879"/>
      <c r="E104" s="881"/>
      <c r="F104" s="881"/>
      <c r="G104" s="946"/>
      <c r="H104" s="874"/>
      <c r="I104" s="874"/>
      <c r="J104" s="874"/>
      <c r="K104" s="874"/>
      <c r="L104" s="874"/>
      <c r="M104" s="874"/>
      <c r="N104" s="874"/>
      <c r="O104" s="874"/>
      <c r="P104" s="874"/>
      <c r="Q104" s="874"/>
      <c r="R104" s="874"/>
      <c r="S104" s="874"/>
      <c r="T104" s="874"/>
      <c r="U104" s="874"/>
      <c r="V104" s="874"/>
      <c r="W104" s="874"/>
      <c r="X104" s="874"/>
      <c r="Y104" s="874"/>
      <c r="Z104" s="874"/>
      <c r="AA104" s="875"/>
      <c r="AB104" s="875"/>
      <c r="AC104" s="875"/>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825"/>
      <c r="AY104" s="825"/>
      <c r="AZ104" s="825"/>
      <c r="BA104" s="447"/>
      <c r="BB104" s="304"/>
      <c r="BC104" s="304"/>
      <c r="BD104" s="304"/>
      <c r="BE104" s="304"/>
      <c r="BF104" s="304"/>
      <c r="BG104" s="304"/>
      <c r="BH104" s="304"/>
      <c r="BI104" s="304"/>
      <c r="BJ104" s="446"/>
      <c r="BK104" s="304"/>
      <c r="BL104" s="304"/>
      <c r="BM104" s="304"/>
      <c r="BN104" s="304"/>
      <c r="BO104" s="304"/>
      <c r="BP104" s="304"/>
      <c r="BQ104" s="304"/>
      <c r="BR104" s="304"/>
      <c r="BS104" s="304"/>
      <c r="BT104" s="304"/>
      <c r="BU104" s="304"/>
      <c r="BV104" s="304"/>
      <c r="BW104" s="304"/>
      <c r="BX104" s="304"/>
      <c r="BY104" s="304"/>
      <c r="BZ104" s="304"/>
      <c r="CA104" s="304"/>
      <c r="CB104" s="304"/>
      <c r="CC104" s="304"/>
      <c r="CD104" s="304"/>
      <c r="CE104" s="304"/>
      <c r="CF104" s="304"/>
      <c r="CG104" s="284"/>
    </row>
    <row r="105" spans="1:85" ht="3" customHeight="1">
      <c r="A105" s="220"/>
      <c r="B105" s="879"/>
      <c r="C105" s="879"/>
      <c r="D105" s="879"/>
      <c r="E105" s="881"/>
      <c r="F105" s="881"/>
      <c r="G105" s="946"/>
      <c r="H105" s="874"/>
      <c r="I105" s="874"/>
      <c r="J105" s="874"/>
      <c r="K105" s="874"/>
      <c r="L105" s="874"/>
      <c r="M105" s="874"/>
      <c r="N105" s="874"/>
      <c r="O105" s="874"/>
      <c r="P105" s="874"/>
      <c r="Q105" s="874"/>
      <c r="R105" s="874"/>
      <c r="S105" s="874"/>
      <c r="T105" s="874"/>
      <c r="U105" s="874"/>
      <c r="V105" s="874"/>
      <c r="W105" s="874"/>
      <c r="X105" s="874"/>
      <c r="Y105" s="874"/>
      <c r="Z105" s="874"/>
      <c r="AA105" s="875"/>
      <c r="AB105" s="875"/>
      <c r="AC105" s="875"/>
      <c r="AD105" s="826"/>
      <c r="AE105" s="820"/>
      <c r="AF105" s="820"/>
      <c r="AG105" s="820"/>
      <c r="AH105" s="435"/>
      <c r="AI105" s="821"/>
      <c r="AJ105" s="821"/>
      <c r="AK105" s="821"/>
      <c r="AL105" s="821"/>
      <c r="AM105" s="821"/>
      <c r="AN105" s="818"/>
      <c r="AO105" s="822"/>
      <c r="AP105" s="822"/>
      <c r="AQ105" s="822"/>
      <c r="AR105" s="822"/>
      <c r="AS105" s="822"/>
      <c r="AT105" s="819"/>
      <c r="AU105" s="822"/>
      <c r="AV105" s="822"/>
      <c r="AW105" s="822"/>
      <c r="AX105" s="822"/>
      <c r="AY105" s="822"/>
      <c r="AZ105" s="827"/>
      <c r="BA105" s="448"/>
      <c r="BB105" s="442"/>
      <c r="BC105" s="442"/>
      <c r="BD105" s="442"/>
      <c r="BE105" s="442"/>
      <c r="BF105" s="442"/>
      <c r="BG105" s="442"/>
      <c r="BH105" s="442"/>
      <c r="BI105" s="442"/>
      <c r="BJ105" s="441"/>
      <c r="BK105" s="442"/>
      <c r="BL105" s="820"/>
      <c r="BM105" s="820"/>
      <c r="BN105" s="820"/>
      <c r="BO105" s="435"/>
      <c r="BP105" s="821"/>
      <c r="BQ105" s="821"/>
      <c r="BR105" s="821"/>
      <c r="BS105" s="821"/>
      <c r="BT105" s="821"/>
      <c r="BU105" s="818"/>
      <c r="BV105" s="822"/>
      <c r="BW105" s="822"/>
      <c r="BX105" s="822"/>
      <c r="BY105" s="822"/>
      <c r="BZ105" s="822"/>
      <c r="CA105" s="819"/>
      <c r="CB105" s="822"/>
      <c r="CC105" s="822"/>
      <c r="CD105" s="822"/>
      <c r="CE105" s="822"/>
      <c r="CF105" s="822"/>
      <c r="CG105" s="287"/>
    </row>
    <row r="106" spans="1:85" ht="15" customHeight="1">
      <c r="A106" s="220"/>
      <c r="B106" s="879"/>
      <c r="C106" s="879"/>
      <c r="D106" s="879"/>
      <c r="E106" s="881"/>
      <c r="F106" s="881"/>
      <c r="G106" s="946"/>
      <c r="H106" s="874"/>
      <c r="I106" s="874"/>
      <c r="J106" s="874"/>
      <c r="K106" s="874"/>
      <c r="L106" s="874"/>
      <c r="M106" s="874"/>
      <c r="N106" s="874"/>
      <c r="O106" s="874"/>
      <c r="P106" s="874"/>
      <c r="Q106" s="874"/>
      <c r="R106" s="874"/>
      <c r="S106" s="874"/>
      <c r="T106" s="874"/>
      <c r="U106" s="874"/>
      <c r="V106" s="874"/>
      <c r="W106" s="874"/>
      <c r="X106" s="874"/>
      <c r="Y106" s="874"/>
      <c r="Z106" s="874"/>
      <c r="AA106" s="875"/>
      <c r="AB106" s="875"/>
      <c r="AC106" s="875"/>
      <c r="AD106" s="826"/>
      <c r="AE106" s="432" t="str">
        <f>IF(LEN(VLOOKUP(AA100,suvaha!$D$8:$H$158,3,FALSE))&lt;11,"",LEFT(RIGHT(VLOOKUP(AA100,suvaha!$D$8:$H$158,3,FALSE),11),1))</f>
        <v/>
      </c>
      <c r="AF106" s="255"/>
      <c r="AG106" s="432" t="str">
        <f>IF(LEN(VLOOKUP(AA100,suvaha!$D$8:$H$158,3,FALSE))&lt;10,"",LEFT(RIGHT(VLOOKUP(AA100,suvaha!$D$8:$H$158,3,FALSE),10),1))</f>
        <v/>
      </c>
      <c r="AH106" s="434"/>
      <c r="AI106" s="432" t="str">
        <f>IF(LEN(VLOOKUP(AA100,suvaha!$D$8:$H$158,3,FALSE))&lt;9,"",LEFT(RIGHT(VLOOKUP(AA100,suvaha!$D$8:$H$158,3,FALSE),9),1))</f>
        <v/>
      </c>
      <c r="AJ106" s="255"/>
      <c r="AK106" s="432" t="str">
        <f>IF(LEN(VLOOKUP(AA100,suvaha!$D$8:$H$158,3,FALSE))&lt;8,"",LEFT(RIGHT(VLOOKUP(AA100,suvaha!$D$8:$H$158,3,FALSE),8),1))</f>
        <v/>
      </c>
      <c r="AL106" s="434"/>
      <c r="AM106" s="432" t="str">
        <f>IF(LEN(VLOOKUP(AA100,suvaha!$D$8:$H$158,3,FALSE))&lt;7,"",LEFT(RIGHT(VLOOKUP(AA100,suvaha!$D$8:$H$158,3,FALSE),7),1))</f>
        <v>1</v>
      </c>
      <c r="AN106" s="818"/>
      <c r="AO106" s="432" t="str">
        <f>IF(LEN(VLOOKUP(AA100,suvaha!$D$8:$H$158,3,FALSE))&lt;6,"",LEFT(RIGHT(VLOOKUP(AA100,suvaha!$D$8:$H$158,3,FALSE),6),1))</f>
        <v>9</v>
      </c>
      <c r="AP106" s="434"/>
      <c r="AQ106" s="432" t="str">
        <f>IF(LEN(VLOOKUP(AA100,suvaha!$D$8:$H$158,3,FALSE))&lt;5,"",LEFT(RIGHT(VLOOKUP(AA100,suvaha!$D$8:$H$158,3,FALSE),5),1))</f>
        <v>6</v>
      </c>
      <c r="AR106" s="434"/>
      <c r="AS106" s="432" t="str">
        <f>IF(LEN(VLOOKUP(AA100,suvaha!$D$8:$H$158,3,FALSE))&lt;4,"",LEFT(RIGHT(VLOOKUP(AA100,suvaha!$D$8:$H$158,3,FALSE),4),1))</f>
        <v>8</v>
      </c>
      <c r="AT106" s="819"/>
      <c r="AU106" s="432" t="str">
        <f>IF(LEN(VLOOKUP(AA100,suvaha!$D$8:$H$158,3,FALSE))&lt;3,"",LEFT(RIGHT(VLOOKUP(AA100,suvaha!$D$8:$H$158,3,FALSE),3),1))</f>
        <v>0</v>
      </c>
      <c r="AV106" s="434"/>
      <c r="AW106" s="432" t="str">
        <f>IF(LEN(VLOOKUP(AA100,suvaha!$D$8:$H$158,3,FALSE))&lt;2,"",LEFT(RIGHT(VLOOKUP(AA100,suvaha!$D$8:$H$158,3,FALSE),2),1))</f>
        <v>3</v>
      </c>
      <c r="AX106" s="434"/>
      <c r="AY106" s="432" t="str">
        <f>IF(VLOOKUP(AA100,suvaha!$D$8:$H$85,3,FALSE)=0,"",IF(LEN(VLOOKUP(AA100,suvaha!$D$8:$H$158,3,FALSE))&lt;1,"",LEFT(RIGHT(VLOOKUP(AA100,suvaha!$D$8:$H$158,3,FALSE),1),1)))</f>
        <v>8</v>
      </c>
      <c r="AZ106" s="827"/>
      <c r="BA106" s="448"/>
      <c r="BB106" s="442"/>
      <c r="BC106" s="442"/>
      <c r="BD106" s="442"/>
      <c r="BE106" s="442"/>
      <c r="BF106" s="442"/>
      <c r="BG106" s="442"/>
      <c r="BH106" s="442"/>
      <c r="BI106" s="442"/>
      <c r="BJ106" s="441"/>
      <c r="BK106" s="442"/>
      <c r="BL106" s="432" t="str">
        <f>IF(LEN(VLOOKUP(AA100,suvaha!$D$8:$H$158,5,FALSE))&lt;11,"",LEFT(RIGHT(VLOOKUP(AA100,suvaha!$D$8:$H$158,5,FALSE),11),1))</f>
        <v/>
      </c>
      <c r="BM106" s="255"/>
      <c r="BN106" s="432" t="str">
        <f>IF(LEN(VLOOKUP(AA100,suvaha!$D$8:$H$158,5,FALSE))&lt;10,"",LEFT(RIGHT(VLOOKUP(AA100,suvaha!$D$8:$H$158,5,FALSE),10),1))</f>
        <v/>
      </c>
      <c r="BO106" s="434"/>
      <c r="BP106" s="432" t="str">
        <f>IF(LEN(VLOOKUP(AA100,suvaha!$D$8:$H$158,5,FALSE))&lt;9,"",LEFT(RIGHT(VLOOKUP(AA100,suvaha!$D$8:$H$158,5,FALSE),9),1))</f>
        <v/>
      </c>
      <c r="BQ106" s="255"/>
      <c r="BR106" s="432" t="str">
        <f>IF(LEN(VLOOKUP(AA100,suvaha!$D$8:$H$158,5,FALSE))&lt;8,"",LEFT(RIGHT(VLOOKUP(AA100,suvaha!$D$8:$H$158,5,FALSE),8),1))</f>
        <v/>
      </c>
      <c r="BS106" s="434"/>
      <c r="BT106" s="432" t="str">
        <f>IF(LEN(VLOOKUP(AA100,suvaha!$D$8:$H$158,5,FALSE))&lt;7,"",LEFT(RIGHT(VLOOKUP(AA100,suvaha!$D$8:$H$158,5,FALSE),7),1))</f>
        <v>3</v>
      </c>
      <c r="BU106" s="818"/>
      <c r="BV106" s="432" t="str">
        <f>IF(LEN(VLOOKUP(AA100,suvaha!$D$8:$H$158,5,FALSE))&lt;6,"",LEFT(RIGHT(VLOOKUP(AA100,suvaha!$D$8:$H$158,5,FALSE),6),1))</f>
        <v>3</v>
      </c>
      <c r="BW106" s="434"/>
      <c r="BX106" s="432" t="str">
        <f>IF(LEN(VLOOKUP(AA100,suvaha!$D$8:$H$158,5,FALSE))&lt;5,"",LEFT(RIGHT(VLOOKUP(AA100,suvaha!$D$8:$H$158,5,FALSE),5),1))</f>
        <v>8</v>
      </c>
      <c r="BY106" s="434"/>
      <c r="BZ106" s="432" t="str">
        <f>IF(LEN(VLOOKUP(AA100,suvaha!$D$8:$H$158,5,FALSE))&lt;4,"",LEFT(RIGHT(VLOOKUP(AA100,suvaha!$D$8:$H$158,5,FALSE),4),1))</f>
        <v>0</v>
      </c>
      <c r="CA106" s="819"/>
      <c r="CB106" s="432" t="str">
        <f>IF(LEN(VLOOKUP(AA100,suvaha!$D$8:$H$158,5,FALSE))&lt;3,"",LEFT(RIGHT(VLOOKUP(AA100,suvaha!$D$8:$H$158,5,FALSE),3),1))</f>
        <v>5</v>
      </c>
      <c r="CC106" s="434"/>
      <c r="CD106" s="432" t="str">
        <f>IF(LEN(VLOOKUP(AA100,suvaha!$D$8:$H$158,5,FALSE))&lt;2,"",LEFT(RIGHT(VLOOKUP(AA100,suvaha!$D$8:$H$158,5,FALSE),2),1))</f>
        <v>4</v>
      </c>
      <c r="CE106" s="434"/>
      <c r="CF106" s="432" t="str">
        <f>IF(VLOOKUP(AA100,suvaha!$D$8:$H$85,5,FALSE)=0,"",IF(LEN(VLOOKUP(AA100,suvaha!$D$8:$H$158,5,FALSE))&lt;1,"",LEFT(RIGHT(VLOOKUP(AA100,suvaha!$D$8:$H$158,5,FALSE),1),1)))</f>
        <v>6</v>
      </c>
      <c r="CG106" s="287"/>
    </row>
    <row r="107" spans="1:85" ht="3" customHeight="1">
      <c r="A107" s="220"/>
      <c r="B107" s="879"/>
      <c r="C107" s="879"/>
      <c r="D107" s="879"/>
      <c r="E107" s="881"/>
      <c r="F107" s="881"/>
      <c r="G107" s="946"/>
      <c r="H107" s="874"/>
      <c r="I107" s="874"/>
      <c r="J107" s="874"/>
      <c r="K107" s="874"/>
      <c r="L107" s="874"/>
      <c r="M107" s="874"/>
      <c r="N107" s="874"/>
      <c r="O107" s="874"/>
      <c r="P107" s="874"/>
      <c r="Q107" s="874"/>
      <c r="R107" s="874"/>
      <c r="S107" s="874"/>
      <c r="T107" s="874"/>
      <c r="U107" s="874"/>
      <c r="V107" s="874"/>
      <c r="W107" s="874"/>
      <c r="X107" s="874"/>
      <c r="Y107" s="874"/>
      <c r="Z107" s="874"/>
      <c r="AA107" s="875"/>
      <c r="AB107" s="875"/>
      <c r="AC107" s="875"/>
      <c r="AD107" s="848"/>
      <c r="AE107" s="848"/>
      <c r="AF107" s="848"/>
      <c r="AG107" s="848"/>
      <c r="AH107" s="848"/>
      <c r="AI107" s="848"/>
      <c r="AJ107" s="848"/>
      <c r="AK107" s="848"/>
      <c r="AL107" s="848"/>
      <c r="AM107" s="848"/>
      <c r="AN107" s="848"/>
      <c r="AO107" s="848"/>
      <c r="AP107" s="848"/>
      <c r="AQ107" s="848"/>
      <c r="AR107" s="848"/>
      <c r="AS107" s="848"/>
      <c r="AT107" s="848"/>
      <c r="AU107" s="848"/>
      <c r="AV107" s="848"/>
      <c r="AW107" s="848"/>
      <c r="AX107" s="848"/>
      <c r="AY107" s="848"/>
      <c r="AZ107" s="848"/>
      <c r="BA107" s="261"/>
      <c r="BB107" s="256"/>
      <c r="BC107" s="256"/>
      <c r="BD107" s="256"/>
      <c r="BE107" s="256"/>
      <c r="BF107" s="256"/>
      <c r="BG107" s="256"/>
      <c r="BH107" s="256"/>
      <c r="BI107" s="256"/>
      <c r="BJ107" s="257"/>
      <c r="BK107" s="256"/>
      <c r="BL107" s="256"/>
      <c r="BM107" s="256"/>
      <c r="BN107" s="256"/>
      <c r="BO107" s="256"/>
      <c r="BP107" s="256"/>
      <c r="BQ107" s="256"/>
      <c r="BR107" s="256"/>
      <c r="BS107" s="256"/>
      <c r="BT107" s="256"/>
      <c r="BU107" s="256"/>
      <c r="BV107" s="256"/>
      <c r="BW107" s="256"/>
      <c r="BX107" s="256"/>
      <c r="BY107" s="256"/>
      <c r="BZ107" s="256"/>
      <c r="CA107" s="256"/>
      <c r="CB107" s="256"/>
      <c r="CC107" s="256"/>
      <c r="CD107" s="256"/>
      <c r="CE107" s="256"/>
      <c r="CF107" s="256"/>
      <c r="CG107" s="286"/>
    </row>
    <row r="108" spans="1:85" s="250" customFormat="1" ht="3" customHeight="1">
      <c r="A108" s="220"/>
      <c r="B108" s="879"/>
      <c r="C108" s="879"/>
      <c r="D108" s="879"/>
      <c r="E108" s="877" t="s">
        <v>1596</v>
      </c>
      <c r="F108" s="877"/>
      <c r="G108" s="862"/>
      <c r="H108" s="947" t="str">
        <f>Index!C106</f>
        <v>Pohľadávky z obchodného styku voči prepojeným účtovným jednotkám (311A, 312A, 313A, 314A, 315A, 31XA) - /391A/</v>
      </c>
      <c r="I108" s="947"/>
      <c r="J108" s="947"/>
      <c r="K108" s="947"/>
      <c r="L108" s="947"/>
      <c r="M108" s="947"/>
      <c r="N108" s="947"/>
      <c r="O108" s="947"/>
      <c r="P108" s="947"/>
      <c r="Q108" s="947"/>
      <c r="R108" s="947"/>
      <c r="S108" s="947"/>
      <c r="T108" s="947"/>
      <c r="U108" s="947"/>
      <c r="V108" s="947"/>
      <c r="W108" s="947"/>
      <c r="X108" s="947"/>
      <c r="Y108" s="947"/>
      <c r="Z108" s="947"/>
      <c r="AA108" s="866" t="s">
        <v>1613</v>
      </c>
      <c r="AB108" s="866"/>
      <c r="AC108" s="866"/>
      <c r="AD108" s="843"/>
      <c r="AE108" s="843"/>
      <c r="AF108" s="843"/>
      <c r="AG108" s="843"/>
      <c r="AH108" s="843"/>
      <c r="AI108" s="843"/>
      <c r="AJ108" s="843"/>
      <c r="AK108" s="843"/>
      <c r="AL108" s="843"/>
      <c r="AM108" s="843"/>
      <c r="AN108" s="843"/>
      <c r="AO108" s="843"/>
      <c r="AP108" s="843"/>
      <c r="AQ108" s="843"/>
      <c r="AR108" s="843"/>
      <c r="AS108" s="843"/>
      <c r="AT108" s="843"/>
      <c r="AU108" s="843"/>
      <c r="AV108" s="843"/>
      <c r="AW108" s="843"/>
      <c r="AX108" s="843"/>
      <c r="AY108" s="843"/>
      <c r="AZ108" s="843"/>
      <c r="BA108" s="844"/>
      <c r="BB108" s="844"/>
      <c r="BC108" s="844"/>
      <c r="BD108" s="844"/>
      <c r="BE108" s="844"/>
      <c r="BF108" s="844"/>
      <c r="BG108" s="844"/>
      <c r="BH108" s="844"/>
      <c r="BI108" s="844"/>
      <c r="BJ108" s="844"/>
      <c r="BK108" s="844"/>
      <c r="BL108" s="844"/>
      <c r="BM108" s="844"/>
      <c r="BN108" s="844"/>
      <c r="BO108" s="844"/>
      <c r="BP108" s="844"/>
      <c r="BQ108" s="844"/>
      <c r="BR108" s="251"/>
      <c r="BS108" s="251"/>
      <c r="BT108" s="251"/>
      <c r="BU108" s="251"/>
      <c r="BV108" s="251"/>
      <c r="BW108" s="252"/>
      <c r="BX108" s="251"/>
      <c r="BY108" s="251"/>
      <c r="BZ108" s="251"/>
      <c r="CA108" s="251"/>
      <c r="CB108" s="251"/>
      <c r="CC108" s="251"/>
      <c r="CD108" s="251"/>
      <c r="CE108" s="251"/>
      <c r="CF108" s="251"/>
      <c r="CG108" s="284"/>
    </row>
    <row r="109" spans="1:85" s="250" customFormat="1" ht="3" customHeight="1">
      <c r="A109" s="220"/>
      <c r="B109" s="879"/>
      <c r="C109" s="879"/>
      <c r="D109" s="879"/>
      <c r="E109" s="877"/>
      <c r="F109" s="877"/>
      <c r="G109" s="862"/>
      <c r="H109" s="947"/>
      <c r="I109" s="947"/>
      <c r="J109" s="947"/>
      <c r="K109" s="947"/>
      <c r="L109" s="947"/>
      <c r="M109" s="947"/>
      <c r="N109" s="947"/>
      <c r="O109" s="947"/>
      <c r="P109" s="947"/>
      <c r="Q109" s="947"/>
      <c r="R109" s="947"/>
      <c r="S109" s="947"/>
      <c r="T109" s="947"/>
      <c r="U109" s="947"/>
      <c r="V109" s="947"/>
      <c r="W109" s="947"/>
      <c r="X109" s="947"/>
      <c r="Y109" s="947"/>
      <c r="Z109" s="947"/>
      <c r="AA109" s="866"/>
      <c r="AB109" s="866"/>
      <c r="AC109" s="866"/>
      <c r="AD109" s="826"/>
      <c r="AE109" s="820"/>
      <c r="AF109" s="820"/>
      <c r="AG109" s="820"/>
      <c r="AH109" s="435"/>
      <c r="AI109" s="821"/>
      <c r="AJ109" s="821"/>
      <c r="AK109" s="821"/>
      <c r="AL109" s="821"/>
      <c r="AM109" s="821"/>
      <c r="AN109" s="818"/>
      <c r="AO109" s="822"/>
      <c r="AP109" s="822"/>
      <c r="AQ109" s="822"/>
      <c r="AR109" s="822"/>
      <c r="AS109" s="822"/>
      <c r="AT109" s="819"/>
      <c r="AU109" s="822"/>
      <c r="AV109" s="822"/>
      <c r="AW109" s="822"/>
      <c r="AX109" s="822"/>
      <c r="AY109" s="822"/>
      <c r="AZ109" s="827"/>
      <c r="BA109" s="826"/>
      <c r="BB109" s="820"/>
      <c r="BC109" s="820"/>
      <c r="BD109" s="820"/>
      <c r="BE109" s="435"/>
      <c r="BF109" s="821"/>
      <c r="BG109" s="821"/>
      <c r="BH109" s="821"/>
      <c r="BI109" s="821"/>
      <c r="BJ109" s="821"/>
      <c r="BK109" s="818"/>
      <c r="BL109" s="822"/>
      <c r="BM109" s="822"/>
      <c r="BN109" s="822"/>
      <c r="BO109" s="822"/>
      <c r="BP109" s="822"/>
      <c r="BQ109" s="819"/>
      <c r="BR109" s="822"/>
      <c r="BS109" s="822"/>
      <c r="BT109" s="822"/>
      <c r="BU109" s="822"/>
      <c r="BV109" s="822"/>
      <c r="BW109" s="441"/>
      <c r="BX109" s="442"/>
      <c r="BY109" s="442"/>
      <c r="BZ109" s="442"/>
      <c r="CA109" s="442"/>
      <c r="CB109" s="442"/>
      <c r="CC109" s="442"/>
      <c r="CD109" s="442"/>
      <c r="CE109" s="442"/>
      <c r="CF109" s="442"/>
      <c r="CG109" s="285"/>
    </row>
    <row r="110" spans="1:85" ht="15" customHeight="1">
      <c r="A110" s="220"/>
      <c r="B110" s="879"/>
      <c r="C110" s="879"/>
      <c r="D110" s="879"/>
      <c r="E110" s="877"/>
      <c r="F110" s="877"/>
      <c r="G110" s="862"/>
      <c r="H110" s="947"/>
      <c r="I110" s="947"/>
      <c r="J110" s="947"/>
      <c r="K110" s="947"/>
      <c r="L110" s="947"/>
      <c r="M110" s="947"/>
      <c r="N110" s="947"/>
      <c r="O110" s="947"/>
      <c r="P110" s="947"/>
      <c r="Q110" s="947"/>
      <c r="R110" s="947"/>
      <c r="S110" s="947"/>
      <c r="T110" s="947"/>
      <c r="U110" s="947"/>
      <c r="V110" s="947"/>
      <c r="W110" s="947"/>
      <c r="X110" s="947"/>
      <c r="Y110" s="947"/>
      <c r="Z110" s="947"/>
      <c r="AA110" s="866"/>
      <c r="AB110" s="866"/>
      <c r="AC110" s="866"/>
      <c r="AD110" s="826"/>
      <c r="AE110" s="432" t="str">
        <f>IF(LEN(VLOOKUP(AA108,suvaha!$D$8:$H$158,2,FALSE))&lt;11,"",LEFT(RIGHT(VLOOKUP(AA108,suvaha!$D$8:$H$158,2,FALSE),11),1))</f>
        <v/>
      </c>
      <c r="AF110" s="255"/>
      <c r="AG110" s="432" t="str">
        <f>IF(LEN(VLOOKUP(AA108,suvaha!$D$8:$H$158,2,FALSE))&lt;10,"",LEFT(RIGHT(VLOOKUP(AA108,suvaha!$D$8:$H$158,2,FALSE),10),1))</f>
        <v/>
      </c>
      <c r="AH110" s="434"/>
      <c r="AI110" s="432" t="str">
        <f>IF(LEN(VLOOKUP(AA108,suvaha!$D$8:$H$158,2,FALSE))&lt;9,"",LEFT(RIGHT(VLOOKUP(AA108,suvaha!$D$8:$H$158,2,FALSE),9),1))</f>
        <v/>
      </c>
      <c r="AJ110" s="255"/>
      <c r="AK110" s="432" t="str">
        <f>IF(LEN(VLOOKUP(AA108,suvaha!$D$8:$H$158,2,FALSE))&lt;8,"",LEFT(RIGHT(VLOOKUP(AA108,suvaha!$D$8:$H$158,2,FALSE),8),1))</f>
        <v/>
      </c>
      <c r="AL110" s="434"/>
      <c r="AM110" s="432" t="str">
        <f>IF(LEN(VLOOKUP(AA108,suvaha!$D$8:$H$158,2,FALSE))&lt;7,"",LEFT(RIGHT(VLOOKUP(AA108,suvaha!$D$8:$H$158,2,FALSE),7),1))</f>
        <v/>
      </c>
      <c r="AN110" s="818"/>
      <c r="AO110" s="432" t="str">
        <f>IF(LEN(VLOOKUP(AA108,suvaha!$D$8:$H$158,2,FALSE))&lt;6,"",LEFT(RIGHT(VLOOKUP(AA108,suvaha!$D$8:$H$158,2,FALSE),6),1))</f>
        <v>1</v>
      </c>
      <c r="AP110" s="434"/>
      <c r="AQ110" s="432" t="str">
        <f>IF(LEN(VLOOKUP(AA108,suvaha!$D$8:$H$158,2,FALSE))&lt;5,"",LEFT(RIGHT(VLOOKUP(AA108,suvaha!$D$8:$H$158,2,FALSE),5),1))</f>
        <v>8</v>
      </c>
      <c r="AR110" s="434"/>
      <c r="AS110" s="432" t="str">
        <f>IF(LEN(VLOOKUP(AA108,suvaha!$D$8:$H$158,2,FALSE))&lt;4,"",LEFT(RIGHT(VLOOKUP(AA108,suvaha!$D$8:$H$158,2,FALSE),4),1))</f>
        <v>3</v>
      </c>
      <c r="AT110" s="819"/>
      <c r="AU110" s="432" t="str">
        <f>IF(LEN(VLOOKUP(AA108,suvaha!$D$8:$H$158,2,FALSE))&lt;3,"",LEFT(RIGHT(VLOOKUP(AA108,suvaha!$D$8:$H$158,2,FALSE),3),1))</f>
        <v>7</v>
      </c>
      <c r="AV110" s="434"/>
      <c r="AW110" s="432" t="str">
        <f>IF(LEN(VLOOKUP(AA108,suvaha!$D$8:$H$158,2,FALSE))&lt;2,"",LEFT(RIGHT(VLOOKUP(AA108,suvaha!$D$8:$H$158,2,FALSE),2),1))</f>
        <v>2</v>
      </c>
      <c r="AX110" s="434"/>
      <c r="AY110" s="432" t="str">
        <f>IF(VLOOKUP(AA108,suvaha!$D$8:$H$85,2,FALSE)=0,"",IF(LEN(VLOOKUP(AA108,suvaha!$D$8:$H$158,2,FALSE))&lt;1,"",LEFT(RIGHT(VLOOKUP(AA108,suvaha!$D$8:$H$158,2,FALSE),1),1)))</f>
        <v>3</v>
      </c>
      <c r="AZ110" s="827"/>
      <c r="BA110" s="826"/>
      <c r="BB110" s="432" t="str">
        <f>IF(LEN(VLOOKUP(AA108,suvaha!$D$8:$H$158,4,FALSE))&lt;11,"",LEFT(RIGHT(VLOOKUP(AA108,suvaha!$D$8:$H$158,4,FALSE),11),1))</f>
        <v/>
      </c>
      <c r="BC110" s="255"/>
      <c r="BD110" s="432" t="str">
        <f>IF(LEN(VLOOKUP(AA108,suvaha!$D$8:$H$158,4,FALSE))&lt;10,"",LEFT(RIGHT(VLOOKUP(AA108,suvaha!$D$8:$H$158,4,FALSE),10),1))</f>
        <v/>
      </c>
      <c r="BE110" s="434"/>
      <c r="BF110" s="432" t="str">
        <f>IF(LEN(VLOOKUP(AA108,suvaha!$D$8:$H$158,4,FALSE))&lt;9,"",LEFT(RIGHT(VLOOKUP(AA108,suvaha!$D$8:$H$158,4,FALSE),9),1))</f>
        <v/>
      </c>
      <c r="BG110" s="255"/>
      <c r="BH110" s="432" t="str">
        <f>IF(LEN(VLOOKUP(AA108,suvaha!$D$8:$H$158,4,FALSE))&lt;8,"",LEFT(RIGHT(VLOOKUP(AA108,suvaha!$D$8:$H$158,4,FALSE),8),1))</f>
        <v/>
      </c>
      <c r="BI110" s="434"/>
      <c r="BJ110" s="432" t="str">
        <f>IF(LEN(VLOOKUP(AA108,suvaha!$D$8:$H$158,4,FALSE))&lt;7,"",LEFT(RIGHT(VLOOKUP(AA108,suvaha!$D$8:$H$158,4,FALSE),7),1))</f>
        <v/>
      </c>
      <c r="BK110" s="818"/>
      <c r="BL110" s="432" t="str">
        <f>IF(LEN(VLOOKUP(AA108,suvaha!$D$8:$H$158,4,FALSE))&lt;6,"",LEFT(RIGHT(VLOOKUP(AA108,suvaha!$D$8:$H$158,4,FALSE),6),1))</f>
        <v>1</v>
      </c>
      <c r="BM110" s="434"/>
      <c r="BN110" s="432" t="str">
        <f>IF(LEN(VLOOKUP(AA108,suvaha!$D$8:$H$158,4,FALSE))&lt;5,"",LEFT(RIGHT(VLOOKUP(AA108,suvaha!$D$8:$H$158,4,FALSE),5),1))</f>
        <v>8</v>
      </c>
      <c r="BO110" s="434"/>
      <c r="BP110" s="432" t="str">
        <f>IF(LEN(VLOOKUP(AA108,suvaha!$D$8:$H$158,4,FALSE))&lt;4,"",LEFT(RIGHT(VLOOKUP(AA108,suvaha!$D$8:$H$158,4,FALSE),4),1))</f>
        <v>3</v>
      </c>
      <c r="BQ110" s="819"/>
      <c r="BR110" s="432" t="str">
        <f>IF(LEN(VLOOKUP(AA108,suvaha!$D$8:$H$158,4,FALSE))&lt;3,"",LEFT(RIGHT(VLOOKUP(AA108,suvaha!$D$8:$H$158,4,FALSE),3),1))</f>
        <v>7</v>
      </c>
      <c r="BS110" s="434"/>
      <c r="BT110" s="432" t="str">
        <f>IF(LEN(VLOOKUP(AA108,suvaha!$D$8:$H$158,4,FALSE))&lt;2,"",LEFT(RIGHT(VLOOKUP(AA108,suvaha!$D$8:$H$158,4,FALSE),2),1))</f>
        <v>2</v>
      </c>
      <c r="BU110" s="434"/>
      <c r="BV110" s="432" t="str">
        <f>IF(VLOOKUP(AA108,suvaha!$D$8:$H$85,4,FALSE)=0,"",IF(LEN(VLOOKUP(AA108,suvaha!$D$8:$H$158,4,FALSE))&lt;1,"",LEFT(RIGHT(VLOOKUP(AA108,suvaha!$D$8:$H$158,4,FALSE),1),1)))</f>
        <v>3</v>
      </c>
      <c r="BW110" s="441"/>
      <c r="BX110" s="442"/>
      <c r="BY110" s="442"/>
      <c r="BZ110" s="442"/>
      <c r="CA110" s="442"/>
      <c r="CB110" s="442"/>
      <c r="CC110" s="442"/>
      <c r="CD110" s="442"/>
      <c r="CE110" s="442"/>
      <c r="CF110" s="442"/>
      <c r="CG110" s="285"/>
    </row>
    <row r="111" spans="1:85" ht="3" customHeight="1">
      <c r="A111" s="220"/>
      <c r="B111" s="879"/>
      <c r="C111" s="879"/>
      <c r="D111" s="879"/>
      <c r="E111" s="877"/>
      <c r="F111" s="877"/>
      <c r="G111" s="862"/>
      <c r="H111" s="947"/>
      <c r="I111" s="947"/>
      <c r="J111" s="947"/>
      <c r="K111" s="947"/>
      <c r="L111" s="947"/>
      <c r="M111" s="947"/>
      <c r="N111" s="947"/>
      <c r="O111" s="947"/>
      <c r="P111" s="947"/>
      <c r="Q111" s="947"/>
      <c r="R111" s="947"/>
      <c r="S111" s="947"/>
      <c r="T111" s="947"/>
      <c r="U111" s="947"/>
      <c r="V111" s="947"/>
      <c r="W111" s="947"/>
      <c r="X111" s="947"/>
      <c r="Y111" s="947"/>
      <c r="Z111" s="947"/>
      <c r="AA111" s="866"/>
      <c r="AB111" s="866"/>
      <c r="AC111" s="866"/>
      <c r="AD111" s="845"/>
      <c r="AE111" s="845"/>
      <c r="AF111" s="845"/>
      <c r="AG111" s="845"/>
      <c r="AH111" s="845"/>
      <c r="AI111" s="845"/>
      <c r="AJ111" s="845"/>
      <c r="AK111" s="845"/>
      <c r="AL111" s="845"/>
      <c r="AM111" s="845"/>
      <c r="AN111" s="845"/>
      <c r="AO111" s="845"/>
      <c r="AP111" s="845"/>
      <c r="AQ111" s="845"/>
      <c r="AR111" s="845"/>
      <c r="AS111" s="845"/>
      <c r="AT111" s="845"/>
      <c r="AU111" s="845"/>
      <c r="AV111" s="845"/>
      <c r="AW111" s="845"/>
      <c r="AX111" s="845"/>
      <c r="AY111" s="845"/>
      <c r="AZ111" s="845"/>
      <c r="BA111" s="846"/>
      <c r="BB111" s="846"/>
      <c r="BC111" s="846"/>
      <c r="BD111" s="846"/>
      <c r="BE111" s="846"/>
      <c r="BF111" s="846"/>
      <c r="BG111" s="846"/>
      <c r="BH111" s="846"/>
      <c r="BI111" s="846"/>
      <c r="BJ111" s="846"/>
      <c r="BK111" s="846"/>
      <c r="BL111" s="846"/>
      <c r="BM111" s="846"/>
      <c r="BN111" s="846"/>
      <c r="BO111" s="846"/>
      <c r="BP111" s="846"/>
      <c r="BQ111" s="846"/>
      <c r="BR111" s="310"/>
      <c r="BS111" s="310"/>
      <c r="BT111" s="310"/>
      <c r="BU111" s="310"/>
      <c r="BV111" s="310"/>
      <c r="BW111" s="443"/>
      <c r="BX111" s="310"/>
      <c r="BY111" s="310"/>
      <c r="BZ111" s="310"/>
      <c r="CA111" s="310"/>
      <c r="CB111" s="310"/>
      <c r="CC111" s="310"/>
      <c r="CD111" s="310"/>
      <c r="CE111" s="310"/>
      <c r="CF111" s="310"/>
      <c r="CG111" s="286"/>
    </row>
    <row r="112" spans="1:85" ht="3" customHeight="1">
      <c r="A112" s="220"/>
      <c r="B112" s="879"/>
      <c r="C112" s="879"/>
      <c r="D112" s="879"/>
      <c r="E112" s="877"/>
      <c r="F112" s="877"/>
      <c r="G112" s="862"/>
      <c r="H112" s="947"/>
      <c r="I112" s="947"/>
      <c r="J112" s="947"/>
      <c r="K112" s="947"/>
      <c r="L112" s="947"/>
      <c r="M112" s="947"/>
      <c r="N112" s="947"/>
      <c r="O112" s="947"/>
      <c r="P112" s="947"/>
      <c r="Q112" s="947"/>
      <c r="R112" s="947"/>
      <c r="S112" s="947"/>
      <c r="T112" s="947"/>
      <c r="U112" s="947"/>
      <c r="V112" s="947"/>
      <c r="W112" s="947"/>
      <c r="X112" s="947"/>
      <c r="Y112" s="947"/>
      <c r="Z112" s="947"/>
      <c r="AA112" s="866"/>
      <c r="AB112" s="866"/>
      <c r="AC112" s="866"/>
      <c r="AD112" s="825"/>
      <c r="AE112" s="825"/>
      <c r="AF112" s="825"/>
      <c r="AG112" s="825"/>
      <c r="AH112" s="825"/>
      <c r="AI112" s="825"/>
      <c r="AJ112" s="825"/>
      <c r="AK112" s="825"/>
      <c r="AL112" s="825"/>
      <c r="AM112" s="825"/>
      <c r="AN112" s="825"/>
      <c r="AO112" s="825"/>
      <c r="AP112" s="825"/>
      <c r="AQ112" s="825"/>
      <c r="AR112" s="825"/>
      <c r="AS112" s="825"/>
      <c r="AT112" s="825"/>
      <c r="AU112" s="825"/>
      <c r="AV112" s="825"/>
      <c r="AW112" s="825"/>
      <c r="AX112" s="825"/>
      <c r="AY112" s="825"/>
      <c r="AZ112" s="825"/>
      <c r="BA112" s="447"/>
      <c r="BB112" s="304"/>
      <c r="BC112" s="304"/>
      <c r="BD112" s="304"/>
      <c r="BE112" s="304"/>
      <c r="BF112" s="304"/>
      <c r="BG112" s="304"/>
      <c r="BH112" s="304"/>
      <c r="BI112" s="304"/>
      <c r="BJ112" s="446"/>
      <c r="BK112" s="304"/>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284"/>
    </row>
    <row r="113" spans="1:86" ht="3" customHeight="1">
      <c r="A113" s="220"/>
      <c r="B113" s="879"/>
      <c r="C113" s="879"/>
      <c r="D113" s="879"/>
      <c r="E113" s="877"/>
      <c r="F113" s="877"/>
      <c r="G113" s="862"/>
      <c r="H113" s="947"/>
      <c r="I113" s="947"/>
      <c r="J113" s="947"/>
      <c r="K113" s="947"/>
      <c r="L113" s="947"/>
      <c r="M113" s="947"/>
      <c r="N113" s="947"/>
      <c r="O113" s="947"/>
      <c r="P113" s="947"/>
      <c r="Q113" s="947"/>
      <c r="R113" s="947"/>
      <c r="S113" s="947"/>
      <c r="T113" s="947"/>
      <c r="U113" s="947"/>
      <c r="V113" s="947"/>
      <c r="W113" s="947"/>
      <c r="X113" s="947"/>
      <c r="Y113" s="947"/>
      <c r="Z113" s="947"/>
      <c r="AA113" s="866"/>
      <c r="AB113" s="866"/>
      <c r="AC113" s="866"/>
      <c r="AD113" s="826"/>
      <c r="AE113" s="820"/>
      <c r="AF113" s="820"/>
      <c r="AG113" s="820"/>
      <c r="AH113" s="435"/>
      <c r="AI113" s="821"/>
      <c r="AJ113" s="821"/>
      <c r="AK113" s="821"/>
      <c r="AL113" s="821"/>
      <c r="AM113" s="821"/>
      <c r="AN113" s="818"/>
      <c r="AO113" s="822"/>
      <c r="AP113" s="822"/>
      <c r="AQ113" s="822"/>
      <c r="AR113" s="822"/>
      <c r="AS113" s="822"/>
      <c r="AT113" s="819"/>
      <c r="AU113" s="822"/>
      <c r="AV113" s="822"/>
      <c r="AW113" s="822"/>
      <c r="AX113" s="822"/>
      <c r="AY113" s="822"/>
      <c r="AZ113" s="827"/>
      <c r="BA113" s="448"/>
      <c r="BB113" s="442"/>
      <c r="BC113" s="442"/>
      <c r="BD113" s="442"/>
      <c r="BE113" s="442"/>
      <c r="BF113" s="442"/>
      <c r="BG113" s="442"/>
      <c r="BH113" s="442"/>
      <c r="BI113" s="442"/>
      <c r="BJ113" s="441"/>
      <c r="BK113" s="442"/>
      <c r="BL113" s="820"/>
      <c r="BM113" s="820"/>
      <c r="BN113" s="820"/>
      <c r="BO113" s="435"/>
      <c r="BP113" s="821"/>
      <c r="BQ113" s="821"/>
      <c r="BR113" s="821"/>
      <c r="BS113" s="821"/>
      <c r="BT113" s="821"/>
      <c r="BU113" s="818"/>
      <c r="BV113" s="822"/>
      <c r="BW113" s="822"/>
      <c r="BX113" s="822"/>
      <c r="BY113" s="822"/>
      <c r="BZ113" s="822"/>
      <c r="CA113" s="819"/>
      <c r="CB113" s="822"/>
      <c r="CC113" s="822"/>
      <c r="CD113" s="822"/>
      <c r="CE113" s="822"/>
      <c r="CF113" s="822"/>
      <c r="CG113" s="287"/>
    </row>
    <row r="114" spans="1:86" ht="15" customHeight="1">
      <c r="A114" s="220"/>
      <c r="B114" s="879"/>
      <c r="C114" s="879"/>
      <c r="D114" s="879"/>
      <c r="E114" s="877"/>
      <c r="F114" s="877"/>
      <c r="G114" s="862"/>
      <c r="H114" s="947"/>
      <c r="I114" s="947"/>
      <c r="J114" s="947"/>
      <c r="K114" s="947"/>
      <c r="L114" s="947"/>
      <c r="M114" s="947"/>
      <c r="N114" s="947"/>
      <c r="O114" s="947"/>
      <c r="P114" s="947"/>
      <c r="Q114" s="947"/>
      <c r="R114" s="947"/>
      <c r="S114" s="947"/>
      <c r="T114" s="947"/>
      <c r="U114" s="947"/>
      <c r="V114" s="947"/>
      <c r="W114" s="947"/>
      <c r="X114" s="947"/>
      <c r="Y114" s="947"/>
      <c r="Z114" s="947"/>
      <c r="AA114" s="866"/>
      <c r="AB114" s="866"/>
      <c r="AC114" s="866"/>
      <c r="AD114" s="826"/>
      <c r="AE114" s="432" t="str">
        <f>IF(LEN(VLOOKUP(AA108,suvaha!$D$8:$H$158,3,FALSE))&lt;11,"",LEFT(RIGHT(VLOOKUP(AA108,suvaha!$D$8:$H$158,3,FALSE),11),1))</f>
        <v/>
      </c>
      <c r="AF114" s="255"/>
      <c r="AG114" s="432" t="str">
        <f>IF(LEN(VLOOKUP(AA108,suvaha!$D$8:$H$158,3,FALSE))&lt;10,"",LEFT(RIGHT(VLOOKUP(AA108,suvaha!$D$8:$H$158,3,FALSE),10),1))</f>
        <v/>
      </c>
      <c r="AH114" s="434"/>
      <c r="AI114" s="432" t="str">
        <f>IF(LEN(VLOOKUP(AA108,suvaha!$D$8:$H$158,3,FALSE))&lt;9,"",LEFT(RIGHT(VLOOKUP(AA108,suvaha!$D$8:$H$158,3,FALSE),9),1))</f>
        <v/>
      </c>
      <c r="AJ114" s="255"/>
      <c r="AK114" s="432" t="str">
        <f>IF(LEN(VLOOKUP(AA108,suvaha!$D$8:$H$158,3,FALSE))&lt;8,"",LEFT(RIGHT(VLOOKUP(AA108,suvaha!$D$8:$H$158,3,FALSE),8),1))</f>
        <v/>
      </c>
      <c r="AL114" s="434"/>
      <c r="AM114" s="432" t="str">
        <f>IF(LEN(VLOOKUP(AA108,suvaha!$D$8:$H$158,3,FALSE))&lt;7,"",LEFT(RIGHT(VLOOKUP(AA108,suvaha!$D$8:$H$158,3,FALSE),7),1))</f>
        <v/>
      </c>
      <c r="AN114" s="818"/>
      <c r="AO114" s="432" t="str">
        <f>IF(LEN(VLOOKUP(AA108,suvaha!$D$8:$H$158,3,FALSE))&lt;6,"",LEFT(RIGHT(VLOOKUP(AA108,suvaha!$D$8:$H$158,3,FALSE),6),1))</f>
        <v/>
      </c>
      <c r="AP114" s="434"/>
      <c r="AQ114" s="432" t="str">
        <f>IF(LEN(VLOOKUP(AA108,suvaha!$D$8:$H$158,3,FALSE))&lt;5,"",LEFT(RIGHT(VLOOKUP(AA108,suvaha!$D$8:$H$158,3,FALSE),5),1))</f>
        <v/>
      </c>
      <c r="AR114" s="434"/>
      <c r="AS114" s="432" t="str">
        <f>IF(LEN(VLOOKUP(AA108,suvaha!$D$8:$H$158,3,FALSE))&lt;4,"",LEFT(RIGHT(VLOOKUP(AA108,suvaha!$D$8:$H$158,3,FALSE),4),1))</f>
        <v/>
      </c>
      <c r="AT114" s="819"/>
      <c r="AU114" s="432" t="str">
        <f>IF(LEN(VLOOKUP(AA108,suvaha!$D$8:$H$158,3,FALSE))&lt;3,"",LEFT(RIGHT(VLOOKUP(AA108,suvaha!$D$8:$H$158,3,FALSE),3),1))</f>
        <v/>
      </c>
      <c r="AV114" s="434"/>
      <c r="AW114" s="432" t="str">
        <f>IF(LEN(VLOOKUP(AA108,suvaha!$D$8:$H$158,3,FALSE))&lt;2,"",LEFT(RIGHT(VLOOKUP(AA108,suvaha!$D$8:$H$158,3,FALSE),2),1))</f>
        <v/>
      </c>
      <c r="AX114" s="434"/>
      <c r="AY114" s="432" t="str">
        <f>IF(VLOOKUP(AA108,suvaha!$D$8:$H$85,3,FALSE)=0,"",IF(LEN(VLOOKUP(AA108,suvaha!$D$8:$H$158,3,FALSE))&lt;1,"",LEFT(RIGHT(VLOOKUP(AA108,suvaha!$D$8:$H$158,3,FALSE),1),1)))</f>
        <v/>
      </c>
      <c r="AZ114" s="827"/>
      <c r="BA114" s="448"/>
      <c r="BB114" s="442"/>
      <c r="BC114" s="442"/>
      <c r="BD114" s="442"/>
      <c r="BE114" s="442"/>
      <c r="BF114" s="442"/>
      <c r="BG114" s="442"/>
      <c r="BH114" s="442"/>
      <c r="BI114" s="442"/>
      <c r="BJ114" s="441"/>
      <c r="BK114" s="442"/>
      <c r="BL114" s="432" t="str">
        <f>IF(LEN(VLOOKUP(AA108,suvaha!$D$8:$H$158,5,FALSE))&lt;11,"",LEFT(RIGHT(VLOOKUP(AA108,suvaha!$D$8:$H$158,5,FALSE),11),1))</f>
        <v/>
      </c>
      <c r="BM114" s="255"/>
      <c r="BN114" s="432" t="str">
        <f>IF(LEN(VLOOKUP(AA108,suvaha!$D$8:$H$158,5,FALSE))&lt;10,"",LEFT(RIGHT(VLOOKUP(AA108,suvaha!$D$8:$H$158,5,FALSE),10),1))</f>
        <v/>
      </c>
      <c r="BO114" s="434"/>
      <c r="BP114" s="432" t="str">
        <f>IF(LEN(VLOOKUP(AA108,suvaha!$D$8:$H$158,5,FALSE))&lt;9,"",LEFT(RIGHT(VLOOKUP(AA108,suvaha!$D$8:$H$158,5,FALSE),9),1))</f>
        <v/>
      </c>
      <c r="BQ114" s="255"/>
      <c r="BR114" s="432" t="str">
        <f>IF(LEN(VLOOKUP(AA108,suvaha!$D$8:$H$158,5,FALSE))&lt;8,"",LEFT(RIGHT(VLOOKUP(AA108,suvaha!$D$8:$H$158,5,FALSE),8),1))</f>
        <v/>
      </c>
      <c r="BS114" s="434"/>
      <c r="BT114" s="432" t="str">
        <f>IF(LEN(VLOOKUP(AA108,suvaha!$D$8:$H$158,5,FALSE))&lt;7,"",LEFT(RIGHT(VLOOKUP(AA108,suvaha!$D$8:$H$158,5,FALSE),7),1))</f>
        <v/>
      </c>
      <c r="BU114" s="818"/>
      <c r="BV114" s="432" t="str">
        <f>IF(LEN(VLOOKUP(AA108,suvaha!$D$8:$H$158,5,FALSE))&lt;6,"",LEFT(RIGHT(VLOOKUP(AA108,suvaha!$D$8:$H$158,5,FALSE),6),1))</f>
        <v>7</v>
      </c>
      <c r="BW114" s="434"/>
      <c r="BX114" s="432" t="str">
        <f>IF(LEN(VLOOKUP(AA108,suvaha!$D$8:$H$158,5,FALSE))&lt;5,"",LEFT(RIGHT(VLOOKUP(AA108,suvaha!$D$8:$H$158,5,FALSE),5),1))</f>
        <v>0</v>
      </c>
      <c r="BY114" s="434"/>
      <c r="BZ114" s="432" t="str">
        <f>IF(LEN(VLOOKUP(AA108,suvaha!$D$8:$H$158,5,FALSE))&lt;4,"",LEFT(RIGHT(VLOOKUP(AA108,suvaha!$D$8:$H$158,5,FALSE),4),1))</f>
        <v>3</v>
      </c>
      <c r="CA114" s="819"/>
      <c r="CB114" s="432" t="str">
        <f>IF(LEN(VLOOKUP(AA108,suvaha!$D$8:$H$158,5,FALSE))&lt;3,"",LEFT(RIGHT(VLOOKUP(AA108,suvaha!$D$8:$H$158,5,FALSE),3),1))</f>
        <v>1</v>
      </c>
      <c r="CC114" s="434"/>
      <c r="CD114" s="432" t="str">
        <f>IF(LEN(VLOOKUP(AA108,suvaha!$D$8:$H$158,5,FALSE))&lt;2,"",LEFT(RIGHT(VLOOKUP(AA108,suvaha!$D$8:$H$158,5,FALSE),2),1))</f>
        <v>5</v>
      </c>
      <c r="CE114" s="434"/>
      <c r="CF114" s="432" t="str">
        <f>IF(VLOOKUP(AA108,suvaha!$D$8:$H$85,5,FALSE)=0,"",IF(LEN(VLOOKUP(AA108,suvaha!$D$8:$H$158,5,FALSE))&lt;1,"",LEFT(RIGHT(VLOOKUP(AA108,suvaha!$D$8:$H$158,5,FALSE),1),1)))</f>
        <v>5</v>
      </c>
      <c r="CG114" s="287"/>
    </row>
    <row r="115" spans="1:86">
      <c r="A115" s="220"/>
      <c r="B115" s="879"/>
      <c r="C115" s="879"/>
      <c r="D115" s="879"/>
      <c r="E115" s="877"/>
      <c r="F115" s="877"/>
      <c r="G115" s="862"/>
      <c r="H115" s="947"/>
      <c r="I115" s="947"/>
      <c r="J115" s="947"/>
      <c r="K115" s="947"/>
      <c r="L115" s="947"/>
      <c r="M115" s="947"/>
      <c r="N115" s="947"/>
      <c r="O115" s="947"/>
      <c r="P115" s="947"/>
      <c r="Q115" s="947"/>
      <c r="R115" s="947"/>
      <c r="S115" s="947"/>
      <c r="T115" s="947"/>
      <c r="U115" s="947"/>
      <c r="V115" s="947"/>
      <c r="W115" s="947"/>
      <c r="X115" s="947"/>
      <c r="Y115" s="947"/>
      <c r="Z115" s="947"/>
      <c r="AA115" s="866"/>
      <c r="AB115" s="866"/>
      <c r="AC115" s="866"/>
      <c r="AD115" s="845"/>
      <c r="AE115" s="845"/>
      <c r="AF115" s="845"/>
      <c r="AG115" s="845"/>
      <c r="AH115" s="845"/>
      <c r="AI115" s="845"/>
      <c r="AJ115" s="845"/>
      <c r="AK115" s="845"/>
      <c r="AL115" s="845"/>
      <c r="AM115" s="845"/>
      <c r="AN115" s="845"/>
      <c r="AO115" s="845"/>
      <c r="AP115" s="845"/>
      <c r="AQ115" s="845"/>
      <c r="AR115" s="845"/>
      <c r="AS115" s="845"/>
      <c r="AT115" s="845"/>
      <c r="AU115" s="845"/>
      <c r="AV115" s="845"/>
      <c r="AW115" s="845"/>
      <c r="AX115" s="845"/>
      <c r="AY115" s="845"/>
      <c r="AZ115" s="845"/>
      <c r="BA115" s="449"/>
      <c r="BB115" s="310"/>
      <c r="BC115" s="310"/>
      <c r="BD115" s="310"/>
      <c r="BE115" s="310"/>
      <c r="BF115" s="310"/>
      <c r="BG115" s="310"/>
      <c r="BH115" s="310"/>
      <c r="BI115" s="310"/>
      <c r="BJ115" s="443"/>
      <c r="BK115" s="310"/>
      <c r="BL115" s="310"/>
      <c r="BM115" s="310"/>
      <c r="BN115" s="310"/>
      <c r="BO115" s="310"/>
      <c r="BP115" s="310"/>
      <c r="BQ115" s="310"/>
      <c r="BR115" s="310"/>
      <c r="BS115" s="310"/>
      <c r="BT115" s="310"/>
      <c r="BU115" s="310"/>
      <c r="BV115" s="310"/>
      <c r="BW115" s="310"/>
      <c r="BX115" s="310"/>
      <c r="BY115" s="310"/>
      <c r="BZ115" s="310"/>
      <c r="CA115" s="310"/>
      <c r="CB115" s="310"/>
      <c r="CC115" s="310"/>
      <c r="CD115" s="310"/>
      <c r="CE115" s="310"/>
      <c r="CF115" s="310"/>
      <c r="CG115" s="286"/>
    </row>
    <row r="116" spans="1:86" s="250" customFormat="1" ht="3" customHeight="1">
      <c r="A116" s="220"/>
      <c r="B116" s="879"/>
      <c r="C116" s="879"/>
      <c r="D116" s="879"/>
      <c r="E116" s="877" t="s">
        <v>1598</v>
      </c>
      <c r="F116" s="877"/>
      <c r="G116" s="862"/>
      <c r="H116" s="957" t="str">
        <f>Index!C107</f>
        <v>Pohľadávky z obchodného styku v rámci podielovej účasti okrem pohľadávok voči prepojeným účtovným jednotkám (311A, 312A, 313A, 314A, 315A, 31XA) - /391A/</v>
      </c>
      <c r="I116" s="957"/>
      <c r="J116" s="957"/>
      <c r="K116" s="957"/>
      <c r="L116" s="957"/>
      <c r="M116" s="957"/>
      <c r="N116" s="957"/>
      <c r="O116" s="957"/>
      <c r="P116" s="957"/>
      <c r="Q116" s="957"/>
      <c r="R116" s="957"/>
      <c r="S116" s="957"/>
      <c r="T116" s="957"/>
      <c r="U116" s="957"/>
      <c r="V116" s="957"/>
      <c r="W116" s="957"/>
      <c r="X116" s="957"/>
      <c r="Y116" s="957"/>
      <c r="Z116" s="957"/>
      <c r="AA116" s="866" t="s">
        <v>1614</v>
      </c>
      <c r="AB116" s="866"/>
      <c r="AC116" s="866"/>
      <c r="AD116" s="825"/>
      <c r="AE116" s="825"/>
      <c r="AF116" s="825"/>
      <c r="AG116" s="825"/>
      <c r="AH116" s="825"/>
      <c r="AI116" s="825"/>
      <c r="AJ116" s="825"/>
      <c r="AK116" s="825"/>
      <c r="AL116" s="825"/>
      <c r="AM116" s="825"/>
      <c r="AN116" s="825"/>
      <c r="AO116" s="825"/>
      <c r="AP116" s="825"/>
      <c r="AQ116" s="825"/>
      <c r="AR116" s="825"/>
      <c r="AS116" s="825"/>
      <c r="AT116" s="825"/>
      <c r="AU116" s="825"/>
      <c r="AV116" s="825"/>
      <c r="AW116" s="825"/>
      <c r="AX116" s="825"/>
      <c r="AY116" s="825"/>
      <c r="AZ116" s="825"/>
      <c r="BA116" s="867"/>
      <c r="BB116" s="867"/>
      <c r="BC116" s="867"/>
      <c r="BD116" s="867"/>
      <c r="BE116" s="867"/>
      <c r="BF116" s="867"/>
      <c r="BG116" s="867"/>
      <c r="BH116" s="867"/>
      <c r="BI116" s="867"/>
      <c r="BJ116" s="867"/>
      <c r="BK116" s="867"/>
      <c r="BL116" s="867"/>
      <c r="BM116" s="867"/>
      <c r="BN116" s="867"/>
      <c r="BO116" s="867"/>
      <c r="BP116" s="867"/>
      <c r="BQ116" s="867"/>
      <c r="BR116" s="304"/>
      <c r="BS116" s="304"/>
      <c r="BT116" s="304"/>
      <c r="BU116" s="304"/>
      <c r="BV116" s="304"/>
      <c r="BW116" s="446"/>
      <c r="BX116" s="304"/>
      <c r="BY116" s="304"/>
      <c r="BZ116" s="304"/>
      <c r="CA116" s="304"/>
      <c r="CB116" s="304"/>
      <c r="CC116" s="304"/>
      <c r="CD116" s="304"/>
      <c r="CE116" s="304"/>
      <c r="CF116" s="304"/>
      <c r="CG116" s="284"/>
    </row>
    <row r="117" spans="1:86" s="250" customFormat="1" ht="3" customHeight="1">
      <c r="A117" s="220"/>
      <c r="B117" s="879"/>
      <c r="C117" s="879"/>
      <c r="D117" s="879"/>
      <c r="E117" s="877"/>
      <c r="F117" s="877"/>
      <c r="G117" s="862"/>
      <c r="H117" s="957"/>
      <c r="I117" s="957"/>
      <c r="J117" s="957"/>
      <c r="K117" s="957"/>
      <c r="L117" s="957"/>
      <c r="M117" s="957"/>
      <c r="N117" s="957"/>
      <c r="O117" s="957"/>
      <c r="P117" s="957"/>
      <c r="Q117" s="957"/>
      <c r="R117" s="957"/>
      <c r="S117" s="957"/>
      <c r="T117" s="957"/>
      <c r="U117" s="957"/>
      <c r="V117" s="957"/>
      <c r="W117" s="957"/>
      <c r="X117" s="957"/>
      <c r="Y117" s="957"/>
      <c r="Z117" s="957"/>
      <c r="AA117" s="866"/>
      <c r="AB117" s="866"/>
      <c r="AC117" s="866"/>
      <c r="AD117" s="826"/>
      <c r="AE117" s="820"/>
      <c r="AF117" s="820"/>
      <c r="AG117" s="820"/>
      <c r="AH117" s="435"/>
      <c r="AI117" s="821"/>
      <c r="AJ117" s="821"/>
      <c r="AK117" s="821"/>
      <c r="AL117" s="821"/>
      <c r="AM117" s="821"/>
      <c r="AN117" s="818"/>
      <c r="AO117" s="822"/>
      <c r="AP117" s="822"/>
      <c r="AQ117" s="822"/>
      <c r="AR117" s="822"/>
      <c r="AS117" s="822"/>
      <c r="AT117" s="819"/>
      <c r="AU117" s="822"/>
      <c r="AV117" s="822"/>
      <c r="AW117" s="822"/>
      <c r="AX117" s="822"/>
      <c r="AY117" s="822"/>
      <c r="AZ117" s="827"/>
      <c r="BA117" s="826"/>
      <c r="BB117" s="820"/>
      <c r="BC117" s="820"/>
      <c r="BD117" s="820"/>
      <c r="BE117" s="435"/>
      <c r="BF117" s="821"/>
      <c r="BG117" s="821"/>
      <c r="BH117" s="821"/>
      <c r="BI117" s="821"/>
      <c r="BJ117" s="821"/>
      <c r="BK117" s="818"/>
      <c r="BL117" s="822"/>
      <c r="BM117" s="822"/>
      <c r="BN117" s="822"/>
      <c r="BO117" s="822"/>
      <c r="BP117" s="822"/>
      <c r="BQ117" s="819"/>
      <c r="BR117" s="822"/>
      <c r="BS117" s="822"/>
      <c r="BT117" s="822"/>
      <c r="BU117" s="822"/>
      <c r="BV117" s="822"/>
      <c r="BW117" s="441"/>
      <c r="BX117" s="442"/>
      <c r="BY117" s="442"/>
      <c r="BZ117" s="442"/>
      <c r="CA117" s="442"/>
      <c r="CB117" s="442"/>
      <c r="CC117" s="442"/>
      <c r="CD117" s="442"/>
      <c r="CE117" s="442"/>
      <c r="CF117" s="442"/>
      <c r="CG117" s="285"/>
    </row>
    <row r="118" spans="1:86" ht="16.5" customHeight="1">
      <c r="A118" s="220"/>
      <c r="B118" s="879"/>
      <c r="C118" s="879"/>
      <c r="D118" s="879"/>
      <c r="E118" s="877"/>
      <c r="F118" s="877"/>
      <c r="G118" s="862"/>
      <c r="H118" s="957"/>
      <c r="I118" s="957"/>
      <c r="J118" s="957"/>
      <c r="K118" s="957"/>
      <c r="L118" s="957"/>
      <c r="M118" s="957"/>
      <c r="N118" s="957"/>
      <c r="O118" s="957"/>
      <c r="P118" s="957"/>
      <c r="Q118" s="957"/>
      <c r="R118" s="957"/>
      <c r="S118" s="957"/>
      <c r="T118" s="957"/>
      <c r="U118" s="957"/>
      <c r="V118" s="957"/>
      <c r="W118" s="957"/>
      <c r="X118" s="957"/>
      <c r="Y118" s="957"/>
      <c r="Z118" s="957"/>
      <c r="AA118" s="866"/>
      <c r="AB118" s="866"/>
      <c r="AC118" s="866"/>
      <c r="AD118" s="826"/>
      <c r="AE118" s="432" t="str">
        <f>IF(LEN(VLOOKUP(AA116,suvaha!$D$8:$H$158,2,FALSE))&lt;11,"",LEFT(RIGHT(VLOOKUP(AA116,suvaha!$D$8:$H$158,2,FALSE),11),1))</f>
        <v/>
      </c>
      <c r="AF118" s="255"/>
      <c r="AG118" s="432" t="str">
        <f>IF(LEN(VLOOKUP(AA116,suvaha!$D$8:$H$158,2,FALSE))&lt;10,"",LEFT(RIGHT(VLOOKUP(AA116,suvaha!$D$8:$H$158,2,FALSE),10),1))</f>
        <v/>
      </c>
      <c r="AH118" s="434"/>
      <c r="AI118" s="432" t="str">
        <f>IF(LEN(VLOOKUP(AA116,suvaha!$D$8:$H$158,2,FALSE))&lt;9,"",LEFT(RIGHT(VLOOKUP(AA116,suvaha!$D$8:$H$158,2,FALSE),9),1))</f>
        <v/>
      </c>
      <c r="AJ118" s="255"/>
      <c r="AK118" s="432" t="str">
        <f>IF(LEN(VLOOKUP(AA116,suvaha!$D$8:$H$158,2,FALSE))&lt;8,"",LEFT(RIGHT(VLOOKUP(AA116,suvaha!$D$8:$H$158,2,FALSE),8),1))</f>
        <v/>
      </c>
      <c r="AL118" s="434"/>
      <c r="AM118" s="432" t="str">
        <f>IF(LEN(VLOOKUP(AA116,suvaha!$D$8:$H$158,2,FALSE))&lt;7,"",LEFT(RIGHT(VLOOKUP(AA116,suvaha!$D$8:$H$158,2,FALSE),7),1))</f>
        <v/>
      </c>
      <c r="AN118" s="818"/>
      <c r="AO118" s="432" t="str">
        <f>IF(LEN(VLOOKUP(AA116,suvaha!$D$8:$H$158,2,FALSE))&lt;6,"",LEFT(RIGHT(VLOOKUP(AA116,suvaha!$D$8:$H$158,2,FALSE),6),1))</f>
        <v/>
      </c>
      <c r="AP118" s="434"/>
      <c r="AQ118" s="432" t="str">
        <f>IF(LEN(VLOOKUP(AA116,suvaha!$D$8:$H$158,2,FALSE))&lt;5,"",LEFT(RIGHT(VLOOKUP(AA116,suvaha!$D$8:$H$158,2,FALSE),5),1))</f>
        <v/>
      </c>
      <c r="AR118" s="434"/>
      <c r="AS118" s="432" t="str">
        <f>IF(LEN(VLOOKUP(AA116,suvaha!$D$8:$H$158,2,FALSE))&lt;4,"",LEFT(RIGHT(VLOOKUP(AA116,suvaha!$D$8:$H$158,2,FALSE),4),1))</f>
        <v/>
      </c>
      <c r="AT118" s="819"/>
      <c r="AU118" s="432" t="str">
        <f>IF(LEN(VLOOKUP(AA116,suvaha!$D$8:$H$158,2,FALSE))&lt;3,"",LEFT(RIGHT(VLOOKUP(AA116,suvaha!$D$8:$H$158,2,FALSE),3),1))</f>
        <v/>
      </c>
      <c r="AV118" s="434"/>
      <c r="AW118" s="432" t="str">
        <f>IF(LEN(VLOOKUP(AA116,suvaha!$D$8:$H$158,2,FALSE))&lt;2,"",LEFT(RIGHT(VLOOKUP(AA116,suvaha!$D$8:$H$158,2,FALSE),2),1))</f>
        <v/>
      </c>
      <c r="AX118" s="434"/>
      <c r="AY118" s="432" t="str">
        <f>IF(VLOOKUP(AA116,suvaha!$D$8:$H$85,2,FALSE)=0,"",IF(LEN(VLOOKUP(AA116,suvaha!$D$8:$H$158,2,FALSE))&lt;1,"",LEFT(RIGHT(VLOOKUP(AA116,suvaha!$D$8:$H$158,2,FALSE),1),1)))</f>
        <v/>
      </c>
      <c r="AZ118" s="827"/>
      <c r="BA118" s="826"/>
      <c r="BB118" s="432" t="str">
        <f>IF(LEN(VLOOKUP(AA116,suvaha!$D$8:$H$158,4,FALSE))&lt;11,"",LEFT(RIGHT(VLOOKUP(AA116,suvaha!$D$8:$H$158,4,FALSE),11),1))</f>
        <v/>
      </c>
      <c r="BC118" s="255"/>
      <c r="BD118" s="432" t="str">
        <f>IF(LEN(VLOOKUP(AA116,suvaha!$D$8:$H$158,4,FALSE))&lt;10,"",LEFT(RIGHT(VLOOKUP(AA116,suvaha!$D$8:$H$158,4,FALSE),10),1))</f>
        <v/>
      </c>
      <c r="BE118" s="434"/>
      <c r="BF118" s="432" t="str">
        <f>IF(LEN(VLOOKUP(AA116,suvaha!$D$8:$H$158,4,FALSE))&lt;9,"",LEFT(RIGHT(VLOOKUP(AA116,suvaha!$D$8:$H$158,4,FALSE),9),1))</f>
        <v/>
      </c>
      <c r="BG118" s="255"/>
      <c r="BH118" s="432" t="str">
        <f>IF(LEN(VLOOKUP(AA116,suvaha!$D$8:$H$158,4,FALSE))&lt;8,"",LEFT(RIGHT(VLOOKUP(AA116,suvaha!$D$8:$H$158,4,FALSE),8),1))</f>
        <v/>
      </c>
      <c r="BI118" s="434"/>
      <c r="BJ118" s="432" t="str">
        <f>IF(LEN(VLOOKUP(AA116,suvaha!$D$8:$H$158,4,FALSE))&lt;7,"",LEFT(RIGHT(VLOOKUP(AA116,suvaha!$D$8:$H$158,4,FALSE),7),1))</f>
        <v/>
      </c>
      <c r="BK118" s="818"/>
      <c r="BL118" s="432" t="str">
        <f>IF(LEN(VLOOKUP(AA116,suvaha!$D$8:$H$158,4,FALSE))&lt;6,"",LEFT(RIGHT(VLOOKUP(AA116,suvaha!$D$8:$H$158,4,FALSE),6),1))</f>
        <v/>
      </c>
      <c r="BM118" s="434"/>
      <c r="BN118" s="432" t="str">
        <f>IF(LEN(VLOOKUP(AA116,suvaha!$D$8:$H$158,4,FALSE))&lt;5,"",LEFT(RIGHT(VLOOKUP(AA116,suvaha!$D$8:$H$158,4,FALSE),5),1))</f>
        <v/>
      </c>
      <c r="BO118" s="434"/>
      <c r="BP118" s="432" t="str">
        <f>IF(LEN(VLOOKUP(AA116,suvaha!$D$8:$H$158,4,FALSE))&lt;4,"",LEFT(RIGHT(VLOOKUP(AA116,suvaha!$D$8:$H$158,4,FALSE),4),1))</f>
        <v/>
      </c>
      <c r="BQ118" s="819"/>
      <c r="BR118" s="432" t="str">
        <f>IF(LEN(VLOOKUP(AA116,suvaha!$D$8:$H$158,4,FALSE))&lt;3,"",LEFT(RIGHT(VLOOKUP(AA116,suvaha!$D$8:$H$158,4,FALSE),3),1))</f>
        <v/>
      </c>
      <c r="BS118" s="434"/>
      <c r="BT118" s="432" t="str">
        <f>IF(LEN(VLOOKUP(AA116,suvaha!$D$8:$H$158,4,FALSE))&lt;2,"",LEFT(RIGHT(VLOOKUP(AA116,suvaha!$D$8:$H$158,4,FALSE),2),1))</f>
        <v/>
      </c>
      <c r="BU118" s="434"/>
      <c r="BV118" s="432" t="str">
        <f>IF(VLOOKUP(AA116,suvaha!$D$8:$H$85,4,FALSE)=0,"",IF(LEN(VLOOKUP(AA116,suvaha!$D$8:$H$158,4,FALSE))&lt;1,"",LEFT(RIGHT(VLOOKUP(AA116,suvaha!$D$8:$H$158,4,FALSE),1),1)))</f>
        <v/>
      </c>
      <c r="BW118" s="441"/>
      <c r="BX118" s="442"/>
      <c r="BY118" s="442"/>
      <c r="BZ118" s="442"/>
      <c r="CA118" s="442"/>
      <c r="CB118" s="442"/>
      <c r="CC118" s="442"/>
      <c r="CD118" s="442"/>
      <c r="CE118" s="442"/>
      <c r="CF118" s="442"/>
      <c r="CG118" s="285"/>
    </row>
    <row r="119" spans="1:86" ht="5.25" customHeight="1">
      <c r="A119" s="220"/>
      <c r="B119" s="879"/>
      <c r="C119" s="879"/>
      <c r="D119" s="879"/>
      <c r="E119" s="877"/>
      <c r="F119" s="877"/>
      <c r="G119" s="862"/>
      <c r="H119" s="957"/>
      <c r="I119" s="957"/>
      <c r="J119" s="957"/>
      <c r="K119" s="957"/>
      <c r="L119" s="957"/>
      <c r="M119" s="957"/>
      <c r="N119" s="957"/>
      <c r="O119" s="957"/>
      <c r="P119" s="957"/>
      <c r="Q119" s="957"/>
      <c r="R119" s="957"/>
      <c r="S119" s="957"/>
      <c r="T119" s="957"/>
      <c r="U119" s="957"/>
      <c r="V119" s="957"/>
      <c r="W119" s="957"/>
      <c r="X119" s="957"/>
      <c r="Y119" s="957"/>
      <c r="Z119" s="957"/>
      <c r="AA119" s="866"/>
      <c r="AB119" s="866"/>
      <c r="AC119" s="866"/>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6"/>
      <c r="BB119" s="846"/>
      <c r="BC119" s="846"/>
      <c r="BD119" s="846"/>
      <c r="BE119" s="846"/>
      <c r="BF119" s="846"/>
      <c r="BG119" s="846"/>
      <c r="BH119" s="846"/>
      <c r="BI119" s="846"/>
      <c r="BJ119" s="846"/>
      <c r="BK119" s="846"/>
      <c r="BL119" s="846"/>
      <c r="BM119" s="846"/>
      <c r="BN119" s="846"/>
      <c r="BO119" s="846"/>
      <c r="BP119" s="846"/>
      <c r="BQ119" s="846"/>
      <c r="BR119" s="310"/>
      <c r="BS119" s="310"/>
      <c r="BT119" s="310"/>
      <c r="BU119" s="310"/>
      <c r="BV119" s="310"/>
      <c r="BW119" s="443"/>
      <c r="BX119" s="310"/>
      <c r="BY119" s="310"/>
      <c r="BZ119" s="310"/>
      <c r="CA119" s="310"/>
      <c r="CB119" s="310"/>
      <c r="CC119" s="310"/>
      <c r="CD119" s="310"/>
      <c r="CE119" s="310"/>
      <c r="CF119" s="310"/>
      <c r="CG119" s="286"/>
    </row>
    <row r="120" spans="1:86" ht="3" customHeight="1">
      <c r="A120" s="220"/>
      <c r="B120" s="879"/>
      <c r="C120" s="879"/>
      <c r="D120" s="879"/>
      <c r="E120" s="877"/>
      <c r="F120" s="877"/>
      <c r="G120" s="862"/>
      <c r="H120" s="957"/>
      <c r="I120" s="957"/>
      <c r="J120" s="957"/>
      <c r="K120" s="957"/>
      <c r="L120" s="957"/>
      <c r="M120" s="957"/>
      <c r="N120" s="957"/>
      <c r="O120" s="957"/>
      <c r="P120" s="957"/>
      <c r="Q120" s="957"/>
      <c r="R120" s="957"/>
      <c r="S120" s="957"/>
      <c r="T120" s="957"/>
      <c r="U120" s="957"/>
      <c r="V120" s="957"/>
      <c r="W120" s="957"/>
      <c r="X120" s="957"/>
      <c r="Y120" s="957"/>
      <c r="Z120" s="957"/>
      <c r="AA120" s="866"/>
      <c r="AB120" s="866"/>
      <c r="AC120" s="866"/>
      <c r="AD120" s="825"/>
      <c r="AE120" s="825"/>
      <c r="AF120" s="825"/>
      <c r="AG120" s="825"/>
      <c r="AH120" s="825"/>
      <c r="AI120" s="825"/>
      <c r="AJ120" s="825"/>
      <c r="AK120" s="825"/>
      <c r="AL120" s="825"/>
      <c r="AM120" s="825"/>
      <c r="AN120" s="825"/>
      <c r="AO120" s="825"/>
      <c r="AP120" s="825"/>
      <c r="AQ120" s="825"/>
      <c r="AR120" s="825"/>
      <c r="AS120" s="825"/>
      <c r="AT120" s="825"/>
      <c r="AU120" s="825"/>
      <c r="AV120" s="825"/>
      <c r="AW120" s="825"/>
      <c r="AX120" s="825"/>
      <c r="AY120" s="825"/>
      <c r="AZ120" s="825"/>
      <c r="BA120" s="447"/>
      <c r="BB120" s="304"/>
      <c r="BC120" s="304"/>
      <c r="BD120" s="304"/>
      <c r="BE120" s="304"/>
      <c r="BF120" s="304"/>
      <c r="BG120" s="304"/>
      <c r="BH120" s="304"/>
      <c r="BI120" s="304"/>
      <c r="BJ120" s="446"/>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284"/>
    </row>
    <row r="121" spans="1:86" ht="3" customHeight="1">
      <c r="A121" s="220"/>
      <c r="B121" s="879"/>
      <c r="C121" s="879"/>
      <c r="D121" s="879"/>
      <c r="E121" s="877"/>
      <c r="F121" s="877"/>
      <c r="G121" s="862"/>
      <c r="H121" s="957"/>
      <c r="I121" s="957"/>
      <c r="J121" s="957"/>
      <c r="K121" s="957"/>
      <c r="L121" s="957"/>
      <c r="M121" s="957"/>
      <c r="N121" s="957"/>
      <c r="O121" s="957"/>
      <c r="P121" s="957"/>
      <c r="Q121" s="957"/>
      <c r="R121" s="957"/>
      <c r="S121" s="957"/>
      <c r="T121" s="957"/>
      <c r="U121" s="957"/>
      <c r="V121" s="957"/>
      <c r="W121" s="957"/>
      <c r="X121" s="957"/>
      <c r="Y121" s="957"/>
      <c r="Z121" s="957"/>
      <c r="AA121" s="866"/>
      <c r="AB121" s="866"/>
      <c r="AC121" s="866"/>
      <c r="AD121" s="826"/>
      <c r="AE121" s="820"/>
      <c r="AF121" s="820"/>
      <c r="AG121" s="820"/>
      <c r="AH121" s="435"/>
      <c r="AI121" s="821"/>
      <c r="AJ121" s="821"/>
      <c r="AK121" s="821"/>
      <c r="AL121" s="821"/>
      <c r="AM121" s="821"/>
      <c r="AN121" s="818"/>
      <c r="AO121" s="822"/>
      <c r="AP121" s="822"/>
      <c r="AQ121" s="822"/>
      <c r="AR121" s="822"/>
      <c r="AS121" s="822"/>
      <c r="AT121" s="819"/>
      <c r="AU121" s="822"/>
      <c r="AV121" s="822"/>
      <c r="AW121" s="822"/>
      <c r="AX121" s="822"/>
      <c r="AY121" s="822"/>
      <c r="AZ121" s="827"/>
      <c r="BA121" s="448"/>
      <c r="BB121" s="442"/>
      <c r="BC121" s="442"/>
      <c r="BD121" s="442"/>
      <c r="BE121" s="442"/>
      <c r="BF121" s="442"/>
      <c r="BG121" s="442"/>
      <c r="BH121" s="442"/>
      <c r="BI121" s="442"/>
      <c r="BJ121" s="441"/>
      <c r="BK121" s="442"/>
      <c r="BL121" s="820"/>
      <c r="BM121" s="820"/>
      <c r="BN121" s="820"/>
      <c r="BO121" s="435"/>
      <c r="BP121" s="821"/>
      <c r="BQ121" s="821"/>
      <c r="BR121" s="821"/>
      <c r="BS121" s="821"/>
      <c r="BT121" s="821"/>
      <c r="BU121" s="818"/>
      <c r="BV121" s="822"/>
      <c r="BW121" s="822"/>
      <c r="BX121" s="822"/>
      <c r="BY121" s="822"/>
      <c r="BZ121" s="822"/>
      <c r="CA121" s="819"/>
      <c r="CB121" s="822"/>
      <c r="CC121" s="822"/>
      <c r="CD121" s="822"/>
      <c r="CE121" s="822"/>
      <c r="CF121" s="822"/>
      <c r="CG121" s="287"/>
    </row>
    <row r="122" spans="1:86" ht="17.25" customHeight="1">
      <c r="A122" s="220"/>
      <c r="B122" s="879"/>
      <c r="C122" s="879"/>
      <c r="D122" s="879"/>
      <c r="E122" s="877"/>
      <c r="F122" s="877"/>
      <c r="G122" s="862"/>
      <c r="H122" s="957"/>
      <c r="I122" s="957"/>
      <c r="J122" s="957"/>
      <c r="K122" s="957"/>
      <c r="L122" s="957"/>
      <c r="M122" s="957"/>
      <c r="N122" s="957"/>
      <c r="O122" s="957"/>
      <c r="P122" s="957"/>
      <c r="Q122" s="957"/>
      <c r="R122" s="957"/>
      <c r="S122" s="957"/>
      <c r="T122" s="957"/>
      <c r="U122" s="957"/>
      <c r="V122" s="957"/>
      <c r="W122" s="957"/>
      <c r="X122" s="957"/>
      <c r="Y122" s="957"/>
      <c r="Z122" s="957"/>
      <c r="AA122" s="866"/>
      <c r="AB122" s="866"/>
      <c r="AC122" s="866"/>
      <c r="AD122" s="826"/>
      <c r="AE122" s="432" t="str">
        <f>IF(LEN(VLOOKUP(AA116,suvaha!$D$8:$H$158,3,FALSE))&lt;11,"",LEFT(RIGHT(VLOOKUP(AA116,suvaha!$D$8:$H$158,3,FALSE),11),1))</f>
        <v/>
      </c>
      <c r="AF122" s="255"/>
      <c r="AG122" s="432" t="str">
        <f>IF(LEN(VLOOKUP(AA116,suvaha!$D$8:$H$158,3,FALSE))&lt;10,"",LEFT(RIGHT(VLOOKUP(AA116,suvaha!$D$8:$H$158,3,FALSE),10),1))</f>
        <v/>
      </c>
      <c r="AH122" s="434"/>
      <c r="AI122" s="432" t="str">
        <f>IF(LEN(VLOOKUP(AA116,suvaha!$D$8:$H$158,3,FALSE))&lt;9,"",LEFT(RIGHT(VLOOKUP(AA116,suvaha!$D$8:$H$158,3,FALSE),9),1))</f>
        <v/>
      </c>
      <c r="AJ122" s="255"/>
      <c r="AK122" s="432" t="str">
        <f>IF(LEN(VLOOKUP(AA116,suvaha!$D$8:$H$158,3,FALSE))&lt;8,"",LEFT(RIGHT(VLOOKUP(AA116,suvaha!$D$8:$H$158,3,FALSE),8),1))</f>
        <v/>
      </c>
      <c r="AL122" s="434"/>
      <c r="AM122" s="432" t="str">
        <f>IF(LEN(VLOOKUP(AA116,suvaha!$D$8:$H$158,3,FALSE))&lt;7,"",LEFT(RIGHT(VLOOKUP(AA116,suvaha!$D$8:$H$158,3,FALSE),7),1))</f>
        <v/>
      </c>
      <c r="AN122" s="818"/>
      <c r="AO122" s="432" t="str">
        <f>IF(LEN(VLOOKUP(AA116,suvaha!$D$8:$H$158,3,FALSE))&lt;6,"",LEFT(RIGHT(VLOOKUP(AA116,suvaha!$D$8:$H$158,3,FALSE),6),1))</f>
        <v/>
      </c>
      <c r="AP122" s="434"/>
      <c r="AQ122" s="432" t="str">
        <f>IF(LEN(VLOOKUP(AA116,suvaha!$D$8:$H$158,3,FALSE))&lt;5,"",LEFT(RIGHT(VLOOKUP(AA116,suvaha!$D$8:$H$158,3,FALSE),5),1))</f>
        <v/>
      </c>
      <c r="AR122" s="434"/>
      <c r="AS122" s="432" t="str">
        <f>IF(LEN(VLOOKUP(AA116,suvaha!$D$8:$H$158,3,FALSE))&lt;4,"",LEFT(RIGHT(VLOOKUP(AA116,suvaha!$D$8:$H$158,3,FALSE),4),1))</f>
        <v/>
      </c>
      <c r="AT122" s="819"/>
      <c r="AU122" s="432" t="str">
        <f>IF(LEN(VLOOKUP(AA116,suvaha!$D$8:$H$158,3,FALSE))&lt;3,"",LEFT(RIGHT(VLOOKUP(AA116,suvaha!$D$8:$H$158,3,FALSE),3),1))</f>
        <v/>
      </c>
      <c r="AV122" s="434"/>
      <c r="AW122" s="432" t="str">
        <f>IF(LEN(VLOOKUP(AA116,suvaha!$D$8:$H$158,3,FALSE))&lt;2,"",LEFT(RIGHT(VLOOKUP(AA116,suvaha!$D$8:$H$158,3,FALSE),2),1))</f>
        <v/>
      </c>
      <c r="AX122" s="434"/>
      <c r="AY122" s="432" t="str">
        <f>IF(VLOOKUP(AA116,suvaha!$D$8:$H$85,3,FALSE)=0,"",IF(LEN(VLOOKUP(AA116,suvaha!$D$8:$H$158,3,FALSE))&lt;1,"",LEFT(RIGHT(VLOOKUP(AA116,suvaha!$D$8:$H$158,3,FALSE),1),1)))</f>
        <v/>
      </c>
      <c r="AZ122" s="827"/>
      <c r="BA122" s="448"/>
      <c r="BB122" s="442"/>
      <c r="BC122" s="442"/>
      <c r="BD122" s="442"/>
      <c r="BE122" s="442"/>
      <c r="BF122" s="442"/>
      <c r="BG122" s="442"/>
      <c r="BH122" s="442"/>
      <c r="BI122" s="442"/>
      <c r="BJ122" s="441"/>
      <c r="BK122" s="442"/>
      <c r="BL122" s="432" t="str">
        <f>IF(LEN(VLOOKUP(AA116,suvaha!$D$8:$H$158,5,FALSE))&lt;11,"",LEFT(RIGHT(VLOOKUP(AA116,suvaha!$D$8:$H$158,5,FALSE),11),1))</f>
        <v/>
      </c>
      <c r="BM122" s="255"/>
      <c r="BN122" s="432" t="str">
        <f>IF(LEN(VLOOKUP(AA116,suvaha!$D$8:$H$158,5,FALSE))&lt;10,"",LEFT(RIGHT(VLOOKUP(AA116,suvaha!$D$8:$H$158,5,FALSE),10),1))</f>
        <v/>
      </c>
      <c r="BO122" s="434"/>
      <c r="BP122" s="432" t="str">
        <f>IF(LEN(VLOOKUP(AA116,suvaha!$D$8:$H$158,5,FALSE))&lt;9,"",LEFT(RIGHT(VLOOKUP(AA116,suvaha!$D$8:$H$158,5,FALSE),9),1))</f>
        <v/>
      </c>
      <c r="BQ122" s="255"/>
      <c r="BR122" s="432" t="str">
        <f>IF(LEN(VLOOKUP(AA116,suvaha!$D$8:$H$158,5,FALSE))&lt;8,"",LEFT(RIGHT(VLOOKUP(AA116,suvaha!$D$8:$H$158,5,FALSE),8),1))</f>
        <v/>
      </c>
      <c r="BS122" s="434"/>
      <c r="BT122" s="432" t="str">
        <f>IF(LEN(VLOOKUP(AA116,suvaha!$D$8:$H$158,5,FALSE))&lt;7,"",LEFT(RIGHT(VLOOKUP(AA116,suvaha!$D$8:$H$158,5,FALSE),7),1))</f>
        <v/>
      </c>
      <c r="BU122" s="818"/>
      <c r="BV122" s="432" t="str">
        <f>IF(LEN(VLOOKUP(AA116,suvaha!$D$8:$H$158,5,FALSE))&lt;6,"",LEFT(RIGHT(VLOOKUP(AA116,suvaha!$D$8:$H$158,5,FALSE),6),1))</f>
        <v/>
      </c>
      <c r="BW122" s="434"/>
      <c r="BX122" s="432" t="str">
        <f>IF(LEN(VLOOKUP(AA116,suvaha!$D$8:$H$158,5,FALSE))&lt;5,"",LEFT(RIGHT(VLOOKUP(AA116,suvaha!$D$8:$H$158,5,FALSE),5),1))</f>
        <v/>
      </c>
      <c r="BY122" s="434"/>
      <c r="BZ122" s="432" t="str">
        <f>IF(LEN(VLOOKUP(AA116,suvaha!$D$8:$H$158,5,FALSE))&lt;4,"",LEFT(RIGHT(VLOOKUP(AA116,suvaha!$D$8:$H$158,5,FALSE),4),1))</f>
        <v/>
      </c>
      <c r="CA122" s="819"/>
      <c r="CB122" s="432" t="str">
        <f>IF(LEN(VLOOKUP(AA116,suvaha!$D$8:$H$158,5,FALSE))&lt;3,"",LEFT(RIGHT(VLOOKUP(AA116,suvaha!$D$8:$H$158,5,FALSE),3),1))</f>
        <v/>
      </c>
      <c r="CC122" s="434"/>
      <c r="CD122" s="432" t="str">
        <f>IF(LEN(VLOOKUP(AA116,suvaha!$D$8:$H$158,5,FALSE))&lt;2,"",LEFT(RIGHT(VLOOKUP(AA116,suvaha!$D$8:$H$158,5,FALSE),2),1))</f>
        <v/>
      </c>
      <c r="CE122" s="434"/>
      <c r="CF122" s="432" t="str">
        <f>IF(VLOOKUP(AA116,suvaha!$D$8:$H$85,5,FALSE)=0,"",IF(LEN(VLOOKUP(AA116,suvaha!$D$8:$H$158,5,FALSE))&lt;1,"",LEFT(RIGHT(VLOOKUP(AA116,suvaha!$D$8:$H$158,5,FALSE),1),1)))</f>
        <v/>
      </c>
      <c r="CG122" s="287"/>
    </row>
    <row r="123" spans="1:86">
      <c r="A123" s="220"/>
      <c r="B123" s="879"/>
      <c r="C123" s="879"/>
      <c r="D123" s="879"/>
      <c r="E123" s="877"/>
      <c r="F123" s="877"/>
      <c r="G123" s="862"/>
      <c r="H123" s="957"/>
      <c r="I123" s="957"/>
      <c r="J123" s="957"/>
      <c r="K123" s="957"/>
      <c r="L123" s="957"/>
      <c r="M123" s="957"/>
      <c r="N123" s="957"/>
      <c r="O123" s="957"/>
      <c r="P123" s="957"/>
      <c r="Q123" s="957"/>
      <c r="R123" s="957"/>
      <c r="S123" s="957"/>
      <c r="T123" s="957"/>
      <c r="U123" s="957"/>
      <c r="V123" s="957"/>
      <c r="W123" s="957"/>
      <c r="X123" s="957"/>
      <c r="Y123" s="957"/>
      <c r="Z123" s="957"/>
      <c r="AA123" s="866"/>
      <c r="AB123" s="866"/>
      <c r="AC123" s="866"/>
      <c r="AD123" s="848"/>
      <c r="AE123" s="848"/>
      <c r="AF123" s="848"/>
      <c r="AG123" s="848"/>
      <c r="AH123" s="848"/>
      <c r="AI123" s="848"/>
      <c r="AJ123" s="848"/>
      <c r="AK123" s="848"/>
      <c r="AL123" s="848"/>
      <c r="AM123" s="848"/>
      <c r="AN123" s="848"/>
      <c r="AO123" s="848"/>
      <c r="AP123" s="848"/>
      <c r="AQ123" s="848"/>
      <c r="AR123" s="848"/>
      <c r="AS123" s="848"/>
      <c r="AT123" s="848"/>
      <c r="AU123" s="848"/>
      <c r="AV123" s="848"/>
      <c r="AW123" s="848"/>
      <c r="AX123" s="848"/>
      <c r="AY123" s="848"/>
      <c r="AZ123" s="848"/>
      <c r="BA123" s="261"/>
      <c r="BB123" s="256"/>
      <c r="BC123" s="256"/>
      <c r="BD123" s="256"/>
      <c r="BE123" s="256"/>
      <c r="BF123" s="256"/>
      <c r="BG123" s="256"/>
      <c r="BH123" s="256"/>
      <c r="BI123" s="256"/>
      <c r="BJ123" s="257"/>
      <c r="BK123" s="256"/>
      <c r="BL123" s="256"/>
      <c r="BM123" s="256"/>
      <c r="BN123" s="256"/>
      <c r="BO123" s="256"/>
      <c r="BP123" s="256"/>
      <c r="BQ123" s="256"/>
      <c r="BR123" s="256"/>
      <c r="BS123" s="256"/>
      <c r="BT123" s="256"/>
      <c r="BU123" s="256"/>
      <c r="BV123" s="256"/>
      <c r="BW123" s="256"/>
      <c r="BX123" s="256"/>
      <c r="BY123" s="256"/>
      <c r="BZ123" s="256"/>
      <c r="CA123" s="256"/>
      <c r="CB123" s="256"/>
      <c r="CC123" s="256"/>
      <c r="CD123" s="256"/>
      <c r="CE123" s="256"/>
      <c r="CF123" s="256"/>
      <c r="CG123" s="286"/>
    </row>
    <row r="124" spans="1:86" ht="3" customHeight="1">
      <c r="B124" s="220"/>
      <c r="E124" s="824"/>
      <c r="F124" s="824"/>
      <c r="G124" s="824"/>
      <c r="H124" s="824"/>
      <c r="I124" s="824"/>
      <c r="J124" s="824"/>
      <c r="K124" s="824"/>
      <c r="L124" s="824"/>
      <c r="M124" s="824"/>
      <c r="N124" s="824"/>
      <c r="O124" s="824"/>
      <c r="P124" s="824"/>
      <c r="Q124" s="824"/>
      <c r="R124" s="824"/>
      <c r="S124" s="824"/>
      <c r="T124" s="824"/>
      <c r="U124" s="824"/>
      <c r="V124" s="824"/>
      <c r="W124" s="824"/>
      <c r="X124" s="824"/>
      <c r="Y124" s="824"/>
      <c r="Z124" s="824"/>
      <c r="AA124" s="824"/>
      <c r="AB124" s="824"/>
      <c r="AC124" s="824"/>
      <c r="AD124" s="221"/>
      <c r="AE124" s="221"/>
      <c r="AF124" s="221"/>
      <c r="AG124" s="221"/>
      <c r="AH124" s="221"/>
      <c r="AI124" s="221"/>
      <c r="AJ124" s="221"/>
      <c r="AK124" s="221"/>
      <c r="AL124" s="221"/>
      <c r="AM124" s="221"/>
      <c r="AN124" s="221"/>
      <c r="AO124" s="221"/>
      <c r="AP124" s="221"/>
      <c r="AQ124" s="221"/>
      <c r="AR124" s="221"/>
      <c r="AS124" s="221"/>
      <c r="AT124" s="221"/>
      <c r="AU124" s="221"/>
      <c r="AV124" s="221"/>
      <c r="AW124" s="221"/>
      <c r="AX124" s="221"/>
      <c r="AY124" s="221"/>
      <c r="AZ124" s="221"/>
      <c r="BA124" s="221"/>
      <c r="BB124" s="221"/>
      <c r="BC124" s="221"/>
      <c r="BD124" s="221"/>
      <c r="BE124" s="221"/>
      <c r="BF124" s="221"/>
      <c r="BG124" s="221"/>
      <c r="BH124" s="221"/>
      <c r="BI124" s="221"/>
      <c r="BJ124" s="221"/>
      <c r="BK124" s="221"/>
      <c r="BL124" s="221"/>
      <c r="BM124" s="221"/>
      <c r="BN124" s="221"/>
      <c r="BO124" s="221"/>
      <c r="BP124" s="221"/>
      <c r="BQ124" s="221"/>
      <c r="BR124" s="221"/>
      <c r="BS124" s="221"/>
      <c r="BT124" s="221"/>
      <c r="BU124" s="221"/>
      <c r="BV124" s="221"/>
      <c r="BW124" s="221"/>
      <c r="BX124" s="221"/>
      <c r="BY124" s="221"/>
      <c r="BZ124" s="221"/>
      <c r="CA124" s="221"/>
      <c r="CB124" s="221"/>
      <c r="CC124" s="221"/>
      <c r="CD124" s="221"/>
      <c r="CE124" s="221"/>
      <c r="CF124" s="221"/>
      <c r="CG124" s="221"/>
    </row>
    <row r="125" spans="1:86" s="220" customFormat="1" ht="5.25" customHeight="1">
      <c r="E125" s="267"/>
      <c r="CG125" s="238"/>
    </row>
    <row r="126" spans="1:86" ht="3.75" customHeight="1">
      <c r="A126" s="220"/>
      <c r="B126" s="220"/>
      <c r="C126" s="220"/>
      <c r="D126" s="220"/>
      <c r="E126" s="267"/>
      <c r="F126" s="220"/>
      <c r="G126" s="268"/>
      <c r="H126" s="240"/>
      <c r="I126" s="240"/>
      <c r="J126" s="240"/>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220"/>
      <c r="CG126" s="238"/>
      <c r="CH126" s="220"/>
    </row>
    <row r="127" spans="1:86" ht="3.75" customHeight="1" thickBot="1">
      <c r="A127" s="220"/>
      <c r="B127" s="220"/>
      <c r="C127" s="220"/>
      <c r="D127" s="220"/>
      <c r="E127" s="269"/>
      <c r="F127" s="270"/>
      <c r="G127" s="268"/>
      <c r="H127" s="240"/>
      <c r="I127" s="240"/>
      <c r="J127" s="240"/>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270"/>
      <c r="CG127" s="271"/>
      <c r="CH127" s="220"/>
    </row>
    <row r="128" spans="1:86" ht="10.5" customHeight="1" thickTop="1">
      <c r="A128" s="220"/>
      <c r="B128" s="220"/>
      <c r="C128" s="220"/>
      <c r="D128" s="220"/>
      <c r="E128" s="220"/>
      <c r="F128" s="220"/>
      <c r="G128" s="268"/>
      <c r="H128" s="353" t="s">
        <v>1532</v>
      </c>
      <c r="I128" s="240"/>
      <c r="J128" s="240"/>
      <c r="K128" s="356"/>
      <c r="L128" s="356"/>
      <c r="M128" s="356"/>
      <c r="N128" s="356"/>
      <c r="O128" s="356"/>
      <c r="P128" s="356"/>
      <c r="Q128" s="356"/>
      <c r="R128" s="356"/>
      <c r="S128" s="356"/>
      <c r="T128" s="356"/>
      <c r="U128" s="356"/>
      <c r="V128" s="356"/>
      <c r="W128" s="356"/>
      <c r="X128" s="356"/>
      <c r="Y128" s="356"/>
      <c r="Z128" s="356"/>
      <c r="AA128" s="356"/>
      <c r="AB128" s="356"/>
      <c r="AC128" s="356"/>
      <c r="AD128" s="356"/>
      <c r="AE128" s="356"/>
      <c r="AF128" s="356"/>
      <c r="AG128" s="356"/>
      <c r="AH128" s="356"/>
      <c r="AI128" s="356"/>
      <c r="AJ128" s="356"/>
      <c r="AK128" s="356"/>
      <c r="AL128" s="356"/>
      <c r="AM128" s="356"/>
      <c r="AN128" s="356"/>
      <c r="AO128" s="356"/>
      <c r="AP128" s="356"/>
      <c r="AQ128" s="356"/>
      <c r="AR128" s="356"/>
      <c r="AS128" s="356"/>
      <c r="AT128" s="356"/>
      <c r="AU128" s="356"/>
      <c r="AV128" s="356"/>
      <c r="AW128" s="356"/>
      <c r="AX128" s="356"/>
      <c r="AY128" s="356"/>
      <c r="AZ128" s="356"/>
      <c r="BA128" s="356"/>
      <c r="BB128" s="356"/>
      <c r="BC128" s="356"/>
      <c r="BD128" s="356"/>
      <c r="BE128" s="356"/>
      <c r="BF128" s="356"/>
      <c r="BG128" s="356"/>
      <c r="BH128" s="356"/>
      <c r="BI128" s="356"/>
      <c r="BJ128" s="356"/>
      <c r="BK128" s="356"/>
      <c r="BL128" s="356"/>
      <c r="BM128" s="356"/>
      <c r="BN128" s="356"/>
      <c r="BO128" s="356"/>
      <c r="BP128" s="356"/>
      <c r="BQ128" s="356"/>
      <c r="BR128" s="356"/>
      <c r="BS128" s="356"/>
      <c r="BT128" s="356"/>
      <c r="BU128" s="356"/>
      <c r="BV128" s="356"/>
      <c r="BW128" s="356"/>
      <c r="BX128" s="356"/>
      <c r="BY128" s="356"/>
      <c r="BZ128" s="356"/>
      <c r="CA128" s="356"/>
      <c r="CB128" s="356"/>
      <c r="CC128" s="356"/>
      <c r="CD128" s="414" t="str">
        <f>Index!C423</f>
        <v>Strana 5</v>
      </c>
      <c r="CE128" s="356"/>
      <c r="CF128" s="356"/>
      <c r="CG128" s="356"/>
      <c r="CH128" s="220"/>
    </row>
    <row r="129" spans="1:88">
      <c r="A129" s="220"/>
      <c r="B129" s="272"/>
      <c r="C129" s="272"/>
      <c r="D129" s="272"/>
      <c r="E129" s="273"/>
      <c r="F129" s="273"/>
      <c r="G129" s="273"/>
      <c r="H129" s="274"/>
      <c r="I129" s="274"/>
      <c r="J129" s="274"/>
      <c r="K129" s="275"/>
      <c r="L129" s="275"/>
      <c r="M129" s="275"/>
      <c r="N129" s="275"/>
      <c r="O129" s="275"/>
      <c r="P129" s="275"/>
      <c r="Q129" s="275"/>
      <c r="R129" s="275"/>
      <c r="S129" s="275"/>
      <c r="T129" s="275"/>
      <c r="U129" s="275"/>
      <c r="V129" s="275"/>
      <c r="W129" s="275"/>
      <c r="X129" s="275"/>
      <c r="Y129" s="275"/>
      <c r="Z129" s="275"/>
      <c r="AA129" s="275"/>
      <c r="AB129" s="275"/>
      <c r="AC129" s="275"/>
      <c r="AD129" s="275"/>
      <c r="AE129" s="276">
        <v>10</v>
      </c>
      <c r="AF129" s="275"/>
      <c r="AG129" s="276">
        <v>9</v>
      </c>
      <c r="AH129" s="275"/>
      <c r="AI129" s="276">
        <v>8</v>
      </c>
      <c r="AJ129" s="275"/>
      <c r="AK129" s="276">
        <v>7</v>
      </c>
      <c r="AL129" s="275"/>
      <c r="AM129" s="276">
        <v>6</v>
      </c>
      <c r="AN129" s="275"/>
      <c r="AO129" s="276">
        <v>5</v>
      </c>
      <c r="AP129" s="275"/>
      <c r="AQ129" s="276">
        <v>4</v>
      </c>
      <c r="AR129" s="275"/>
      <c r="AS129" s="276">
        <v>3</v>
      </c>
      <c r="AT129" s="275"/>
      <c r="AU129" s="276">
        <v>2</v>
      </c>
      <c r="AV129" s="275"/>
      <c r="AW129" s="276">
        <v>1</v>
      </c>
      <c r="AX129" s="275"/>
      <c r="AY129" s="276">
        <v>0</v>
      </c>
      <c r="AZ129" s="275"/>
      <c r="BA129" s="275"/>
      <c r="BB129" s="276">
        <v>10</v>
      </c>
      <c r="BC129" s="275"/>
      <c r="BD129" s="276">
        <v>9</v>
      </c>
      <c r="BE129" s="275"/>
      <c r="BF129" s="276">
        <v>8</v>
      </c>
      <c r="BG129" s="275"/>
      <c r="BH129" s="276">
        <v>7</v>
      </c>
      <c r="BI129" s="275"/>
      <c r="BJ129" s="276">
        <v>6</v>
      </c>
      <c r="BK129" s="275"/>
      <c r="BL129" s="276">
        <v>5</v>
      </c>
      <c r="BM129" s="275"/>
      <c r="BN129" s="276">
        <v>4</v>
      </c>
      <c r="BO129" s="275"/>
      <c r="BP129" s="276">
        <v>3</v>
      </c>
      <c r="BQ129" s="275"/>
      <c r="BR129" s="276">
        <v>2</v>
      </c>
      <c r="BS129" s="275"/>
      <c r="BT129" s="276">
        <v>1</v>
      </c>
      <c r="BU129" s="275"/>
      <c r="BV129" s="276">
        <v>0</v>
      </c>
      <c r="BW129" s="275"/>
      <c r="BX129" s="275"/>
      <c r="BY129" s="275"/>
      <c r="BZ129" s="275"/>
      <c r="CA129" s="275"/>
      <c r="CB129" s="275"/>
      <c r="CC129" s="275"/>
      <c r="CD129" s="275"/>
      <c r="CE129" s="275"/>
      <c r="CF129" s="275"/>
      <c r="CG129" s="275"/>
      <c r="CH129" s="272"/>
      <c r="CI129" s="220"/>
      <c r="CJ129" s="220"/>
    </row>
    <row r="130" spans="1:88">
      <c r="B130" s="272"/>
      <c r="C130" s="272"/>
      <c r="D130" s="272"/>
      <c r="E130" s="273"/>
      <c r="F130" s="273"/>
      <c r="G130" s="273"/>
      <c r="H130" s="274"/>
      <c r="I130" s="274"/>
      <c r="J130" s="274"/>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c r="AO130" s="275"/>
      <c r="AP130" s="275"/>
      <c r="AQ130" s="275"/>
      <c r="AR130" s="275"/>
      <c r="AS130" s="275"/>
      <c r="AT130" s="275"/>
      <c r="AU130" s="275"/>
      <c r="AV130" s="275"/>
      <c r="AW130" s="275"/>
      <c r="AX130" s="275"/>
      <c r="AY130" s="275"/>
      <c r="AZ130" s="275"/>
      <c r="BA130" s="275"/>
      <c r="BB130" s="275"/>
      <c r="BC130" s="275"/>
      <c r="BD130" s="275"/>
      <c r="BE130" s="275"/>
      <c r="BF130" s="275"/>
      <c r="BG130" s="275"/>
      <c r="BH130" s="275"/>
      <c r="BI130" s="275"/>
      <c r="BJ130" s="275"/>
      <c r="BK130" s="275"/>
      <c r="BL130" s="276">
        <v>10</v>
      </c>
      <c r="BM130" s="275"/>
      <c r="BN130" s="276">
        <v>9</v>
      </c>
      <c r="BO130" s="275"/>
      <c r="BP130" s="276">
        <v>8</v>
      </c>
      <c r="BQ130" s="275"/>
      <c r="BR130" s="276">
        <v>7</v>
      </c>
      <c r="BS130" s="275"/>
      <c r="BT130" s="276">
        <v>6</v>
      </c>
      <c r="BU130" s="275"/>
      <c r="BV130" s="276">
        <v>5</v>
      </c>
      <c r="BW130" s="275"/>
      <c r="BX130" s="276">
        <v>4</v>
      </c>
      <c r="BY130" s="275"/>
      <c r="BZ130" s="276">
        <v>3</v>
      </c>
      <c r="CA130" s="275"/>
      <c r="CB130" s="276">
        <v>2</v>
      </c>
      <c r="CC130" s="275"/>
      <c r="CD130" s="276">
        <v>1</v>
      </c>
      <c r="CE130" s="275"/>
      <c r="CF130" s="276">
        <v>0</v>
      </c>
      <c r="CG130" s="275"/>
      <c r="CH130" s="272"/>
      <c r="CJ130" s="220"/>
    </row>
  </sheetData>
  <sheetProtection sheet="1" objects="1" scenarios="1"/>
  <mergeCells count="574">
    <mergeCell ref="AB4:AC5"/>
    <mergeCell ref="AD4:AD5"/>
    <mergeCell ref="AR4:AR5"/>
    <mergeCell ref="E7:F10"/>
    <mergeCell ref="AD7:BQ8"/>
    <mergeCell ref="BR7:CG10"/>
    <mergeCell ref="B8:D8"/>
    <mergeCell ref="G8:Z9"/>
    <mergeCell ref="B9:C29"/>
    <mergeCell ref="D9:D29"/>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 ref="CH9:CH38"/>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AN13:AN14"/>
    <mergeCell ref="AD19:AZ19"/>
    <mergeCell ref="E20:F27"/>
    <mergeCell ref="G20:G27"/>
    <mergeCell ref="AZ3:BC4"/>
    <mergeCell ref="BD3:BR3"/>
    <mergeCell ref="AG9:AZ10"/>
    <mergeCell ref="BA9:BQ10"/>
    <mergeCell ref="AD16:AZ16"/>
    <mergeCell ref="AD17:AD18"/>
    <mergeCell ref="AE17:AG17"/>
    <mergeCell ref="AI17:AM17"/>
    <mergeCell ref="AN17:AN18"/>
    <mergeCell ref="AO17:AS17"/>
    <mergeCell ref="AT17:AT18"/>
    <mergeCell ref="AU17:AY17"/>
    <mergeCell ref="AZ17:AZ18"/>
    <mergeCell ref="H20:Z27"/>
    <mergeCell ref="AA20:AC27"/>
    <mergeCell ref="AD20:AZ20"/>
    <mergeCell ref="AD23:AZ23"/>
    <mergeCell ref="AD27:AZ27"/>
    <mergeCell ref="BL17:BN17"/>
    <mergeCell ref="E12:F19"/>
    <mergeCell ref="G12:G19"/>
    <mergeCell ref="H12:Z19"/>
    <mergeCell ref="AA12:AC19"/>
    <mergeCell ref="AD12:AZ12"/>
    <mergeCell ref="BA12:BQ12"/>
    <mergeCell ref="BB21:BD21"/>
    <mergeCell ref="BF21:BJ21"/>
    <mergeCell ref="BK21:BK22"/>
    <mergeCell ref="BL21:BP21"/>
    <mergeCell ref="BQ21:BQ22"/>
    <mergeCell ref="BB13:BD13"/>
    <mergeCell ref="AD13:AD14"/>
    <mergeCell ref="AE13:AG13"/>
    <mergeCell ref="AI13:AM13"/>
    <mergeCell ref="BR21:BV21"/>
    <mergeCell ref="BA20:BQ20"/>
    <mergeCell ref="AD21:AD22"/>
    <mergeCell ref="AE21:AG21"/>
    <mergeCell ref="AI21:AM21"/>
    <mergeCell ref="AN21:AN22"/>
    <mergeCell ref="AO21:AS21"/>
    <mergeCell ref="AT21:AT22"/>
    <mergeCell ref="AU21:AY21"/>
    <mergeCell ref="AZ21:AZ22"/>
    <mergeCell ref="BA21:BA22"/>
    <mergeCell ref="AI29:AM29"/>
    <mergeCell ref="AN29:AN30"/>
    <mergeCell ref="BL25:BN25"/>
    <mergeCell ref="BP25:BT25"/>
    <mergeCell ref="BU25:BU26"/>
    <mergeCell ref="BV25:BZ25"/>
    <mergeCell ref="CA25:CA26"/>
    <mergeCell ref="CB25:CF25"/>
    <mergeCell ref="BA23:BQ23"/>
    <mergeCell ref="AD24:AZ24"/>
    <mergeCell ref="AD25:AD26"/>
    <mergeCell ref="AE25:AG25"/>
    <mergeCell ref="AI25:AM25"/>
    <mergeCell ref="AN25:AN26"/>
    <mergeCell ref="AO25:AS25"/>
    <mergeCell ref="AT25:AT26"/>
    <mergeCell ref="AU25:AY25"/>
    <mergeCell ref="AZ25:AZ26"/>
    <mergeCell ref="BF29:BJ29"/>
    <mergeCell ref="BK29:BK30"/>
    <mergeCell ref="BL29:BP29"/>
    <mergeCell ref="BQ29:BQ30"/>
    <mergeCell ref="BR29:BV29"/>
    <mergeCell ref="B30:D123"/>
    <mergeCell ref="AD31:AZ31"/>
    <mergeCell ref="BA31:BQ31"/>
    <mergeCell ref="AD32:AZ32"/>
    <mergeCell ref="AD33:AD34"/>
    <mergeCell ref="AO29:AS29"/>
    <mergeCell ref="AT29:AT30"/>
    <mergeCell ref="AU29:AY29"/>
    <mergeCell ref="AZ29:AZ30"/>
    <mergeCell ref="BA29:BA30"/>
    <mergeCell ref="BB29:BD29"/>
    <mergeCell ref="E28:F35"/>
    <mergeCell ref="G28:G35"/>
    <mergeCell ref="H28:Z35"/>
    <mergeCell ref="AA28:AC35"/>
    <mergeCell ref="AD28:AZ28"/>
    <mergeCell ref="BA28:BQ28"/>
    <mergeCell ref="AD29:AD30"/>
    <mergeCell ref="AE29:AG29"/>
    <mergeCell ref="BA39:BQ39"/>
    <mergeCell ref="AD40:AZ40"/>
    <mergeCell ref="AD41:AD42"/>
    <mergeCell ref="AE41:AG41"/>
    <mergeCell ref="AI41:AM41"/>
    <mergeCell ref="CB33:CF33"/>
    <mergeCell ref="AD35:AZ35"/>
    <mergeCell ref="E36:F43"/>
    <mergeCell ref="G36:G43"/>
    <mergeCell ref="H36:Z43"/>
    <mergeCell ref="AA36:AC43"/>
    <mergeCell ref="AD36:AZ36"/>
    <mergeCell ref="BA36:BQ36"/>
    <mergeCell ref="AD37:AD38"/>
    <mergeCell ref="AE37:AG37"/>
    <mergeCell ref="AZ33:AZ34"/>
    <mergeCell ref="BL33:BN33"/>
    <mergeCell ref="BP33:BT33"/>
    <mergeCell ref="BU33:BU34"/>
    <mergeCell ref="BV33:BZ33"/>
    <mergeCell ref="CA33:CA34"/>
    <mergeCell ref="AE33:AG33"/>
    <mergeCell ref="AI33:AM33"/>
    <mergeCell ref="AN33:AN34"/>
    <mergeCell ref="AO33:AS33"/>
    <mergeCell ref="AT33:AT34"/>
    <mergeCell ref="AU33:AY33"/>
    <mergeCell ref="BR37:BV37"/>
    <mergeCell ref="AD39:AZ39"/>
    <mergeCell ref="AI37:AM37"/>
    <mergeCell ref="AN37:AN38"/>
    <mergeCell ref="AO37:AS37"/>
    <mergeCell ref="AT37:AT38"/>
    <mergeCell ref="AU37:AY37"/>
    <mergeCell ref="AZ37:AZ38"/>
    <mergeCell ref="CA41:CA42"/>
    <mergeCell ref="CB41:CF41"/>
    <mergeCell ref="AD43:AZ43"/>
    <mergeCell ref="BU41:BU42"/>
    <mergeCell ref="BV41:BZ41"/>
    <mergeCell ref="AN41:AN42"/>
    <mergeCell ref="AO41:AS41"/>
    <mergeCell ref="AT41:AT42"/>
    <mergeCell ref="BA37:BA38"/>
    <mergeCell ref="BB37:BD37"/>
    <mergeCell ref="BF37:BJ37"/>
    <mergeCell ref="BK37:BK38"/>
    <mergeCell ref="BL37:BP37"/>
    <mergeCell ref="BQ37:BQ38"/>
    <mergeCell ref="AU41:AY41"/>
    <mergeCell ref="AZ41:AZ42"/>
    <mergeCell ref="BL41:BN41"/>
    <mergeCell ref="BP41:BT41"/>
    <mergeCell ref="BQ45:BQ46"/>
    <mergeCell ref="BR45:BV45"/>
    <mergeCell ref="AD47:AZ47"/>
    <mergeCell ref="BA47:BQ47"/>
    <mergeCell ref="AD48:AZ48"/>
    <mergeCell ref="AZ45:AZ46"/>
    <mergeCell ref="BA45:BA46"/>
    <mergeCell ref="BB45:BD45"/>
    <mergeCell ref="BR53:BV53"/>
    <mergeCell ref="AT53:AT54"/>
    <mergeCell ref="AD55:AZ55"/>
    <mergeCell ref="BA55:BQ55"/>
    <mergeCell ref="AD56:AZ56"/>
    <mergeCell ref="AU53:AY53"/>
    <mergeCell ref="AZ53:AZ54"/>
    <mergeCell ref="BF45:BJ45"/>
    <mergeCell ref="BK45:BK46"/>
    <mergeCell ref="BL45:BP45"/>
    <mergeCell ref="AE45:AG45"/>
    <mergeCell ref="AI45:AM45"/>
    <mergeCell ref="AN45:AN46"/>
    <mergeCell ref="AO45:AS45"/>
    <mergeCell ref="AT45:AT46"/>
    <mergeCell ref="AU45:AY45"/>
    <mergeCell ref="AD45:AD46"/>
    <mergeCell ref="AD49:AD50"/>
    <mergeCell ref="AE49:AG49"/>
    <mergeCell ref="AI49:AM49"/>
    <mergeCell ref="AN49:AN50"/>
    <mergeCell ref="AO49:AS49"/>
    <mergeCell ref="AD51:AZ51"/>
    <mergeCell ref="AI53:AM53"/>
    <mergeCell ref="AN53:AN54"/>
    <mergeCell ref="AO53:AS53"/>
    <mergeCell ref="E52:F59"/>
    <mergeCell ref="G52:G59"/>
    <mergeCell ref="H52:Z59"/>
    <mergeCell ref="AA52:AC59"/>
    <mergeCell ref="AD52:AZ52"/>
    <mergeCell ref="BA52:BQ52"/>
    <mergeCell ref="AT49:AT50"/>
    <mergeCell ref="AU49:AY49"/>
    <mergeCell ref="AZ49:AZ50"/>
    <mergeCell ref="BL49:BN49"/>
    <mergeCell ref="BL53:BP53"/>
    <mergeCell ref="BQ53:BQ54"/>
    <mergeCell ref="E44:F51"/>
    <mergeCell ref="G44:G51"/>
    <mergeCell ref="H44:Z51"/>
    <mergeCell ref="AA44:AC51"/>
    <mergeCell ref="AD44:AZ44"/>
    <mergeCell ref="BA44:BQ44"/>
    <mergeCell ref="BA53:BA54"/>
    <mergeCell ref="BB53:BD53"/>
    <mergeCell ref="BF53:BJ53"/>
    <mergeCell ref="BK53:BK54"/>
    <mergeCell ref="AD53:AD54"/>
    <mergeCell ref="AE53:AG53"/>
    <mergeCell ref="CA57:CA58"/>
    <mergeCell ref="CB57:CF57"/>
    <mergeCell ref="AD59:AZ59"/>
    <mergeCell ref="E60:F67"/>
    <mergeCell ref="G60:G67"/>
    <mergeCell ref="H60:Z67"/>
    <mergeCell ref="AA60:AC67"/>
    <mergeCell ref="AD60:AZ60"/>
    <mergeCell ref="BA60:BQ60"/>
    <mergeCell ref="AD61:AD62"/>
    <mergeCell ref="AU57:AY57"/>
    <mergeCell ref="AZ57:AZ58"/>
    <mergeCell ref="BL57:BN57"/>
    <mergeCell ref="BP57:BT57"/>
    <mergeCell ref="BU57:BU58"/>
    <mergeCell ref="BV57:BZ57"/>
    <mergeCell ref="AD57:AD58"/>
    <mergeCell ref="AE57:AG57"/>
    <mergeCell ref="AI57:AM57"/>
    <mergeCell ref="AN57:AN58"/>
    <mergeCell ref="AO57:AS57"/>
    <mergeCell ref="AT57:AT58"/>
    <mergeCell ref="BQ61:BQ62"/>
    <mergeCell ref="BR61:BV61"/>
    <mergeCell ref="AD63:AZ63"/>
    <mergeCell ref="BA63:BQ63"/>
    <mergeCell ref="AD64:AZ64"/>
    <mergeCell ref="AD65:AD66"/>
    <mergeCell ref="AE65:AG65"/>
    <mergeCell ref="AI65:AM65"/>
    <mergeCell ref="AN65:AN66"/>
    <mergeCell ref="AO65:AS65"/>
    <mergeCell ref="AZ61:AZ62"/>
    <mergeCell ref="BA61:BA62"/>
    <mergeCell ref="BB61:BD61"/>
    <mergeCell ref="BF61:BJ61"/>
    <mergeCell ref="BK61:BK62"/>
    <mergeCell ref="BL61:BP61"/>
    <mergeCell ref="AE61:AG61"/>
    <mergeCell ref="AI61:AM61"/>
    <mergeCell ref="AN61:AN62"/>
    <mergeCell ref="AO61:AS61"/>
    <mergeCell ref="AT61:AT62"/>
    <mergeCell ref="AU61:AY61"/>
    <mergeCell ref="BV65:BZ65"/>
    <mergeCell ref="CA65:CA66"/>
    <mergeCell ref="CB65:CF65"/>
    <mergeCell ref="AD67:AZ67"/>
    <mergeCell ref="E68:F75"/>
    <mergeCell ref="G68:G75"/>
    <mergeCell ref="H68:Z75"/>
    <mergeCell ref="AA68:AC75"/>
    <mergeCell ref="AD68:AZ68"/>
    <mergeCell ref="BA68:BQ68"/>
    <mergeCell ref="AT65:AT66"/>
    <mergeCell ref="AU65:AY65"/>
    <mergeCell ref="AZ65:AZ66"/>
    <mergeCell ref="BL65:BN65"/>
    <mergeCell ref="BP65:BT65"/>
    <mergeCell ref="BU65:BU66"/>
    <mergeCell ref="BL69:BP69"/>
    <mergeCell ref="BQ69:BQ70"/>
    <mergeCell ref="BR69:BV69"/>
    <mergeCell ref="AD71:AZ71"/>
    <mergeCell ref="BA71:BQ71"/>
    <mergeCell ref="AD72:AZ72"/>
    <mergeCell ref="AU69:AY69"/>
    <mergeCell ref="AZ69:AZ70"/>
    <mergeCell ref="BA69:BA70"/>
    <mergeCell ref="BB69:BD69"/>
    <mergeCell ref="BF69:BJ69"/>
    <mergeCell ref="BK69:BK70"/>
    <mergeCell ref="AD69:AD70"/>
    <mergeCell ref="AE69:AG69"/>
    <mergeCell ref="AI69:AM69"/>
    <mergeCell ref="AN69:AN70"/>
    <mergeCell ref="AO69:AS69"/>
    <mergeCell ref="AT69:AT70"/>
    <mergeCell ref="CA73:CA74"/>
    <mergeCell ref="CB73:CF73"/>
    <mergeCell ref="AD75:AZ75"/>
    <mergeCell ref="E76:F83"/>
    <mergeCell ref="G76:G83"/>
    <mergeCell ref="H76:Z83"/>
    <mergeCell ref="AA76:AC83"/>
    <mergeCell ref="AD76:AZ76"/>
    <mergeCell ref="BA76:BQ76"/>
    <mergeCell ref="AD77:AD78"/>
    <mergeCell ref="AU73:AY73"/>
    <mergeCell ref="AZ73:AZ74"/>
    <mergeCell ref="BL73:BN73"/>
    <mergeCell ref="BP73:BT73"/>
    <mergeCell ref="BU73:BU74"/>
    <mergeCell ref="BV73:BZ73"/>
    <mergeCell ref="AD73:AD74"/>
    <mergeCell ref="AE73:AG73"/>
    <mergeCell ref="AI73:AM73"/>
    <mergeCell ref="AN73:AN74"/>
    <mergeCell ref="AO73:AS73"/>
    <mergeCell ref="AT73:AT74"/>
    <mergeCell ref="BQ77:BQ78"/>
    <mergeCell ref="BR77:BV77"/>
    <mergeCell ref="AD79:AZ79"/>
    <mergeCell ref="BA79:BQ79"/>
    <mergeCell ref="AD80:AZ80"/>
    <mergeCell ref="AD81:AD82"/>
    <mergeCell ref="AE81:AG81"/>
    <mergeCell ref="AI81:AM81"/>
    <mergeCell ref="AN81:AN82"/>
    <mergeCell ref="AO81:AS81"/>
    <mergeCell ref="AZ77:AZ78"/>
    <mergeCell ref="BA77:BA78"/>
    <mergeCell ref="BB77:BD77"/>
    <mergeCell ref="BF77:BJ77"/>
    <mergeCell ref="BK77:BK78"/>
    <mergeCell ref="BL77:BP77"/>
    <mergeCell ref="AE77:AG77"/>
    <mergeCell ref="AI77:AM77"/>
    <mergeCell ref="AN77:AN78"/>
    <mergeCell ref="AO77:AS77"/>
    <mergeCell ref="AT77:AT78"/>
    <mergeCell ref="AU77:AY77"/>
    <mergeCell ref="BV81:BZ81"/>
    <mergeCell ref="CA81:CA82"/>
    <mergeCell ref="CB81:CF81"/>
    <mergeCell ref="AD83:AZ83"/>
    <mergeCell ref="E84:F91"/>
    <mergeCell ref="G84:G91"/>
    <mergeCell ref="H84:Z91"/>
    <mergeCell ref="AA84:AC91"/>
    <mergeCell ref="AD84:AZ84"/>
    <mergeCell ref="BA84:BQ84"/>
    <mergeCell ref="AT81:AT82"/>
    <mergeCell ref="AU81:AY81"/>
    <mergeCell ref="AZ81:AZ82"/>
    <mergeCell ref="BL81:BN81"/>
    <mergeCell ref="BP81:BT81"/>
    <mergeCell ref="BU81:BU82"/>
    <mergeCell ref="BL85:BP85"/>
    <mergeCell ref="BQ85:BQ86"/>
    <mergeCell ref="BR85:BV85"/>
    <mergeCell ref="AD87:AZ87"/>
    <mergeCell ref="BA87:BQ87"/>
    <mergeCell ref="AD88:AZ88"/>
    <mergeCell ref="AU85:AY85"/>
    <mergeCell ref="AZ85:AZ86"/>
    <mergeCell ref="BA85:BA86"/>
    <mergeCell ref="BB85:BD85"/>
    <mergeCell ref="BF85:BJ85"/>
    <mergeCell ref="BK85:BK86"/>
    <mergeCell ref="AD85:AD86"/>
    <mergeCell ref="AE85:AG85"/>
    <mergeCell ref="AI85:AM85"/>
    <mergeCell ref="AN85:AN86"/>
    <mergeCell ref="AO85:AS85"/>
    <mergeCell ref="AT85:AT86"/>
    <mergeCell ref="CA89:CA90"/>
    <mergeCell ref="CB89:CF89"/>
    <mergeCell ref="AD91:AZ91"/>
    <mergeCell ref="E92:F99"/>
    <mergeCell ref="G92:G99"/>
    <mergeCell ref="H92:Z99"/>
    <mergeCell ref="AA92:AC99"/>
    <mergeCell ref="AD92:AZ92"/>
    <mergeCell ref="BA92:BQ92"/>
    <mergeCell ref="AD93:AD94"/>
    <mergeCell ref="AU89:AY89"/>
    <mergeCell ref="AZ89:AZ90"/>
    <mergeCell ref="BL89:BN89"/>
    <mergeCell ref="BP89:BT89"/>
    <mergeCell ref="BU89:BU90"/>
    <mergeCell ref="BV89:BZ89"/>
    <mergeCell ref="AD89:AD90"/>
    <mergeCell ref="AE89:AG89"/>
    <mergeCell ref="AI89:AM89"/>
    <mergeCell ref="AN89:AN90"/>
    <mergeCell ref="AO89:AS89"/>
    <mergeCell ref="AT89:AT90"/>
    <mergeCell ref="BQ93:BQ94"/>
    <mergeCell ref="BR93:BV93"/>
    <mergeCell ref="AD95:AZ95"/>
    <mergeCell ref="BA95:BQ95"/>
    <mergeCell ref="AD96:AZ96"/>
    <mergeCell ref="AD97:AD98"/>
    <mergeCell ref="AE97:AG97"/>
    <mergeCell ref="AI97:AM97"/>
    <mergeCell ref="AN97:AN98"/>
    <mergeCell ref="AO97:AS97"/>
    <mergeCell ref="AZ93:AZ94"/>
    <mergeCell ref="BA93:BA94"/>
    <mergeCell ref="BB93:BD93"/>
    <mergeCell ref="BF93:BJ93"/>
    <mergeCell ref="BK93:BK94"/>
    <mergeCell ref="BL93:BP93"/>
    <mergeCell ref="AE93:AG93"/>
    <mergeCell ref="AI93:AM93"/>
    <mergeCell ref="AN93:AN94"/>
    <mergeCell ref="AO93:AS93"/>
    <mergeCell ref="AT93:AT94"/>
    <mergeCell ref="AU93:AY93"/>
    <mergeCell ref="BV97:BZ97"/>
    <mergeCell ref="CA97:CA98"/>
    <mergeCell ref="CB97:CF97"/>
    <mergeCell ref="AD99:AZ99"/>
    <mergeCell ref="E100:F107"/>
    <mergeCell ref="G100:G107"/>
    <mergeCell ref="H100:Z107"/>
    <mergeCell ref="AA100:AC107"/>
    <mergeCell ref="AD100:AZ100"/>
    <mergeCell ref="BA100:BQ100"/>
    <mergeCell ref="AT97:AT98"/>
    <mergeCell ref="AU97:AY97"/>
    <mergeCell ref="AZ97:AZ98"/>
    <mergeCell ref="BL97:BN97"/>
    <mergeCell ref="BP97:BT97"/>
    <mergeCell ref="BU97:BU98"/>
    <mergeCell ref="BL101:BP101"/>
    <mergeCell ref="BQ101:BQ102"/>
    <mergeCell ref="BR101:BV101"/>
    <mergeCell ref="AD103:AZ103"/>
    <mergeCell ref="BA103:BQ103"/>
    <mergeCell ref="AD104:AZ104"/>
    <mergeCell ref="AU101:AY101"/>
    <mergeCell ref="AZ101:AZ102"/>
    <mergeCell ref="BA101:BA102"/>
    <mergeCell ref="BB101:BD101"/>
    <mergeCell ref="BF101:BJ101"/>
    <mergeCell ref="BK101:BK102"/>
    <mergeCell ref="AD101:AD102"/>
    <mergeCell ref="AE101:AG101"/>
    <mergeCell ref="AI101:AM101"/>
    <mergeCell ref="AN101:AN102"/>
    <mergeCell ref="AO101:AS101"/>
    <mergeCell ref="AT101:AT102"/>
    <mergeCell ref="CA105:CA106"/>
    <mergeCell ref="CB105:CF105"/>
    <mergeCell ref="AD107:AZ107"/>
    <mergeCell ref="E108:F115"/>
    <mergeCell ref="G108:G115"/>
    <mergeCell ref="H108:Z115"/>
    <mergeCell ref="AA108:AC115"/>
    <mergeCell ref="AD108:AZ108"/>
    <mergeCell ref="BA108:BQ108"/>
    <mergeCell ref="AD109:AD110"/>
    <mergeCell ref="AU105:AY105"/>
    <mergeCell ref="AZ105:AZ106"/>
    <mergeCell ref="BL105:BN105"/>
    <mergeCell ref="BP105:BT105"/>
    <mergeCell ref="BU105:BU106"/>
    <mergeCell ref="BV105:BZ105"/>
    <mergeCell ref="AD105:AD106"/>
    <mergeCell ref="AE105:AG105"/>
    <mergeCell ref="AI105:AM105"/>
    <mergeCell ref="AN105:AN106"/>
    <mergeCell ref="AO105:AS105"/>
    <mergeCell ref="AT105:AT106"/>
    <mergeCell ref="BQ109:BQ110"/>
    <mergeCell ref="BR109:BV109"/>
    <mergeCell ref="AD111:AZ111"/>
    <mergeCell ref="BA111:BQ111"/>
    <mergeCell ref="AD112:AZ112"/>
    <mergeCell ref="AD113:AD114"/>
    <mergeCell ref="AE113:AG113"/>
    <mergeCell ref="AI113:AM113"/>
    <mergeCell ref="AN113:AN114"/>
    <mergeCell ref="AO113:AS113"/>
    <mergeCell ref="AZ109:AZ110"/>
    <mergeCell ref="BA109:BA110"/>
    <mergeCell ref="BB109:BD109"/>
    <mergeCell ref="BF109:BJ109"/>
    <mergeCell ref="BK109:BK110"/>
    <mergeCell ref="BL109:BP109"/>
    <mergeCell ref="AE109:AG109"/>
    <mergeCell ref="AI109:AM109"/>
    <mergeCell ref="AN109:AN110"/>
    <mergeCell ref="AO109:AS109"/>
    <mergeCell ref="AT109:AT110"/>
    <mergeCell ref="AU109:AY109"/>
    <mergeCell ref="BV113:BZ113"/>
    <mergeCell ref="CA113:CA114"/>
    <mergeCell ref="CB113:CF113"/>
    <mergeCell ref="AD115:AZ115"/>
    <mergeCell ref="E116:F123"/>
    <mergeCell ref="G116:G123"/>
    <mergeCell ref="H116:Z123"/>
    <mergeCell ref="AA116:AC123"/>
    <mergeCell ref="AD116:AZ116"/>
    <mergeCell ref="BA116:BQ116"/>
    <mergeCell ref="AT113:AT114"/>
    <mergeCell ref="AU113:AY113"/>
    <mergeCell ref="AZ113:AZ114"/>
    <mergeCell ref="BL113:BN113"/>
    <mergeCell ref="BP113:BT113"/>
    <mergeCell ref="BU113:BU114"/>
    <mergeCell ref="BL117:BP117"/>
    <mergeCell ref="BQ117:BQ118"/>
    <mergeCell ref="BR117:BV117"/>
    <mergeCell ref="AD119:AZ119"/>
    <mergeCell ref="BA119:BQ119"/>
    <mergeCell ref="AD120:AZ120"/>
    <mergeCell ref="AU117:AY117"/>
    <mergeCell ref="AZ117:AZ118"/>
    <mergeCell ref="BA117:BA118"/>
    <mergeCell ref="BB117:BD117"/>
    <mergeCell ref="BF117:BJ117"/>
    <mergeCell ref="BK117:BK118"/>
    <mergeCell ref="AD117:AD118"/>
    <mergeCell ref="AE117:AG117"/>
    <mergeCell ref="AI117:AM117"/>
    <mergeCell ref="AN117:AN118"/>
    <mergeCell ref="AO117:AS117"/>
    <mergeCell ref="AT117:AT118"/>
    <mergeCell ref="CA121:CA122"/>
    <mergeCell ref="CB121:CF121"/>
    <mergeCell ref="AD123:AZ123"/>
    <mergeCell ref="E124:AC124"/>
    <mergeCell ref="AU121:AY121"/>
    <mergeCell ref="AZ121:AZ122"/>
    <mergeCell ref="BL121:BN121"/>
    <mergeCell ref="BP121:BT121"/>
    <mergeCell ref="BU121:BU122"/>
    <mergeCell ref="BV121:BZ121"/>
    <mergeCell ref="AD121:AD122"/>
    <mergeCell ref="AE121:AG121"/>
    <mergeCell ref="AI121:AM121"/>
    <mergeCell ref="AN121:AN122"/>
    <mergeCell ref="AO121:AS121"/>
    <mergeCell ref="AT121:AT122"/>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C00-000000000000}">
          <x14:formula1>
            <xm:f>0</xm:f>
          </x14:formula1>
          <x14:formula2>
            <xm:f>9</xm:f>
          </x14:formula2>
          <xm:sqref>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5"/>
  <dimension ref="A1:CJ132"/>
  <sheetViews>
    <sheetView zoomScaleNormal="100" workbookViewId="0">
      <selection activeCell="C31" sqref="C31"/>
    </sheetView>
  </sheetViews>
  <sheetFormatPr defaultRowHeight="12.75"/>
  <cols>
    <col min="1" max="1" width="0.7109375" style="220" customWidth="1"/>
    <col min="2" max="2" width="0.42578125" style="220" customWidth="1"/>
    <col min="3" max="3" width="0.5703125" style="220" customWidth="1"/>
    <col min="4" max="4" width="0.28515625" style="221" customWidth="1"/>
    <col min="5" max="5" width="3.7109375" style="278" customWidth="1"/>
    <col min="6" max="6" width="1.140625" style="278" customWidth="1"/>
    <col min="7" max="7" width="0.7109375" style="278" customWidth="1"/>
    <col min="8" max="10" width="0.7109375" style="279" customWidth="1"/>
    <col min="11" max="11" width="0.7109375" style="280" customWidth="1"/>
    <col min="12" max="12" width="0.5703125" style="280" customWidth="1"/>
    <col min="13" max="25" width="0.7109375" style="280" customWidth="1"/>
    <col min="26" max="26" width="1.4257812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 style="280" customWidth="1"/>
    <col min="63" max="63" width="0.5703125" style="280" customWidth="1"/>
    <col min="64" max="64" width="2.140625" style="280" customWidth="1"/>
    <col min="65" max="65" width="0.5703125" style="280" customWidth="1"/>
    <col min="66" max="66" width="2.140625" style="280" customWidth="1"/>
    <col min="67" max="67" width="0.5703125" style="280" customWidth="1"/>
    <col min="68" max="68" width="2.140625" style="280" customWidth="1"/>
    <col min="69" max="69" width="0.5703125" style="280" customWidth="1"/>
    <col min="70" max="70" width="2.140625" style="280" customWidth="1"/>
    <col min="71" max="71" width="0.5703125" style="280" customWidth="1"/>
    <col min="72" max="72" width="2.140625" style="280" customWidth="1"/>
    <col min="73" max="73" width="0.5703125" style="280" customWidth="1"/>
    <col min="74" max="74" width="2.140625" style="280" customWidth="1"/>
    <col min="75" max="75" width="0.5703125" style="280" customWidth="1"/>
    <col min="76" max="76" width="2.140625" style="280" customWidth="1"/>
    <col min="77" max="77" width="0.5703125" style="280" customWidth="1"/>
    <col min="78" max="78" width="2.140625" style="280" customWidth="1"/>
    <col min="79" max="79" width="0.5703125" style="280" customWidth="1"/>
    <col min="80" max="80" width="2.140625" style="280" customWidth="1"/>
    <col min="81" max="81" width="0.5703125" style="280" customWidth="1"/>
    <col min="82" max="82" width="2.140625" style="280" customWidth="1"/>
    <col min="83" max="83" width="0.5703125" style="280" customWidth="1"/>
    <col min="84" max="84" width="2.140625" style="280" customWidth="1"/>
    <col min="85" max="85" width="0.5703125" style="280" customWidth="1"/>
    <col min="86" max="87" width="2.5703125" style="221" customWidth="1"/>
    <col min="88" max="256" width="9.140625" style="221"/>
    <col min="257" max="257" width="0.7109375" style="221" customWidth="1"/>
    <col min="258" max="258" width="0.42578125" style="221" customWidth="1"/>
    <col min="259" max="259" width="0.5703125" style="221" customWidth="1"/>
    <col min="260" max="260" width="0.28515625" style="221" customWidth="1"/>
    <col min="261" max="261" width="3.7109375" style="221" customWidth="1"/>
    <col min="262" max="262" width="1.140625" style="221" customWidth="1"/>
    <col min="263" max="267" width="0.7109375" style="221" customWidth="1"/>
    <col min="268" max="268" width="0.5703125" style="221" customWidth="1"/>
    <col min="269" max="281" width="0.7109375" style="221" customWidth="1"/>
    <col min="282" max="282" width="1.4257812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 style="221" customWidth="1"/>
    <col min="319" max="319" width="0.5703125" style="221" customWidth="1"/>
    <col min="320" max="320" width="2.140625" style="221" customWidth="1"/>
    <col min="321" max="321" width="0.5703125" style="221" customWidth="1"/>
    <col min="322" max="322" width="2.140625" style="221" customWidth="1"/>
    <col min="323" max="323" width="0.5703125" style="221" customWidth="1"/>
    <col min="324" max="324" width="2.140625" style="221" customWidth="1"/>
    <col min="325" max="325" width="0.5703125" style="221" customWidth="1"/>
    <col min="326" max="326" width="2.140625" style="221" customWidth="1"/>
    <col min="327" max="327" width="0.5703125" style="221" customWidth="1"/>
    <col min="328" max="328" width="2.140625" style="221" customWidth="1"/>
    <col min="329" max="329" width="0.5703125" style="221" customWidth="1"/>
    <col min="330" max="330" width="2.140625" style="221" customWidth="1"/>
    <col min="331" max="331" width="0.5703125" style="221" customWidth="1"/>
    <col min="332" max="332" width="2.140625" style="221" customWidth="1"/>
    <col min="333" max="333" width="0.5703125" style="221" customWidth="1"/>
    <col min="334" max="334" width="2.140625" style="221" customWidth="1"/>
    <col min="335" max="335" width="0.5703125" style="221" customWidth="1"/>
    <col min="336" max="336" width="2.140625" style="221" customWidth="1"/>
    <col min="337" max="337" width="0.5703125" style="221" customWidth="1"/>
    <col min="338" max="338" width="2.140625" style="221" customWidth="1"/>
    <col min="339" max="339" width="0.5703125" style="221" customWidth="1"/>
    <col min="340" max="340" width="2.140625" style="221" customWidth="1"/>
    <col min="341" max="341" width="0.5703125" style="221" customWidth="1"/>
    <col min="342" max="343" width="2.5703125" style="221" customWidth="1"/>
    <col min="344" max="512" width="9.140625" style="221"/>
    <col min="513" max="513" width="0.7109375" style="221" customWidth="1"/>
    <col min="514" max="514" width="0.42578125" style="221" customWidth="1"/>
    <col min="515" max="515" width="0.5703125" style="221" customWidth="1"/>
    <col min="516" max="516" width="0.28515625" style="221" customWidth="1"/>
    <col min="517" max="517" width="3.7109375" style="221" customWidth="1"/>
    <col min="518" max="518" width="1.140625" style="221" customWidth="1"/>
    <col min="519" max="523" width="0.7109375" style="221" customWidth="1"/>
    <col min="524" max="524" width="0.5703125" style="221" customWidth="1"/>
    <col min="525" max="537" width="0.7109375" style="221" customWidth="1"/>
    <col min="538" max="538" width="1.4257812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 style="221" customWidth="1"/>
    <col min="575" max="575" width="0.5703125" style="221" customWidth="1"/>
    <col min="576" max="576" width="2.140625" style="221" customWidth="1"/>
    <col min="577" max="577" width="0.5703125" style="221" customWidth="1"/>
    <col min="578" max="578" width="2.140625" style="221" customWidth="1"/>
    <col min="579" max="579" width="0.5703125" style="221" customWidth="1"/>
    <col min="580" max="580" width="2.140625" style="221" customWidth="1"/>
    <col min="581" max="581" width="0.5703125" style="221" customWidth="1"/>
    <col min="582" max="582" width="2.140625" style="221" customWidth="1"/>
    <col min="583" max="583" width="0.5703125" style="221" customWidth="1"/>
    <col min="584" max="584" width="2.140625" style="221" customWidth="1"/>
    <col min="585" max="585" width="0.5703125" style="221" customWidth="1"/>
    <col min="586" max="586" width="2.140625" style="221" customWidth="1"/>
    <col min="587" max="587" width="0.5703125" style="221" customWidth="1"/>
    <col min="588" max="588" width="2.140625" style="221" customWidth="1"/>
    <col min="589" max="589" width="0.5703125" style="221" customWidth="1"/>
    <col min="590" max="590" width="2.140625" style="221" customWidth="1"/>
    <col min="591" max="591" width="0.5703125" style="221" customWidth="1"/>
    <col min="592" max="592" width="2.140625" style="221" customWidth="1"/>
    <col min="593" max="593" width="0.5703125" style="221" customWidth="1"/>
    <col min="594" max="594" width="2.140625" style="221" customWidth="1"/>
    <col min="595" max="595" width="0.5703125" style="221" customWidth="1"/>
    <col min="596" max="596" width="2.140625" style="221" customWidth="1"/>
    <col min="597" max="597" width="0.5703125" style="221" customWidth="1"/>
    <col min="598" max="599" width="2.5703125" style="221" customWidth="1"/>
    <col min="600" max="768" width="9.140625" style="221"/>
    <col min="769" max="769" width="0.7109375" style="221" customWidth="1"/>
    <col min="770" max="770" width="0.42578125" style="221" customWidth="1"/>
    <col min="771" max="771" width="0.5703125" style="221" customWidth="1"/>
    <col min="772" max="772" width="0.28515625" style="221" customWidth="1"/>
    <col min="773" max="773" width="3.7109375" style="221" customWidth="1"/>
    <col min="774" max="774" width="1.140625" style="221" customWidth="1"/>
    <col min="775" max="779" width="0.7109375" style="221" customWidth="1"/>
    <col min="780" max="780" width="0.5703125" style="221" customWidth="1"/>
    <col min="781" max="793" width="0.7109375" style="221" customWidth="1"/>
    <col min="794" max="794" width="1.4257812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 style="221" customWidth="1"/>
    <col min="831" max="831" width="0.5703125" style="221" customWidth="1"/>
    <col min="832" max="832" width="2.140625" style="221" customWidth="1"/>
    <col min="833" max="833" width="0.5703125" style="221" customWidth="1"/>
    <col min="834" max="834" width="2.140625" style="221" customWidth="1"/>
    <col min="835" max="835" width="0.5703125" style="221" customWidth="1"/>
    <col min="836" max="836" width="2.140625" style="221" customWidth="1"/>
    <col min="837" max="837" width="0.5703125" style="221" customWidth="1"/>
    <col min="838" max="838" width="2.140625" style="221" customWidth="1"/>
    <col min="839" max="839" width="0.5703125" style="221" customWidth="1"/>
    <col min="840" max="840" width="2.140625" style="221" customWidth="1"/>
    <col min="841" max="841" width="0.5703125" style="221" customWidth="1"/>
    <col min="842" max="842" width="2.140625" style="221" customWidth="1"/>
    <col min="843" max="843" width="0.5703125" style="221" customWidth="1"/>
    <col min="844" max="844" width="2.140625" style="221" customWidth="1"/>
    <col min="845" max="845" width="0.5703125" style="221" customWidth="1"/>
    <col min="846" max="846" width="2.140625" style="221" customWidth="1"/>
    <col min="847" max="847" width="0.5703125" style="221" customWidth="1"/>
    <col min="848" max="848" width="2.140625" style="221" customWidth="1"/>
    <col min="849" max="849" width="0.5703125" style="221" customWidth="1"/>
    <col min="850" max="850" width="2.140625" style="221" customWidth="1"/>
    <col min="851" max="851" width="0.5703125" style="221" customWidth="1"/>
    <col min="852" max="852" width="2.140625" style="221" customWidth="1"/>
    <col min="853" max="853" width="0.5703125" style="221" customWidth="1"/>
    <col min="854" max="855" width="2.5703125" style="221" customWidth="1"/>
    <col min="856"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7109375" style="221" customWidth="1"/>
    <col min="1030" max="1030" width="1.140625" style="221" customWidth="1"/>
    <col min="1031" max="1035" width="0.7109375" style="221" customWidth="1"/>
    <col min="1036" max="1036" width="0.5703125" style="221" customWidth="1"/>
    <col min="1037" max="1049" width="0.7109375" style="221" customWidth="1"/>
    <col min="1050" max="1050" width="1.4257812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 style="221" customWidth="1"/>
    <col min="1087" max="1087" width="0.5703125" style="221" customWidth="1"/>
    <col min="1088" max="1088" width="2.140625" style="221" customWidth="1"/>
    <col min="1089" max="1089" width="0.5703125" style="221" customWidth="1"/>
    <col min="1090" max="1090" width="2.140625" style="221" customWidth="1"/>
    <col min="1091" max="1091" width="0.5703125" style="221" customWidth="1"/>
    <col min="1092" max="1092" width="2.140625" style="221" customWidth="1"/>
    <col min="1093" max="1093" width="0.5703125" style="221" customWidth="1"/>
    <col min="1094" max="1094" width="2.140625" style="221" customWidth="1"/>
    <col min="1095" max="1095" width="0.5703125" style="221" customWidth="1"/>
    <col min="1096" max="1096" width="2.140625" style="221" customWidth="1"/>
    <col min="1097" max="1097" width="0.5703125" style="221" customWidth="1"/>
    <col min="1098" max="1098" width="2.140625" style="221" customWidth="1"/>
    <col min="1099" max="1099" width="0.5703125" style="221" customWidth="1"/>
    <col min="1100" max="1100" width="2.140625" style="221" customWidth="1"/>
    <col min="1101" max="1101" width="0.5703125" style="221" customWidth="1"/>
    <col min="1102" max="1102" width="2.140625" style="221" customWidth="1"/>
    <col min="1103" max="1103" width="0.5703125" style="221" customWidth="1"/>
    <col min="1104" max="1104" width="2.140625" style="221" customWidth="1"/>
    <col min="1105" max="1105" width="0.5703125" style="221" customWidth="1"/>
    <col min="1106" max="1106" width="2.140625" style="221" customWidth="1"/>
    <col min="1107" max="1107" width="0.5703125" style="221" customWidth="1"/>
    <col min="1108" max="1108" width="2.140625" style="221" customWidth="1"/>
    <col min="1109" max="1109" width="0.5703125" style="221" customWidth="1"/>
    <col min="1110" max="1111" width="2.5703125" style="221" customWidth="1"/>
    <col min="1112"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7109375" style="221" customWidth="1"/>
    <col min="1286" max="1286" width="1.140625" style="221" customWidth="1"/>
    <col min="1287" max="1291" width="0.7109375" style="221" customWidth="1"/>
    <col min="1292" max="1292" width="0.5703125" style="221" customWidth="1"/>
    <col min="1293" max="1305" width="0.7109375" style="221" customWidth="1"/>
    <col min="1306" max="1306" width="1.4257812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 style="221" customWidth="1"/>
    <col min="1343" max="1343" width="0.5703125" style="221" customWidth="1"/>
    <col min="1344" max="1344" width="2.140625" style="221" customWidth="1"/>
    <col min="1345" max="1345" width="0.5703125" style="221" customWidth="1"/>
    <col min="1346" max="1346" width="2.140625" style="221" customWidth="1"/>
    <col min="1347" max="1347" width="0.5703125" style="221" customWidth="1"/>
    <col min="1348" max="1348" width="2.140625" style="221" customWidth="1"/>
    <col min="1349" max="1349" width="0.5703125" style="221" customWidth="1"/>
    <col min="1350" max="1350" width="2.140625" style="221" customWidth="1"/>
    <col min="1351" max="1351" width="0.5703125" style="221" customWidth="1"/>
    <col min="1352" max="1352" width="2.140625" style="221" customWidth="1"/>
    <col min="1353" max="1353" width="0.5703125" style="221" customWidth="1"/>
    <col min="1354" max="1354" width="2.140625" style="221" customWidth="1"/>
    <col min="1355" max="1355" width="0.5703125" style="221" customWidth="1"/>
    <col min="1356" max="1356" width="2.140625" style="221" customWidth="1"/>
    <col min="1357" max="1357" width="0.5703125" style="221" customWidth="1"/>
    <col min="1358" max="1358" width="2.140625" style="221" customWidth="1"/>
    <col min="1359" max="1359" width="0.5703125" style="221" customWidth="1"/>
    <col min="1360" max="1360" width="2.140625" style="221" customWidth="1"/>
    <col min="1361" max="1361" width="0.5703125" style="221" customWidth="1"/>
    <col min="1362" max="1362" width="2.140625" style="221" customWidth="1"/>
    <col min="1363" max="1363" width="0.5703125" style="221" customWidth="1"/>
    <col min="1364" max="1364" width="2.140625" style="221" customWidth="1"/>
    <col min="1365" max="1365" width="0.5703125" style="221" customWidth="1"/>
    <col min="1366" max="1367" width="2.5703125" style="221" customWidth="1"/>
    <col min="1368"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7109375" style="221" customWidth="1"/>
    <col min="1542" max="1542" width="1.140625" style="221" customWidth="1"/>
    <col min="1543" max="1547" width="0.7109375" style="221" customWidth="1"/>
    <col min="1548" max="1548" width="0.5703125" style="221" customWidth="1"/>
    <col min="1549" max="1561" width="0.7109375" style="221" customWidth="1"/>
    <col min="1562" max="1562" width="1.4257812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 style="221" customWidth="1"/>
    <col min="1599" max="1599" width="0.5703125" style="221" customWidth="1"/>
    <col min="1600" max="1600" width="2.140625" style="221" customWidth="1"/>
    <col min="1601" max="1601" width="0.5703125" style="221" customWidth="1"/>
    <col min="1602" max="1602" width="2.140625" style="221" customWidth="1"/>
    <col min="1603" max="1603" width="0.5703125" style="221" customWidth="1"/>
    <col min="1604" max="1604" width="2.140625" style="221" customWidth="1"/>
    <col min="1605" max="1605" width="0.5703125" style="221" customWidth="1"/>
    <col min="1606" max="1606" width="2.140625" style="221" customWidth="1"/>
    <col min="1607" max="1607" width="0.5703125" style="221" customWidth="1"/>
    <col min="1608" max="1608" width="2.140625" style="221" customWidth="1"/>
    <col min="1609" max="1609" width="0.5703125" style="221" customWidth="1"/>
    <col min="1610" max="1610" width="2.140625" style="221" customWidth="1"/>
    <col min="1611" max="1611" width="0.5703125" style="221" customWidth="1"/>
    <col min="1612" max="1612" width="2.140625" style="221" customWidth="1"/>
    <col min="1613" max="1613" width="0.5703125" style="221" customWidth="1"/>
    <col min="1614" max="1614" width="2.140625" style="221" customWidth="1"/>
    <col min="1615" max="1615" width="0.5703125" style="221" customWidth="1"/>
    <col min="1616" max="1616" width="2.140625" style="221" customWidth="1"/>
    <col min="1617" max="1617" width="0.5703125" style="221" customWidth="1"/>
    <col min="1618" max="1618" width="2.140625" style="221" customWidth="1"/>
    <col min="1619" max="1619" width="0.5703125" style="221" customWidth="1"/>
    <col min="1620" max="1620" width="2.140625" style="221" customWidth="1"/>
    <col min="1621" max="1621" width="0.5703125" style="221" customWidth="1"/>
    <col min="1622" max="1623" width="2.5703125" style="221" customWidth="1"/>
    <col min="1624"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7109375" style="221" customWidth="1"/>
    <col min="1798" max="1798" width="1.140625" style="221" customWidth="1"/>
    <col min="1799" max="1803" width="0.7109375" style="221" customWidth="1"/>
    <col min="1804" max="1804" width="0.5703125" style="221" customWidth="1"/>
    <col min="1805" max="1817" width="0.7109375" style="221" customWidth="1"/>
    <col min="1818" max="1818" width="1.4257812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 style="221" customWidth="1"/>
    <col min="1855" max="1855" width="0.5703125" style="221" customWidth="1"/>
    <col min="1856" max="1856" width="2.140625" style="221" customWidth="1"/>
    <col min="1857" max="1857" width="0.5703125" style="221" customWidth="1"/>
    <col min="1858" max="1858" width="2.140625" style="221" customWidth="1"/>
    <col min="1859" max="1859" width="0.5703125" style="221" customWidth="1"/>
    <col min="1860" max="1860" width="2.140625" style="221" customWidth="1"/>
    <col min="1861" max="1861" width="0.5703125" style="221" customWidth="1"/>
    <col min="1862" max="1862" width="2.140625" style="221" customWidth="1"/>
    <col min="1863" max="1863" width="0.5703125" style="221" customWidth="1"/>
    <col min="1864" max="1864" width="2.140625" style="221" customWidth="1"/>
    <col min="1865" max="1865" width="0.5703125" style="221" customWidth="1"/>
    <col min="1866" max="1866" width="2.140625" style="221" customWidth="1"/>
    <col min="1867" max="1867" width="0.5703125" style="221" customWidth="1"/>
    <col min="1868" max="1868" width="2.140625" style="221" customWidth="1"/>
    <col min="1869" max="1869" width="0.5703125" style="221" customWidth="1"/>
    <col min="1870" max="1870" width="2.140625" style="221" customWidth="1"/>
    <col min="1871" max="1871" width="0.5703125" style="221" customWidth="1"/>
    <col min="1872" max="1872" width="2.140625" style="221" customWidth="1"/>
    <col min="1873" max="1873" width="0.5703125" style="221" customWidth="1"/>
    <col min="1874" max="1874" width="2.140625" style="221" customWidth="1"/>
    <col min="1875" max="1875" width="0.5703125" style="221" customWidth="1"/>
    <col min="1876" max="1876" width="2.140625" style="221" customWidth="1"/>
    <col min="1877" max="1877" width="0.5703125" style="221" customWidth="1"/>
    <col min="1878" max="1879" width="2.5703125" style="221" customWidth="1"/>
    <col min="1880"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7109375" style="221" customWidth="1"/>
    <col min="2054" max="2054" width="1.140625" style="221" customWidth="1"/>
    <col min="2055" max="2059" width="0.7109375" style="221" customWidth="1"/>
    <col min="2060" max="2060" width="0.5703125" style="221" customWidth="1"/>
    <col min="2061" max="2073" width="0.7109375" style="221" customWidth="1"/>
    <col min="2074" max="2074" width="1.4257812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 style="221" customWidth="1"/>
    <col min="2111" max="2111" width="0.5703125" style="221" customWidth="1"/>
    <col min="2112" max="2112" width="2.140625" style="221" customWidth="1"/>
    <col min="2113" max="2113" width="0.5703125" style="221" customWidth="1"/>
    <col min="2114" max="2114" width="2.140625" style="221" customWidth="1"/>
    <col min="2115" max="2115" width="0.5703125" style="221" customWidth="1"/>
    <col min="2116" max="2116" width="2.140625" style="221" customWidth="1"/>
    <col min="2117" max="2117" width="0.5703125" style="221" customWidth="1"/>
    <col min="2118" max="2118" width="2.140625" style="221" customWidth="1"/>
    <col min="2119" max="2119" width="0.5703125" style="221" customWidth="1"/>
    <col min="2120" max="2120" width="2.140625" style="221" customWidth="1"/>
    <col min="2121" max="2121" width="0.5703125" style="221" customWidth="1"/>
    <col min="2122" max="2122" width="2.140625" style="221" customWidth="1"/>
    <col min="2123" max="2123" width="0.5703125" style="221" customWidth="1"/>
    <col min="2124" max="2124" width="2.140625" style="221" customWidth="1"/>
    <col min="2125" max="2125" width="0.5703125" style="221" customWidth="1"/>
    <col min="2126" max="2126" width="2.140625" style="221" customWidth="1"/>
    <col min="2127" max="2127" width="0.5703125" style="221" customWidth="1"/>
    <col min="2128" max="2128" width="2.140625" style="221" customWidth="1"/>
    <col min="2129" max="2129" width="0.5703125" style="221" customWidth="1"/>
    <col min="2130" max="2130" width="2.140625" style="221" customWidth="1"/>
    <col min="2131" max="2131" width="0.5703125" style="221" customWidth="1"/>
    <col min="2132" max="2132" width="2.140625" style="221" customWidth="1"/>
    <col min="2133" max="2133" width="0.5703125" style="221" customWidth="1"/>
    <col min="2134" max="2135" width="2.5703125" style="221" customWidth="1"/>
    <col min="2136"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7109375" style="221" customWidth="1"/>
    <col min="2310" max="2310" width="1.140625" style="221" customWidth="1"/>
    <col min="2311" max="2315" width="0.7109375" style="221" customWidth="1"/>
    <col min="2316" max="2316" width="0.5703125" style="221" customWidth="1"/>
    <col min="2317" max="2329" width="0.7109375" style="221" customWidth="1"/>
    <col min="2330" max="2330" width="1.4257812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 style="221" customWidth="1"/>
    <col min="2367" max="2367" width="0.5703125" style="221" customWidth="1"/>
    <col min="2368" max="2368" width="2.140625" style="221" customWidth="1"/>
    <col min="2369" max="2369" width="0.5703125" style="221" customWidth="1"/>
    <col min="2370" max="2370" width="2.140625" style="221" customWidth="1"/>
    <col min="2371" max="2371" width="0.5703125" style="221" customWidth="1"/>
    <col min="2372" max="2372" width="2.140625" style="221" customWidth="1"/>
    <col min="2373" max="2373" width="0.5703125" style="221" customWidth="1"/>
    <col min="2374" max="2374" width="2.140625" style="221" customWidth="1"/>
    <col min="2375" max="2375" width="0.5703125" style="221" customWidth="1"/>
    <col min="2376" max="2376" width="2.140625" style="221" customWidth="1"/>
    <col min="2377" max="2377" width="0.5703125" style="221" customWidth="1"/>
    <col min="2378" max="2378" width="2.140625" style="221" customWidth="1"/>
    <col min="2379" max="2379" width="0.5703125" style="221" customWidth="1"/>
    <col min="2380" max="2380" width="2.140625" style="221" customWidth="1"/>
    <col min="2381" max="2381" width="0.5703125" style="221" customWidth="1"/>
    <col min="2382" max="2382" width="2.140625" style="221" customWidth="1"/>
    <col min="2383" max="2383" width="0.5703125" style="221" customWidth="1"/>
    <col min="2384" max="2384" width="2.140625" style="221" customWidth="1"/>
    <col min="2385" max="2385" width="0.5703125" style="221" customWidth="1"/>
    <col min="2386" max="2386" width="2.140625" style="221" customWidth="1"/>
    <col min="2387" max="2387" width="0.5703125" style="221" customWidth="1"/>
    <col min="2388" max="2388" width="2.140625" style="221" customWidth="1"/>
    <col min="2389" max="2389" width="0.5703125" style="221" customWidth="1"/>
    <col min="2390" max="2391" width="2.5703125" style="221" customWidth="1"/>
    <col min="2392"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7109375" style="221" customWidth="1"/>
    <col min="2566" max="2566" width="1.140625" style="221" customWidth="1"/>
    <col min="2567" max="2571" width="0.7109375" style="221" customWidth="1"/>
    <col min="2572" max="2572" width="0.5703125" style="221" customWidth="1"/>
    <col min="2573" max="2585" width="0.7109375" style="221" customWidth="1"/>
    <col min="2586" max="2586" width="1.4257812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 style="221" customWidth="1"/>
    <col min="2623" max="2623" width="0.5703125" style="221" customWidth="1"/>
    <col min="2624" max="2624" width="2.140625" style="221" customWidth="1"/>
    <col min="2625" max="2625" width="0.5703125" style="221" customWidth="1"/>
    <col min="2626" max="2626" width="2.140625" style="221" customWidth="1"/>
    <col min="2627" max="2627" width="0.5703125" style="221" customWidth="1"/>
    <col min="2628" max="2628" width="2.140625" style="221" customWidth="1"/>
    <col min="2629" max="2629" width="0.5703125" style="221" customWidth="1"/>
    <col min="2630" max="2630" width="2.140625" style="221" customWidth="1"/>
    <col min="2631" max="2631" width="0.5703125" style="221" customWidth="1"/>
    <col min="2632" max="2632" width="2.140625" style="221" customWidth="1"/>
    <col min="2633" max="2633" width="0.5703125" style="221" customWidth="1"/>
    <col min="2634" max="2634" width="2.140625" style="221" customWidth="1"/>
    <col min="2635" max="2635" width="0.5703125" style="221" customWidth="1"/>
    <col min="2636" max="2636" width="2.140625" style="221" customWidth="1"/>
    <col min="2637" max="2637" width="0.5703125" style="221" customWidth="1"/>
    <col min="2638" max="2638" width="2.140625" style="221" customWidth="1"/>
    <col min="2639" max="2639" width="0.5703125" style="221" customWidth="1"/>
    <col min="2640" max="2640" width="2.140625" style="221" customWidth="1"/>
    <col min="2641" max="2641" width="0.5703125" style="221" customWidth="1"/>
    <col min="2642" max="2642" width="2.140625" style="221" customWidth="1"/>
    <col min="2643" max="2643" width="0.5703125" style="221" customWidth="1"/>
    <col min="2644" max="2644" width="2.140625" style="221" customWidth="1"/>
    <col min="2645" max="2645" width="0.5703125" style="221" customWidth="1"/>
    <col min="2646" max="2647" width="2.5703125" style="221" customWidth="1"/>
    <col min="2648"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7109375" style="221" customWidth="1"/>
    <col min="2822" max="2822" width="1.140625" style="221" customWidth="1"/>
    <col min="2823" max="2827" width="0.7109375" style="221" customWidth="1"/>
    <col min="2828" max="2828" width="0.5703125" style="221" customWidth="1"/>
    <col min="2829" max="2841" width="0.7109375" style="221" customWidth="1"/>
    <col min="2842" max="2842" width="1.4257812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 style="221" customWidth="1"/>
    <col min="2879" max="2879" width="0.5703125" style="221" customWidth="1"/>
    <col min="2880" max="2880" width="2.140625" style="221" customWidth="1"/>
    <col min="2881" max="2881" width="0.5703125" style="221" customWidth="1"/>
    <col min="2882" max="2882" width="2.140625" style="221" customWidth="1"/>
    <col min="2883" max="2883" width="0.5703125" style="221" customWidth="1"/>
    <col min="2884" max="2884" width="2.140625" style="221" customWidth="1"/>
    <col min="2885" max="2885" width="0.5703125" style="221" customWidth="1"/>
    <col min="2886" max="2886" width="2.140625" style="221" customWidth="1"/>
    <col min="2887" max="2887" width="0.5703125" style="221" customWidth="1"/>
    <col min="2888" max="2888" width="2.140625" style="221" customWidth="1"/>
    <col min="2889" max="2889" width="0.5703125" style="221" customWidth="1"/>
    <col min="2890" max="2890" width="2.140625" style="221" customWidth="1"/>
    <col min="2891" max="2891" width="0.5703125" style="221" customWidth="1"/>
    <col min="2892" max="2892" width="2.140625" style="221" customWidth="1"/>
    <col min="2893" max="2893" width="0.5703125" style="221" customWidth="1"/>
    <col min="2894" max="2894" width="2.140625" style="221" customWidth="1"/>
    <col min="2895" max="2895" width="0.5703125" style="221" customWidth="1"/>
    <col min="2896" max="2896" width="2.140625" style="221" customWidth="1"/>
    <col min="2897" max="2897" width="0.5703125" style="221" customWidth="1"/>
    <col min="2898" max="2898" width="2.140625" style="221" customWidth="1"/>
    <col min="2899" max="2899" width="0.5703125" style="221" customWidth="1"/>
    <col min="2900" max="2900" width="2.140625" style="221" customWidth="1"/>
    <col min="2901" max="2901" width="0.5703125" style="221" customWidth="1"/>
    <col min="2902" max="2903" width="2.5703125" style="221" customWidth="1"/>
    <col min="2904"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7109375" style="221" customWidth="1"/>
    <col min="3078" max="3078" width="1.140625" style="221" customWidth="1"/>
    <col min="3079" max="3083" width="0.7109375" style="221" customWidth="1"/>
    <col min="3084" max="3084" width="0.5703125" style="221" customWidth="1"/>
    <col min="3085" max="3097" width="0.7109375" style="221" customWidth="1"/>
    <col min="3098" max="3098" width="1.4257812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 style="221" customWidth="1"/>
    <col min="3135" max="3135" width="0.5703125" style="221" customWidth="1"/>
    <col min="3136" max="3136" width="2.140625" style="221" customWidth="1"/>
    <col min="3137" max="3137" width="0.5703125" style="221" customWidth="1"/>
    <col min="3138" max="3138" width="2.140625" style="221" customWidth="1"/>
    <col min="3139" max="3139" width="0.5703125" style="221" customWidth="1"/>
    <col min="3140" max="3140" width="2.140625" style="221" customWidth="1"/>
    <col min="3141" max="3141" width="0.5703125" style="221" customWidth="1"/>
    <col min="3142" max="3142" width="2.140625" style="221" customWidth="1"/>
    <col min="3143" max="3143" width="0.5703125" style="221" customWidth="1"/>
    <col min="3144" max="3144" width="2.140625" style="221" customWidth="1"/>
    <col min="3145" max="3145" width="0.5703125" style="221" customWidth="1"/>
    <col min="3146" max="3146" width="2.140625" style="221" customWidth="1"/>
    <col min="3147" max="3147" width="0.5703125" style="221" customWidth="1"/>
    <col min="3148" max="3148" width="2.140625" style="221" customWidth="1"/>
    <col min="3149" max="3149" width="0.5703125" style="221" customWidth="1"/>
    <col min="3150" max="3150" width="2.140625" style="221" customWidth="1"/>
    <col min="3151" max="3151" width="0.5703125" style="221" customWidth="1"/>
    <col min="3152" max="3152" width="2.140625" style="221" customWidth="1"/>
    <col min="3153" max="3153" width="0.5703125" style="221" customWidth="1"/>
    <col min="3154" max="3154" width="2.140625" style="221" customWidth="1"/>
    <col min="3155" max="3155" width="0.5703125" style="221" customWidth="1"/>
    <col min="3156" max="3156" width="2.140625" style="221" customWidth="1"/>
    <col min="3157" max="3157" width="0.5703125" style="221" customWidth="1"/>
    <col min="3158" max="3159" width="2.5703125" style="221" customWidth="1"/>
    <col min="3160"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7109375" style="221" customWidth="1"/>
    <col min="3334" max="3334" width="1.140625" style="221" customWidth="1"/>
    <col min="3335" max="3339" width="0.7109375" style="221" customWidth="1"/>
    <col min="3340" max="3340" width="0.5703125" style="221" customWidth="1"/>
    <col min="3341" max="3353" width="0.7109375" style="221" customWidth="1"/>
    <col min="3354" max="3354" width="1.4257812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 style="221" customWidth="1"/>
    <col min="3391" max="3391" width="0.5703125" style="221" customWidth="1"/>
    <col min="3392" max="3392" width="2.140625" style="221" customWidth="1"/>
    <col min="3393" max="3393" width="0.5703125" style="221" customWidth="1"/>
    <col min="3394" max="3394" width="2.140625" style="221" customWidth="1"/>
    <col min="3395" max="3395" width="0.5703125" style="221" customWidth="1"/>
    <col min="3396" max="3396" width="2.140625" style="221" customWidth="1"/>
    <col min="3397" max="3397" width="0.5703125" style="221" customWidth="1"/>
    <col min="3398" max="3398" width="2.140625" style="221" customWidth="1"/>
    <col min="3399" max="3399" width="0.5703125" style="221" customWidth="1"/>
    <col min="3400" max="3400" width="2.140625" style="221" customWidth="1"/>
    <col min="3401" max="3401" width="0.5703125" style="221" customWidth="1"/>
    <col min="3402" max="3402" width="2.140625" style="221" customWidth="1"/>
    <col min="3403" max="3403" width="0.5703125" style="221" customWidth="1"/>
    <col min="3404" max="3404" width="2.140625" style="221" customWidth="1"/>
    <col min="3405" max="3405" width="0.5703125" style="221" customWidth="1"/>
    <col min="3406" max="3406" width="2.140625" style="221" customWidth="1"/>
    <col min="3407" max="3407" width="0.5703125" style="221" customWidth="1"/>
    <col min="3408" max="3408" width="2.140625" style="221" customWidth="1"/>
    <col min="3409" max="3409" width="0.5703125" style="221" customWidth="1"/>
    <col min="3410" max="3410" width="2.140625" style="221" customWidth="1"/>
    <col min="3411" max="3411" width="0.5703125" style="221" customWidth="1"/>
    <col min="3412" max="3412" width="2.140625" style="221" customWidth="1"/>
    <col min="3413" max="3413" width="0.5703125" style="221" customWidth="1"/>
    <col min="3414" max="3415" width="2.5703125" style="221" customWidth="1"/>
    <col min="3416"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7109375" style="221" customWidth="1"/>
    <col min="3590" max="3590" width="1.140625" style="221" customWidth="1"/>
    <col min="3591" max="3595" width="0.7109375" style="221" customWidth="1"/>
    <col min="3596" max="3596" width="0.5703125" style="221" customWidth="1"/>
    <col min="3597" max="3609" width="0.7109375" style="221" customWidth="1"/>
    <col min="3610" max="3610" width="1.4257812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 style="221" customWidth="1"/>
    <col min="3647" max="3647" width="0.5703125" style="221" customWidth="1"/>
    <col min="3648" max="3648" width="2.140625" style="221" customWidth="1"/>
    <col min="3649" max="3649" width="0.5703125" style="221" customWidth="1"/>
    <col min="3650" max="3650" width="2.140625" style="221" customWidth="1"/>
    <col min="3651" max="3651" width="0.5703125" style="221" customWidth="1"/>
    <col min="3652" max="3652" width="2.140625" style="221" customWidth="1"/>
    <col min="3653" max="3653" width="0.5703125" style="221" customWidth="1"/>
    <col min="3654" max="3654" width="2.140625" style="221" customWidth="1"/>
    <col min="3655" max="3655" width="0.5703125" style="221" customWidth="1"/>
    <col min="3656" max="3656" width="2.140625" style="221" customWidth="1"/>
    <col min="3657" max="3657" width="0.5703125" style="221" customWidth="1"/>
    <col min="3658" max="3658" width="2.140625" style="221" customWidth="1"/>
    <col min="3659" max="3659" width="0.5703125" style="221" customWidth="1"/>
    <col min="3660" max="3660" width="2.140625" style="221" customWidth="1"/>
    <col min="3661" max="3661" width="0.5703125" style="221" customWidth="1"/>
    <col min="3662" max="3662" width="2.140625" style="221" customWidth="1"/>
    <col min="3663" max="3663" width="0.5703125" style="221" customWidth="1"/>
    <col min="3664" max="3664" width="2.140625" style="221" customWidth="1"/>
    <col min="3665" max="3665" width="0.5703125" style="221" customWidth="1"/>
    <col min="3666" max="3666" width="2.140625" style="221" customWidth="1"/>
    <col min="3667" max="3667" width="0.5703125" style="221" customWidth="1"/>
    <col min="3668" max="3668" width="2.140625" style="221" customWidth="1"/>
    <col min="3669" max="3669" width="0.5703125" style="221" customWidth="1"/>
    <col min="3670" max="3671" width="2.5703125" style="221" customWidth="1"/>
    <col min="3672"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7109375" style="221" customWidth="1"/>
    <col min="3846" max="3846" width="1.140625" style="221" customWidth="1"/>
    <col min="3847" max="3851" width="0.7109375" style="221" customWidth="1"/>
    <col min="3852" max="3852" width="0.5703125" style="221" customWidth="1"/>
    <col min="3853" max="3865" width="0.7109375" style="221" customWidth="1"/>
    <col min="3866" max="3866" width="1.4257812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 style="221" customWidth="1"/>
    <col min="3903" max="3903" width="0.5703125" style="221" customWidth="1"/>
    <col min="3904" max="3904" width="2.140625" style="221" customWidth="1"/>
    <col min="3905" max="3905" width="0.5703125" style="221" customWidth="1"/>
    <col min="3906" max="3906" width="2.140625" style="221" customWidth="1"/>
    <col min="3907" max="3907" width="0.5703125" style="221" customWidth="1"/>
    <col min="3908" max="3908" width="2.140625" style="221" customWidth="1"/>
    <col min="3909" max="3909" width="0.5703125" style="221" customWidth="1"/>
    <col min="3910" max="3910" width="2.140625" style="221" customWidth="1"/>
    <col min="3911" max="3911" width="0.5703125" style="221" customWidth="1"/>
    <col min="3912" max="3912" width="2.140625" style="221" customWidth="1"/>
    <col min="3913" max="3913" width="0.5703125" style="221" customWidth="1"/>
    <col min="3914" max="3914" width="2.140625" style="221" customWidth="1"/>
    <col min="3915" max="3915" width="0.5703125" style="221" customWidth="1"/>
    <col min="3916" max="3916" width="2.140625" style="221" customWidth="1"/>
    <col min="3917" max="3917" width="0.5703125" style="221" customWidth="1"/>
    <col min="3918" max="3918" width="2.140625" style="221" customWidth="1"/>
    <col min="3919" max="3919" width="0.5703125" style="221" customWidth="1"/>
    <col min="3920" max="3920" width="2.140625" style="221" customWidth="1"/>
    <col min="3921" max="3921" width="0.5703125" style="221" customWidth="1"/>
    <col min="3922" max="3922" width="2.140625" style="221" customWidth="1"/>
    <col min="3923" max="3923" width="0.5703125" style="221" customWidth="1"/>
    <col min="3924" max="3924" width="2.140625" style="221" customWidth="1"/>
    <col min="3925" max="3925" width="0.5703125" style="221" customWidth="1"/>
    <col min="3926" max="3927" width="2.5703125" style="221" customWidth="1"/>
    <col min="3928"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7109375" style="221" customWidth="1"/>
    <col min="4102" max="4102" width="1.140625" style="221" customWidth="1"/>
    <col min="4103" max="4107" width="0.7109375" style="221" customWidth="1"/>
    <col min="4108" max="4108" width="0.5703125" style="221" customWidth="1"/>
    <col min="4109" max="4121" width="0.7109375" style="221" customWidth="1"/>
    <col min="4122" max="4122" width="1.4257812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 style="221" customWidth="1"/>
    <col min="4159" max="4159" width="0.5703125" style="221" customWidth="1"/>
    <col min="4160" max="4160" width="2.140625" style="221" customWidth="1"/>
    <col min="4161" max="4161" width="0.5703125" style="221" customWidth="1"/>
    <col min="4162" max="4162" width="2.140625" style="221" customWidth="1"/>
    <col min="4163" max="4163" width="0.5703125" style="221" customWidth="1"/>
    <col min="4164" max="4164" width="2.140625" style="221" customWidth="1"/>
    <col min="4165" max="4165" width="0.5703125" style="221" customWidth="1"/>
    <col min="4166" max="4166" width="2.140625" style="221" customWidth="1"/>
    <col min="4167" max="4167" width="0.5703125" style="221" customWidth="1"/>
    <col min="4168" max="4168" width="2.140625" style="221" customWidth="1"/>
    <col min="4169" max="4169" width="0.5703125" style="221" customWidth="1"/>
    <col min="4170" max="4170" width="2.140625" style="221" customWidth="1"/>
    <col min="4171" max="4171" width="0.5703125" style="221" customWidth="1"/>
    <col min="4172" max="4172" width="2.140625" style="221" customWidth="1"/>
    <col min="4173" max="4173" width="0.5703125" style="221" customWidth="1"/>
    <col min="4174" max="4174" width="2.140625" style="221" customWidth="1"/>
    <col min="4175" max="4175" width="0.5703125" style="221" customWidth="1"/>
    <col min="4176" max="4176" width="2.140625" style="221" customWidth="1"/>
    <col min="4177" max="4177" width="0.5703125" style="221" customWidth="1"/>
    <col min="4178" max="4178" width="2.140625" style="221" customWidth="1"/>
    <col min="4179" max="4179" width="0.5703125" style="221" customWidth="1"/>
    <col min="4180" max="4180" width="2.140625" style="221" customWidth="1"/>
    <col min="4181" max="4181" width="0.5703125" style="221" customWidth="1"/>
    <col min="4182" max="4183" width="2.5703125" style="221" customWidth="1"/>
    <col min="4184"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7109375" style="221" customWidth="1"/>
    <col min="4358" max="4358" width="1.140625" style="221" customWidth="1"/>
    <col min="4359" max="4363" width="0.7109375" style="221" customWidth="1"/>
    <col min="4364" max="4364" width="0.5703125" style="221" customWidth="1"/>
    <col min="4365" max="4377" width="0.7109375" style="221" customWidth="1"/>
    <col min="4378" max="4378" width="1.4257812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 style="221" customWidth="1"/>
    <col min="4415" max="4415" width="0.5703125" style="221" customWidth="1"/>
    <col min="4416" max="4416" width="2.140625" style="221" customWidth="1"/>
    <col min="4417" max="4417" width="0.5703125" style="221" customWidth="1"/>
    <col min="4418" max="4418" width="2.140625" style="221" customWidth="1"/>
    <col min="4419" max="4419" width="0.5703125" style="221" customWidth="1"/>
    <col min="4420" max="4420" width="2.140625" style="221" customWidth="1"/>
    <col min="4421" max="4421" width="0.5703125" style="221" customWidth="1"/>
    <col min="4422" max="4422" width="2.140625" style="221" customWidth="1"/>
    <col min="4423" max="4423" width="0.5703125" style="221" customWidth="1"/>
    <col min="4424" max="4424" width="2.140625" style="221" customWidth="1"/>
    <col min="4425" max="4425" width="0.5703125" style="221" customWidth="1"/>
    <col min="4426" max="4426" width="2.140625" style="221" customWidth="1"/>
    <col min="4427" max="4427" width="0.5703125" style="221" customWidth="1"/>
    <col min="4428" max="4428" width="2.140625" style="221" customWidth="1"/>
    <col min="4429" max="4429" width="0.5703125" style="221" customWidth="1"/>
    <col min="4430" max="4430" width="2.140625" style="221" customWidth="1"/>
    <col min="4431" max="4431" width="0.5703125" style="221" customWidth="1"/>
    <col min="4432" max="4432" width="2.140625" style="221" customWidth="1"/>
    <col min="4433" max="4433" width="0.5703125" style="221" customWidth="1"/>
    <col min="4434" max="4434" width="2.140625" style="221" customWidth="1"/>
    <col min="4435" max="4435" width="0.5703125" style="221" customWidth="1"/>
    <col min="4436" max="4436" width="2.140625" style="221" customWidth="1"/>
    <col min="4437" max="4437" width="0.5703125" style="221" customWidth="1"/>
    <col min="4438" max="4439" width="2.5703125" style="221" customWidth="1"/>
    <col min="4440"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7109375" style="221" customWidth="1"/>
    <col min="4614" max="4614" width="1.140625" style="221" customWidth="1"/>
    <col min="4615" max="4619" width="0.7109375" style="221" customWidth="1"/>
    <col min="4620" max="4620" width="0.5703125" style="221" customWidth="1"/>
    <col min="4621" max="4633" width="0.7109375" style="221" customWidth="1"/>
    <col min="4634" max="4634" width="1.4257812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 style="221" customWidth="1"/>
    <col min="4671" max="4671" width="0.5703125" style="221" customWidth="1"/>
    <col min="4672" max="4672" width="2.140625" style="221" customWidth="1"/>
    <col min="4673" max="4673" width="0.5703125" style="221" customWidth="1"/>
    <col min="4674" max="4674" width="2.140625" style="221" customWidth="1"/>
    <col min="4675" max="4675" width="0.5703125" style="221" customWidth="1"/>
    <col min="4676" max="4676" width="2.140625" style="221" customWidth="1"/>
    <col min="4677" max="4677" width="0.5703125" style="221" customWidth="1"/>
    <col min="4678" max="4678" width="2.140625" style="221" customWidth="1"/>
    <col min="4679" max="4679" width="0.5703125" style="221" customWidth="1"/>
    <col min="4680" max="4680" width="2.140625" style="221" customWidth="1"/>
    <col min="4681" max="4681" width="0.5703125" style="221" customWidth="1"/>
    <col min="4682" max="4682" width="2.140625" style="221" customWidth="1"/>
    <col min="4683" max="4683" width="0.5703125" style="221" customWidth="1"/>
    <col min="4684" max="4684" width="2.140625" style="221" customWidth="1"/>
    <col min="4685" max="4685" width="0.5703125" style="221" customWidth="1"/>
    <col min="4686" max="4686" width="2.140625" style="221" customWidth="1"/>
    <col min="4687" max="4687" width="0.5703125" style="221" customWidth="1"/>
    <col min="4688" max="4688" width="2.140625" style="221" customWidth="1"/>
    <col min="4689" max="4689" width="0.5703125" style="221" customWidth="1"/>
    <col min="4690" max="4690" width="2.140625" style="221" customWidth="1"/>
    <col min="4691" max="4691" width="0.5703125" style="221" customWidth="1"/>
    <col min="4692" max="4692" width="2.140625" style="221" customWidth="1"/>
    <col min="4693" max="4693" width="0.5703125" style="221" customWidth="1"/>
    <col min="4694" max="4695" width="2.5703125" style="221" customWidth="1"/>
    <col min="4696"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7109375" style="221" customWidth="1"/>
    <col min="4870" max="4870" width="1.140625" style="221" customWidth="1"/>
    <col min="4871" max="4875" width="0.7109375" style="221" customWidth="1"/>
    <col min="4876" max="4876" width="0.5703125" style="221" customWidth="1"/>
    <col min="4877" max="4889" width="0.7109375" style="221" customWidth="1"/>
    <col min="4890" max="4890" width="1.4257812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 style="221" customWidth="1"/>
    <col min="4927" max="4927" width="0.5703125" style="221" customWidth="1"/>
    <col min="4928" max="4928" width="2.140625" style="221" customWidth="1"/>
    <col min="4929" max="4929" width="0.5703125" style="221" customWidth="1"/>
    <col min="4930" max="4930" width="2.140625" style="221" customWidth="1"/>
    <col min="4931" max="4931" width="0.5703125" style="221" customWidth="1"/>
    <col min="4932" max="4932" width="2.140625" style="221" customWidth="1"/>
    <col min="4933" max="4933" width="0.5703125" style="221" customWidth="1"/>
    <col min="4934" max="4934" width="2.140625" style="221" customWidth="1"/>
    <col min="4935" max="4935" width="0.5703125" style="221" customWidth="1"/>
    <col min="4936" max="4936" width="2.140625" style="221" customWidth="1"/>
    <col min="4937" max="4937" width="0.5703125" style="221" customWidth="1"/>
    <col min="4938" max="4938" width="2.140625" style="221" customWidth="1"/>
    <col min="4939" max="4939" width="0.5703125" style="221" customWidth="1"/>
    <col min="4940" max="4940" width="2.140625" style="221" customWidth="1"/>
    <col min="4941" max="4941" width="0.5703125" style="221" customWidth="1"/>
    <col min="4942" max="4942" width="2.140625" style="221" customWidth="1"/>
    <col min="4943" max="4943" width="0.5703125" style="221" customWidth="1"/>
    <col min="4944" max="4944" width="2.140625" style="221" customWidth="1"/>
    <col min="4945" max="4945" width="0.5703125" style="221" customWidth="1"/>
    <col min="4946" max="4946" width="2.140625" style="221" customWidth="1"/>
    <col min="4947" max="4947" width="0.5703125" style="221" customWidth="1"/>
    <col min="4948" max="4948" width="2.140625" style="221" customWidth="1"/>
    <col min="4949" max="4949" width="0.5703125" style="221" customWidth="1"/>
    <col min="4950" max="4951" width="2.5703125" style="221" customWidth="1"/>
    <col min="4952"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7109375" style="221" customWidth="1"/>
    <col min="5126" max="5126" width="1.140625" style="221" customWidth="1"/>
    <col min="5127" max="5131" width="0.7109375" style="221" customWidth="1"/>
    <col min="5132" max="5132" width="0.5703125" style="221" customWidth="1"/>
    <col min="5133" max="5145" width="0.7109375" style="221" customWidth="1"/>
    <col min="5146" max="5146" width="1.4257812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 style="221" customWidth="1"/>
    <col min="5183" max="5183" width="0.5703125" style="221" customWidth="1"/>
    <col min="5184" max="5184" width="2.140625" style="221" customWidth="1"/>
    <col min="5185" max="5185" width="0.5703125" style="221" customWidth="1"/>
    <col min="5186" max="5186" width="2.140625" style="221" customWidth="1"/>
    <col min="5187" max="5187" width="0.5703125" style="221" customWidth="1"/>
    <col min="5188" max="5188" width="2.140625" style="221" customWidth="1"/>
    <col min="5189" max="5189" width="0.5703125" style="221" customWidth="1"/>
    <col min="5190" max="5190" width="2.140625" style="221" customWidth="1"/>
    <col min="5191" max="5191" width="0.5703125" style="221" customWidth="1"/>
    <col min="5192" max="5192" width="2.140625" style="221" customWidth="1"/>
    <col min="5193" max="5193" width="0.5703125" style="221" customWidth="1"/>
    <col min="5194" max="5194" width="2.140625" style="221" customWidth="1"/>
    <col min="5195" max="5195" width="0.5703125" style="221" customWidth="1"/>
    <col min="5196" max="5196" width="2.140625" style="221" customWidth="1"/>
    <col min="5197" max="5197" width="0.5703125" style="221" customWidth="1"/>
    <col min="5198" max="5198" width="2.140625" style="221" customWidth="1"/>
    <col min="5199" max="5199" width="0.5703125" style="221" customWidth="1"/>
    <col min="5200" max="5200" width="2.140625" style="221" customWidth="1"/>
    <col min="5201" max="5201" width="0.5703125" style="221" customWidth="1"/>
    <col min="5202" max="5202" width="2.140625" style="221" customWidth="1"/>
    <col min="5203" max="5203" width="0.5703125" style="221" customWidth="1"/>
    <col min="5204" max="5204" width="2.140625" style="221" customWidth="1"/>
    <col min="5205" max="5205" width="0.5703125" style="221" customWidth="1"/>
    <col min="5206" max="5207" width="2.5703125" style="221" customWidth="1"/>
    <col min="5208"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7109375" style="221" customWidth="1"/>
    <col min="5382" max="5382" width="1.140625" style="221" customWidth="1"/>
    <col min="5383" max="5387" width="0.7109375" style="221" customWidth="1"/>
    <col min="5388" max="5388" width="0.5703125" style="221" customWidth="1"/>
    <col min="5389" max="5401" width="0.7109375" style="221" customWidth="1"/>
    <col min="5402" max="5402" width="1.4257812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 style="221" customWidth="1"/>
    <col min="5439" max="5439" width="0.5703125" style="221" customWidth="1"/>
    <col min="5440" max="5440" width="2.140625" style="221" customWidth="1"/>
    <col min="5441" max="5441" width="0.5703125" style="221" customWidth="1"/>
    <col min="5442" max="5442" width="2.140625" style="221" customWidth="1"/>
    <col min="5443" max="5443" width="0.5703125" style="221" customWidth="1"/>
    <col min="5444" max="5444" width="2.140625" style="221" customWidth="1"/>
    <col min="5445" max="5445" width="0.5703125" style="221" customWidth="1"/>
    <col min="5446" max="5446" width="2.140625" style="221" customWidth="1"/>
    <col min="5447" max="5447" width="0.5703125" style="221" customWidth="1"/>
    <col min="5448" max="5448" width="2.140625" style="221" customWidth="1"/>
    <col min="5449" max="5449" width="0.5703125" style="221" customWidth="1"/>
    <col min="5450" max="5450" width="2.140625" style="221" customWidth="1"/>
    <col min="5451" max="5451" width="0.5703125" style="221" customWidth="1"/>
    <col min="5452" max="5452" width="2.140625" style="221" customWidth="1"/>
    <col min="5453" max="5453" width="0.5703125" style="221" customWidth="1"/>
    <col min="5454" max="5454" width="2.140625" style="221" customWidth="1"/>
    <col min="5455" max="5455" width="0.5703125" style="221" customWidth="1"/>
    <col min="5456" max="5456" width="2.140625" style="221" customWidth="1"/>
    <col min="5457" max="5457" width="0.5703125" style="221" customWidth="1"/>
    <col min="5458" max="5458" width="2.140625" style="221" customWidth="1"/>
    <col min="5459" max="5459" width="0.5703125" style="221" customWidth="1"/>
    <col min="5460" max="5460" width="2.140625" style="221" customWidth="1"/>
    <col min="5461" max="5461" width="0.5703125" style="221" customWidth="1"/>
    <col min="5462" max="5463" width="2.5703125" style="221" customWidth="1"/>
    <col min="5464"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7109375" style="221" customWidth="1"/>
    <col min="5638" max="5638" width="1.140625" style="221" customWidth="1"/>
    <col min="5639" max="5643" width="0.7109375" style="221" customWidth="1"/>
    <col min="5644" max="5644" width="0.5703125" style="221" customWidth="1"/>
    <col min="5645" max="5657" width="0.7109375" style="221" customWidth="1"/>
    <col min="5658" max="5658" width="1.4257812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 style="221" customWidth="1"/>
    <col min="5695" max="5695" width="0.5703125" style="221" customWidth="1"/>
    <col min="5696" max="5696" width="2.140625" style="221" customWidth="1"/>
    <col min="5697" max="5697" width="0.5703125" style="221" customWidth="1"/>
    <col min="5698" max="5698" width="2.140625" style="221" customWidth="1"/>
    <col min="5699" max="5699" width="0.5703125" style="221" customWidth="1"/>
    <col min="5700" max="5700" width="2.140625" style="221" customWidth="1"/>
    <col min="5701" max="5701" width="0.5703125" style="221" customWidth="1"/>
    <col min="5702" max="5702" width="2.140625" style="221" customWidth="1"/>
    <col min="5703" max="5703" width="0.5703125" style="221" customWidth="1"/>
    <col min="5704" max="5704" width="2.140625" style="221" customWidth="1"/>
    <col min="5705" max="5705" width="0.5703125" style="221" customWidth="1"/>
    <col min="5706" max="5706" width="2.140625" style="221" customWidth="1"/>
    <col min="5707" max="5707" width="0.5703125" style="221" customWidth="1"/>
    <col min="5708" max="5708" width="2.140625" style="221" customWidth="1"/>
    <col min="5709" max="5709" width="0.5703125" style="221" customWidth="1"/>
    <col min="5710" max="5710" width="2.140625" style="221" customWidth="1"/>
    <col min="5711" max="5711" width="0.5703125" style="221" customWidth="1"/>
    <col min="5712" max="5712" width="2.140625" style="221" customWidth="1"/>
    <col min="5713" max="5713" width="0.5703125" style="221" customWidth="1"/>
    <col min="5714" max="5714" width="2.140625" style="221" customWidth="1"/>
    <col min="5715" max="5715" width="0.5703125" style="221" customWidth="1"/>
    <col min="5716" max="5716" width="2.140625" style="221" customWidth="1"/>
    <col min="5717" max="5717" width="0.5703125" style="221" customWidth="1"/>
    <col min="5718" max="5719" width="2.5703125" style="221" customWidth="1"/>
    <col min="5720"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7109375" style="221" customWidth="1"/>
    <col min="5894" max="5894" width="1.140625" style="221" customWidth="1"/>
    <col min="5895" max="5899" width="0.7109375" style="221" customWidth="1"/>
    <col min="5900" max="5900" width="0.5703125" style="221" customWidth="1"/>
    <col min="5901" max="5913" width="0.7109375" style="221" customWidth="1"/>
    <col min="5914" max="5914" width="1.4257812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 style="221" customWidth="1"/>
    <col min="5951" max="5951" width="0.5703125" style="221" customWidth="1"/>
    <col min="5952" max="5952" width="2.140625" style="221" customWidth="1"/>
    <col min="5953" max="5953" width="0.5703125" style="221" customWidth="1"/>
    <col min="5954" max="5954" width="2.140625" style="221" customWidth="1"/>
    <col min="5955" max="5955" width="0.5703125" style="221" customWidth="1"/>
    <col min="5956" max="5956" width="2.140625" style="221" customWidth="1"/>
    <col min="5957" max="5957" width="0.5703125" style="221" customWidth="1"/>
    <col min="5958" max="5958" width="2.140625" style="221" customWidth="1"/>
    <col min="5959" max="5959" width="0.5703125" style="221" customWidth="1"/>
    <col min="5960" max="5960" width="2.140625" style="221" customWidth="1"/>
    <col min="5961" max="5961" width="0.5703125" style="221" customWidth="1"/>
    <col min="5962" max="5962" width="2.140625" style="221" customWidth="1"/>
    <col min="5963" max="5963" width="0.5703125" style="221" customWidth="1"/>
    <col min="5964" max="5964" width="2.140625" style="221" customWidth="1"/>
    <col min="5965" max="5965" width="0.5703125" style="221" customWidth="1"/>
    <col min="5966" max="5966" width="2.140625" style="221" customWidth="1"/>
    <col min="5967" max="5967" width="0.5703125" style="221" customWidth="1"/>
    <col min="5968" max="5968" width="2.140625" style="221" customWidth="1"/>
    <col min="5969" max="5969" width="0.5703125" style="221" customWidth="1"/>
    <col min="5970" max="5970" width="2.140625" style="221" customWidth="1"/>
    <col min="5971" max="5971" width="0.5703125" style="221" customWidth="1"/>
    <col min="5972" max="5972" width="2.140625" style="221" customWidth="1"/>
    <col min="5973" max="5973" width="0.5703125" style="221" customWidth="1"/>
    <col min="5974" max="5975" width="2.5703125" style="221" customWidth="1"/>
    <col min="5976"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7109375" style="221" customWidth="1"/>
    <col min="6150" max="6150" width="1.140625" style="221" customWidth="1"/>
    <col min="6151" max="6155" width="0.7109375" style="221" customWidth="1"/>
    <col min="6156" max="6156" width="0.5703125" style="221" customWidth="1"/>
    <col min="6157" max="6169" width="0.7109375" style="221" customWidth="1"/>
    <col min="6170" max="6170" width="1.4257812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 style="221" customWidth="1"/>
    <col min="6207" max="6207" width="0.5703125" style="221" customWidth="1"/>
    <col min="6208" max="6208" width="2.140625" style="221" customWidth="1"/>
    <col min="6209" max="6209" width="0.5703125" style="221" customWidth="1"/>
    <col min="6210" max="6210" width="2.140625" style="221" customWidth="1"/>
    <col min="6211" max="6211" width="0.5703125" style="221" customWidth="1"/>
    <col min="6212" max="6212" width="2.140625" style="221" customWidth="1"/>
    <col min="6213" max="6213" width="0.5703125" style="221" customWidth="1"/>
    <col min="6214" max="6214" width="2.140625" style="221" customWidth="1"/>
    <col min="6215" max="6215" width="0.5703125" style="221" customWidth="1"/>
    <col min="6216" max="6216" width="2.140625" style="221" customWidth="1"/>
    <col min="6217" max="6217" width="0.5703125" style="221" customWidth="1"/>
    <col min="6218" max="6218" width="2.140625" style="221" customWidth="1"/>
    <col min="6219" max="6219" width="0.5703125" style="221" customWidth="1"/>
    <col min="6220" max="6220" width="2.140625" style="221" customWidth="1"/>
    <col min="6221" max="6221" width="0.5703125" style="221" customWidth="1"/>
    <col min="6222" max="6222" width="2.140625" style="221" customWidth="1"/>
    <col min="6223" max="6223" width="0.5703125" style="221" customWidth="1"/>
    <col min="6224" max="6224" width="2.140625" style="221" customWidth="1"/>
    <col min="6225" max="6225" width="0.5703125" style="221" customWidth="1"/>
    <col min="6226" max="6226" width="2.140625" style="221" customWidth="1"/>
    <col min="6227" max="6227" width="0.5703125" style="221" customWidth="1"/>
    <col min="6228" max="6228" width="2.140625" style="221" customWidth="1"/>
    <col min="6229" max="6229" width="0.5703125" style="221" customWidth="1"/>
    <col min="6230" max="6231" width="2.5703125" style="221" customWidth="1"/>
    <col min="6232"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7109375" style="221" customWidth="1"/>
    <col min="6406" max="6406" width="1.140625" style="221" customWidth="1"/>
    <col min="6407" max="6411" width="0.7109375" style="221" customWidth="1"/>
    <col min="6412" max="6412" width="0.5703125" style="221" customWidth="1"/>
    <col min="6413" max="6425" width="0.7109375" style="221" customWidth="1"/>
    <col min="6426" max="6426" width="1.4257812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 style="221" customWidth="1"/>
    <col min="6463" max="6463" width="0.5703125" style="221" customWidth="1"/>
    <col min="6464" max="6464" width="2.140625" style="221" customWidth="1"/>
    <col min="6465" max="6465" width="0.5703125" style="221" customWidth="1"/>
    <col min="6466" max="6466" width="2.140625" style="221" customWidth="1"/>
    <col min="6467" max="6467" width="0.5703125" style="221" customWidth="1"/>
    <col min="6468" max="6468" width="2.140625" style="221" customWidth="1"/>
    <col min="6469" max="6469" width="0.5703125" style="221" customWidth="1"/>
    <col min="6470" max="6470" width="2.140625" style="221" customWidth="1"/>
    <col min="6471" max="6471" width="0.5703125" style="221" customWidth="1"/>
    <col min="6472" max="6472" width="2.140625" style="221" customWidth="1"/>
    <col min="6473" max="6473" width="0.5703125" style="221" customWidth="1"/>
    <col min="6474" max="6474" width="2.140625" style="221" customWidth="1"/>
    <col min="6475" max="6475" width="0.5703125" style="221" customWidth="1"/>
    <col min="6476" max="6476" width="2.140625" style="221" customWidth="1"/>
    <col min="6477" max="6477" width="0.5703125" style="221" customWidth="1"/>
    <col min="6478" max="6478" width="2.140625" style="221" customWidth="1"/>
    <col min="6479" max="6479" width="0.5703125" style="221" customWidth="1"/>
    <col min="6480" max="6480" width="2.140625" style="221" customWidth="1"/>
    <col min="6481" max="6481" width="0.5703125" style="221" customWidth="1"/>
    <col min="6482" max="6482" width="2.140625" style="221" customWidth="1"/>
    <col min="6483" max="6483" width="0.5703125" style="221" customWidth="1"/>
    <col min="6484" max="6484" width="2.140625" style="221" customWidth="1"/>
    <col min="6485" max="6485" width="0.5703125" style="221" customWidth="1"/>
    <col min="6486" max="6487" width="2.5703125" style="221" customWidth="1"/>
    <col min="6488"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7109375" style="221" customWidth="1"/>
    <col min="6662" max="6662" width="1.140625" style="221" customWidth="1"/>
    <col min="6663" max="6667" width="0.7109375" style="221" customWidth="1"/>
    <col min="6668" max="6668" width="0.5703125" style="221" customWidth="1"/>
    <col min="6669" max="6681" width="0.7109375" style="221" customWidth="1"/>
    <col min="6682" max="6682" width="1.4257812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 style="221" customWidth="1"/>
    <col min="6719" max="6719" width="0.5703125" style="221" customWidth="1"/>
    <col min="6720" max="6720" width="2.140625" style="221" customWidth="1"/>
    <col min="6721" max="6721" width="0.5703125" style="221" customWidth="1"/>
    <col min="6722" max="6722" width="2.140625" style="221" customWidth="1"/>
    <col min="6723" max="6723" width="0.5703125" style="221" customWidth="1"/>
    <col min="6724" max="6724" width="2.140625" style="221" customWidth="1"/>
    <col min="6725" max="6725" width="0.5703125" style="221" customWidth="1"/>
    <col min="6726" max="6726" width="2.140625" style="221" customWidth="1"/>
    <col min="6727" max="6727" width="0.5703125" style="221" customWidth="1"/>
    <col min="6728" max="6728" width="2.140625" style="221" customWidth="1"/>
    <col min="6729" max="6729" width="0.5703125" style="221" customWidth="1"/>
    <col min="6730" max="6730" width="2.140625" style="221" customWidth="1"/>
    <col min="6731" max="6731" width="0.5703125" style="221" customWidth="1"/>
    <col min="6732" max="6732" width="2.140625" style="221" customWidth="1"/>
    <col min="6733" max="6733" width="0.5703125" style="221" customWidth="1"/>
    <col min="6734" max="6734" width="2.140625" style="221" customWidth="1"/>
    <col min="6735" max="6735" width="0.5703125" style="221" customWidth="1"/>
    <col min="6736" max="6736" width="2.140625" style="221" customWidth="1"/>
    <col min="6737" max="6737" width="0.5703125" style="221" customWidth="1"/>
    <col min="6738" max="6738" width="2.140625" style="221" customWidth="1"/>
    <col min="6739" max="6739" width="0.5703125" style="221" customWidth="1"/>
    <col min="6740" max="6740" width="2.140625" style="221" customWidth="1"/>
    <col min="6741" max="6741" width="0.5703125" style="221" customWidth="1"/>
    <col min="6742" max="6743" width="2.5703125" style="221" customWidth="1"/>
    <col min="6744"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7109375" style="221" customWidth="1"/>
    <col min="6918" max="6918" width="1.140625" style="221" customWidth="1"/>
    <col min="6919" max="6923" width="0.7109375" style="221" customWidth="1"/>
    <col min="6924" max="6924" width="0.5703125" style="221" customWidth="1"/>
    <col min="6925" max="6937" width="0.7109375" style="221" customWidth="1"/>
    <col min="6938" max="6938" width="1.4257812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 style="221" customWidth="1"/>
    <col min="6975" max="6975" width="0.5703125" style="221" customWidth="1"/>
    <col min="6976" max="6976" width="2.140625" style="221" customWidth="1"/>
    <col min="6977" max="6977" width="0.5703125" style="221" customWidth="1"/>
    <col min="6978" max="6978" width="2.140625" style="221" customWidth="1"/>
    <col min="6979" max="6979" width="0.5703125" style="221" customWidth="1"/>
    <col min="6980" max="6980" width="2.140625" style="221" customWidth="1"/>
    <col min="6981" max="6981" width="0.5703125" style="221" customWidth="1"/>
    <col min="6982" max="6982" width="2.140625" style="221" customWidth="1"/>
    <col min="6983" max="6983" width="0.5703125" style="221" customWidth="1"/>
    <col min="6984" max="6984" width="2.140625" style="221" customWidth="1"/>
    <col min="6985" max="6985" width="0.5703125" style="221" customWidth="1"/>
    <col min="6986" max="6986" width="2.140625" style="221" customWidth="1"/>
    <col min="6987" max="6987" width="0.5703125" style="221" customWidth="1"/>
    <col min="6988" max="6988" width="2.140625" style="221" customWidth="1"/>
    <col min="6989" max="6989" width="0.5703125" style="221" customWidth="1"/>
    <col min="6990" max="6990" width="2.140625" style="221" customWidth="1"/>
    <col min="6991" max="6991" width="0.5703125" style="221" customWidth="1"/>
    <col min="6992" max="6992" width="2.140625" style="221" customWidth="1"/>
    <col min="6993" max="6993" width="0.5703125" style="221" customWidth="1"/>
    <col min="6994" max="6994" width="2.140625" style="221" customWidth="1"/>
    <col min="6995" max="6995" width="0.5703125" style="221" customWidth="1"/>
    <col min="6996" max="6996" width="2.140625" style="221" customWidth="1"/>
    <col min="6997" max="6997" width="0.5703125" style="221" customWidth="1"/>
    <col min="6998" max="6999" width="2.5703125" style="221" customWidth="1"/>
    <col min="7000"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7109375" style="221" customWidth="1"/>
    <col min="7174" max="7174" width="1.140625" style="221" customWidth="1"/>
    <col min="7175" max="7179" width="0.7109375" style="221" customWidth="1"/>
    <col min="7180" max="7180" width="0.5703125" style="221" customWidth="1"/>
    <col min="7181" max="7193" width="0.7109375" style="221" customWidth="1"/>
    <col min="7194" max="7194" width="1.4257812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 style="221" customWidth="1"/>
    <col min="7231" max="7231" width="0.5703125" style="221" customWidth="1"/>
    <col min="7232" max="7232" width="2.140625" style="221" customWidth="1"/>
    <col min="7233" max="7233" width="0.5703125" style="221" customWidth="1"/>
    <col min="7234" max="7234" width="2.140625" style="221" customWidth="1"/>
    <col min="7235" max="7235" width="0.5703125" style="221" customWidth="1"/>
    <col min="7236" max="7236" width="2.140625" style="221" customWidth="1"/>
    <col min="7237" max="7237" width="0.5703125" style="221" customWidth="1"/>
    <col min="7238" max="7238" width="2.140625" style="221" customWidth="1"/>
    <col min="7239" max="7239" width="0.5703125" style="221" customWidth="1"/>
    <col min="7240" max="7240" width="2.140625" style="221" customWidth="1"/>
    <col min="7241" max="7241" width="0.5703125" style="221" customWidth="1"/>
    <col min="7242" max="7242" width="2.140625" style="221" customWidth="1"/>
    <col min="7243" max="7243" width="0.5703125" style="221" customWidth="1"/>
    <col min="7244" max="7244" width="2.140625" style="221" customWidth="1"/>
    <col min="7245" max="7245" width="0.5703125" style="221" customWidth="1"/>
    <col min="7246" max="7246" width="2.140625" style="221" customWidth="1"/>
    <col min="7247" max="7247" width="0.5703125" style="221" customWidth="1"/>
    <col min="7248" max="7248" width="2.140625" style="221" customWidth="1"/>
    <col min="7249" max="7249" width="0.5703125" style="221" customWidth="1"/>
    <col min="7250" max="7250" width="2.140625" style="221" customWidth="1"/>
    <col min="7251" max="7251" width="0.5703125" style="221" customWidth="1"/>
    <col min="7252" max="7252" width="2.140625" style="221" customWidth="1"/>
    <col min="7253" max="7253" width="0.5703125" style="221" customWidth="1"/>
    <col min="7254" max="7255" width="2.5703125" style="221" customWidth="1"/>
    <col min="7256"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7109375" style="221" customWidth="1"/>
    <col min="7430" max="7430" width="1.140625" style="221" customWidth="1"/>
    <col min="7431" max="7435" width="0.7109375" style="221" customWidth="1"/>
    <col min="7436" max="7436" width="0.5703125" style="221" customWidth="1"/>
    <col min="7437" max="7449" width="0.7109375" style="221" customWidth="1"/>
    <col min="7450" max="7450" width="1.4257812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 style="221" customWidth="1"/>
    <col min="7487" max="7487" width="0.5703125" style="221" customWidth="1"/>
    <col min="7488" max="7488" width="2.140625" style="221" customWidth="1"/>
    <col min="7489" max="7489" width="0.5703125" style="221" customWidth="1"/>
    <col min="7490" max="7490" width="2.140625" style="221" customWidth="1"/>
    <col min="7491" max="7491" width="0.5703125" style="221" customWidth="1"/>
    <col min="7492" max="7492" width="2.140625" style="221" customWidth="1"/>
    <col min="7493" max="7493" width="0.5703125" style="221" customWidth="1"/>
    <col min="7494" max="7494" width="2.140625" style="221" customWidth="1"/>
    <col min="7495" max="7495" width="0.5703125" style="221" customWidth="1"/>
    <col min="7496" max="7496" width="2.140625" style="221" customWidth="1"/>
    <col min="7497" max="7497" width="0.5703125" style="221" customWidth="1"/>
    <col min="7498" max="7498" width="2.140625" style="221" customWidth="1"/>
    <col min="7499" max="7499" width="0.5703125" style="221" customWidth="1"/>
    <col min="7500" max="7500" width="2.140625" style="221" customWidth="1"/>
    <col min="7501" max="7501" width="0.5703125" style="221" customWidth="1"/>
    <col min="7502" max="7502" width="2.140625" style="221" customWidth="1"/>
    <col min="7503" max="7503" width="0.5703125" style="221" customWidth="1"/>
    <col min="7504" max="7504" width="2.140625" style="221" customWidth="1"/>
    <col min="7505" max="7505" width="0.5703125" style="221" customWidth="1"/>
    <col min="7506" max="7506" width="2.140625" style="221" customWidth="1"/>
    <col min="7507" max="7507" width="0.5703125" style="221" customWidth="1"/>
    <col min="7508" max="7508" width="2.140625" style="221" customWidth="1"/>
    <col min="7509" max="7509" width="0.5703125" style="221" customWidth="1"/>
    <col min="7510" max="7511" width="2.5703125" style="221" customWidth="1"/>
    <col min="7512"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7109375" style="221" customWidth="1"/>
    <col min="7686" max="7686" width="1.140625" style="221" customWidth="1"/>
    <col min="7687" max="7691" width="0.7109375" style="221" customWidth="1"/>
    <col min="7692" max="7692" width="0.5703125" style="221" customWidth="1"/>
    <col min="7693" max="7705" width="0.7109375" style="221" customWidth="1"/>
    <col min="7706" max="7706" width="1.4257812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 style="221" customWidth="1"/>
    <col min="7743" max="7743" width="0.5703125" style="221" customWidth="1"/>
    <col min="7744" max="7744" width="2.140625" style="221" customWidth="1"/>
    <col min="7745" max="7745" width="0.5703125" style="221" customWidth="1"/>
    <col min="7746" max="7746" width="2.140625" style="221" customWidth="1"/>
    <col min="7747" max="7747" width="0.5703125" style="221" customWidth="1"/>
    <col min="7748" max="7748" width="2.140625" style="221" customWidth="1"/>
    <col min="7749" max="7749" width="0.5703125" style="221" customWidth="1"/>
    <col min="7750" max="7750" width="2.140625" style="221" customWidth="1"/>
    <col min="7751" max="7751" width="0.5703125" style="221" customWidth="1"/>
    <col min="7752" max="7752" width="2.140625" style="221" customWidth="1"/>
    <col min="7753" max="7753" width="0.5703125" style="221" customWidth="1"/>
    <col min="7754" max="7754" width="2.140625" style="221" customWidth="1"/>
    <col min="7755" max="7755" width="0.5703125" style="221" customWidth="1"/>
    <col min="7756" max="7756" width="2.140625" style="221" customWidth="1"/>
    <col min="7757" max="7757" width="0.5703125" style="221" customWidth="1"/>
    <col min="7758" max="7758" width="2.140625" style="221" customWidth="1"/>
    <col min="7759" max="7759" width="0.5703125" style="221" customWidth="1"/>
    <col min="7760" max="7760" width="2.140625" style="221" customWidth="1"/>
    <col min="7761" max="7761" width="0.5703125" style="221" customWidth="1"/>
    <col min="7762" max="7762" width="2.140625" style="221" customWidth="1"/>
    <col min="7763" max="7763" width="0.5703125" style="221" customWidth="1"/>
    <col min="7764" max="7764" width="2.140625" style="221" customWidth="1"/>
    <col min="7765" max="7765" width="0.5703125" style="221" customWidth="1"/>
    <col min="7766" max="7767" width="2.5703125" style="221" customWidth="1"/>
    <col min="7768"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7109375" style="221" customWidth="1"/>
    <col min="7942" max="7942" width="1.140625" style="221" customWidth="1"/>
    <col min="7943" max="7947" width="0.7109375" style="221" customWidth="1"/>
    <col min="7948" max="7948" width="0.5703125" style="221" customWidth="1"/>
    <col min="7949" max="7961" width="0.7109375" style="221" customWidth="1"/>
    <col min="7962" max="7962" width="1.4257812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 style="221" customWidth="1"/>
    <col min="7999" max="7999" width="0.5703125" style="221" customWidth="1"/>
    <col min="8000" max="8000" width="2.140625" style="221" customWidth="1"/>
    <col min="8001" max="8001" width="0.5703125" style="221" customWidth="1"/>
    <col min="8002" max="8002" width="2.140625" style="221" customWidth="1"/>
    <col min="8003" max="8003" width="0.5703125" style="221" customWidth="1"/>
    <col min="8004" max="8004" width="2.140625" style="221" customWidth="1"/>
    <col min="8005" max="8005" width="0.5703125" style="221" customWidth="1"/>
    <col min="8006" max="8006" width="2.140625" style="221" customWidth="1"/>
    <col min="8007" max="8007" width="0.5703125" style="221" customWidth="1"/>
    <col min="8008" max="8008" width="2.140625" style="221" customWidth="1"/>
    <col min="8009" max="8009" width="0.5703125" style="221" customWidth="1"/>
    <col min="8010" max="8010" width="2.140625" style="221" customWidth="1"/>
    <col min="8011" max="8011" width="0.5703125" style="221" customWidth="1"/>
    <col min="8012" max="8012" width="2.140625" style="221" customWidth="1"/>
    <col min="8013" max="8013" width="0.5703125" style="221" customWidth="1"/>
    <col min="8014" max="8014" width="2.140625" style="221" customWidth="1"/>
    <col min="8015" max="8015" width="0.5703125" style="221" customWidth="1"/>
    <col min="8016" max="8016" width="2.140625" style="221" customWidth="1"/>
    <col min="8017" max="8017" width="0.5703125" style="221" customWidth="1"/>
    <col min="8018" max="8018" width="2.140625" style="221" customWidth="1"/>
    <col min="8019" max="8019" width="0.5703125" style="221" customWidth="1"/>
    <col min="8020" max="8020" width="2.140625" style="221" customWidth="1"/>
    <col min="8021" max="8021" width="0.5703125" style="221" customWidth="1"/>
    <col min="8022" max="8023" width="2.5703125" style="221" customWidth="1"/>
    <col min="8024"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7109375" style="221" customWidth="1"/>
    <col min="8198" max="8198" width="1.140625" style="221" customWidth="1"/>
    <col min="8199" max="8203" width="0.7109375" style="221" customWidth="1"/>
    <col min="8204" max="8204" width="0.5703125" style="221" customWidth="1"/>
    <col min="8205" max="8217" width="0.7109375" style="221" customWidth="1"/>
    <col min="8218" max="8218" width="1.4257812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 style="221" customWidth="1"/>
    <col min="8255" max="8255" width="0.5703125" style="221" customWidth="1"/>
    <col min="8256" max="8256" width="2.140625" style="221" customWidth="1"/>
    <col min="8257" max="8257" width="0.5703125" style="221" customWidth="1"/>
    <col min="8258" max="8258" width="2.140625" style="221" customWidth="1"/>
    <col min="8259" max="8259" width="0.5703125" style="221" customWidth="1"/>
    <col min="8260" max="8260" width="2.140625" style="221" customWidth="1"/>
    <col min="8261" max="8261" width="0.5703125" style="221" customWidth="1"/>
    <col min="8262" max="8262" width="2.140625" style="221" customWidth="1"/>
    <col min="8263" max="8263" width="0.5703125" style="221" customWidth="1"/>
    <col min="8264" max="8264" width="2.140625" style="221" customWidth="1"/>
    <col min="8265" max="8265" width="0.5703125" style="221" customWidth="1"/>
    <col min="8266" max="8266" width="2.140625" style="221" customWidth="1"/>
    <col min="8267" max="8267" width="0.5703125" style="221" customWidth="1"/>
    <col min="8268" max="8268" width="2.140625" style="221" customWidth="1"/>
    <col min="8269" max="8269" width="0.5703125" style="221" customWidth="1"/>
    <col min="8270" max="8270" width="2.140625" style="221" customWidth="1"/>
    <col min="8271" max="8271" width="0.5703125" style="221" customWidth="1"/>
    <col min="8272" max="8272" width="2.140625" style="221" customWidth="1"/>
    <col min="8273" max="8273" width="0.5703125" style="221" customWidth="1"/>
    <col min="8274" max="8274" width="2.140625" style="221" customWidth="1"/>
    <col min="8275" max="8275" width="0.5703125" style="221" customWidth="1"/>
    <col min="8276" max="8276" width="2.140625" style="221" customWidth="1"/>
    <col min="8277" max="8277" width="0.5703125" style="221" customWidth="1"/>
    <col min="8278" max="8279" width="2.5703125" style="221" customWidth="1"/>
    <col min="8280"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7109375" style="221" customWidth="1"/>
    <col min="8454" max="8454" width="1.140625" style="221" customWidth="1"/>
    <col min="8455" max="8459" width="0.7109375" style="221" customWidth="1"/>
    <col min="8460" max="8460" width="0.5703125" style="221" customWidth="1"/>
    <col min="8461" max="8473" width="0.7109375" style="221" customWidth="1"/>
    <col min="8474" max="8474" width="1.4257812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 style="221" customWidth="1"/>
    <col min="8511" max="8511" width="0.5703125" style="221" customWidth="1"/>
    <col min="8512" max="8512" width="2.140625" style="221" customWidth="1"/>
    <col min="8513" max="8513" width="0.5703125" style="221" customWidth="1"/>
    <col min="8514" max="8514" width="2.140625" style="221" customWidth="1"/>
    <col min="8515" max="8515" width="0.5703125" style="221" customWidth="1"/>
    <col min="8516" max="8516" width="2.140625" style="221" customWidth="1"/>
    <col min="8517" max="8517" width="0.5703125" style="221" customWidth="1"/>
    <col min="8518" max="8518" width="2.140625" style="221" customWidth="1"/>
    <col min="8519" max="8519" width="0.5703125" style="221" customWidth="1"/>
    <col min="8520" max="8520" width="2.140625" style="221" customWidth="1"/>
    <col min="8521" max="8521" width="0.5703125" style="221" customWidth="1"/>
    <col min="8522" max="8522" width="2.140625" style="221" customWidth="1"/>
    <col min="8523" max="8523" width="0.5703125" style="221" customWidth="1"/>
    <col min="8524" max="8524" width="2.140625" style="221" customWidth="1"/>
    <col min="8525" max="8525" width="0.5703125" style="221" customWidth="1"/>
    <col min="8526" max="8526" width="2.140625" style="221" customWidth="1"/>
    <col min="8527" max="8527" width="0.5703125" style="221" customWidth="1"/>
    <col min="8528" max="8528" width="2.140625" style="221" customWidth="1"/>
    <col min="8529" max="8529" width="0.5703125" style="221" customWidth="1"/>
    <col min="8530" max="8530" width="2.140625" style="221" customWidth="1"/>
    <col min="8531" max="8531" width="0.5703125" style="221" customWidth="1"/>
    <col min="8532" max="8532" width="2.140625" style="221" customWidth="1"/>
    <col min="8533" max="8533" width="0.5703125" style="221" customWidth="1"/>
    <col min="8534" max="8535" width="2.5703125" style="221" customWidth="1"/>
    <col min="8536"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7109375" style="221" customWidth="1"/>
    <col min="8710" max="8710" width="1.140625" style="221" customWidth="1"/>
    <col min="8711" max="8715" width="0.7109375" style="221" customWidth="1"/>
    <col min="8716" max="8716" width="0.5703125" style="221" customWidth="1"/>
    <col min="8717" max="8729" width="0.7109375" style="221" customWidth="1"/>
    <col min="8730" max="8730" width="1.4257812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 style="221" customWidth="1"/>
    <col min="8767" max="8767" width="0.5703125" style="221" customWidth="1"/>
    <col min="8768" max="8768" width="2.140625" style="221" customWidth="1"/>
    <col min="8769" max="8769" width="0.5703125" style="221" customWidth="1"/>
    <col min="8770" max="8770" width="2.140625" style="221" customWidth="1"/>
    <col min="8771" max="8771" width="0.5703125" style="221" customWidth="1"/>
    <col min="8772" max="8772" width="2.140625" style="221" customWidth="1"/>
    <col min="8773" max="8773" width="0.5703125" style="221" customWidth="1"/>
    <col min="8774" max="8774" width="2.140625" style="221" customWidth="1"/>
    <col min="8775" max="8775" width="0.5703125" style="221" customWidth="1"/>
    <col min="8776" max="8776" width="2.140625" style="221" customWidth="1"/>
    <col min="8777" max="8777" width="0.5703125" style="221" customWidth="1"/>
    <col min="8778" max="8778" width="2.140625" style="221" customWidth="1"/>
    <col min="8779" max="8779" width="0.5703125" style="221" customWidth="1"/>
    <col min="8780" max="8780" width="2.140625" style="221" customWidth="1"/>
    <col min="8781" max="8781" width="0.5703125" style="221" customWidth="1"/>
    <col min="8782" max="8782" width="2.140625" style="221" customWidth="1"/>
    <col min="8783" max="8783" width="0.5703125" style="221" customWidth="1"/>
    <col min="8784" max="8784" width="2.140625" style="221" customWidth="1"/>
    <col min="8785" max="8785" width="0.5703125" style="221" customWidth="1"/>
    <col min="8786" max="8786" width="2.140625" style="221" customWidth="1"/>
    <col min="8787" max="8787" width="0.5703125" style="221" customWidth="1"/>
    <col min="8788" max="8788" width="2.140625" style="221" customWidth="1"/>
    <col min="8789" max="8789" width="0.5703125" style="221" customWidth="1"/>
    <col min="8790" max="8791" width="2.5703125" style="221" customWidth="1"/>
    <col min="8792"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7109375" style="221" customWidth="1"/>
    <col min="8966" max="8966" width="1.140625" style="221" customWidth="1"/>
    <col min="8967" max="8971" width="0.7109375" style="221" customWidth="1"/>
    <col min="8972" max="8972" width="0.5703125" style="221" customWidth="1"/>
    <col min="8973" max="8985" width="0.7109375" style="221" customWidth="1"/>
    <col min="8986" max="8986" width="1.4257812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 style="221" customWidth="1"/>
    <col min="9023" max="9023" width="0.5703125" style="221" customWidth="1"/>
    <col min="9024" max="9024" width="2.140625" style="221" customWidth="1"/>
    <col min="9025" max="9025" width="0.5703125" style="221" customWidth="1"/>
    <col min="9026" max="9026" width="2.140625" style="221" customWidth="1"/>
    <col min="9027" max="9027" width="0.5703125" style="221" customWidth="1"/>
    <col min="9028" max="9028" width="2.140625" style="221" customWidth="1"/>
    <col min="9029" max="9029" width="0.5703125" style="221" customWidth="1"/>
    <col min="9030" max="9030" width="2.140625" style="221" customWidth="1"/>
    <col min="9031" max="9031" width="0.5703125" style="221" customWidth="1"/>
    <col min="9032" max="9032" width="2.140625" style="221" customWidth="1"/>
    <col min="9033" max="9033" width="0.5703125" style="221" customWidth="1"/>
    <col min="9034" max="9034" width="2.140625" style="221" customWidth="1"/>
    <col min="9035" max="9035" width="0.5703125" style="221" customWidth="1"/>
    <col min="9036" max="9036" width="2.140625" style="221" customWidth="1"/>
    <col min="9037" max="9037" width="0.5703125" style="221" customWidth="1"/>
    <col min="9038" max="9038" width="2.140625" style="221" customWidth="1"/>
    <col min="9039" max="9039" width="0.5703125" style="221" customWidth="1"/>
    <col min="9040" max="9040" width="2.140625" style="221" customWidth="1"/>
    <col min="9041" max="9041" width="0.5703125" style="221" customWidth="1"/>
    <col min="9042" max="9042" width="2.140625" style="221" customWidth="1"/>
    <col min="9043" max="9043" width="0.5703125" style="221" customWidth="1"/>
    <col min="9044" max="9044" width="2.140625" style="221" customWidth="1"/>
    <col min="9045" max="9045" width="0.5703125" style="221" customWidth="1"/>
    <col min="9046" max="9047" width="2.5703125" style="221" customWidth="1"/>
    <col min="9048"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7109375" style="221" customWidth="1"/>
    <col min="9222" max="9222" width="1.140625" style="221" customWidth="1"/>
    <col min="9223" max="9227" width="0.7109375" style="221" customWidth="1"/>
    <col min="9228" max="9228" width="0.5703125" style="221" customWidth="1"/>
    <col min="9229" max="9241" width="0.7109375" style="221" customWidth="1"/>
    <col min="9242" max="9242" width="1.4257812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 style="221" customWidth="1"/>
    <col min="9279" max="9279" width="0.5703125" style="221" customWidth="1"/>
    <col min="9280" max="9280" width="2.140625" style="221" customWidth="1"/>
    <col min="9281" max="9281" width="0.5703125" style="221" customWidth="1"/>
    <col min="9282" max="9282" width="2.140625" style="221" customWidth="1"/>
    <col min="9283" max="9283" width="0.5703125" style="221" customWidth="1"/>
    <col min="9284" max="9284" width="2.140625" style="221" customWidth="1"/>
    <col min="9285" max="9285" width="0.5703125" style="221" customWidth="1"/>
    <col min="9286" max="9286" width="2.140625" style="221" customWidth="1"/>
    <col min="9287" max="9287" width="0.5703125" style="221" customWidth="1"/>
    <col min="9288" max="9288" width="2.140625" style="221" customWidth="1"/>
    <col min="9289" max="9289" width="0.5703125" style="221" customWidth="1"/>
    <col min="9290" max="9290" width="2.140625" style="221" customWidth="1"/>
    <col min="9291" max="9291" width="0.5703125" style="221" customWidth="1"/>
    <col min="9292" max="9292" width="2.140625" style="221" customWidth="1"/>
    <col min="9293" max="9293" width="0.5703125" style="221" customWidth="1"/>
    <col min="9294" max="9294" width="2.140625" style="221" customWidth="1"/>
    <col min="9295" max="9295" width="0.5703125" style="221" customWidth="1"/>
    <col min="9296" max="9296" width="2.140625" style="221" customWidth="1"/>
    <col min="9297" max="9297" width="0.5703125" style="221" customWidth="1"/>
    <col min="9298" max="9298" width="2.140625" style="221" customWidth="1"/>
    <col min="9299" max="9299" width="0.5703125" style="221" customWidth="1"/>
    <col min="9300" max="9300" width="2.140625" style="221" customWidth="1"/>
    <col min="9301" max="9301" width="0.5703125" style="221" customWidth="1"/>
    <col min="9302" max="9303" width="2.5703125" style="221" customWidth="1"/>
    <col min="9304"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7109375" style="221" customWidth="1"/>
    <col min="9478" max="9478" width="1.140625" style="221" customWidth="1"/>
    <col min="9479" max="9483" width="0.7109375" style="221" customWidth="1"/>
    <col min="9484" max="9484" width="0.5703125" style="221" customWidth="1"/>
    <col min="9485" max="9497" width="0.7109375" style="221" customWidth="1"/>
    <col min="9498" max="9498" width="1.4257812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 style="221" customWidth="1"/>
    <col min="9535" max="9535" width="0.5703125" style="221" customWidth="1"/>
    <col min="9536" max="9536" width="2.140625" style="221" customWidth="1"/>
    <col min="9537" max="9537" width="0.5703125" style="221" customWidth="1"/>
    <col min="9538" max="9538" width="2.140625" style="221" customWidth="1"/>
    <col min="9539" max="9539" width="0.5703125" style="221" customWidth="1"/>
    <col min="9540" max="9540" width="2.140625" style="221" customWidth="1"/>
    <col min="9541" max="9541" width="0.5703125" style="221" customWidth="1"/>
    <col min="9542" max="9542" width="2.140625" style="221" customWidth="1"/>
    <col min="9543" max="9543" width="0.5703125" style="221" customWidth="1"/>
    <col min="9544" max="9544" width="2.140625" style="221" customWidth="1"/>
    <col min="9545" max="9545" width="0.5703125" style="221" customWidth="1"/>
    <col min="9546" max="9546" width="2.140625" style="221" customWidth="1"/>
    <col min="9547" max="9547" width="0.5703125" style="221" customWidth="1"/>
    <col min="9548" max="9548" width="2.140625" style="221" customWidth="1"/>
    <col min="9549" max="9549" width="0.5703125" style="221" customWidth="1"/>
    <col min="9550" max="9550" width="2.140625" style="221" customWidth="1"/>
    <col min="9551" max="9551" width="0.5703125" style="221" customWidth="1"/>
    <col min="9552" max="9552" width="2.140625" style="221" customWidth="1"/>
    <col min="9553" max="9553" width="0.5703125" style="221" customWidth="1"/>
    <col min="9554" max="9554" width="2.140625" style="221" customWidth="1"/>
    <col min="9555" max="9555" width="0.5703125" style="221" customWidth="1"/>
    <col min="9556" max="9556" width="2.140625" style="221" customWidth="1"/>
    <col min="9557" max="9557" width="0.5703125" style="221" customWidth="1"/>
    <col min="9558" max="9559" width="2.5703125" style="221" customWidth="1"/>
    <col min="9560"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7109375" style="221" customWidth="1"/>
    <col min="9734" max="9734" width="1.140625" style="221" customWidth="1"/>
    <col min="9735" max="9739" width="0.7109375" style="221" customWidth="1"/>
    <col min="9740" max="9740" width="0.5703125" style="221" customWidth="1"/>
    <col min="9741" max="9753" width="0.7109375" style="221" customWidth="1"/>
    <col min="9754" max="9754" width="1.4257812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 style="221" customWidth="1"/>
    <col min="9791" max="9791" width="0.5703125" style="221" customWidth="1"/>
    <col min="9792" max="9792" width="2.140625" style="221" customWidth="1"/>
    <col min="9793" max="9793" width="0.5703125" style="221" customWidth="1"/>
    <col min="9794" max="9794" width="2.140625" style="221" customWidth="1"/>
    <col min="9795" max="9795" width="0.5703125" style="221" customWidth="1"/>
    <col min="9796" max="9796" width="2.140625" style="221" customWidth="1"/>
    <col min="9797" max="9797" width="0.5703125" style="221" customWidth="1"/>
    <col min="9798" max="9798" width="2.140625" style="221" customWidth="1"/>
    <col min="9799" max="9799" width="0.5703125" style="221" customWidth="1"/>
    <col min="9800" max="9800" width="2.140625" style="221" customWidth="1"/>
    <col min="9801" max="9801" width="0.5703125" style="221" customWidth="1"/>
    <col min="9802" max="9802" width="2.140625" style="221" customWidth="1"/>
    <col min="9803" max="9803" width="0.5703125" style="221" customWidth="1"/>
    <col min="9804" max="9804" width="2.140625" style="221" customWidth="1"/>
    <col min="9805" max="9805" width="0.5703125" style="221" customWidth="1"/>
    <col min="9806" max="9806" width="2.140625" style="221" customWidth="1"/>
    <col min="9807" max="9807" width="0.5703125" style="221" customWidth="1"/>
    <col min="9808" max="9808" width="2.140625" style="221" customWidth="1"/>
    <col min="9809" max="9809" width="0.5703125" style="221" customWidth="1"/>
    <col min="9810" max="9810" width="2.140625" style="221" customWidth="1"/>
    <col min="9811" max="9811" width="0.5703125" style="221" customWidth="1"/>
    <col min="9812" max="9812" width="2.140625" style="221" customWidth="1"/>
    <col min="9813" max="9813" width="0.5703125" style="221" customWidth="1"/>
    <col min="9814" max="9815" width="2.5703125" style="221" customWidth="1"/>
    <col min="9816"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7109375" style="221" customWidth="1"/>
    <col min="9990" max="9990" width="1.140625" style="221" customWidth="1"/>
    <col min="9991" max="9995" width="0.7109375" style="221" customWidth="1"/>
    <col min="9996" max="9996" width="0.5703125" style="221" customWidth="1"/>
    <col min="9997" max="10009" width="0.7109375" style="221" customWidth="1"/>
    <col min="10010" max="10010" width="1.4257812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 style="221" customWidth="1"/>
    <col min="10047" max="10047" width="0.5703125" style="221" customWidth="1"/>
    <col min="10048" max="10048" width="2.140625" style="221" customWidth="1"/>
    <col min="10049" max="10049" width="0.5703125" style="221" customWidth="1"/>
    <col min="10050" max="10050" width="2.140625" style="221" customWidth="1"/>
    <col min="10051" max="10051" width="0.5703125" style="221" customWidth="1"/>
    <col min="10052" max="10052" width="2.140625" style="221" customWidth="1"/>
    <col min="10053" max="10053" width="0.5703125" style="221" customWidth="1"/>
    <col min="10054" max="10054" width="2.140625" style="221" customWidth="1"/>
    <col min="10055" max="10055" width="0.5703125" style="221" customWidth="1"/>
    <col min="10056" max="10056" width="2.140625" style="221" customWidth="1"/>
    <col min="10057" max="10057" width="0.5703125" style="221" customWidth="1"/>
    <col min="10058" max="10058" width="2.140625" style="221" customWidth="1"/>
    <col min="10059" max="10059" width="0.5703125" style="221" customWidth="1"/>
    <col min="10060" max="10060" width="2.140625" style="221" customWidth="1"/>
    <col min="10061" max="10061" width="0.5703125" style="221" customWidth="1"/>
    <col min="10062" max="10062" width="2.140625" style="221" customWidth="1"/>
    <col min="10063" max="10063" width="0.5703125" style="221" customWidth="1"/>
    <col min="10064" max="10064" width="2.140625" style="221" customWidth="1"/>
    <col min="10065" max="10065" width="0.5703125" style="221" customWidth="1"/>
    <col min="10066" max="10066" width="2.140625" style="221" customWidth="1"/>
    <col min="10067" max="10067" width="0.5703125" style="221" customWidth="1"/>
    <col min="10068" max="10068" width="2.140625" style="221" customWidth="1"/>
    <col min="10069" max="10069" width="0.5703125" style="221" customWidth="1"/>
    <col min="10070" max="10071" width="2.5703125" style="221" customWidth="1"/>
    <col min="10072"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7109375" style="221" customWidth="1"/>
    <col min="10246" max="10246" width="1.140625" style="221" customWidth="1"/>
    <col min="10247" max="10251" width="0.7109375" style="221" customWidth="1"/>
    <col min="10252" max="10252" width="0.5703125" style="221" customWidth="1"/>
    <col min="10253" max="10265" width="0.7109375" style="221" customWidth="1"/>
    <col min="10266" max="10266" width="1.4257812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 style="221" customWidth="1"/>
    <col min="10303" max="10303" width="0.5703125" style="221" customWidth="1"/>
    <col min="10304" max="10304" width="2.140625" style="221" customWidth="1"/>
    <col min="10305" max="10305" width="0.5703125" style="221" customWidth="1"/>
    <col min="10306" max="10306" width="2.140625" style="221" customWidth="1"/>
    <col min="10307" max="10307" width="0.5703125" style="221" customWidth="1"/>
    <col min="10308" max="10308" width="2.140625" style="221" customWidth="1"/>
    <col min="10309" max="10309" width="0.5703125" style="221" customWidth="1"/>
    <col min="10310" max="10310" width="2.140625" style="221" customWidth="1"/>
    <col min="10311" max="10311" width="0.5703125" style="221" customWidth="1"/>
    <col min="10312" max="10312" width="2.140625" style="221" customWidth="1"/>
    <col min="10313" max="10313" width="0.5703125" style="221" customWidth="1"/>
    <col min="10314" max="10314" width="2.140625" style="221" customWidth="1"/>
    <col min="10315" max="10315" width="0.5703125" style="221" customWidth="1"/>
    <col min="10316" max="10316" width="2.140625" style="221" customWidth="1"/>
    <col min="10317" max="10317" width="0.5703125" style="221" customWidth="1"/>
    <col min="10318" max="10318" width="2.140625" style="221" customWidth="1"/>
    <col min="10319" max="10319" width="0.5703125" style="221" customWidth="1"/>
    <col min="10320" max="10320" width="2.140625" style="221" customWidth="1"/>
    <col min="10321" max="10321" width="0.5703125" style="221" customWidth="1"/>
    <col min="10322" max="10322" width="2.140625" style="221" customWidth="1"/>
    <col min="10323" max="10323" width="0.5703125" style="221" customWidth="1"/>
    <col min="10324" max="10324" width="2.140625" style="221" customWidth="1"/>
    <col min="10325" max="10325" width="0.5703125" style="221" customWidth="1"/>
    <col min="10326" max="10327" width="2.5703125" style="221" customWidth="1"/>
    <col min="10328"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7109375" style="221" customWidth="1"/>
    <col min="10502" max="10502" width="1.140625" style="221" customWidth="1"/>
    <col min="10503" max="10507" width="0.7109375" style="221" customWidth="1"/>
    <col min="10508" max="10508" width="0.5703125" style="221" customWidth="1"/>
    <col min="10509" max="10521" width="0.7109375" style="221" customWidth="1"/>
    <col min="10522" max="10522" width="1.4257812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 style="221" customWidth="1"/>
    <col min="10559" max="10559" width="0.5703125" style="221" customWidth="1"/>
    <col min="10560" max="10560" width="2.140625" style="221" customWidth="1"/>
    <col min="10561" max="10561" width="0.5703125" style="221" customWidth="1"/>
    <col min="10562" max="10562" width="2.140625" style="221" customWidth="1"/>
    <col min="10563" max="10563" width="0.5703125" style="221" customWidth="1"/>
    <col min="10564" max="10564" width="2.140625" style="221" customWidth="1"/>
    <col min="10565" max="10565" width="0.5703125" style="221" customWidth="1"/>
    <col min="10566" max="10566" width="2.140625" style="221" customWidth="1"/>
    <col min="10567" max="10567" width="0.5703125" style="221" customWidth="1"/>
    <col min="10568" max="10568" width="2.140625" style="221" customWidth="1"/>
    <col min="10569" max="10569" width="0.5703125" style="221" customWidth="1"/>
    <col min="10570" max="10570" width="2.140625" style="221" customWidth="1"/>
    <col min="10571" max="10571" width="0.5703125" style="221" customWidth="1"/>
    <col min="10572" max="10572" width="2.140625" style="221" customWidth="1"/>
    <col min="10573" max="10573" width="0.5703125" style="221" customWidth="1"/>
    <col min="10574" max="10574" width="2.140625" style="221" customWidth="1"/>
    <col min="10575" max="10575" width="0.5703125" style="221" customWidth="1"/>
    <col min="10576" max="10576" width="2.140625" style="221" customWidth="1"/>
    <col min="10577" max="10577" width="0.5703125" style="221" customWidth="1"/>
    <col min="10578" max="10578" width="2.140625" style="221" customWidth="1"/>
    <col min="10579" max="10579" width="0.5703125" style="221" customWidth="1"/>
    <col min="10580" max="10580" width="2.140625" style="221" customWidth="1"/>
    <col min="10581" max="10581" width="0.5703125" style="221" customWidth="1"/>
    <col min="10582" max="10583" width="2.5703125" style="221" customWidth="1"/>
    <col min="10584"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7109375" style="221" customWidth="1"/>
    <col min="10758" max="10758" width="1.140625" style="221" customWidth="1"/>
    <col min="10759" max="10763" width="0.7109375" style="221" customWidth="1"/>
    <col min="10764" max="10764" width="0.5703125" style="221" customWidth="1"/>
    <col min="10765" max="10777" width="0.7109375" style="221" customWidth="1"/>
    <col min="10778" max="10778" width="1.4257812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 style="221" customWidth="1"/>
    <col min="10815" max="10815" width="0.5703125" style="221" customWidth="1"/>
    <col min="10816" max="10816" width="2.140625" style="221" customWidth="1"/>
    <col min="10817" max="10817" width="0.5703125" style="221" customWidth="1"/>
    <col min="10818" max="10818" width="2.140625" style="221" customWidth="1"/>
    <col min="10819" max="10819" width="0.5703125" style="221" customWidth="1"/>
    <col min="10820" max="10820" width="2.140625" style="221" customWidth="1"/>
    <col min="10821" max="10821" width="0.5703125" style="221" customWidth="1"/>
    <col min="10822" max="10822" width="2.140625" style="221" customWidth="1"/>
    <col min="10823" max="10823" width="0.5703125" style="221" customWidth="1"/>
    <col min="10824" max="10824" width="2.140625" style="221" customWidth="1"/>
    <col min="10825" max="10825" width="0.5703125" style="221" customWidth="1"/>
    <col min="10826" max="10826" width="2.140625" style="221" customWidth="1"/>
    <col min="10827" max="10827" width="0.5703125" style="221" customWidth="1"/>
    <col min="10828" max="10828" width="2.140625" style="221" customWidth="1"/>
    <col min="10829" max="10829" width="0.5703125" style="221" customWidth="1"/>
    <col min="10830" max="10830" width="2.140625" style="221" customWidth="1"/>
    <col min="10831" max="10831" width="0.5703125" style="221" customWidth="1"/>
    <col min="10832" max="10832" width="2.140625" style="221" customWidth="1"/>
    <col min="10833" max="10833" width="0.5703125" style="221" customWidth="1"/>
    <col min="10834" max="10834" width="2.140625" style="221" customWidth="1"/>
    <col min="10835" max="10835" width="0.5703125" style="221" customWidth="1"/>
    <col min="10836" max="10836" width="2.140625" style="221" customWidth="1"/>
    <col min="10837" max="10837" width="0.5703125" style="221" customWidth="1"/>
    <col min="10838" max="10839" width="2.5703125" style="221" customWidth="1"/>
    <col min="10840"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7109375" style="221" customWidth="1"/>
    <col min="11014" max="11014" width="1.140625" style="221" customWidth="1"/>
    <col min="11015" max="11019" width="0.7109375" style="221" customWidth="1"/>
    <col min="11020" max="11020" width="0.5703125" style="221" customWidth="1"/>
    <col min="11021" max="11033" width="0.7109375" style="221" customWidth="1"/>
    <col min="11034" max="11034" width="1.4257812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 style="221" customWidth="1"/>
    <col min="11071" max="11071" width="0.5703125" style="221" customWidth="1"/>
    <col min="11072" max="11072" width="2.140625" style="221" customWidth="1"/>
    <col min="11073" max="11073" width="0.5703125" style="221" customWidth="1"/>
    <col min="11074" max="11074" width="2.140625" style="221" customWidth="1"/>
    <col min="11075" max="11075" width="0.5703125" style="221" customWidth="1"/>
    <col min="11076" max="11076" width="2.140625" style="221" customWidth="1"/>
    <col min="11077" max="11077" width="0.5703125" style="221" customWidth="1"/>
    <col min="11078" max="11078" width="2.140625" style="221" customWidth="1"/>
    <col min="11079" max="11079" width="0.5703125" style="221" customWidth="1"/>
    <col min="11080" max="11080" width="2.140625" style="221" customWidth="1"/>
    <col min="11081" max="11081" width="0.5703125" style="221" customWidth="1"/>
    <col min="11082" max="11082" width="2.140625" style="221" customWidth="1"/>
    <col min="11083" max="11083" width="0.5703125" style="221" customWidth="1"/>
    <col min="11084" max="11084" width="2.140625" style="221" customWidth="1"/>
    <col min="11085" max="11085" width="0.5703125" style="221" customWidth="1"/>
    <col min="11086" max="11086" width="2.140625" style="221" customWidth="1"/>
    <col min="11087" max="11087" width="0.5703125" style="221" customWidth="1"/>
    <col min="11088" max="11088" width="2.140625" style="221" customWidth="1"/>
    <col min="11089" max="11089" width="0.5703125" style="221" customWidth="1"/>
    <col min="11090" max="11090" width="2.140625" style="221" customWidth="1"/>
    <col min="11091" max="11091" width="0.5703125" style="221" customWidth="1"/>
    <col min="11092" max="11092" width="2.140625" style="221" customWidth="1"/>
    <col min="11093" max="11093" width="0.5703125" style="221" customWidth="1"/>
    <col min="11094" max="11095" width="2.5703125" style="221" customWidth="1"/>
    <col min="11096"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7109375" style="221" customWidth="1"/>
    <col min="11270" max="11270" width="1.140625" style="221" customWidth="1"/>
    <col min="11271" max="11275" width="0.7109375" style="221" customWidth="1"/>
    <col min="11276" max="11276" width="0.5703125" style="221" customWidth="1"/>
    <col min="11277" max="11289" width="0.7109375" style="221" customWidth="1"/>
    <col min="11290" max="11290" width="1.4257812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 style="221" customWidth="1"/>
    <col min="11327" max="11327" width="0.5703125" style="221" customWidth="1"/>
    <col min="11328" max="11328" width="2.140625" style="221" customWidth="1"/>
    <col min="11329" max="11329" width="0.5703125" style="221" customWidth="1"/>
    <col min="11330" max="11330" width="2.140625" style="221" customWidth="1"/>
    <col min="11331" max="11331" width="0.5703125" style="221" customWidth="1"/>
    <col min="11332" max="11332" width="2.140625" style="221" customWidth="1"/>
    <col min="11333" max="11333" width="0.5703125" style="221" customWidth="1"/>
    <col min="11334" max="11334" width="2.140625" style="221" customWidth="1"/>
    <col min="11335" max="11335" width="0.5703125" style="221" customWidth="1"/>
    <col min="11336" max="11336" width="2.140625" style="221" customWidth="1"/>
    <col min="11337" max="11337" width="0.5703125" style="221" customWidth="1"/>
    <col min="11338" max="11338" width="2.140625" style="221" customWidth="1"/>
    <col min="11339" max="11339" width="0.5703125" style="221" customWidth="1"/>
    <col min="11340" max="11340" width="2.140625" style="221" customWidth="1"/>
    <col min="11341" max="11341" width="0.5703125" style="221" customWidth="1"/>
    <col min="11342" max="11342" width="2.140625" style="221" customWidth="1"/>
    <col min="11343" max="11343" width="0.5703125" style="221" customWidth="1"/>
    <col min="11344" max="11344" width="2.140625" style="221" customWidth="1"/>
    <col min="11345" max="11345" width="0.5703125" style="221" customWidth="1"/>
    <col min="11346" max="11346" width="2.140625" style="221" customWidth="1"/>
    <col min="11347" max="11347" width="0.5703125" style="221" customWidth="1"/>
    <col min="11348" max="11348" width="2.140625" style="221" customWidth="1"/>
    <col min="11349" max="11349" width="0.5703125" style="221" customWidth="1"/>
    <col min="11350" max="11351" width="2.5703125" style="221" customWidth="1"/>
    <col min="11352"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7109375" style="221" customWidth="1"/>
    <col min="11526" max="11526" width="1.140625" style="221" customWidth="1"/>
    <col min="11527" max="11531" width="0.7109375" style="221" customWidth="1"/>
    <col min="11532" max="11532" width="0.5703125" style="221" customWidth="1"/>
    <col min="11533" max="11545" width="0.7109375" style="221" customWidth="1"/>
    <col min="11546" max="11546" width="1.4257812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 style="221" customWidth="1"/>
    <col min="11583" max="11583" width="0.5703125" style="221" customWidth="1"/>
    <col min="11584" max="11584" width="2.140625" style="221" customWidth="1"/>
    <col min="11585" max="11585" width="0.5703125" style="221" customWidth="1"/>
    <col min="11586" max="11586" width="2.140625" style="221" customWidth="1"/>
    <col min="11587" max="11587" width="0.5703125" style="221" customWidth="1"/>
    <col min="11588" max="11588" width="2.140625" style="221" customWidth="1"/>
    <col min="11589" max="11589" width="0.5703125" style="221" customWidth="1"/>
    <col min="11590" max="11590" width="2.140625" style="221" customWidth="1"/>
    <col min="11591" max="11591" width="0.5703125" style="221" customWidth="1"/>
    <col min="11592" max="11592" width="2.140625" style="221" customWidth="1"/>
    <col min="11593" max="11593" width="0.5703125" style="221" customWidth="1"/>
    <col min="11594" max="11594" width="2.140625" style="221" customWidth="1"/>
    <col min="11595" max="11595" width="0.5703125" style="221" customWidth="1"/>
    <col min="11596" max="11596" width="2.140625" style="221" customWidth="1"/>
    <col min="11597" max="11597" width="0.5703125" style="221" customWidth="1"/>
    <col min="11598" max="11598" width="2.140625" style="221" customWidth="1"/>
    <col min="11599" max="11599" width="0.5703125" style="221" customWidth="1"/>
    <col min="11600" max="11600" width="2.140625" style="221" customWidth="1"/>
    <col min="11601" max="11601" width="0.5703125" style="221" customWidth="1"/>
    <col min="11602" max="11602" width="2.140625" style="221" customWidth="1"/>
    <col min="11603" max="11603" width="0.5703125" style="221" customWidth="1"/>
    <col min="11604" max="11604" width="2.140625" style="221" customWidth="1"/>
    <col min="11605" max="11605" width="0.5703125" style="221" customWidth="1"/>
    <col min="11606" max="11607" width="2.5703125" style="221" customWidth="1"/>
    <col min="11608"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7109375" style="221" customWidth="1"/>
    <col min="11782" max="11782" width="1.140625" style="221" customWidth="1"/>
    <col min="11783" max="11787" width="0.7109375" style="221" customWidth="1"/>
    <col min="11788" max="11788" width="0.5703125" style="221" customWidth="1"/>
    <col min="11789" max="11801" width="0.7109375" style="221" customWidth="1"/>
    <col min="11802" max="11802" width="1.4257812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 style="221" customWidth="1"/>
    <col min="11839" max="11839" width="0.5703125" style="221" customWidth="1"/>
    <col min="11840" max="11840" width="2.140625" style="221" customWidth="1"/>
    <col min="11841" max="11841" width="0.5703125" style="221" customWidth="1"/>
    <col min="11842" max="11842" width="2.140625" style="221" customWidth="1"/>
    <col min="11843" max="11843" width="0.5703125" style="221" customWidth="1"/>
    <col min="11844" max="11844" width="2.140625" style="221" customWidth="1"/>
    <col min="11845" max="11845" width="0.5703125" style="221" customWidth="1"/>
    <col min="11846" max="11846" width="2.140625" style="221" customWidth="1"/>
    <col min="11847" max="11847" width="0.5703125" style="221" customWidth="1"/>
    <col min="11848" max="11848" width="2.140625" style="221" customWidth="1"/>
    <col min="11849" max="11849" width="0.5703125" style="221" customWidth="1"/>
    <col min="11850" max="11850" width="2.140625" style="221" customWidth="1"/>
    <col min="11851" max="11851" width="0.5703125" style="221" customWidth="1"/>
    <col min="11852" max="11852" width="2.140625" style="221" customWidth="1"/>
    <col min="11853" max="11853" width="0.5703125" style="221" customWidth="1"/>
    <col min="11854" max="11854" width="2.140625" style="221" customWidth="1"/>
    <col min="11855" max="11855" width="0.5703125" style="221" customWidth="1"/>
    <col min="11856" max="11856" width="2.140625" style="221" customWidth="1"/>
    <col min="11857" max="11857" width="0.5703125" style="221" customWidth="1"/>
    <col min="11858" max="11858" width="2.140625" style="221" customWidth="1"/>
    <col min="11859" max="11859" width="0.5703125" style="221" customWidth="1"/>
    <col min="11860" max="11860" width="2.140625" style="221" customWidth="1"/>
    <col min="11861" max="11861" width="0.5703125" style="221" customWidth="1"/>
    <col min="11862" max="11863" width="2.5703125" style="221" customWidth="1"/>
    <col min="11864"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7109375" style="221" customWidth="1"/>
    <col min="12038" max="12038" width="1.140625" style="221" customWidth="1"/>
    <col min="12039" max="12043" width="0.7109375" style="221" customWidth="1"/>
    <col min="12044" max="12044" width="0.5703125" style="221" customWidth="1"/>
    <col min="12045" max="12057" width="0.7109375" style="221" customWidth="1"/>
    <col min="12058" max="12058" width="1.4257812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 style="221" customWidth="1"/>
    <col min="12095" max="12095" width="0.5703125" style="221" customWidth="1"/>
    <col min="12096" max="12096" width="2.140625" style="221" customWidth="1"/>
    <col min="12097" max="12097" width="0.5703125" style="221" customWidth="1"/>
    <col min="12098" max="12098" width="2.140625" style="221" customWidth="1"/>
    <col min="12099" max="12099" width="0.5703125" style="221" customWidth="1"/>
    <col min="12100" max="12100" width="2.140625" style="221" customWidth="1"/>
    <col min="12101" max="12101" width="0.5703125" style="221" customWidth="1"/>
    <col min="12102" max="12102" width="2.140625" style="221" customWidth="1"/>
    <col min="12103" max="12103" width="0.5703125" style="221" customWidth="1"/>
    <col min="12104" max="12104" width="2.140625" style="221" customWidth="1"/>
    <col min="12105" max="12105" width="0.5703125" style="221" customWidth="1"/>
    <col min="12106" max="12106" width="2.140625" style="221" customWidth="1"/>
    <col min="12107" max="12107" width="0.5703125" style="221" customWidth="1"/>
    <col min="12108" max="12108" width="2.140625" style="221" customWidth="1"/>
    <col min="12109" max="12109" width="0.5703125" style="221" customWidth="1"/>
    <col min="12110" max="12110" width="2.140625" style="221" customWidth="1"/>
    <col min="12111" max="12111" width="0.5703125" style="221" customWidth="1"/>
    <col min="12112" max="12112" width="2.140625" style="221" customWidth="1"/>
    <col min="12113" max="12113" width="0.5703125" style="221" customWidth="1"/>
    <col min="12114" max="12114" width="2.140625" style="221" customWidth="1"/>
    <col min="12115" max="12115" width="0.5703125" style="221" customWidth="1"/>
    <col min="12116" max="12116" width="2.140625" style="221" customWidth="1"/>
    <col min="12117" max="12117" width="0.5703125" style="221" customWidth="1"/>
    <col min="12118" max="12119" width="2.5703125" style="221" customWidth="1"/>
    <col min="12120"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7109375" style="221" customWidth="1"/>
    <col min="12294" max="12294" width="1.140625" style="221" customWidth="1"/>
    <col min="12295" max="12299" width="0.7109375" style="221" customWidth="1"/>
    <col min="12300" max="12300" width="0.5703125" style="221" customWidth="1"/>
    <col min="12301" max="12313" width="0.7109375" style="221" customWidth="1"/>
    <col min="12314" max="12314" width="1.4257812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 style="221" customWidth="1"/>
    <col min="12351" max="12351" width="0.5703125" style="221" customWidth="1"/>
    <col min="12352" max="12352" width="2.140625" style="221" customWidth="1"/>
    <col min="12353" max="12353" width="0.5703125" style="221" customWidth="1"/>
    <col min="12354" max="12354" width="2.140625" style="221" customWidth="1"/>
    <col min="12355" max="12355" width="0.5703125" style="221" customWidth="1"/>
    <col min="12356" max="12356" width="2.140625" style="221" customWidth="1"/>
    <col min="12357" max="12357" width="0.5703125" style="221" customWidth="1"/>
    <col min="12358" max="12358" width="2.140625" style="221" customWidth="1"/>
    <col min="12359" max="12359" width="0.5703125" style="221" customWidth="1"/>
    <col min="12360" max="12360" width="2.140625" style="221" customWidth="1"/>
    <col min="12361" max="12361" width="0.5703125" style="221" customWidth="1"/>
    <col min="12362" max="12362" width="2.140625" style="221" customWidth="1"/>
    <col min="12363" max="12363" width="0.5703125" style="221" customWidth="1"/>
    <col min="12364" max="12364" width="2.140625" style="221" customWidth="1"/>
    <col min="12365" max="12365" width="0.5703125" style="221" customWidth="1"/>
    <col min="12366" max="12366" width="2.140625" style="221" customWidth="1"/>
    <col min="12367" max="12367" width="0.5703125" style="221" customWidth="1"/>
    <col min="12368" max="12368" width="2.140625" style="221" customWidth="1"/>
    <col min="12369" max="12369" width="0.5703125" style="221" customWidth="1"/>
    <col min="12370" max="12370" width="2.140625" style="221" customWidth="1"/>
    <col min="12371" max="12371" width="0.5703125" style="221" customWidth="1"/>
    <col min="12372" max="12372" width="2.140625" style="221" customWidth="1"/>
    <col min="12373" max="12373" width="0.5703125" style="221" customWidth="1"/>
    <col min="12374" max="12375" width="2.5703125" style="221" customWidth="1"/>
    <col min="12376"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7109375" style="221" customWidth="1"/>
    <col min="12550" max="12550" width="1.140625" style="221" customWidth="1"/>
    <col min="12551" max="12555" width="0.7109375" style="221" customWidth="1"/>
    <col min="12556" max="12556" width="0.5703125" style="221" customWidth="1"/>
    <col min="12557" max="12569" width="0.7109375" style="221" customWidth="1"/>
    <col min="12570" max="12570" width="1.4257812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 style="221" customWidth="1"/>
    <col min="12607" max="12607" width="0.5703125" style="221" customWidth="1"/>
    <col min="12608" max="12608" width="2.140625" style="221" customWidth="1"/>
    <col min="12609" max="12609" width="0.5703125" style="221" customWidth="1"/>
    <col min="12610" max="12610" width="2.140625" style="221" customWidth="1"/>
    <col min="12611" max="12611" width="0.5703125" style="221" customWidth="1"/>
    <col min="12612" max="12612" width="2.140625" style="221" customWidth="1"/>
    <col min="12613" max="12613" width="0.5703125" style="221" customWidth="1"/>
    <col min="12614" max="12614" width="2.140625" style="221" customWidth="1"/>
    <col min="12615" max="12615" width="0.5703125" style="221" customWidth="1"/>
    <col min="12616" max="12616" width="2.140625" style="221" customWidth="1"/>
    <col min="12617" max="12617" width="0.5703125" style="221" customWidth="1"/>
    <col min="12618" max="12618" width="2.140625" style="221" customWidth="1"/>
    <col min="12619" max="12619" width="0.5703125" style="221" customWidth="1"/>
    <col min="12620" max="12620" width="2.140625" style="221" customWidth="1"/>
    <col min="12621" max="12621" width="0.5703125" style="221" customWidth="1"/>
    <col min="12622" max="12622" width="2.140625" style="221" customWidth="1"/>
    <col min="12623" max="12623" width="0.5703125" style="221" customWidth="1"/>
    <col min="12624" max="12624" width="2.140625" style="221" customWidth="1"/>
    <col min="12625" max="12625" width="0.5703125" style="221" customWidth="1"/>
    <col min="12626" max="12626" width="2.140625" style="221" customWidth="1"/>
    <col min="12627" max="12627" width="0.5703125" style="221" customWidth="1"/>
    <col min="12628" max="12628" width="2.140625" style="221" customWidth="1"/>
    <col min="12629" max="12629" width="0.5703125" style="221" customWidth="1"/>
    <col min="12630" max="12631" width="2.5703125" style="221" customWidth="1"/>
    <col min="12632"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7109375" style="221" customWidth="1"/>
    <col min="12806" max="12806" width="1.140625" style="221" customWidth="1"/>
    <col min="12807" max="12811" width="0.7109375" style="221" customWidth="1"/>
    <col min="12812" max="12812" width="0.5703125" style="221" customWidth="1"/>
    <col min="12813" max="12825" width="0.7109375" style="221" customWidth="1"/>
    <col min="12826" max="12826" width="1.4257812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 style="221" customWidth="1"/>
    <col min="12863" max="12863" width="0.5703125" style="221" customWidth="1"/>
    <col min="12864" max="12864" width="2.140625" style="221" customWidth="1"/>
    <col min="12865" max="12865" width="0.5703125" style="221" customWidth="1"/>
    <col min="12866" max="12866" width="2.140625" style="221" customWidth="1"/>
    <col min="12867" max="12867" width="0.5703125" style="221" customWidth="1"/>
    <col min="12868" max="12868" width="2.140625" style="221" customWidth="1"/>
    <col min="12869" max="12869" width="0.5703125" style="221" customWidth="1"/>
    <col min="12870" max="12870" width="2.140625" style="221" customWidth="1"/>
    <col min="12871" max="12871" width="0.5703125" style="221" customWidth="1"/>
    <col min="12872" max="12872" width="2.140625" style="221" customWidth="1"/>
    <col min="12873" max="12873" width="0.5703125" style="221" customWidth="1"/>
    <col min="12874" max="12874" width="2.140625" style="221" customWidth="1"/>
    <col min="12875" max="12875" width="0.5703125" style="221" customWidth="1"/>
    <col min="12876" max="12876" width="2.140625" style="221" customWidth="1"/>
    <col min="12877" max="12877" width="0.5703125" style="221" customWidth="1"/>
    <col min="12878" max="12878" width="2.140625" style="221" customWidth="1"/>
    <col min="12879" max="12879" width="0.5703125" style="221" customWidth="1"/>
    <col min="12880" max="12880" width="2.140625" style="221" customWidth="1"/>
    <col min="12881" max="12881" width="0.5703125" style="221" customWidth="1"/>
    <col min="12882" max="12882" width="2.140625" style="221" customWidth="1"/>
    <col min="12883" max="12883" width="0.5703125" style="221" customWidth="1"/>
    <col min="12884" max="12884" width="2.140625" style="221" customWidth="1"/>
    <col min="12885" max="12885" width="0.5703125" style="221" customWidth="1"/>
    <col min="12886" max="12887" width="2.5703125" style="221" customWidth="1"/>
    <col min="12888"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7109375" style="221" customWidth="1"/>
    <col min="13062" max="13062" width="1.140625" style="221" customWidth="1"/>
    <col min="13063" max="13067" width="0.7109375" style="221" customWidth="1"/>
    <col min="13068" max="13068" width="0.5703125" style="221" customWidth="1"/>
    <col min="13069" max="13081" width="0.7109375" style="221" customWidth="1"/>
    <col min="13082" max="13082" width="1.4257812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 style="221" customWidth="1"/>
    <col min="13119" max="13119" width="0.5703125" style="221" customWidth="1"/>
    <col min="13120" max="13120" width="2.140625" style="221" customWidth="1"/>
    <col min="13121" max="13121" width="0.5703125" style="221" customWidth="1"/>
    <col min="13122" max="13122" width="2.140625" style="221" customWidth="1"/>
    <col min="13123" max="13123" width="0.5703125" style="221" customWidth="1"/>
    <col min="13124" max="13124" width="2.140625" style="221" customWidth="1"/>
    <col min="13125" max="13125" width="0.5703125" style="221" customWidth="1"/>
    <col min="13126" max="13126" width="2.140625" style="221" customWidth="1"/>
    <col min="13127" max="13127" width="0.5703125" style="221" customWidth="1"/>
    <col min="13128" max="13128" width="2.140625" style="221" customWidth="1"/>
    <col min="13129" max="13129" width="0.5703125" style="221" customWidth="1"/>
    <col min="13130" max="13130" width="2.140625" style="221" customWidth="1"/>
    <col min="13131" max="13131" width="0.5703125" style="221" customWidth="1"/>
    <col min="13132" max="13132" width="2.140625" style="221" customWidth="1"/>
    <col min="13133" max="13133" width="0.5703125" style="221" customWidth="1"/>
    <col min="13134" max="13134" width="2.140625" style="221" customWidth="1"/>
    <col min="13135" max="13135" width="0.5703125" style="221" customWidth="1"/>
    <col min="13136" max="13136" width="2.140625" style="221" customWidth="1"/>
    <col min="13137" max="13137" width="0.5703125" style="221" customWidth="1"/>
    <col min="13138" max="13138" width="2.140625" style="221" customWidth="1"/>
    <col min="13139" max="13139" width="0.5703125" style="221" customWidth="1"/>
    <col min="13140" max="13140" width="2.140625" style="221" customWidth="1"/>
    <col min="13141" max="13141" width="0.5703125" style="221" customWidth="1"/>
    <col min="13142" max="13143" width="2.5703125" style="221" customWidth="1"/>
    <col min="13144"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7109375" style="221" customWidth="1"/>
    <col min="13318" max="13318" width="1.140625" style="221" customWidth="1"/>
    <col min="13319" max="13323" width="0.7109375" style="221" customWidth="1"/>
    <col min="13324" max="13324" width="0.5703125" style="221" customWidth="1"/>
    <col min="13325" max="13337" width="0.7109375" style="221" customWidth="1"/>
    <col min="13338" max="13338" width="1.4257812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 style="221" customWidth="1"/>
    <col min="13375" max="13375" width="0.5703125" style="221" customWidth="1"/>
    <col min="13376" max="13376" width="2.140625" style="221" customWidth="1"/>
    <col min="13377" max="13377" width="0.5703125" style="221" customWidth="1"/>
    <col min="13378" max="13378" width="2.140625" style="221" customWidth="1"/>
    <col min="13379" max="13379" width="0.5703125" style="221" customWidth="1"/>
    <col min="13380" max="13380" width="2.140625" style="221" customWidth="1"/>
    <col min="13381" max="13381" width="0.5703125" style="221" customWidth="1"/>
    <col min="13382" max="13382" width="2.140625" style="221" customWidth="1"/>
    <col min="13383" max="13383" width="0.5703125" style="221" customWidth="1"/>
    <col min="13384" max="13384" width="2.140625" style="221" customWidth="1"/>
    <col min="13385" max="13385" width="0.5703125" style="221" customWidth="1"/>
    <col min="13386" max="13386" width="2.140625" style="221" customWidth="1"/>
    <col min="13387" max="13387" width="0.5703125" style="221" customWidth="1"/>
    <col min="13388" max="13388" width="2.140625" style="221" customWidth="1"/>
    <col min="13389" max="13389" width="0.5703125" style="221" customWidth="1"/>
    <col min="13390" max="13390" width="2.140625" style="221" customWidth="1"/>
    <col min="13391" max="13391" width="0.5703125" style="221" customWidth="1"/>
    <col min="13392" max="13392" width="2.140625" style="221" customWidth="1"/>
    <col min="13393" max="13393" width="0.5703125" style="221" customWidth="1"/>
    <col min="13394" max="13394" width="2.140625" style="221" customWidth="1"/>
    <col min="13395" max="13395" width="0.5703125" style="221" customWidth="1"/>
    <col min="13396" max="13396" width="2.140625" style="221" customWidth="1"/>
    <col min="13397" max="13397" width="0.5703125" style="221" customWidth="1"/>
    <col min="13398" max="13399" width="2.5703125" style="221" customWidth="1"/>
    <col min="13400"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7109375" style="221" customWidth="1"/>
    <col min="13574" max="13574" width="1.140625" style="221" customWidth="1"/>
    <col min="13575" max="13579" width="0.7109375" style="221" customWidth="1"/>
    <col min="13580" max="13580" width="0.5703125" style="221" customWidth="1"/>
    <col min="13581" max="13593" width="0.7109375" style="221" customWidth="1"/>
    <col min="13594" max="13594" width="1.4257812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 style="221" customWidth="1"/>
    <col min="13631" max="13631" width="0.5703125" style="221" customWidth="1"/>
    <col min="13632" max="13632" width="2.140625" style="221" customWidth="1"/>
    <col min="13633" max="13633" width="0.5703125" style="221" customWidth="1"/>
    <col min="13634" max="13634" width="2.140625" style="221" customWidth="1"/>
    <col min="13635" max="13635" width="0.5703125" style="221" customWidth="1"/>
    <col min="13636" max="13636" width="2.140625" style="221" customWidth="1"/>
    <col min="13637" max="13637" width="0.5703125" style="221" customWidth="1"/>
    <col min="13638" max="13638" width="2.140625" style="221" customWidth="1"/>
    <col min="13639" max="13639" width="0.5703125" style="221" customWidth="1"/>
    <col min="13640" max="13640" width="2.140625" style="221" customWidth="1"/>
    <col min="13641" max="13641" width="0.5703125" style="221" customWidth="1"/>
    <col min="13642" max="13642" width="2.140625" style="221" customWidth="1"/>
    <col min="13643" max="13643" width="0.5703125" style="221" customWidth="1"/>
    <col min="13644" max="13644" width="2.140625" style="221" customWidth="1"/>
    <col min="13645" max="13645" width="0.5703125" style="221" customWidth="1"/>
    <col min="13646" max="13646" width="2.140625" style="221" customWidth="1"/>
    <col min="13647" max="13647" width="0.5703125" style="221" customWidth="1"/>
    <col min="13648" max="13648" width="2.140625" style="221" customWidth="1"/>
    <col min="13649" max="13649" width="0.5703125" style="221" customWidth="1"/>
    <col min="13650" max="13650" width="2.140625" style="221" customWidth="1"/>
    <col min="13651" max="13651" width="0.5703125" style="221" customWidth="1"/>
    <col min="13652" max="13652" width="2.140625" style="221" customWidth="1"/>
    <col min="13653" max="13653" width="0.5703125" style="221" customWidth="1"/>
    <col min="13654" max="13655" width="2.5703125" style="221" customWidth="1"/>
    <col min="13656"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7109375" style="221" customWidth="1"/>
    <col min="13830" max="13830" width="1.140625" style="221" customWidth="1"/>
    <col min="13831" max="13835" width="0.7109375" style="221" customWidth="1"/>
    <col min="13836" max="13836" width="0.5703125" style="221" customWidth="1"/>
    <col min="13837" max="13849" width="0.7109375" style="221" customWidth="1"/>
    <col min="13850" max="13850" width="1.4257812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 style="221" customWidth="1"/>
    <col min="13887" max="13887" width="0.5703125" style="221" customWidth="1"/>
    <col min="13888" max="13888" width="2.140625" style="221" customWidth="1"/>
    <col min="13889" max="13889" width="0.5703125" style="221" customWidth="1"/>
    <col min="13890" max="13890" width="2.140625" style="221" customWidth="1"/>
    <col min="13891" max="13891" width="0.5703125" style="221" customWidth="1"/>
    <col min="13892" max="13892" width="2.140625" style="221" customWidth="1"/>
    <col min="13893" max="13893" width="0.5703125" style="221" customWidth="1"/>
    <col min="13894" max="13894" width="2.140625" style="221" customWidth="1"/>
    <col min="13895" max="13895" width="0.5703125" style="221" customWidth="1"/>
    <col min="13896" max="13896" width="2.140625" style="221" customWidth="1"/>
    <col min="13897" max="13897" width="0.5703125" style="221" customWidth="1"/>
    <col min="13898" max="13898" width="2.140625" style="221" customWidth="1"/>
    <col min="13899" max="13899" width="0.5703125" style="221" customWidth="1"/>
    <col min="13900" max="13900" width="2.140625" style="221" customWidth="1"/>
    <col min="13901" max="13901" width="0.5703125" style="221" customWidth="1"/>
    <col min="13902" max="13902" width="2.140625" style="221" customWidth="1"/>
    <col min="13903" max="13903" width="0.5703125" style="221" customWidth="1"/>
    <col min="13904" max="13904" width="2.140625" style="221" customWidth="1"/>
    <col min="13905" max="13905" width="0.5703125" style="221" customWidth="1"/>
    <col min="13906" max="13906" width="2.140625" style="221" customWidth="1"/>
    <col min="13907" max="13907" width="0.5703125" style="221" customWidth="1"/>
    <col min="13908" max="13908" width="2.140625" style="221" customWidth="1"/>
    <col min="13909" max="13909" width="0.5703125" style="221" customWidth="1"/>
    <col min="13910" max="13911" width="2.5703125" style="221" customWidth="1"/>
    <col min="13912"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7109375" style="221" customWidth="1"/>
    <col min="14086" max="14086" width="1.140625" style="221" customWidth="1"/>
    <col min="14087" max="14091" width="0.7109375" style="221" customWidth="1"/>
    <col min="14092" max="14092" width="0.5703125" style="221" customWidth="1"/>
    <col min="14093" max="14105" width="0.7109375" style="221" customWidth="1"/>
    <col min="14106" max="14106" width="1.4257812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 style="221" customWidth="1"/>
    <col min="14143" max="14143" width="0.5703125" style="221" customWidth="1"/>
    <col min="14144" max="14144" width="2.140625" style="221" customWidth="1"/>
    <col min="14145" max="14145" width="0.5703125" style="221" customWidth="1"/>
    <col min="14146" max="14146" width="2.140625" style="221" customWidth="1"/>
    <col min="14147" max="14147" width="0.5703125" style="221" customWidth="1"/>
    <col min="14148" max="14148" width="2.140625" style="221" customWidth="1"/>
    <col min="14149" max="14149" width="0.5703125" style="221" customWidth="1"/>
    <col min="14150" max="14150" width="2.140625" style="221" customWidth="1"/>
    <col min="14151" max="14151" width="0.5703125" style="221" customWidth="1"/>
    <col min="14152" max="14152" width="2.140625" style="221" customWidth="1"/>
    <col min="14153" max="14153" width="0.5703125" style="221" customWidth="1"/>
    <col min="14154" max="14154" width="2.140625" style="221" customWidth="1"/>
    <col min="14155" max="14155" width="0.5703125" style="221" customWidth="1"/>
    <col min="14156" max="14156" width="2.140625" style="221" customWidth="1"/>
    <col min="14157" max="14157" width="0.5703125" style="221" customWidth="1"/>
    <col min="14158" max="14158" width="2.140625" style="221" customWidth="1"/>
    <col min="14159" max="14159" width="0.5703125" style="221" customWidth="1"/>
    <col min="14160" max="14160" width="2.140625" style="221" customWidth="1"/>
    <col min="14161" max="14161" width="0.5703125" style="221" customWidth="1"/>
    <col min="14162" max="14162" width="2.140625" style="221" customWidth="1"/>
    <col min="14163" max="14163" width="0.5703125" style="221" customWidth="1"/>
    <col min="14164" max="14164" width="2.140625" style="221" customWidth="1"/>
    <col min="14165" max="14165" width="0.5703125" style="221" customWidth="1"/>
    <col min="14166" max="14167" width="2.5703125" style="221" customWidth="1"/>
    <col min="14168"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7109375" style="221" customWidth="1"/>
    <col min="14342" max="14342" width="1.140625" style="221" customWidth="1"/>
    <col min="14343" max="14347" width="0.7109375" style="221" customWidth="1"/>
    <col min="14348" max="14348" width="0.5703125" style="221" customWidth="1"/>
    <col min="14349" max="14361" width="0.7109375" style="221" customWidth="1"/>
    <col min="14362" max="14362" width="1.4257812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 style="221" customWidth="1"/>
    <col min="14399" max="14399" width="0.5703125" style="221" customWidth="1"/>
    <col min="14400" max="14400" width="2.140625" style="221" customWidth="1"/>
    <col min="14401" max="14401" width="0.5703125" style="221" customWidth="1"/>
    <col min="14402" max="14402" width="2.140625" style="221" customWidth="1"/>
    <col min="14403" max="14403" width="0.5703125" style="221" customWidth="1"/>
    <col min="14404" max="14404" width="2.140625" style="221" customWidth="1"/>
    <col min="14405" max="14405" width="0.5703125" style="221" customWidth="1"/>
    <col min="14406" max="14406" width="2.140625" style="221" customWidth="1"/>
    <col min="14407" max="14407" width="0.5703125" style="221" customWidth="1"/>
    <col min="14408" max="14408" width="2.140625" style="221" customWidth="1"/>
    <col min="14409" max="14409" width="0.5703125" style="221" customWidth="1"/>
    <col min="14410" max="14410" width="2.140625" style="221" customWidth="1"/>
    <col min="14411" max="14411" width="0.5703125" style="221" customWidth="1"/>
    <col min="14412" max="14412" width="2.140625" style="221" customWidth="1"/>
    <col min="14413" max="14413" width="0.5703125" style="221" customWidth="1"/>
    <col min="14414" max="14414" width="2.140625" style="221" customWidth="1"/>
    <col min="14415" max="14415" width="0.5703125" style="221" customWidth="1"/>
    <col min="14416" max="14416" width="2.140625" style="221" customWidth="1"/>
    <col min="14417" max="14417" width="0.5703125" style="221" customWidth="1"/>
    <col min="14418" max="14418" width="2.140625" style="221" customWidth="1"/>
    <col min="14419" max="14419" width="0.5703125" style="221" customWidth="1"/>
    <col min="14420" max="14420" width="2.140625" style="221" customWidth="1"/>
    <col min="14421" max="14421" width="0.5703125" style="221" customWidth="1"/>
    <col min="14422" max="14423" width="2.5703125" style="221" customWidth="1"/>
    <col min="14424"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7109375" style="221" customWidth="1"/>
    <col min="14598" max="14598" width="1.140625" style="221" customWidth="1"/>
    <col min="14599" max="14603" width="0.7109375" style="221" customWidth="1"/>
    <col min="14604" max="14604" width="0.5703125" style="221" customWidth="1"/>
    <col min="14605" max="14617" width="0.7109375" style="221" customWidth="1"/>
    <col min="14618" max="14618" width="1.4257812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 style="221" customWidth="1"/>
    <col min="14655" max="14655" width="0.5703125" style="221" customWidth="1"/>
    <col min="14656" max="14656" width="2.140625" style="221" customWidth="1"/>
    <col min="14657" max="14657" width="0.5703125" style="221" customWidth="1"/>
    <col min="14658" max="14658" width="2.140625" style="221" customWidth="1"/>
    <col min="14659" max="14659" width="0.5703125" style="221" customWidth="1"/>
    <col min="14660" max="14660" width="2.140625" style="221" customWidth="1"/>
    <col min="14661" max="14661" width="0.5703125" style="221" customWidth="1"/>
    <col min="14662" max="14662" width="2.140625" style="221" customWidth="1"/>
    <col min="14663" max="14663" width="0.5703125" style="221" customWidth="1"/>
    <col min="14664" max="14664" width="2.140625" style="221" customWidth="1"/>
    <col min="14665" max="14665" width="0.5703125" style="221" customWidth="1"/>
    <col min="14666" max="14666" width="2.140625" style="221" customWidth="1"/>
    <col min="14667" max="14667" width="0.5703125" style="221" customWidth="1"/>
    <col min="14668" max="14668" width="2.140625" style="221" customWidth="1"/>
    <col min="14669" max="14669" width="0.5703125" style="221" customWidth="1"/>
    <col min="14670" max="14670" width="2.140625" style="221" customWidth="1"/>
    <col min="14671" max="14671" width="0.5703125" style="221" customWidth="1"/>
    <col min="14672" max="14672" width="2.140625" style="221" customWidth="1"/>
    <col min="14673" max="14673" width="0.5703125" style="221" customWidth="1"/>
    <col min="14674" max="14674" width="2.140625" style="221" customWidth="1"/>
    <col min="14675" max="14675" width="0.5703125" style="221" customWidth="1"/>
    <col min="14676" max="14676" width="2.140625" style="221" customWidth="1"/>
    <col min="14677" max="14677" width="0.5703125" style="221" customWidth="1"/>
    <col min="14678" max="14679" width="2.5703125" style="221" customWidth="1"/>
    <col min="14680"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7109375" style="221" customWidth="1"/>
    <col min="14854" max="14854" width="1.140625" style="221" customWidth="1"/>
    <col min="14855" max="14859" width="0.7109375" style="221" customWidth="1"/>
    <col min="14860" max="14860" width="0.5703125" style="221" customWidth="1"/>
    <col min="14861" max="14873" width="0.7109375" style="221" customWidth="1"/>
    <col min="14874" max="14874" width="1.4257812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 style="221" customWidth="1"/>
    <col min="14911" max="14911" width="0.5703125" style="221" customWidth="1"/>
    <col min="14912" max="14912" width="2.140625" style="221" customWidth="1"/>
    <col min="14913" max="14913" width="0.5703125" style="221" customWidth="1"/>
    <col min="14914" max="14914" width="2.140625" style="221" customWidth="1"/>
    <col min="14915" max="14915" width="0.5703125" style="221" customWidth="1"/>
    <col min="14916" max="14916" width="2.140625" style="221" customWidth="1"/>
    <col min="14917" max="14917" width="0.5703125" style="221" customWidth="1"/>
    <col min="14918" max="14918" width="2.140625" style="221" customWidth="1"/>
    <col min="14919" max="14919" width="0.5703125" style="221" customWidth="1"/>
    <col min="14920" max="14920" width="2.140625" style="221" customWidth="1"/>
    <col min="14921" max="14921" width="0.5703125" style="221" customWidth="1"/>
    <col min="14922" max="14922" width="2.140625" style="221" customWidth="1"/>
    <col min="14923" max="14923" width="0.5703125" style="221" customWidth="1"/>
    <col min="14924" max="14924" width="2.140625" style="221" customWidth="1"/>
    <col min="14925" max="14925" width="0.5703125" style="221" customWidth="1"/>
    <col min="14926" max="14926" width="2.140625" style="221" customWidth="1"/>
    <col min="14927" max="14927" width="0.5703125" style="221" customWidth="1"/>
    <col min="14928" max="14928" width="2.140625" style="221" customWidth="1"/>
    <col min="14929" max="14929" width="0.5703125" style="221" customWidth="1"/>
    <col min="14930" max="14930" width="2.140625" style="221" customWidth="1"/>
    <col min="14931" max="14931" width="0.5703125" style="221" customWidth="1"/>
    <col min="14932" max="14932" width="2.140625" style="221" customWidth="1"/>
    <col min="14933" max="14933" width="0.5703125" style="221" customWidth="1"/>
    <col min="14934" max="14935" width="2.5703125" style="221" customWidth="1"/>
    <col min="14936"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7109375" style="221" customWidth="1"/>
    <col min="15110" max="15110" width="1.140625" style="221" customWidth="1"/>
    <col min="15111" max="15115" width="0.7109375" style="221" customWidth="1"/>
    <col min="15116" max="15116" width="0.5703125" style="221" customWidth="1"/>
    <col min="15117" max="15129" width="0.7109375" style="221" customWidth="1"/>
    <col min="15130" max="15130" width="1.4257812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 style="221" customWidth="1"/>
    <col min="15167" max="15167" width="0.5703125" style="221" customWidth="1"/>
    <col min="15168" max="15168" width="2.140625" style="221" customWidth="1"/>
    <col min="15169" max="15169" width="0.5703125" style="221" customWidth="1"/>
    <col min="15170" max="15170" width="2.140625" style="221" customWidth="1"/>
    <col min="15171" max="15171" width="0.5703125" style="221" customWidth="1"/>
    <col min="15172" max="15172" width="2.140625" style="221" customWidth="1"/>
    <col min="15173" max="15173" width="0.5703125" style="221" customWidth="1"/>
    <col min="15174" max="15174" width="2.140625" style="221" customWidth="1"/>
    <col min="15175" max="15175" width="0.5703125" style="221" customWidth="1"/>
    <col min="15176" max="15176" width="2.140625" style="221" customWidth="1"/>
    <col min="15177" max="15177" width="0.5703125" style="221" customWidth="1"/>
    <col min="15178" max="15178" width="2.140625" style="221" customWidth="1"/>
    <col min="15179" max="15179" width="0.5703125" style="221" customWidth="1"/>
    <col min="15180" max="15180" width="2.140625" style="221" customWidth="1"/>
    <col min="15181" max="15181" width="0.5703125" style="221" customWidth="1"/>
    <col min="15182" max="15182" width="2.140625" style="221" customWidth="1"/>
    <col min="15183" max="15183" width="0.5703125" style="221" customWidth="1"/>
    <col min="15184" max="15184" width="2.140625" style="221" customWidth="1"/>
    <col min="15185" max="15185" width="0.5703125" style="221" customWidth="1"/>
    <col min="15186" max="15186" width="2.140625" style="221" customWidth="1"/>
    <col min="15187" max="15187" width="0.5703125" style="221" customWidth="1"/>
    <col min="15188" max="15188" width="2.140625" style="221" customWidth="1"/>
    <col min="15189" max="15189" width="0.5703125" style="221" customWidth="1"/>
    <col min="15190" max="15191" width="2.5703125" style="221" customWidth="1"/>
    <col min="15192"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7109375" style="221" customWidth="1"/>
    <col min="15366" max="15366" width="1.140625" style="221" customWidth="1"/>
    <col min="15367" max="15371" width="0.7109375" style="221" customWidth="1"/>
    <col min="15372" max="15372" width="0.5703125" style="221" customWidth="1"/>
    <col min="15373" max="15385" width="0.7109375" style="221" customWidth="1"/>
    <col min="15386" max="15386" width="1.4257812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 style="221" customWidth="1"/>
    <col min="15423" max="15423" width="0.5703125" style="221" customWidth="1"/>
    <col min="15424" max="15424" width="2.140625" style="221" customWidth="1"/>
    <col min="15425" max="15425" width="0.5703125" style="221" customWidth="1"/>
    <col min="15426" max="15426" width="2.140625" style="221" customWidth="1"/>
    <col min="15427" max="15427" width="0.5703125" style="221" customWidth="1"/>
    <col min="15428" max="15428" width="2.140625" style="221" customWidth="1"/>
    <col min="15429" max="15429" width="0.5703125" style="221" customWidth="1"/>
    <col min="15430" max="15430" width="2.140625" style="221" customWidth="1"/>
    <col min="15431" max="15431" width="0.5703125" style="221" customWidth="1"/>
    <col min="15432" max="15432" width="2.140625" style="221" customWidth="1"/>
    <col min="15433" max="15433" width="0.5703125" style="221" customWidth="1"/>
    <col min="15434" max="15434" width="2.140625" style="221" customWidth="1"/>
    <col min="15435" max="15435" width="0.5703125" style="221" customWidth="1"/>
    <col min="15436" max="15436" width="2.140625" style="221" customWidth="1"/>
    <col min="15437" max="15437" width="0.5703125" style="221" customWidth="1"/>
    <col min="15438" max="15438" width="2.140625" style="221" customWidth="1"/>
    <col min="15439" max="15439" width="0.5703125" style="221" customWidth="1"/>
    <col min="15440" max="15440" width="2.140625" style="221" customWidth="1"/>
    <col min="15441" max="15441" width="0.5703125" style="221" customWidth="1"/>
    <col min="15442" max="15442" width="2.140625" style="221" customWidth="1"/>
    <col min="15443" max="15443" width="0.5703125" style="221" customWidth="1"/>
    <col min="15444" max="15444" width="2.140625" style="221" customWidth="1"/>
    <col min="15445" max="15445" width="0.5703125" style="221" customWidth="1"/>
    <col min="15446" max="15447" width="2.5703125" style="221" customWidth="1"/>
    <col min="15448"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7109375" style="221" customWidth="1"/>
    <col min="15622" max="15622" width="1.140625" style="221" customWidth="1"/>
    <col min="15623" max="15627" width="0.7109375" style="221" customWidth="1"/>
    <col min="15628" max="15628" width="0.5703125" style="221" customWidth="1"/>
    <col min="15629" max="15641" width="0.7109375" style="221" customWidth="1"/>
    <col min="15642" max="15642" width="1.4257812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 style="221" customWidth="1"/>
    <col min="15679" max="15679" width="0.5703125" style="221" customWidth="1"/>
    <col min="15680" max="15680" width="2.140625" style="221" customWidth="1"/>
    <col min="15681" max="15681" width="0.5703125" style="221" customWidth="1"/>
    <col min="15682" max="15682" width="2.140625" style="221" customWidth="1"/>
    <col min="15683" max="15683" width="0.5703125" style="221" customWidth="1"/>
    <col min="15684" max="15684" width="2.140625" style="221" customWidth="1"/>
    <col min="15685" max="15685" width="0.5703125" style="221" customWidth="1"/>
    <col min="15686" max="15686" width="2.140625" style="221" customWidth="1"/>
    <col min="15687" max="15687" width="0.5703125" style="221" customWidth="1"/>
    <col min="15688" max="15688" width="2.140625" style="221" customWidth="1"/>
    <col min="15689" max="15689" width="0.5703125" style="221" customWidth="1"/>
    <col min="15690" max="15690" width="2.140625" style="221" customWidth="1"/>
    <col min="15691" max="15691" width="0.5703125" style="221" customWidth="1"/>
    <col min="15692" max="15692" width="2.140625" style="221" customWidth="1"/>
    <col min="15693" max="15693" width="0.5703125" style="221" customWidth="1"/>
    <col min="15694" max="15694" width="2.140625" style="221" customWidth="1"/>
    <col min="15695" max="15695" width="0.5703125" style="221" customWidth="1"/>
    <col min="15696" max="15696" width="2.140625" style="221" customWidth="1"/>
    <col min="15697" max="15697" width="0.5703125" style="221" customWidth="1"/>
    <col min="15698" max="15698" width="2.140625" style="221" customWidth="1"/>
    <col min="15699" max="15699" width="0.5703125" style="221" customWidth="1"/>
    <col min="15700" max="15700" width="2.140625" style="221" customWidth="1"/>
    <col min="15701" max="15701" width="0.5703125" style="221" customWidth="1"/>
    <col min="15702" max="15703" width="2.5703125" style="221" customWidth="1"/>
    <col min="15704"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7109375" style="221" customWidth="1"/>
    <col min="15878" max="15878" width="1.140625" style="221" customWidth="1"/>
    <col min="15879" max="15883" width="0.7109375" style="221" customWidth="1"/>
    <col min="15884" max="15884" width="0.5703125" style="221" customWidth="1"/>
    <col min="15885" max="15897" width="0.7109375" style="221" customWidth="1"/>
    <col min="15898" max="15898" width="1.4257812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 style="221" customWidth="1"/>
    <col min="15935" max="15935" width="0.5703125" style="221" customWidth="1"/>
    <col min="15936" max="15936" width="2.140625" style="221" customWidth="1"/>
    <col min="15937" max="15937" width="0.5703125" style="221" customWidth="1"/>
    <col min="15938" max="15938" width="2.140625" style="221" customWidth="1"/>
    <col min="15939" max="15939" width="0.5703125" style="221" customWidth="1"/>
    <col min="15940" max="15940" width="2.140625" style="221" customWidth="1"/>
    <col min="15941" max="15941" width="0.5703125" style="221" customWidth="1"/>
    <col min="15942" max="15942" width="2.140625" style="221" customWidth="1"/>
    <col min="15943" max="15943" width="0.5703125" style="221" customWidth="1"/>
    <col min="15944" max="15944" width="2.140625" style="221" customWidth="1"/>
    <col min="15945" max="15945" width="0.5703125" style="221" customWidth="1"/>
    <col min="15946" max="15946" width="2.140625" style="221" customWidth="1"/>
    <col min="15947" max="15947" width="0.5703125" style="221" customWidth="1"/>
    <col min="15948" max="15948" width="2.140625" style="221" customWidth="1"/>
    <col min="15949" max="15949" width="0.5703125" style="221" customWidth="1"/>
    <col min="15950" max="15950" width="2.140625" style="221" customWidth="1"/>
    <col min="15951" max="15951" width="0.5703125" style="221" customWidth="1"/>
    <col min="15952" max="15952" width="2.140625" style="221" customWidth="1"/>
    <col min="15953" max="15953" width="0.5703125" style="221" customWidth="1"/>
    <col min="15954" max="15954" width="2.140625" style="221" customWidth="1"/>
    <col min="15955" max="15955" width="0.5703125" style="221" customWidth="1"/>
    <col min="15956" max="15956" width="2.140625" style="221" customWidth="1"/>
    <col min="15957" max="15957" width="0.5703125" style="221" customWidth="1"/>
    <col min="15958" max="15959" width="2.5703125" style="221" customWidth="1"/>
    <col min="15960"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7109375" style="221" customWidth="1"/>
    <col min="16134" max="16134" width="1.140625" style="221" customWidth="1"/>
    <col min="16135" max="16139" width="0.7109375" style="221" customWidth="1"/>
    <col min="16140" max="16140" width="0.5703125" style="221" customWidth="1"/>
    <col min="16141" max="16153" width="0.7109375" style="221" customWidth="1"/>
    <col min="16154" max="16154" width="1.4257812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 style="221" customWidth="1"/>
    <col min="16191" max="16191" width="0.5703125" style="221" customWidth="1"/>
    <col min="16192" max="16192" width="2.140625" style="221" customWidth="1"/>
    <col min="16193" max="16193" width="0.5703125" style="221" customWidth="1"/>
    <col min="16194" max="16194" width="2.140625" style="221" customWidth="1"/>
    <col min="16195" max="16195" width="0.5703125" style="221" customWidth="1"/>
    <col min="16196" max="16196" width="2.140625" style="221" customWidth="1"/>
    <col min="16197" max="16197" width="0.5703125" style="221" customWidth="1"/>
    <col min="16198" max="16198" width="2.140625" style="221" customWidth="1"/>
    <col min="16199" max="16199" width="0.5703125" style="221" customWidth="1"/>
    <col min="16200" max="16200" width="2.140625" style="221" customWidth="1"/>
    <col min="16201" max="16201" width="0.5703125" style="221" customWidth="1"/>
    <col min="16202" max="16202" width="2.140625" style="221" customWidth="1"/>
    <col min="16203" max="16203" width="0.5703125" style="221" customWidth="1"/>
    <col min="16204" max="16204" width="2.140625" style="221" customWidth="1"/>
    <col min="16205" max="16205" width="0.5703125" style="221" customWidth="1"/>
    <col min="16206" max="16206" width="2.140625" style="221" customWidth="1"/>
    <col min="16207" max="16207" width="0.5703125" style="221" customWidth="1"/>
    <col min="16208" max="16208" width="2.140625" style="221" customWidth="1"/>
    <col min="16209" max="16209" width="0.5703125" style="221" customWidth="1"/>
    <col min="16210" max="16210" width="2.140625" style="221" customWidth="1"/>
    <col min="16211" max="16211" width="0.5703125" style="221" customWidth="1"/>
    <col min="16212" max="16212" width="2.140625" style="221" customWidth="1"/>
    <col min="16213" max="16213" width="0.5703125" style="221" customWidth="1"/>
    <col min="16214" max="16215" width="2.5703125" style="221" customWidth="1"/>
    <col min="16216" max="16384" width="9.140625" style="221"/>
  </cols>
  <sheetData>
    <row r="1" spans="1:88" s="97" customFormat="1" ht="14.25" customHeight="1" thickBot="1">
      <c r="F1" s="98" t="s">
        <v>1616</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CJ1" s="221"/>
    </row>
    <row r="2" spans="1:88" ht="7.5" customHeight="1" thickTop="1">
      <c r="C2" s="221"/>
      <c r="D2" s="220"/>
      <c r="E2" s="222"/>
      <c r="F2" s="220"/>
      <c r="G2" s="223"/>
      <c r="H2" s="912" t="str">
        <f>Index!C409</f>
        <v>Súvaha Úč POD 1 - 01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7"/>
      <c r="BT2" s="928"/>
      <c r="BU2" s="928"/>
      <c r="BV2" s="928"/>
      <c r="BW2" s="928"/>
      <c r="BX2" s="928"/>
      <c r="BY2" s="928"/>
      <c r="BZ2" s="928"/>
      <c r="CA2" s="928"/>
      <c r="CB2" s="928"/>
      <c r="CC2" s="928"/>
      <c r="CD2" s="928"/>
      <c r="CE2" s="220"/>
      <c r="CF2" s="220"/>
      <c r="CG2" s="220"/>
      <c r="CH2" s="220"/>
      <c r="CI2" s="220"/>
    </row>
    <row r="3" spans="1:88" ht="3.75" customHeight="1" thickBot="1">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227"/>
      <c r="BT3" s="928"/>
      <c r="BU3" s="928"/>
      <c r="BV3" s="928"/>
      <c r="BW3" s="928"/>
      <c r="BX3" s="928"/>
      <c r="BY3" s="928"/>
      <c r="BZ3" s="928"/>
      <c r="CA3" s="928"/>
      <c r="CB3" s="928"/>
      <c r="CC3" s="928"/>
      <c r="CD3" s="928"/>
      <c r="CE3" s="220"/>
      <c r="CF3" s="220"/>
      <c r="CG3" s="220"/>
      <c r="CH3" s="220"/>
      <c r="CI3" s="220"/>
    </row>
    <row r="4" spans="1:88" ht="16.5" customHeight="1" thickTop="1">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139" t="str">
        <f>'Závierka titulka'!$K$27</f>
        <v>2</v>
      </c>
      <c r="BM4" s="231"/>
      <c r="BN4" s="139" t="str">
        <f>'Závierka titulka'!$M$27</f>
        <v>9</v>
      </c>
      <c r="BO4" s="136"/>
      <c r="BP4" s="139" t="str">
        <f>'Závierka titulka'!$O$27</f>
        <v>9</v>
      </c>
      <c r="BQ4" s="136"/>
      <c r="BR4" s="139" t="str">
        <f>'Závierka titulka'!$Q$27</f>
        <v>1</v>
      </c>
      <c r="BS4" s="230"/>
      <c r="BT4" s="928"/>
      <c r="BU4" s="928"/>
      <c r="BV4" s="928"/>
      <c r="BW4" s="928"/>
      <c r="BX4" s="928"/>
      <c r="BY4" s="928"/>
      <c r="BZ4" s="928"/>
      <c r="CA4" s="928"/>
      <c r="CB4" s="928"/>
      <c r="CC4" s="928"/>
      <c r="CD4" s="928"/>
      <c r="CE4" s="220"/>
      <c r="CF4" s="232"/>
      <c r="CG4" s="233"/>
      <c r="CH4" s="220"/>
      <c r="CI4" s="220"/>
    </row>
    <row r="5" spans="1:88" ht="3" customHeight="1">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4"/>
      <c r="BM5" s="237"/>
      <c r="BN5" s="234"/>
      <c r="BO5" s="234"/>
      <c r="BP5" s="234"/>
      <c r="BQ5" s="234"/>
      <c r="BR5" s="234"/>
      <c r="BS5" s="235"/>
      <c r="BT5" s="928"/>
      <c r="BU5" s="928"/>
      <c r="BV5" s="928"/>
      <c r="BW5" s="928"/>
      <c r="BX5" s="928"/>
      <c r="BY5" s="928"/>
      <c r="BZ5" s="928"/>
      <c r="CA5" s="928"/>
      <c r="CB5" s="928"/>
      <c r="CC5" s="928"/>
      <c r="CD5" s="928"/>
      <c r="CE5" s="220"/>
      <c r="CF5" s="220"/>
      <c r="CG5" s="238"/>
      <c r="CH5" s="220"/>
      <c r="CI5" s="220"/>
    </row>
    <row r="6" spans="1:88" ht="4.5" customHeight="1" thickBot="1">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2"/>
      <c r="BX6" s="242"/>
      <c r="BY6" s="242"/>
      <c r="BZ6" s="242"/>
      <c r="CA6" s="242"/>
      <c r="CB6" s="242"/>
      <c r="CC6" s="242"/>
      <c r="CD6" s="242"/>
      <c r="CE6" s="242"/>
      <c r="CF6" s="242"/>
      <c r="CG6" s="242"/>
      <c r="CH6" s="220"/>
      <c r="CI6" s="220"/>
    </row>
    <row r="7" spans="1:88" ht="12.75" customHeight="1" thickBot="1">
      <c r="C7" s="224"/>
      <c r="D7" s="224"/>
      <c r="E7" s="941" t="str">
        <f>Index!C410</f>
        <v>Ozna-čenie</v>
      </c>
      <c r="F7" s="942"/>
      <c r="G7" s="362"/>
      <c r="H7" s="368"/>
      <c r="I7" s="368"/>
      <c r="J7" s="368"/>
      <c r="K7" s="368"/>
      <c r="L7" s="368"/>
      <c r="M7" s="368"/>
      <c r="N7" s="368"/>
      <c r="O7" s="368"/>
      <c r="P7" s="368"/>
      <c r="Q7" s="368"/>
      <c r="R7" s="368"/>
      <c r="S7" s="368"/>
      <c r="T7" s="368"/>
      <c r="U7" s="368"/>
      <c r="V7" s="368"/>
      <c r="W7" s="281"/>
      <c r="X7" s="281"/>
      <c r="Y7" s="281"/>
      <c r="Z7" s="282"/>
      <c r="AA7" s="281"/>
      <c r="AB7" s="281"/>
      <c r="AC7" s="282"/>
      <c r="AD7" s="944" t="str">
        <f>Index!C414</f>
        <v>Bežné účtovné obdobie</v>
      </c>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896" t="str">
        <f>Index!C415</f>
        <v>Bezprostredne predchádzajúce účtovné obdobie</v>
      </c>
      <c r="BS7" s="896"/>
      <c r="BT7" s="896"/>
      <c r="BU7" s="896"/>
      <c r="BV7" s="896"/>
      <c r="BW7" s="896"/>
      <c r="BX7" s="896"/>
      <c r="BY7" s="896"/>
      <c r="BZ7" s="896"/>
      <c r="CA7" s="896"/>
      <c r="CB7" s="896"/>
      <c r="CC7" s="896"/>
      <c r="CD7" s="896"/>
      <c r="CE7" s="896"/>
      <c r="CF7" s="896"/>
      <c r="CG7" s="896"/>
      <c r="CH7" s="220"/>
      <c r="CI7" s="220"/>
    </row>
    <row r="8" spans="1:88" ht="5.0999999999999996" customHeight="1" thickBot="1">
      <c r="B8" s="878"/>
      <c r="C8" s="878"/>
      <c r="D8" s="878"/>
      <c r="E8" s="943"/>
      <c r="F8" s="885"/>
      <c r="G8" s="898" t="str">
        <f>Index!C411</f>
        <v>STRANA AKTÍV</v>
      </c>
      <c r="H8" s="898"/>
      <c r="I8" s="898"/>
      <c r="J8" s="898"/>
      <c r="K8" s="898"/>
      <c r="L8" s="898"/>
      <c r="M8" s="898"/>
      <c r="N8" s="898"/>
      <c r="O8" s="898"/>
      <c r="P8" s="898"/>
      <c r="Q8" s="898"/>
      <c r="R8" s="898"/>
      <c r="S8" s="898"/>
      <c r="T8" s="898"/>
      <c r="U8" s="898"/>
      <c r="V8" s="898"/>
      <c r="W8" s="898"/>
      <c r="X8" s="898"/>
      <c r="Y8" s="898"/>
      <c r="Z8" s="898"/>
      <c r="AA8" s="354"/>
      <c r="AB8" s="354"/>
      <c r="AC8" s="283"/>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896"/>
      <c r="BS8" s="896"/>
      <c r="BT8" s="896"/>
      <c r="BU8" s="896"/>
      <c r="BV8" s="896"/>
      <c r="BW8" s="896"/>
      <c r="BX8" s="896"/>
      <c r="BY8" s="896"/>
      <c r="BZ8" s="896"/>
      <c r="CA8" s="896"/>
      <c r="CB8" s="896"/>
      <c r="CC8" s="896"/>
      <c r="CD8" s="896"/>
      <c r="CE8" s="896"/>
      <c r="CF8" s="896"/>
      <c r="CG8" s="896"/>
      <c r="CH8" s="220"/>
      <c r="CI8" s="220"/>
    </row>
    <row r="9" spans="1:88" ht="6.95" customHeight="1" thickBot="1">
      <c r="B9" s="900"/>
      <c r="C9" s="900"/>
      <c r="D9" s="878"/>
      <c r="E9" s="943"/>
      <c r="F9" s="885"/>
      <c r="G9" s="898"/>
      <c r="H9" s="898"/>
      <c r="I9" s="898"/>
      <c r="J9" s="898"/>
      <c r="K9" s="898"/>
      <c r="L9" s="898"/>
      <c r="M9" s="898"/>
      <c r="N9" s="898"/>
      <c r="O9" s="898"/>
      <c r="P9" s="898"/>
      <c r="Q9" s="898"/>
      <c r="R9" s="898"/>
      <c r="S9" s="898"/>
      <c r="T9" s="898"/>
      <c r="U9" s="898"/>
      <c r="V9" s="898"/>
      <c r="W9" s="898"/>
      <c r="X9" s="898"/>
      <c r="Y9" s="898"/>
      <c r="Z9" s="898"/>
      <c r="AA9" s="945" t="str">
        <f>Index!C412</f>
        <v>Číslo</v>
      </c>
      <c r="AB9" s="945"/>
      <c r="AC9" s="945"/>
      <c r="AD9" s="903" t="s">
        <v>1536</v>
      </c>
      <c r="AE9" s="903"/>
      <c r="AF9" s="903"/>
      <c r="AG9" s="905" t="str">
        <f>Index!C416</f>
        <v>Brutto - časť 1</v>
      </c>
      <c r="AH9" s="905"/>
      <c r="AI9" s="905"/>
      <c r="AJ9" s="905"/>
      <c r="AK9" s="905"/>
      <c r="AL9" s="905"/>
      <c r="AM9" s="905"/>
      <c r="AN9" s="905"/>
      <c r="AO9" s="905"/>
      <c r="AP9" s="905"/>
      <c r="AQ9" s="905"/>
      <c r="AR9" s="905"/>
      <c r="AS9" s="905"/>
      <c r="AT9" s="905"/>
      <c r="AU9" s="905"/>
      <c r="AV9" s="905"/>
      <c r="AW9" s="905"/>
      <c r="AX9" s="905"/>
      <c r="AY9" s="905"/>
      <c r="AZ9" s="905"/>
      <c r="BA9" s="905" t="str">
        <f>Index!C417</f>
        <v>Netto 2</v>
      </c>
      <c r="BB9" s="905"/>
      <c r="BC9" s="905"/>
      <c r="BD9" s="905"/>
      <c r="BE9" s="905"/>
      <c r="BF9" s="905"/>
      <c r="BG9" s="905"/>
      <c r="BH9" s="905"/>
      <c r="BI9" s="905"/>
      <c r="BJ9" s="905"/>
      <c r="BK9" s="905"/>
      <c r="BL9" s="905"/>
      <c r="BM9" s="905"/>
      <c r="BN9" s="905"/>
      <c r="BO9" s="905"/>
      <c r="BP9" s="905"/>
      <c r="BQ9" s="905"/>
      <c r="BR9" s="896"/>
      <c r="BS9" s="896"/>
      <c r="BT9" s="896"/>
      <c r="BU9" s="896"/>
      <c r="BV9" s="896"/>
      <c r="BW9" s="896"/>
      <c r="BX9" s="896"/>
      <c r="BY9" s="896"/>
      <c r="BZ9" s="896"/>
      <c r="CA9" s="896"/>
      <c r="CB9" s="896"/>
      <c r="CC9" s="896"/>
      <c r="CD9" s="896"/>
      <c r="CE9" s="896"/>
      <c r="CF9" s="896"/>
      <c r="CG9" s="896"/>
      <c r="CH9" s="878"/>
      <c r="CI9" s="220"/>
    </row>
    <row r="10" spans="1:88" ht="6.95" customHeight="1">
      <c r="B10" s="900"/>
      <c r="C10" s="900"/>
      <c r="D10" s="878"/>
      <c r="E10" s="943"/>
      <c r="F10" s="885"/>
      <c r="G10" s="248"/>
      <c r="H10" s="229"/>
      <c r="I10" s="229"/>
      <c r="J10" s="229"/>
      <c r="K10" s="229"/>
      <c r="L10" s="229"/>
      <c r="M10" s="229"/>
      <c r="N10" s="229"/>
      <c r="O10" s="229"/>
      <c r="P10" s="229"/>
      <c r="Q10" s="229"/>
      <c r="R10" s="229"/>
      <c r="S10" s="229"/>
      <c r="T10" s="229"/>
      <c r="U10" s="229"/>
      <c r="V10" s="229"/>
      <c r="W10" s="229"/>
      <c r="X10" s="229"/>
      <c r="Y10" s="229"/>
      <c r="Z10" s="249"/>
      <c r="AA10" s="940" t="str">
        <f>Index!C413</f>
        <v xml:space="preserve"> riadku</v>
      </c>
      <c r="AB10" s="940"/>
      <c r="AC10" s="940"/>
      <c r="AD10" s="903"/>
      <c r="AE10" s="903"/>
      <c r="AF10" s="903"/>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896"/>
      <c r="BS10" s="896"/>
      <c r="BT10" s="896"/>
      <c r="BU10" s="896"/>
      <c r="BV10" s="896"/>
      <c r="BW10" s="896"/>
      <c r="BX10" s="896"/>
      <c r="BY10" s="896"/>
      <c r="BZ10" s="896"/>
      <c r="CA10" s="896"/>
      <c r="CB10" s="896"/>
      <c r="CC10" s="896"/>
      <c r="CD10" s="896"/>
      <c r="CE10" s="896"/>
      <c r="CF10" s="896"/>
      <c r="CG10" s="896"/>
      <c r="CH10" s="878"/>
      <c r="CI10" s="220"/>
    </row>
    <row r="11" spans="1:88" s="250" customFormat="1" ht="15" customHeight="1">
      <c r="A11" s="220"/>
      <c r="B11" s="900"/>
      <c r="C11" s="900"/>
      <c r="D11" s="878"/>
      <c r="E11" s="908" t="s">
        <v>491</v>
      </c>
      <c r="F11" s="908"/>
      <c r="G11" s="909" t="s">
        <v>492</v>
      </c>
      <c r="H11" s="909"/>
      <c r="I11" s="909"/>
      <c r="J11" s="909"/>
      <c r="K11" s="909"/>
      <c r="L11" s="909"/>
      <c r="M11" s="909"/>
      <c r="N11" s="909"/>
      <c r="O11" s="909"/>
      <c r="P11" s="909"/>
      <c r="Q11" s="909"/>
      <c r="R11" s="909"/>
      <c r="S11" s="909"/>
      <c r="T11" s="909"/>
      <c r="U11" s="909"/>
      <c r="V11" s="909"/>
      <c r="W11" s="909"/>
      <c r="X11" s="909"/>
      <c r="Y11" s="909"/>
      <c r="Z11" s="909"/>
      <c r="AA11" s="845" t="s">
        <v>493</v>
      </c>
      <c r="AB11" s="845"/>
      <c r="AC11" s="845"/>
      <c r="AD11" s="903"/>
      <c r="AE11" s="903"/>
      <c r="AF11" s="903"/>
      <c r="AG11" s="905" t="str">
        <f>Index!C418</f>
        <v>Korekcia - časť 2</v>
      </c>
      <c r="AH11" s="905"/>
      <c r="AI11" s="905"/>
      <c r="AJ11" s="905"/>
      <c r="AK11" s="905"/>
      <c r="AL11" s="905"/>
      <c r="AM11" s="905"/>
      <c r="AN11" s="905"/>
      <c r="AO11" s="905"/>
      <c r="AP11" s="905"/>
      <c r="AQ11" s="905"/>
      <c r="AR11" s="905"/>
      <c r="AS11" s="905"/>
      <c r="AT11" s="905"/>
      <c r="AU11" s="905"/>
      <c r="AV11" s="905"/>
      <c r="AW11" s="905"/>
      <c r="AX11" s="905"/>
      <c r="AY11" s="905"/>
      <c r="AZ11" s="905"/>
      <c r="BA11" s="902"/>
      <c r="BB11" s="902"/>
      <c r="BC11" s="902"/>
      <c r="BD11" s="902"/>
      <c r="BE11" s="902"/>
      <c r="BF11" s="902"/>
      <c r="BG11" s="902"/>
      <c r="BH11" s="902"/>
      <c r="BI11" s="902"/>
      <c r="BJ11" s="902"/>
      <c r="BK11" s="902"/>
      <c r="BL11" s="902"/>
      <c r="BM11" s="902"/>
      <c r="BN11" s="902"/>
      <c r="BO11" s="902"/>
      <c r="BP11" s="902"/>
      <c r="BQ11" s="902"/>
      <c r="BR11" s="910" t="str">
        <f>Index!C419</f>
        <v>Netto   3</v>
      </c>
      <c r="BS11" s="910"/>
      <c r="BT11" s="910"/>
      <c r="BU11" s="910"/>
      <c r="BV11" s="910"/>
      <c r="BW11" s="910"/>
      <c r="BX11" s="910"/>
      <c r="BY11" s="910"/>
      <c r="BZ11" s="910"/>
      <c r="CA11" s="910"/>
      <c r="CB11" s="910"/>
      <c r="CC11" s="910"/>
      <c r="CD11" s="910"/>
      <c r="CE11" s="910"/>
      <c r="CF11" s="910"/>
      <c r="CG11" s="910"/>
      <c r="CH11" s="878"/>
      <c r="CI11" s="288"/>
    </row>
    <row r="12" spans="1:88" s="250" customFormat="1" ht="3" customHeight="1">
      <c r="A12" s="220"/>
      <c r="B12" s="900"/>
      <c r="C12" s="900"/>
      <c r="D12" s="878"/>
      <c r="E12" s="960" t="s">
        <v>1600</v>
      </c>
      <c r="F12" s="960"/>
      <c r="G12" s="862"/>
      <c r="H12" s="864" t="str">
        <f>Index!C108</f>
        <v>Ostatné pohľadávky z obchodného styku (311A, 312A, 313A, 314A, 315A, 31XA) - /391A/</v>
      </c>
      <c r="I12" s="864"/>
      <c r="J12" s="864"/>
      <c r="K12" s="864"/>
      <c r="L12" s="864"/>
      <c r="M12" s="864"/>
      <c r="N12" s="864"/>
      <c r="O12" s="864"/>
      <c r="P12" s="864"/>
      <c r="Q12" s="864"/>
      <c r="R12" s="864"/>
      <c r="S12" s="864"/>
      <c r="T12" s="864"/>
      <c r="U12" s="864"/>
      <c r="V12" s="864"/>
      <c r="W12" s="864"/>
      <c r="X12" s="864"/>
      <c r="Y12" s="864"/>
      <c r="Z12" s="864"/>
      <c r="AA12" s="866" t="s">
        <v>1617</v>
      </c>
      <c r="AB12" s="866"/>
      <c r="AC12" s="866"/>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4"/>
      <c r="BB12" s="844"/>
      <c r="BC12" s="844"/>
      <c r="BD12" s="844"/>
      <c r="BE12" s="844"/>
      <c r="BF12" s="844"/>
      <c r="BG12" s="844"/>
      <c r="BH12" s="844"/>
      <c r="BI12" s="844"/>
      <c r="BJ12" s="844"/>
      <c r="BK12" s="844"/>
      <c r="BL12" s="844"/>
      <c r="BM12" s="844"/>
      <c r="BN12" s="844"/>
      <c r="BO12" s="844"/>
      <c r="BP12" s="844"/>
      <c r="BQ12" s="844"/>
      <c r="BR12" s="251"/>
      <c r="BS12" s="251"/>
      <c r="BT12" s="251"/>
      <c r="BU12" s="251"/>
      <c r="BV12" s="251"/>
      <c r="BW12" s="252"/>
      <c r="BX12" s="251"/>
      <c r="BY12" s="251"/>
      <c r="BZ12" s="251"/>
      <c r="CA12" s="251"/>
      <c r="CB12" s="251"/>
      <c r="CC12" s="251"/>
      <c r="CD12" s="251"/>
      <c r="CE12" s="251"/>
      <c r="CF12" s="251"/>
      <c r="CG12" s="284"/>
      <c r="CH12" s="878"/>
      <c r="CI12" s="288"/>
    </row>
    <row r="13" spans="1:88" s="250" customFormat="1" ht="3" customHeight="1">
      <c r="A13" s="220"/>
      <c r="B13" s="900"/>
      <c r="C13" s="900"/>
      <c r="D13" s="878"/>
      <c r="E13" s="960"/>
      <c r="F13" s="960"/>
      <c r="G13" s="862"/>
      <c r="H13" s="864"/>
      <c r="I13" s="864"/>
      <c r="J13" s="864"/>
      <c r="K13" s="864"/>
      <c r="L13" s="864"/>
      <c r="M13" s="864"/>
      <c r="N13" s="864"/>
      <c r="O13" s="864"/>
      <c r="P13" s="864"/>
      <c r="Q13" s="864"/>
      <c r="R13" s="864"/>
      <c r="S13" s="864"/>
      <c r="T13" s="864"/>
      <c r="U13" s="864"/>
      <c r="V13" s="864"/>
      <c r="W13" s="864"/>
      <c r="X13" s="864"/>
      <c r="Y13" s="864"/>
      <c r="Z13" s="864"/>
      <c r="AA13" s="866"/>
      <c r="AB13" s="866"/>
      <c r="AC13" s="866"/>
      <c r="AD13" s="826"/>
      <c r="AE13" s="820"/>
      <c r="AF13" s="820"/>
      <c r="AG13" s="820"/>
      <c r="AH13" s="435"/>
      <c r="AI13" s="821"/>
      <c r="AJ13" s="821"/>
      <c r="AK13" s="821"/>
      <c r="AL13" s="821"/>
      <c r="AM13" s="821"/>
      <c r="AN13" s="818"/>
      <c r="AO13" s="822"/>
      <c r="AP13" s="822"/>
      <c r="AQ13" s="822"/>
      <c r="AR13" s="822"/>
      <c r="AS13" s="822"/>
      <c r="AT13" s="818"/>
      <c r="AU13" s="822"/>
      <c r="AV13" s="822"/>
      <c r="AW13" s="822"/>
      <c r="AX13" s="822"/>
      <c r="AY13" s="822"/>
      <c r="AZ13" s="827"/>
      <c r="BA13" s="826"/>
      <c r="BB13" s="820"/>
      <c r="BC13" s="820"/>
      <c r="BD13" s="820"/>
      <c r="BE13" s="435"/>
      <c r="BF13" s="821"/>
      <c r="BG13" s="821"/>
      <c r="BH13" s="821"/>
      <c r="BI13" s="821"/>
      <c r="BJ13" s="821"/>
      <c r="BK13" s="818"/>
      <c r="BL13" s="822"/>
      <c r="BM13" s="822"/>
      <c r="BN13" s="822"/>
      <c r="BO13" s="822"/>
      <c r="BP13" s="822"/>
      <c r="BQ13" s="819"/>
      <c r="BR13" s="822"/>
      <c r="BS13" s="822"/>
      <c r="BT13" s="822"/>
      <c r="BU13" s="822"/>
      <c r="BV13" s="822"/>
      <c r="BW13" s="441"/>
      <c r="BX13" s="442"/>
      <c r="BY13" s="442"/>
      <c r="BZ13" s="442"/>
      <c r="CA13" s="442"/>
      <c r="CB13" s="442"/>
      <c r="CC13" s="442"/>
      <c r="CD13" s="442"/>
      <c r="CE13" s="442"/>
      <c r="CF13" s="442"/>
      <c r="CG13" s="285"/>
      <c r="CH13" s="878"/>
      <c r="CI13" s="288"/>
    </row>
    <row r="14" spans="1:88" ht="15" customHeight="1">
      <c r="B14" s="900"/>
      <c r="C14" s="900"/>
      <c r="D14" s="878"/>
      <c r="E14" s="960"/>
      <c r="F14" s="960"/>
      <c r="G14" s="862"/>
      <c r="H14" s="864"/>
      <c r="I14" s="864"/>
      <c r="J14" s="864"/>
      <c r="K14" s="864"/>
      <c r="L14" s="864"/>
      <c r="M14" s="864"/>
      <c r="N14" s="864"/>
      <c r="O14" s="864"/>
      <c r="P14" s="864"/>
      <c r="Q14" s="864"/>
      <c r="R14" s="864"/>
      <c r="S14" s="864"/>
      <c r="T14" s="864"/>
      <c r="U14" s="864"/>
      <c r="V14" s="864"/>
      <c r="W14" s="864"/>
      <c r="X14" s="864"/>
      <c r="Y14" s="864"/>
      <c r="Z14" s="864"/>
      <c r="AA14" s="866"/>
      <c r="AB14" s="866"/>
      <c r="AC14" s="866"/>
      <c r="AD14" s="826"/>
      <c r="AE14" s="432" t="str">
        <f>IF(LEN(VLOOKUP(AA12,suvaha!$D$8:$H$158,2,FALSE))&lt;11,"",LEFT(RIGHT(VLOOKUP(AA12,suvaha!$D$8:$H$158,2,FALSE),11),1))</f>
        <v/>
      </c>
      <c r="AF14" s="255"/>
      <c r="AG14" s="432" t="str">
        <f>IF(LEN(VLOOKUP(AA12,suvaha!$D$8:$H$158,2,FALSE))&lt;10,"",LEFT(RIGHT(VLOOKUP(AA12,suvaha!$D$8:$H$158,2,FALSE),10),1))</f>
        <v/>
      </c>
      <c r="AH14" s="434"/>
      <c r="AI14" s="432" t="str">
        <f>IF(LEN(VLOOKUP(AA12,suvaha!$D$8:$H$158,2,FALSE))&lt;9,"",LEFT(RIGHT(VLOOKUP(AA12,suvaha!$D$8:$H$158,2,FALSE),9),1))</f>
        <v/>
      </c>
      <c r="AJ14" s="255"/>
      <c r="AK14" s="432" t="str">
        <f>IF(LEN(VLOOKUP(AA12,suvaha!$D$8:$H$158,2,FALSE))&lt;8,"",LEFT(RIGHT(VLOOKUP(AA12,suvaha!$D$8:$H$158,2,FALSE),8),1))</f>
        <v/>
      </c>
      <c r="AL14" s="434"/>
      <c r="AM14" s="432" t="str">
        <f>IF(LEN(VLOOKUP(AA12,suvaha!$D$8:$H$158,2,FALSE))&lt;7,"",LEFT(RIGHT(VLOOKUP(AA12,suvaha!$D$8:$H$158,2,FALSE),7),1))</f>
        <v>3</v>
      </c>
      <c r="AN14" s="818"/>
      <c r="AO14" s="432" t="str">
        <f>IF(LEN(VLOOKUP(AA12,suvaha!$D$8:$H$158,2,FALSE))&lt;6,"",LEFT(RIGHT(VLOOKUP(AA12,suvaha!$D$8:$H$158,2,FALSE),6),1))</f>
        <v>8</v>
      </c>
      <c r="AP14" s="434"/>
      <c r="AQ14" s="432" t="str">
        <f>IF(LEN(VLOOKUP(AA12,suvaha!$D$8:$H$158,2,FALSE))&lt;5,"",LEFT(RIGHT(VLOOKUP(AA12,suvaha!$D$8:$H$158,2,FALSE),5),1))</f>
        <v>3</v>
      </c>
      <c r="AR14" s="434"/>
      <c r="AS14" s="432" t="str">
        <f>IF(LEN(VLOOKUP(AA12,suvaha!$D$8:$H$158,2,FALSE))&lt;4,"",LEFT(RIGHT(VLOOKUP(AA12,suvaha!$D$8:$H$158,2,FALSE),4),1))</f>
        <v>1</v>
      </c>
      <c r="AT14" s="818"/>
      <c r="AU14" s="432" t="str">
        <f>IF(LEN(VLOOKUP(AA12,suvaha!$D$8:$H$158,2,FALSE))&lt;3,"",LEFT(RIGHT(VLOOKUP(AA12,suvaha!$D$8:$H$158,2,FALSE),3),1))</f>
        <v>6</v>
      </c>
      <c r="AV14" s="434"/>
      <c r="AW14" s="432" t="str">
        <f>IF(LEN(VLOOKUP(AA12,suvaha!$D$8:$H$158,2,FALSE))&lt;2,"",LEFT(RIGHT(VLOOKUP(AA12,suvaha!$D$8:$H$158,2,FALSE),2),1))</f>
        <v>0</v>
      </c>
      <c r="AX14" s="434"/>
      <c r="AY14" s="432" t="str">
        <f>IF(VLOOKUP(AA12,suvaha!$D$8:$H$85,2,FALSE)=0,"",IF(LEN(VLOOKUP(AA12,suvaha!$D$8:$H$158,2,FALSE))&lt;1,"",LEFT(RIGHT(VLOOKUP(AA12,suvaha!$D$8:$H$158,2,FALSE),1),1)))</f>
        <v>3</v>
      </c>
      <c r="AZ14" s="827"/>
      <c r="BA14" s="826"/>
      <c r="BB14" s="432" t="str">
        <f>IF(LEN(VLOOKUP(AA12,suvaha!$D$8:$H$158,4,FALSE))&lt;11,"",LEFT(RIGHT(VLOOKUP(AA12,suvaha!$D$8:$H$158,4,FALSE),11),1))</f>
        <v/>
      </c>
      <c r="BC14" s="255"/>
      <c r="BD14" s="432" t="str">
        <f>IF(LEN(VLOOKUP(AA12,suvaha!$D$8:$H$158,4,FALSE))&lt;10,"",LEFT(RIGHT(VLOOKUP(AA12,suvaha!$D$8:$H$158,4,FALSE),10),1))</f>
        <v/>
      </c>
      <c r="BE14" s="434"/>
      <c r="BF14" s="432" t="str">
        <f>IF(LEN(VLOOKUP(AA12,suvaha!$D$8:$H$158,4,FALSE))&lt;9,"",LEFT(RIGHT(VLOOKUP(AA12,suvaha!$D$8:$H$158,4,FALSE),9),1))</f>
        <v/>
      </c>
      <c r="BG14" s="255"/>
      <c r="BH14" s="432" t="str">
        <f>IF(LEN(VLOOKUP(AA12,suvaha!$D$8:$H$158,4,FALSE))&lt;8,"",LEFT(RIGHT(VLOOKUP(AA12,suvaha!$D$8:$H$158,4,FALSE),8),1))</f>
        <v/>
      </c>
      <c r="BI14" s="434"/>
      <c r="BJ14" s="432" t="str">
        <f>IF(LEN(VLOOKUP(AA12,suvaha!$D$8:$H$158,4,FALSE))&lt;7,"",LEFT(RIGHT(VLOOKUP(AA12,suvaha!$D$8:$H$158,4,FALSE),7),1))</f>
        <v>1</v>
      </c>
      <c r="BK14" s="818"/>
      <c r="BL14" s="432" t="str">
        <f>IF(LEN(VLOOKUP(AA12,suvaha!$D$8:$H$158,4,FALSE))&lt;6,"",LEFT(RIGHT(VLOOKUP(AA12,suvaha!$D$8:$H$158,4,FALSE),6),1))</f>
        <v>8</v>
      </c>
      <c r="BM14" s="434"/>
      <c r="BN14" s="432" t="str">
        <f>IF(LEN(VLOOKUP(AA12,suvaha!$D$8:$H$158,4,FALSE))&lt;5,"",LEFT(RIGHT(VLOOKUP(AA12,suvaha!$D$8:$H$158,4,FALSE),5),1))</f>
        <v>6</v>
      </c>
      <c r="BO14" s="434"/>
      <c r="BP14" s="432" t="str">
        <f>IF(LEN(VLOOKUP(AA12,suvaha!$D$8:$H$158,4,FALSE))&lt;4,"",LEFT(RIGHT(VLOOKUP(AA12,suvaha!$D$8:$H$158,4,FALSE),4),1))</f>
        <v>3</v>
      </c>
      <c r="BQ14" s="819"/>
      <c r="BR14" s="432" t="str">
        <f>IF(LEN(VLOOKUP(AA12,suvaha!$D$8:$H$158,4,FALSE))&lt;3,"",LEFT(RIGHT(VLOOKUP(AA12,suvaha!$D$8:$H$158,4,FALSE),3),1))</f>
        <v>5</v>
      </c>
      <c r="BS14" s="434"/>
      <c r="BT14" s="432" t="str">
        <f>IF(LEN(VLOOKUP(AA12,suvaha!$D$8:$H$158,4,FALSE))&lt;2,"",LEFT(RIGHT(VLOOKUP(AA12,suvaha!$D$8:$H$158,4,FALSE),2),1))</f>
        <v>6</v>
      </c>
      <c r="BU14" s="434"/>
      <c r="BV14" s="432" t="str">
        <f>IF(VLOOKUP(AA12,suvaha!$D$8:$H$85,4,FALSE)=0,"",IF(LEN(VLOOKUP(AA12,suvaha!$D$8:$H$158,4,FALSE))&lt;1,"",LEFT(RIGHT(VLOOKUP(AA12,suvaha!$D$8:$H$158,4,FALSE),1),1)))</f>
        <v>5</v>
      </c>
      <c r="BW14" s="441"/>
      <c r="BX14" s="442"/>
      <c r="BY14" s="442"/>
      <c r="BZ14" s="442"/>
      <c r="CA14" s="442"/>
      <c r="CB14" s="442"/>
      <c r="CC14" s="442"/>
      <c r="CD14" s="442"/>
      <c r="CE14" s="442"/>
      <c r="CF14" s="442"/>
      <c r="CG14" s="285"/>
      <c r="CH14" s="878"/>
      <c r="CI14" s="220"/>
    </row>
    <row r="15" spans="1:88" ht="3" customHeight="1">
      <c r="B15" s="900"/>
      <c r="C15" s="900"/>
      <c r="D15" s="878"/>
      <c r="E15" s="960"/>
      <c r="F15" s="960"/>
      <c r="G15" s="862"/>
      <c r="H15" s="864"/>
      <c r="I15" s="864"/>
      <c r="J15" s="864"/>
      <c r="K15" s="864"/>
      <c r="L15" s="864"/>
      <c r="M15" s="864"/>
      <c r="N15" s="864"/>
      <c r="O15" s="864"/>
      <c r="P15" s="864"/>
      <c r="Q15" s="864"/>
      <c r="R15" s="864"/>
      <c r="S15" s="864"/>
      <c r="T15" s="864"/>
      <c r="U15" s="864"/>
      <c r="V15" s="864"/>
      <c r="W15" s="864"/>
      <c r="X15" s="864"/>
      <c r="Y15" s="864"/>
      <c r="Z15" s="864"/>
      <c r="AA15" s="866"/>
      <c r="AB15" s="866"/>
      <c r="AC15" s="866"/>
      <c r="AD15" s="845"/>
      <c r="AE15" s="845"/>
      <c r="AF15" s="845"/>
      <c r="AG15" s="845"/>
      <c r="AH15" s="845"/>
      <c r="AI15" s="845"/>
      <c r="AJ15" s="845"/>
      <c r="AK15" s="845"/>
      <c r="AL15" s="845"/>
      <c r="AM15" s="845"/>
      <c r="AN15" s="845"/>
      <c r="AO15" s="845"/>
      <c r="AP15" s="845"/>
      <c r="AQ15" s="845"/>
      <c r="AR15" s="845"/>
      <c r="AS15" s="845"/>
      <c r="AT15" s="845"/>
      <c r="AU15" s="845"/>
      <c r="AV15" s="845"/>
      <c r="AW15" s="845"/>
      <c r="AX15" s="845"/>
      <c r="AY15" s="845"/>
      <c r="AZ15" s="845"/>
      <c r="BA15" s="846"/>
      <c r="BB15" s="846"/>
      <c r="BC15" s="846"/>
      <c r="BD15" s="846"/>
      <c r="BE15" s="846"/>
      <c r="BF15" s="846"/>
      <c r="BG15" s="846"/>
      <c r="BH15" s="846"/>
      <c r="BI15" s="846"/>
      <c r="BJ15" s="846"/>
      <c r="BK15" s="846"/>
      <c r="BL15" s="846"/>
      <c r="BM15" s="846"/>
      <c r="BN15" s="846"/>
      <c r="BO15" s="846"/>
      <c r="BP15" s="846"/>
      <c r="BQ15" s="846"/>
      <c r="BR15" s="310"/>
      <c r="BS15" s="310"/>
      <c r="BT15" s="310"/>
      <c r="BU15" s="310"/>
      <c r="BV15" s="310"/>
      <c r="BW15" s="443"/>
      <c r="BX15" s="310"/>
      <c r="BY15" s="310"/>
      <c r="BZ15" s="310"/>
      <c r="CA15" s="310"/>
      <c r="CB15" s="310"/>
      <c r="CC15" s="310"/>
      <c r="CD15" s="310"/>
      <c r="CE15" s="310"/>
      <c r="CF15" s="310"/>
      <c r="CG15" s="286"/>
      <c r="CH15" s="878"/>
      <c r="CI15" s="220"/>
    </row>
    <row r="16" spans="1:88" ht="3" customHeight="1">
      <c r="B16" s="900"/>
      <c r="C16" s="900"/>
      <c r="D16" s="878"/>
      <c r="E16" s="960"/>
      <c r="F16" s="960"/>
      <c r="G16" s="862"/>
      <c r="H16" s="864"/>
      <c r="I16" s="864"/>
      <c r="J16" s="864"/>
      <c r="K16" s="864"/>
      <c r="L16" s="864"/>
      <c r="M16" s="864"/>
      <c r="N16" s="864"/>
      <c r="O16" s="864"/>
      <c r="P16" s="864"/>
      <c r="Q16" s="864"/>
      <c r="R16" s="864"/>
      <c r="S16" s="864"/>
      <c r="T16" s="864"/>
      <c r="U16" s="864"/>
      <c r="V16" s="864"/>
      <c r="W16" s="864"/>
      <c r="X16" s="864"/>
      <c r="Y16" s="864"/>
      <c r="Z16" s="864"/>
      <c r="AA16" s="866"/>
      <c r="AB16" s="866"/>
      <c r="AC16" s="866"/>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875"/>
      <c r="BB16" s="875"/>
      <c r="BC16" s="875"/>
      <c r="BD16" s="875"/>
      <c r="BE16" s="875"/>
      <c r="BF16" s="875"/>
      <c r="BG16" s="875"/>
      <c r="BH16" s="875"/>
      <c r="BI16" s="875"/>
      <c r="BJ16" s="875"/>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284"/>
      <c r="CH16" s="878"/>
      <c r="CI16" s="220"/>
    </row>
    <row r="17" spans="1:87" ht="3" customHeight="1">
      <c r="B17" s="900"/>
      <c r="C17" s="900"/>
      <c r="D17" s="878"/>
      <c r="E17" s="960"/>
      <c r="F17" s="960"/>
      <c r="G17" s="862"/>
      <c r="H17" s="864"/>
      <c r="I17" s="864"/>
      <c r="J17" s="864"/>
      <c r="K17" s="864"/>
      <c r="L17" s="864"/>
      <c r="M17" s="864"/>
      <c r="N17" s="864"/>
      <c r="O17" s="864"/>
      <c r="P17" s="864"/>
      <c r="Q17" s="864"/>
      <c r="R17" s="864"/>
      <c r="S17" s="864"/>
      <c r="T17" s="864"/>
      <c r="U17" s="864"/>
      <c r="V17" s="864"/>
      <c r="W17" s="864"/>
      <c r="X17" s="864"/>
      <c r="Y17" s="864"/>
      <c r="Z17" s="864"/>
      <c r="AA17" s="866"/>
      <c r="AB17" s="866"/>
      <c r="AC17" s="866"/>
      <c r="AD17" s="826"/>
      <c r="AE17" s="820"/>
      <c r="AF17" s="820"/>
      <c r="AG17" s="820"/>
      <c r="AH17" s="435"/>
      <c r="AI17" s="821"/>
      <c r="AJ17" s="821"/>
      <c r="AK17" s="821"/>
      <c r="AL17" s="821"/>
      <c r="AM17" s="821"/>
      <c r="AN17" s="818" t="s">
        <v>965</v>
      </c>
      <c r="AO17" s="822"/>
      <c r="AP17" s="822"/>
      <c r="AQ17" s="822"/>
      <c r="AR17" s="822"/>
      <c r="AS17" s="822"/>
      <c r="AT17" s="818" t="s">
        <v>965</v>
      </c>
      <c r="AU17" s="822"/>
      <c r="AV17" s="822"/>
      <c r="AW17" s="822"/>
      <c r="AX17" s="822"/>
      <c r="AY17" s="822"/>
      <c r="AZ17" s="827"/>
      <c r="BA17" s="875"/>
      <c r="BB17" s="875"/>
      <c r="BC17" s="875"/>
      <c r="BD17" s="875"/>
      <c r="BE17" s="875"/>
      <c r="BF17" s="875"/>
      <c r="BG17" s="875"/>
      <c r="BH17" s="875"/>
      <c r="BI17" s="875"/>
      <c r="BJ17" s="875"/>
      <c r="BK17" s="442"/>
      <c r="BL17" s="820"/>
      <c r="BM17" s="820"/>
      <c r="BN17" s="820"/>
      <c r="BO17" s="442"/>
      <c r="BP17" s="444"/>
      <c r="BQ17" s="444"/>
      <c r="BR17" s="444"/>
      <c r="BS17" s="444"/>
      <c r="BT17" s="444"/>
      <c r="BU17" s="442"/>
      <c r="BV17" s="444"/>
      <c r="BW17" s="444"/>
      <c r="BX17" s="444"/>
      <c r="BY17" s="444"/>
      <c r="BZ17" s="444"/>
      <c r="CA17" s="445"/>
      <c r="CB17" s="444"/>
      <c r="CC17" s="444"/>
      <c r="CD17" s="444"/>
      <c r="CE17" s="444"/>
      <c r="CF17" s="444"/>
      <c r="CG17" s="287"/>
      <c r="CH17" s="878"/>
      <c r="CI17" s="220"/>
    </row>
    <row r="18" spans="1:87" ht="15" customHeight="1">
      <c r="B18" s="900"/>
      <c r="C18" s="900"/>
      <c r="D18" s="878"/>
      <c r="E18" s="960"/>
      <c r="F18" s="960"/>
      <c r="G18" s="862"/>
      <c r="H18" s="864"/>
      <c r="I18" s="864"/>
      <c r="J18" s="864"/>
      <c r="K18" s="864"/>
      <c r="L18" s="864"/>
      <c r="M18" s="864"/>
      <c r="N18" s="864"/>
      <c r="O18" s="864"/>
      <c r="P18" s="864"/>
      <c r="Q18" s="864"/>
      <c r="R18" s="864"/>
      <c r="S18" s="864"/>
      <c r="T18" s="864"/>
      <c r="U18" s="864"/>
      <c r="V18" s="864"/>
      <c r="W18" s="864"/>
      <c r="X18" s="864"/>
      <c r="Y18" s="864"/>
      <c r="Z18" s="864"/>
      <c r="AA18" s="866"/>
      <c r="AB18" s="866"/>
      <c r="AC18" s="866"/>
      <c r="AD18" s="826"/>
      <c r="AE18" s="432" t="str">
        <f>IF(LEN(VLOOKUP(AA12,suvaha!$D$8:$H$158,3,FALSE))&lt;11,"",LEFT(RIGHT(VLOOKUP(AA12,suvaha!$D$8:$H$158,3,FALSE),11),1))</f>
        <v/>
      </c>
      <c r="AF18" s="255" t="s">
        <v>965</v>
      </c>
      <c r="AG18" s="432" t="str">
        <f>IF(LEN(VLOOKUP(AA12,suvaha!$D$8:$H$158,3,FALSE))&lt;10,"",LEFT(RIGHT(VLOOKUP(AA12,suvaha!$D$8:$H$158,3,FALSE),10),1))</f>
        <v/>
      </c>
      <c r="AH18" s="434" t="s">
        <v>965</v>
      </c>
      <c r="AI18" s="432" t="str">
        <f>IF(LEN(VLOOKUP(AA12,suvaha!$D$8:$H$158,3,FALSE))&lt;9,"",LEFT(RIGHT(VLOOKUP(AA12,suvaha!$D$8:$H$158,3,FALSE),9),1))</f>
        <v/>
      </c>
      <c r="AJ18" s="255" t="s">
        <v>965</v>
      </c>
      <c r="AK18" s="432" t="str">
        <f>IF(LEN(VLOOKUP(AA12,suvaha!$D$8:$H$158,3,FALSE))&lt;8,"",LEFT(RIGHT(VLOOKUP(AA12,suvaha!$D$8:$H$158,3,FALSE),8),1))</f>
        <v/>
      </c>
      <c r="AL18" s="434" t="s">
        <v>965</v>
      </c>
      <c r="AM18" s="432" t="str">
        <f>IF(LEN(VLOOKUP(AA12,suvaha!$D$8:$H$158,3,FALSE))&lt;7,"",LEFT(RIGHT(VLOOKUP(AA12,suvaha!$D$8:$H$158,3,FALSE),7),1))</f>
        <v>1</v>
      </c>
      <c r="AN18" s="818"/>
      <c r="AO18" s="432" t="str">
        <f>IF(LEN(VLOOKUP(AA12,suvaha!$D$8:$H$158,3,FALSE))&lt;6,"",LEFT(RIGHT(VLOOKUP(AA12,suvaha!$D$8:$H$158,3,FALSE),6),1))</f>
        <v>9</v>
      </c>
      <c r="AP18" s="434" t="s">
        <v>965</v>
      </c>
      <c r="AQ18" s="432" t="str">
        <f>IF(LEN(VLOOKUP(AA12,suvaha!$D$8:$H$158,3,FALSE))&lt;5,"",LEFT(RIGHT(VLOOKUP(AA12,suvaha!$D$8:$H$158,3,FALSE),5),1))</f>
        <v>6</v>
      </c>
      <c r="AR18" s="434" t="s">
        <v>965</v>
      </c>
      <c r="AS18" s="432" t="str">
        <f>IF(LEN(VLOOKUP(AA12,suvaha!$D$8:$H$158,3,FALSE))&lt;4,"",LEFT(RIGHT(VLOOKUP(AA12,suvaha!$D$8:$H$158,3,FALSE),4),1))</f>
        <v>8</v>
      </c>
      <c r="AT18" s="818"/>
      <c r="AU18" s="432" t="str">
        <f>IF(LEN(VLOOKUP(AA12,suvaha!$D$8:$H$158,3,FALSE))&lt;3,"",LEFT(RIGHT(VLOOKUP(AA12,suvaha!$D$8:$H$158,3,FALSE),3),1))</f>
        <v>0</v>
      </c>
      <c r="AV18" s="434" t="s">
        <v>965</v>
      </c>
      <c r="AW18" s="432" t="str">
        <f>IF(LEN(VLOOKUP(AA12,suvaha!$D$8:$H$158,3,FALSE))&lt;2,"",LEFT(RIGHT(VLOOKUP(AA12,suvaha!$D$8:$H$158,3,FALSE),2),1))</f>
        <v>3</v>
      </c>
      <c r="AX18" s="434" t="s">
        <v>965</v>
      </c>
      <c r="AY18" s="432" t="str">
        <f>IF(VLOOKUP(AA12,suvaha!$D$8:$H$85,3,FALSE)=0,"",IF(LEN(VLOOKUP(AA12,suvaha!$D$8:$H$158,3,FALSE))&lt;1,"",LEFT(RIGHT(VLOOKUP(AA12,suvaha!$D$8:$H$158,3,FALSE),1),1)))</f>
        <v>8</v>
      </c>
      <c r="AZ18" s="827"/>
      <c r="BA18" s="875"/>
      <c r="BB18" s="875"/>
      <c r="BC18" s="875"/>
      <c r="BD18" s="875"/>
      <c r="BE18" s="875"/>
      <c r="BF18" s="875"/>
      <c r="BG18" s="875"/>
      <c r="BH18" s="875"/>
      <c r="BI18" s="875"/>
      <c r="BJ18" s="875"/>
      <c r="BK18" s="442"/>
      <c r="BL18" s="432" t="str">
        <f>IF(LEN(VLOOKUP(AA12,suvaha!$D$8:$H$158,5,FALSE))&lt;11,"",LEFT(RIGHT(VLOOKUP(AA12,suvaha!$D$8:$H$158,5,FALSE),11),1))</f>
        <v/>
      </c>
      <c r="BM18" s="255" t="s">
        <v>965</v>
      </c>
      <c r="BN18" s="432" t="str">
        <f>IF(LEN(VLOOKUP(AA12,suvaha!$D$8:$H$158,5,FALSE))&lt;10,"",LEFT(RIGHT(VLOOKUP(AA12,suvaha!$D$8:$H$158,5,FALSE),10),1))</f>
        <v/>
      </c>
      <c r="BO18" s="442" t="s">
        <v>965</v>
      </c>
      <c r="BP18" s="432" t="str">
        <f>IF(LEN(VLOOKUP(AA12,suvaha!$D$8:$H$158,5,FALSE))&lt;9,"",LEFT(RIGHT(VLOOKUP(AA12,suvaha!$D$8:$H$158,5,FALSE),9),1))</f>
        <v/>
      </c>
      <c r="BQ18" s="434" t="s">
        <v>965</v>
      </c>
      <c r="BR18" s="432" t="str">
        <f>IF(LEN(VLOOKUP(AA12,suvaha!$D$8:$H$158,5,FALSE))&lt;8,"",LEFT(RIGHT(VLOOKUP(AA12,suvaha!$D$8:$H$158,5,FALSE),8),1))</f>
        <v/>
      </c>
      <c r="BS18" s="434" t="s">
        <v>965</v>
      </c>
      <c r="BT18" s="432" t="str">
        <f>IF(LEN(VLOOKUP(AA12,suvaha!$D$8:$H$158,5,FALSE))&lt;7,"",LEFT(RIGHT(VLOOKUP(AA12,suvaha!$D$8:$H$158,5,FALSE),7),1))</f>
        <v>2</v>
      </c>
      <c r="BU18" s="442" t="s">
        <v>965</v>
      </c>
      <c r="BV18" s="432" t="str">
        <f>IF(LEN(VLOOKUP(AA12,suvaha!$D$8:$H$158,5,FALSE))&lt;6,"",LEFT(RIGHT(VLOOKUP(AA12,suvaha!$D$8:$H$158,5,FALSE),6),1))</f>
        <v>6</v>
      </c>
      <c r="BW18" s="434" t="s">
        <v>965</v>
      </c>
      <c r="BX18" s="432" t="str">
        <f>IF(LEN(VLOOKUP(AA12,suvaha!$D$8:$H$158,5,FALSE))&lt;5,"",LEFT(RIGHT(VLOOKUP(AA12,suvaha!$D$8:$H$158,5,FALSE),5),1))</f>
        <v>7</v>
      </c>
      <c r="BY18" s="434" t="s">
        <v>965</v>
      </c>
      <c r="BZ18" s="432" t="str">
        <f>IF(LEN(VLOOKUP(AA12,suvaha!$D$8:$H$158,5,FALSE))&lt;4,"",LEFT(RIGHT(VLOOKUP(AA12,suvaha!$D$8:$H$158,5,FALSE),4),1))</f>
        <v>7</v>
      </c>
      <c r="CA18" s="445" t="s">
        <v>965</v>
      </c>
      <c r="CB18" s="432" t="str">
        <f>IF(LEN(VLOOKUP(AA12,suvaha!$D$8:$H$158,5,FALSE))&lt;3,"",LEFT(RIGHT(VLOOKUP(AA12,suvaha!$D$8:$H$158,5,FALSE),3),1))</f>
        <v>3</v>
      </c>
      <c r="CC18" s="434" t="s">
        <v>965</v>
      </c>
      <c r="CD18" s="432" t="str">
        <f>IF(LEN(VLOOKUP(AA12,suvaha!$D$8:$H$158,5,FALSE))&lt;2,"",LEFT(RIGHT(VLOOKUP(AA12,suvaha!$D$8:$H$158,5,FALSE),2),1))</f>
        <v>9</v>
      </c>
      <c r="CE18" s="434" t="s">
        <v>1540</v>
      </c>
      <c r="CF18" s="432" t="str">
        <f>IF(VLOOKUP(AA12,suvaha!$D$8:$H$85,5,FALSE)=0,"",IF(LEN(VLOOKUP(AA12,suvaha!$D$8:$H$158,5,FALSE))&lt;1,"",LEFT(RIGHT(VLOOKUP(AA12,suvaha!$D$8:$H$158,5,FALSE),1),1)))</f>
        <v>1</v>
      </c>
      <c r="CG18" s="287"/>
      <c r="CH18" s="878"/>
      <c r="CI18" s="220"/>
    </row>
    <row r="19" spans="1:87" s="250" customFormat="1" ht="3" customHeight="1">
      <c r="A19" s="220"/>
      <c r="B19" s="900"/>
      <c r="C19" s="900"/>
      <c r="D19" s="878"/>
      <c r="E19" s="960"/>
      <c r="F19" s="960"/>
      <c r="G19" s="862"/>
      <c r="H19" s="864"/>
      <c r="I19" s="864"/>
      <c r="J19" s="864"/>
      <c r="K19" s="864"/>
      <c r="L19" s="864"/>
      <c r="M19" s="864"/>
      <c r="N19" s="864"/>
      <c r="O19" s="864"/>
      <c r="P19" s="864"/>
      <c r="Q19" s="864"/>
      <c r="R19" s="864"/>
      <c r="S19" s="864"/>
      <c r="T19" s="864"/>
      <c r="U19" s="864"/>
      <c r="V19" s="864"/>
      <c r="W19" s="864"/>
      <c r="X19" s="864"/>
      <c r="Y19" s="864"/>
      <c r="Z19" s="864"/>
      <c r="AA19" s="866"/>
      <c r="AB19" s="866"/>
      <c r="AC19" s="866"/>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875"/>
      <c r="BB19" s="875"/>
      <c r="BC19" s="875"/>
      <c r="BD19" s="875"/>
      <c r="BE19" s="875"/>
      <c r="BF19" s="875"/>
      <c r="BG19" s="875"/>
      <c r="BH19" s="875"/>
      <c r="BI19" s="875"/>
      <c r="BJ19" s="875"/>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286"/>
      <c r="CH19" s="878"/>
      <c r="CI19" s="288"/>
    </row>
    <row r="20" spans="1:87" s="250" customFormat="1" ht="3" customHeight="1">
      <c r="A20" s="220"/>
      <c r="B20" s="900"/>
      <c r="C20" s="900"/>
      <c r="D20" s="878"/>
      <c r="E20" s="960" t="s">
        <v>1542</v>
      </c>
      <c r="F20" s="960"/>
      <c r="G20" s="862"/>
      <c r="H20" s="864" t="str">
        <f>Index!C109</f>
        <v>Čistá hodnota zákazky (316A)</v>
      </c>
      <c r="I20" s="864"/>
      <c r="J20" s="864"/>
      <c r="K20" s="864"/>
      <c r="L20" s="864"/>
      <c r="M20" s="864"/>
      <c r="N20" s="864"/>
      <c r="O20" s="864"/>
      <c r="P20" s="864"/>
      <c r="Q20" s="864"/>
      <c r="R20" s="864"/>
      <c r="S20" s="864"/>
      <c r="T20" s="864"/>
      <c r="U20" s="864"/>
      <c r="V20" s="864"/>
      <c r="W20" s="864"/>
      <c r="X20" s="864"/>
      <c r="Y20" s="864"/>
      <c r="Z20" s="864"/>
      <c r="AA20" s="866" t="s">
        <v>1618</v>
      </c>
      <c r="AB20" s="866"/>
      <c r="AC20" s="866"/>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67"/>
      <c r="BB20" s="867"/>
      <c r="BC20" s="867"/>
      <c r="BD20" s="867"/>
      <c r="BE20" s="867"/>
      <c r="BF20" s="867"/>
      <c r="BG20" s="867"/>
      <c r="BH20" s="867"/>
      <c r="BI20" s="867"/>
      <c r="BJ20" s="867"/>
      <c r="BK20" s="867"/>
      <c r="BL20" s="867"/>
      <c r="BM20" s="867"/>
      <c r="BN20" s="867"/>
      <c r="BO20" s="867"/>
      <c r="BP20" s="867"/>
      <c r="BQ20" s="867"/>
      <c r="BR20" s="304"/>
      <c r="BS20" s="304"/>
      <c r="BT20" s="304"/>
      <c r="BU20" s="304"/>
      <c r="BV20" s="304"/>
      <c r="BW20" s="446"/>
      <c r="BX20" s="304"/>
      <c r="BY20" s="304"/>
      <c r="BZ20" s="304"/>
      <c r="CA20" s="304"/>
      <c r="CB20" s="304"/>
      <c r="CC20" s="304"/>
      <c r="CD20" s="304"/>
      <c r="CE20" s="304"/>
      <c r="CF20" s="304"/>
      <c r="CG20" s="284"/>
      <c r="CH20" s="878"/>
      <c r="CI20" s="288"/>
    </row>
    <row r="21" spans="1:87" s="250" customFormat="1" ht="3" customHeight="1">
      <c r="A21" s="220"/>
      <c r="B21" s="900"/>
      <c r="C21" s="900"/>
      <c r="D21" s="878"/>
      <c r="E21" s="960"/>
      <c r="F21" s="960"/>
      <c r="G21" s="862"/>
      <c r="H21" s="864"/>
      <c r="I21" s="864"/>
      <c r="J21" s="864"/>
      <c r="K21" s="864"/>
      <c r="L21" s="864"/>
      <c r="M21" s="864"/>
      <c r="N21" s="864"/>
      <c r="O21" s="864"/>
      <c r="P21" s="864"/>
      <c r="Q21" s="864"/>
      <c r="R21" s="864"/>
      <c r="S21" s="864"/>
      <c r="T21" s="864"/>
      <c r="U21" s="864"/>
      <c r="V21" s="864"/>
      <c r="W21" s="864"/>
      <c r="X21" s="864"/>
      <c r="Y21" s="864"/>
      <c r="Z21" s="864"/>
      <c r="AA21" s="866"/>
      <c r="AB21" s="866"/>
      <c r="AC21" s="866"/>
      <c r="AD21" s="826"/>
      <c r="AE21" s="820"/>
      <c r="AF21" s="820"/>
      <c r="AG21" s="820"/>
      <c r="AH21" s="435"/>
      <c r="AI21" s="821"/>
      <c r="AJ21" s="821"/>
      <c r="AK21" s="821"/>
      <c r="AL21" s="821"/>
      <c r="AM21" s="821"/>
      <c r="AN21" s="818"/>
      <c r="AO21" s="822"/>
      <c r="AP21" s="822"/>
      <c r="AQ21" s="822"/>
      <c r="AR21" s="822"/>
      <c r="AS21" s="822"/>
      <c r="AT21" s="818"/>
      <c r="AU21" s="822"/>
      <c r="AV21" s="822"/>
      <c r="AW21" s="822"/>
      <c r="AX21" s="822"/>
      <c r="AY21" s="822"/>
      <c r="AZ21" s="827"/>
      <c r="BA21" s="826"/>
      <c r="BB21" s="820"/>
      <c r="BC21" s="820"/>
      <c r="BD21" s="820"/>
      <c r="BE21" s="435"/>
      <c r="BF21" s="821"/>
      <c r="BG21" s="821"/>
      <c r="BH21" s="821"/>
      <c r="BI21" s="821"/>
      <c r="BJ21" s="821"/>
      <c r="BK21" s="818"/>
      <c r="BL21" s="822"/>
      <c r="BM21" s="822"/>
      <c r="BN21" s="822"/>
      <c r="BO21" s="822"/>
      <c r="BP21" s="822"/>
      <c r="BQ21" s="819"/>
      <c r="BR21" s="822"/>
      <c r="BS21" s="822"/>
      <c r="BT21" s="822"/>
      <c r="BU21" s="822"/>
      <c r="BV21" s="822"/>
      <c r="BW21" s="441"/>
      <c r="BX21" s="442"/>
      <c r="BY21" s="442"/>
      <c r="BZ21" s="442"/>
      <c r="CA21" s="442"/>
      <c r="CB21" s="442"/>
      <c r="CC21" s="442"/>
      <c r="CD21" s="442"/>
      <c r="CE21" s="442"/>
      <c r="CF21" s="442"/>
      <c r="CG21" s="285"/>
      <c r="CH21" s="878"/>
      <c r="CI21" s="288"/>
    </row>
    <row r="22" spans="1:87" ht="15" customHeight="1">
      <c r="B22" s="900"/>
      <c r="C22" s="900"/>
      <c r="D22" s="878"/>
      <c r="E22" s="960"/>
      <c r="F22" s="960"/>
      <c r="G22" s="862"/>
      <c r="H22" s="864"/>
      <c r="I22" s="864"/>
      <c r="J22" s="864"/>
      <c r="K22" s="864"/>
      <c r="L22" s="864"/>
      <c r="M22" s="864"/>
      <c r="N22" s="864"/>
      <c r="O22" s="864"/>
      <c r="P22" s="864"/>
      <c r="Q22" s="864"/>
      <c r="R22" s="864"/>
      <c r="S22" s="864"/>
      <c r="T22" s="864"/>
      <c r="U22" s="864"/>
      <c r="V22" s="864"/>
      <c r="W22" s="864"/>
      <c r="X22" s="864"/>
      <c r="Y22" s="864"/>
      <c r="Z22" s="864"/>
      <c r="AA22" s="866"/>
      <c r="AB22" s="866"/>
      <c r="AC22" s="866"/>
      <c r="AD22" s="826"/>
      <c r="AE22" s="432" t="str">
        <f>IF(LEN(VLOOKUP(AA20,suvaha!$D$8:$H$158,2,FALSE))&lt;11,"",LEFT(RIGHT(VLOOKUP(AA20,suvaha!$D$8:$H$158,2,FALSE),11),1))</f>
        <v/>
      </c>
      <c r="AF22" s="255"/>
      <c r="AG22" s="432" t="str">
        <f>IF(LEN(VLOOKUP(AA20,suvaha!$D$8:$H$158,2,FALSE))&lt;10,"",LEFT(RIGHT(VLOOKUP(AA20,suvaha!$D$8:$H$158,2,FALSE),10),1))</f>
        <v/>
      </c>
      <c r="AH22" s="434"/>
      <c r="AI22" s="432" t="str">
        <f>IF(LEN(VLOOKUP(AA20,suvaha!$D$8:$H$158,2,FALSE))&lt;9,"",LEFT(RIGHT(VLOOKUP(AA20,suvaha!$D$8:$H$158,2,FALSE),9),1))</f>
        <v/>
      </c>
      <c r="AJ22" s="255"/>
      <c r="AK22" s="432" t="str">
        <f>IF(LEN(VLOOKUP(AA20,suvaha!$D$8:$H$158,2,FALSE))&lt;8,"",LEFT(RIGHT(VLOOKUP(AA20,suvaha!$D$8:$H$158,2,FALSE),8),1))</f>
        <v/>
      </c>
      <c r="AL22" s="434"/>
      <c r="AM22" s="432" t="str">
        <f>IF(LEN(VLOOKUP(AA20,suvaha!$D$8:$H$158,2,FALSE))&lt;7,"",LEFT(RIGHT(VLOOKUP(AA20,suvaha!$D$8:$H$158,2,FALSE),7),1))</f>
        <v/>
      </c>
      <c r="AN22" s="818"/>
      <c r="AO22" s="432" t="str">
        <f>IF(LEN(VLOOKUP(AA20,suvaha!$D$8:$H$158,2,FALSE))&lt;6,"",LEFT(RIGHT(VLOOKUP(AA20,suvaha!$D$8:$H$158,2,FALSE),6),1))</f>
        <v/>
      </c>
      <c r="AP22" s="434"/>
      <c r="AQ22" s="432" t="str">
        <f>IF(LEN(VLOOKUP(AA20,suvaha!$D$8:$H$158,2,FALSE))&lt;5,"",LEFT(RIGHT(VLOOKUP(AA20,suvaha!$D$8:$H$158,2,FALSE),5),1))</f>
        <v/>
      </c>
      <c r="AR22" s="434"/>
      <c r="AS22" s="432" t="str">
        <f>IF(LEN(VLOOKUP(AA20,suvaha!$D$8:$H$158,2,FALSE))&lt;4,"",LEFT(RIGHT(VLOOKUP(AA20,suvaha!$D$8:$H$158,2,FALSE),4),1))</f>
        <v/>
      </c>
      <c r="AT22" s="818"/>
      <c r="AU22" s="432" t="str">
        <f>IF(LEN(VLOOKUP(AA20,suvaha!$D$8:$H$158,2,FALSE))&lt;3,"",LEFT(RIGHT(VLOOKUP(AA20,suvaha!$D$8:$H$158,2,FALSE),3),1))</f>
        <v/>
      </c>
      <c r="AV22" s="434"/>
      <c r="AW22" s="432" t="str">
        <f>IF(LEN(VLOOKUP(AA20,suvaha!$D$8:$H$158,2,FALSE))&lt;2,"",LEFT(RIGHT(VLOOKUP(AA20,suvaha!$D$8:$H$158,2,FALSE),2),1))</f>
        <v/>
      </c>
      <c r="AX22" s="434"/>
      <c r="AY22" s="432" t="str">
        <f>IF(VLOOKUP(AA20,suvaha!$D$8:$H$85,2,FALSE)=0,"",IF(LEN(VLOOKUP(AA20,suvaha!$D$8:$H$158,2,FALSE))&lt;1,"",LEFT(RIGHT(VLOOKUP(AA20,suvaha!$D$8:$H$158,2,FALSE),1),1)))</f>
        <v/>
      </c>
      <c r="AZ22" s="827"/>
      <c r="BA22" s="826"/>
      <c r="BB22" s="432" t="str">
        <f>IF(LEN(VLOOKUP(AA20,suvaha!$D$8:$H$158,4,FALSE))&lt;11,"",LEFT(RIGHT(VLOOKUP(AA20,suvaha!$D$8:$H$158,4,FALSE),11),1))</f>
        <v/>
      </c>
      <c r="BC22" s="255"/>
      <c r="BD22" s="432" t="str">
        <f>IF(LEN(VLOOKUP(AA20,suvaha!$D$8:$H$158,4,FALSE))&lt;10,"",LEFT(RIGHT(VLOOKUP(AA20,suvaha!$D$8:$H$158,4,FALSE),10),1))</f>
        <v/>
      </c>
      <c r="BE22" s="434"/>
      <c r="BF22" s="432" t="str">
        <f>IF(LEN(VLOOKUP(AA20,suvaha!$D$8:$H$158,4,FALSE))&lt;9,"",LEFT(RIGHT(VLOOKUP(AA20,suvaha!$D$8:$H$158,4,FALSE),9),1))</f>
        <v/>
      </c>
      <c r="BG22" s="255"/>
      <c r="BH22" s="432" t="str">
        <f>IF(LEN(VLOOKUP(AA20,suvaha!$D$8:$H$158,4,FALSE))&lt;8,"",LEFT(RIGHT(VLOOKUP(AA20,suvaha!$D$8:$H$158,4,FALSE),8),1))</f>
        <v/>
      </c>
      <c r="BI22" s="434"/>
      <c r="BJ22" s="432" t="str">
        <f>IF(LEN(VLOOKUP(AA20,suvaha!$D$8:$H$158,4,FALSE))&lt;7,"",LEFT(RIGHT(VLOOKUP(AA20,suvaha!$D$8:$H$158,4,FALSE),7),1))</f>
        <v/>
      </c>
      <c r="BK22" s="818"/>
      <c r="BL22" s="432" t="str">
        <f>IF(LEN(VLOOKUP(AA20,suvaha!$D$8:$H$158,4,FALSE))&lt;6,"",LEFT(RIGHT(VLOOKUP(AA20,suvaha!$D$8:$H$158,4,FALSE),6),1))</f>
        <v/>
      </c>
      <c r="BM22" s="434"/>
      <c r="BN22" s="432" t="str">
        <f>IF(LEN(VLOOKUP(AA20,suvaha!$D$8:$H$158,4,FALSE))&lt;5,"",LEFT(RIGHT(VLOOKUP(AA20,suvaha!$D$8:$H$158,4,FALSE),5),1))</f>
        <v/>
      </c>
      <c r="BO22" s="434"/>
      <c r="BP22" s="432" t="str">
        <f>IF(LEN(VLOOKUP(AA20,suvaha!$D$8:$H$158,4,FALSE))&lt;4,"",LEFT(RIGHT(VLOOKUP(AA20,suvaha!$D$8:$H$158,4,FALSE),4),1))</f>
        <v/>
      </c>
      <c r="BQ22" s="819"/>
      <c r="BR22" s="432" t="str">
        <f>IF(LEN(VLOOKUP(AA20,suvaha!$D$8:$H$158,4,FALSE))&lt;3,"",LEFT(RIGHT(VLOOKUP(AA20,suvaha!$D$8:$H$158,4,FALSE),3),1))</f>
        <v/>
      </c>
      <c r="BS22" s="434"/>
      <c r="BT22" s="432" t="str">
        <f>IF(LEN(VLOOKUP(AA20,suvaha!$D$8:$H$158,4,FALSE))&lt;2,"",LEFT(RIGHT(VLOOKUP(AA20,suvaha!$D$8:$H$158,4,FALSE),2),1))</f>
        <v/>
      </c>
      <c r="BU22" s="434"/>
      <c r="BV22" s="432" t="str">
        <f>IF(VLOOKUP(AA20,suvaha!$D$8:$H$85,4,FALSE)=0,"",IF(LEN(VLOOKUP(AA20,suvaha!$D$8:$H$158,4,FALSE))&lt;1,"",LEFT(RIGHT(VLOOKUP(AA20,suvaha!$D$8:$H$158,4,FALSE),1),1)))</f>
        <v/>
      </c>
      <c r="BW22" s="441"/>
      <c r="BX22" s="442"/>
      <c r="BY22" s="442"/>
      <c r="BZ22" s="442"/>
      <c r="CA22" s="442"/>
      <c r="CB22" s="442"/>
      <c r="CC22" s="442"/>
      <c r="CD22" s="442"/>
      <c r="CE22" s="442"/>
      <c r="CF22" s="442"/>
      <c r="CG22" s="285"/>
      <c r="CH22" s="878"/>
      <c r="CI22" s="220"/>
    </row>
    <row r="23" spans="1:87" ht="3" customHeight="1">
      <c r="B23" s="900"/>
      <c r="C23" s="900"/>
      <c r="D23" s="878"/>
      <c r="E23" s="960"/>
      <c r="F23" s="960"/>
      <c r="G23" s="862"/>
      <c r="H23" s="864"/>
      <c r="I23" s="864"/>
      <c r="J23" s="864"/>
      <c r="K23" s="864"/>
      <c r="L23" s="864"/>
      <c r="M23" s="864"/>
      <c r="N23" s="864"/>
      <c r="O23" s="864"/>
      <c r="P23" s="864"/>
      <c r="Q23" s="864"/>
      <c r="R23" s="864"/>
      <c r="S23" s="864"/>
      <c r="T23" s="864"/>
      <c r="U23" s="864"/>
      <c r="V23" s="864"/>
      <c r="W23" s="864"/>
      <c r="X23" s="864"/>
      <c r="Y23" s="864"/>
      <c r="Z23" s="864"/>
      <c r="AA23" s="866"/>
      <c r="AB23" s="866"/>
      <c r="AC23" s="866"/>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6"/>
      <c r="BB23" s="846"/>
      <c r="BC23" s="846"/>
      <c r="BD23" s="846"/>
      <c r="BE23" s="846"/>
      <c r="BF23" s="846"/>
      <c r="BG23" s="846"/>
      <c r="BH23" s="846"/>
      <c r="BI23" s="846"/>
      <c r="BJ23" s="846"/>
      <c r="BK23" s="846"/>
      <c r="BL23" s="846"/>
      <c r="BM23" s="846"/>
      <c r="BN23" s="846"/>
      <c r="BO23" s="846"/>
      <c r="BP23" s="846"/>
      <c r="BQ23" s="846"/>
      <c r="BR23" s="310"/>
      <c r="BS23" s="310"/>
      <c r="BT23" s="310"/>
      <c r="BU23" s="310"/>
      <c r="BV23" s="310"/>
      <c r="BW23" s="443"/>
      <c r="BX23" s="310"/>
      <c r="BY23" s="310"/>
      <c r="BZ23" s="310"/>
      <c r="CA23" s="310"/>
      <c r="CB23" s="310"/>
      <c r="CC23" s="310"/>
      <c r="CD23" s="310"/>
      <c r="CE23" s="310"/>
      <c r="CF23" s="310"/>
      <c r="CG23" s="286"/>
      <c r="CH23" s="878"/>
      <c r="CI23" s="220"/>
    </row>
    <row r="24" spans="1:87" ht="3" customHeight="1">
      <c r="B24" s="900"/>
      <c r="C24" s="900"/>
      <c r="D24" s="878"/>
      <c r="E24" s="960"/>
      <c r="F24" s="960"/>
      <c r="G24" s="862"/>
      <c r="H24" s="864"/>
      <c r="I24" s="864"/>
      <c r="J24" s="864"/>
      <c r="K24" s="864"/>
      <c r="L24" s="864"/>
      <c r="M24" s="864"/>
      <c r="N24" s="864"/>
      <c r="O24" s="864"/>
      <c r="P24" s="864"/>
      <c r="Q24" s="864"/>
      <c r="R24" s="864"/>
      <c r="S24" s="864"/>
      <c r="T24" s="864"/>
      <c r="U24" s="864"/>
      <c r="V24" s="864"/>
      <c r="W24" s="864"/>
      <c r="X24" s="864"/>
      <c r="Y24" s="864"/>
      <c r="Z24" s="864"/>
      <c r="AA24" s="866"/>
      <c r="AB24" s="866"/>
      <c r="AC24" s="866"/>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875"/>
      <c r="BB24" s="875"/>
      <c r="BC24" s="875"/>
      <c r="BD24" s="875"/>
      <c r="BE24" s="875"/>
      <c r="BF24" s="875"/>
      <c r="BG24" s="875"/>
      <c r="BH24" s="875"/>
      <c r="BI24" s="875"/>
      <c r="BJ24" s="875"/>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284"/>
      <c r="CH24" s="878"/>
      <c r="CI24" s="220"/>
    </row>
    <row r="25" spans="1:87" ht="3" customHeight="1">
      <c r="B25" s="900"/>
      <c r="C25" s="900"/>
      <c r="D25" s="878"/>
      <c r="E25" s="960"/>
      <c r="F25" s="960"/>
      <c r="G25" s="862"/>
      <c r="H25" s="864"/>
      <c r="I25" s="864"/>
      <c r="J25" s="864"/>
      <c r="K25" s="864"/>
      <c r="L25" s="864"/>
      <c r="M25" s="864"/>
      <c r="N25" s="864"/>
      <c r="O25" s="864"/>
      <c r="P25" s="864"/>
      <c r="Q25" s="864"/>
      <c r="R25" s="864"/>
      <c r="S25" s="864"/>
      <c r="T25" s="864"/>
      <c r="U25" s="864"/>
      <c r="V25" s="864"/>
      <c r="W25" s="864"/>
      <c r="X25" s="864"/>
      <c r="Y25" s="864"/>
      <c r="Z25" s="864"/>
      <c r="AA25" s="866"/>
      <c r="AB25" s="866"/>
      <c r="AC25" s="866"/>
      <c r="AD25" s="826"/>
      <c r="AE25" s="820"/>
      <c r="AF25" s="820"/>
      <c r="AG25" s="820"/>
      <c r="AH25" s="435"/>
      <c r="AI25" s="821"/>
      <c r="AJ25" s="821"/>
      <c r="AK25" s="821"/>
      <c r="AL25" s="821"/>
      <c r="AM25" s="821"/>
      <c r="AN25" s="818" t="s">
        <v>965</v>
      </c>
      <c r="AO25" s="822"/>
      <c r="AP25" s="822"/>
      <c r="AQ25" s="822"/>
      <c r="AR25" s="822"/>
      <c r="AS25" s="822"/>
      <c r="AT25" s="818" t="s">
        <v>965</v>
      </c>
      <c r="AU25" s="822"/>
      <c r="AV25" s="822"/>
      <c r="AW25" s="822"/>
      <c r="AX25" s="822"/>
      <c r="AY25" s="822"/>
      <c r="AZ25" s="827"/>
      <c r="BA25" s="875"/>
      <c r="BB25" s="875"/>
      <c r="BC25" s="875"/>
      <c r="BD25" s="875"/>
      <c r="BE25" s="875"/>
      <c r="BF25" s="875"/>
      <c r="BG25" s="875"/>
      <c r="BH25" s="875"/>
      <c r="BI25" s="875"/>
      <c r="BJ25" s="875"/>
      <c r="BK25" s="442"/>
      <c r="BL25" s="820"/>
      <c r="BM25" s="820"/>
      <c r="BN25" s="820"/>
      <c r="BO25" s="442"/>
      <c r="BP25" s="444"/>
      <c r="BQ25" s="444"/>
      <c r="BR25" s="444"/>
      <c r="BS25" s="444"/>
      <c r="BT25" s="444"/>
      <c r="BU25" s="442"/>
      <c r="BV25" s="444"/>
      <c r="BW25" s="444"/>
      <c r="BX25" s="444"/>
      <c r="BY25" s="444"/>
      <c r="BZ25" s="444"/>
      <c r="CA25" s="445"/>
      <c r="CB25" s="444"/>
      <c r="CC25" s="444"/>
      <c r="CD25" s="444"/>
      <c r="CE25" s="444"/>
      <c r="CF25" s="444"/>
      <c r="CG25" s="287"/>
      <c r="CH25" s="878"/>
      <c r="CI25" s="220"/>
    </row>
    <row r="26" spans="1:87" ht="15" customHeight="1">
      <c r="B26" s="900"/>
      <c r="C26" s="900"/>
      <c r="D26" s="878"/>
      <c r="E26" s="960"/>
      <c r="F26" s="960"/>
      <c r="G26" s="862"/>
      <c r="H26" s="864"/>
      <c r="I26" s="864"/>
      <c r="J26" s="864"/>
      <c r="K26" s="864"/>
      <c r="L26" s="864"/>
      <c r="M26" s="864"/>
      <c r="N26" s="864"/>
      <c r="O26" s="864"/>
      <c r="P26" s="864"/>
      <c r="Q26" s="864"/>
      <c r="R26" s="864"/>
      <c r="S26" s="864"/>
      <c r="T26" s="864"/>
      <c r="U26" s="864"/>
      <c r="V26" s="864"/>
      <c r="W26" s="864"/>
      <c r="X26" s="864"/>
      <c r="Y26" s="864"/>
      <c r="Z26" s="864"/>
      <c r="AA26" s="866"/>
      <c r="AB26" s="866"/>
      <c r="AC26" s="866"/>
      <c r="AD26" s="826"/>
      <c r="AE26" s="432" t="str">
        <f>IF(LEN(VLOOKUP(AA20,suvaha!$D$8:$H$158,3,FALSE))&lt;11,"",LEFT(RIGHT(VLOOKUP(AA20,suvaha!$D$8:$H$158,3,FALSE),11),1))</f>
        <v/>
      </c>
      <c r="AF26" s="255" t="s">
        <v>965</v>
      </c>
      <c r="AG26" s="432" t="str">
        <f>IF(LEN(VLOOKUP(AA20,suvaha!$D$8:$H$158,3,FALSE))&lt;10,"",LEFT(RIGHT(VLOOKUP(AA20,suvaha!$D$8:$H$158,3,FALSE),10),1))</f>
        <v/>
      </c>
      <c r="AH26" s="434" t="s">
        <v>965</v>
      </c>
      <c r="AI26" s="432" t="str">
        <f>IF(LEN(VLOOKUP(AA20,suvaha!$D$8:$H$158,3,FALSE))&lt;9,"",LEFT(RIGHT(VLOOKUP(AA20,suvaha!$D$8:$H$158,3,FALSE),9),1))</f>
        <v/>
      </c>
      <c r="AJ26" s="255" t="s">
        <v>965</v>
      </c>
      <c r="AK26" s="432" t="str">
        <f>IF(LEN(VLOOKUP(AA20,suvaha!$D$8:$H$158,3,FALSE))&lt;8,"",LEFT(RIGHT(VLOOKUP(AA20,suvaha!$D$8:$H$158,3,FALSE),8),1))</f>
        <v/>
      </c>
      <c r="AL26" s="434" t="s">
        <v>965</v>
      </c>
      <c r="AM26" s="432" t="str">
        <f>IF(LEN(VLOOKUP(AA20,suvaha!$D$8:$H$158,3,FALSE))&lt;7,"",LEFT(RIGHT(VLOOKUP(AA20,suvaha!$D$8:$H$158,3,FALSE),7),1))</f>
        <v/>
      </c>
      <c r="AN26" s="818"/>
      <c r="AO26" s="432" t="str">
        <f>IF(LEN(VLOOKUP(AA20,suvaha!$D$8:$H$158,3,FALSE))&lt;6,"",LEFT(RIGHT(VLOOKUP(AA20,suvaha!$D$8:$H$158,3,FALSE),6),1))</f>
        <v/>
      </c>
      <c r="AP26" s="434" t="s">
        <v>965</v>
      </c>
      <c r="AQ26" s="432" t="str">
        <f>IF(LEN(VLOOKUP(AA20,suvaha!$D$8:$H$158,3,FALSE))&lt;5,"",LEFT(RIGHT(VLOOKUP(AA20,suvaha!$D$8:$H$158,3,FALSE),5),1))</f>
        <v/>
      </c>
      <c r="AR26" s="434" t="s">
        <v>965</v>
      </c>
      <c r="AS26" s="432" t="str">
        <f>IF(LEN(VLOOKUP(AA20,suvaha!$D$8:$H$158,3,FALSE))&lt;4,"",LEFT(RIGHT(VLOOKUP(AA20,suvaha!$D$8:$H$158,3,FALSE),4),1))</f>
        <v/>
      </c>
      <c r="AT26" s="818"/>
      <c r="AU26" s="432" t="str">
        <f>IF(LEN(VLOOKUP(AA20,suvaha!$D$8:$H$158,3,FALSE))&lt;3,"",LEFT(RIGHT(VLOOKUP(AA20,suvaha!$D$8:$H$158,3,FALSE),3),1))</f>
        <v/>
      </c>
      <c r="AV26" s="434" t="s">
        <v>965</v>
      </c>
      <c r="AW26" s="432" t="str">
        <f>IF(LEN(VLOOKUP(AA20,suvaha!$D$8:$H$158,3,FALSE))&lt;2,"",LEFT(RIGHT(VLOOKUP(AA20,suvaha!$D$8:$H$158,3,FALSE),2),1))</f>
        <v/>
      </c>
      <c r="AX26" s="434" t="s">
        <v>965</v>
      </c>
      <c r="AY26" s="432" t="str">
        <f>IF(VLOOKUP(AA20,suvaha!$D$8:$H$85,3,FALSE)=0,"",IF(LEN(VLOOKUP(AA20,suvaha!$D$8:$H$158,3,FALSE))&lt;1,"",LEFT(RIGHT(VLOOKUP(AA20,suvaha!$D$8:$H$158,3,FALSE),1),1)))</f>
        <v/>
      </c>
      <c r="AZ26" s="827"/>
      <c r="BA26" s="875"/>
      <c r="BB26" s="875"/>
      <c r="BC26" s="875"/>
      <c r="BD26" s="875"/>
      <c r="BE26" s="875"/>
      <c r="BF26" s="875"/>
      <c r="BG26" s="875"/>
      <c r="BH26" s="875"/>
      <c r="BI26" s="875"/>
      <c r="BJ26" s="875"/>
      <c r="BK26" s="442"/>
      <c r="BL26" s="432" t="str">
        <f>IF(LEN(VLOOKUP(AA20,suvaha!$D$8:$H$158,5,FALSE))&lt;11,"",LEFT(RIGHT(VLOOKUP(AA20,suvaha!$D$8:$H$158,5,FALSE),11),1))</f>
        <v/>
      </c>
      <c r="BM26" s="255" t="s">
        <v>965</v>
      </c>
      <c r="BN26" s="432" t="str">
        <f>IF(LEN(VLOOKUP(AA20,suvaha!$D$8:$H$158,5,FALSE))&lt;10,"",LEFT(RIGHT(VLOOKUP(AA20,suvaha!$D$8:$H$158,5,FALSE),10),1))</f>
        <v/>
      </c>
      <c r="BO26" s="442" t="s">
        <v>965</v>
      </c>
      <c r="BP26" s="432" t="str">
        <f>IF(LEN(VLOOKUP(AA20,suvaha!$D$8:$H$158,5,FALSE))&lt;9,"",LEFT(RIGHT(VLOOKUP(AA20,suvaha!$D$8:$H$158,5,FALSE),9),1))</f>
        <v/>
      </c>
      <c r="BQ26" s="434" t="s">
        <v>965</v>
      </c>
      <c r="BR26" s="432" t="str">
        <f>IF(LEN(VLOOKUP(AA20,suvaha!$D$8:$H$158,5,FALSE))&lt;8,"",LEFT(RIGHT(VLOOKUP(AA20,suvaha!$D$8:$H$158,5,FALSE),8),1))</f>
        <v/>
      </c>
      <c r="BS26" s="434" t="s">
        <v>965</v>
      </c>
      <c r="BT26" s="432" t="str">
        <f>IF(LEN(VLOOKUP(AA20,suvaha!$D$8:$H$158,5,FALSE))&lt;7,"",LEFT(RIGHT(VLOOKUP(AA20,suvaha!$D$8:$H$158,5,FALSE),7),1))</f>
        <v/>
      </c>
      <c r="BU26" s="442" t="s">
        <v>965</v>
      </c>
      <c r="BV26" s="432" t="str">
        <f>IF(LEN(VLOOKUP(AA20,suvaha!$D$8:$H$158,5,FALSE))&lt;6,"",LEFT(RIGHT(VLOOKUP(AA20,suvaha!$D$8:$H$158,5,FALSE),6),1))</f>
        <v/>
      </c>
      <c r="BW26" s="434" t="s">
        <v>965</v>
      </c>
      <c r="BX26" s="432" t="str">
        <f>IF(LEN(VLOOKUP(AA20,suvaha!$D$8:$H$158,5,FALSE))&lt;5,"",LEFT(RIGHT(VLOOKUP(AA20,suvaha!$D$8:$H$158,5,FALSE),5),1))</f>
        <v/>
      </c>
      <c r="BY26" s="434" t="s">
        <v>965</v>
      </c>
      <c r="BZ26" s="432" t="str">
        <f>IF(LEN(VLOOKUP(AA20,suvaha!$D$8:$H$158,5,FALSE))&lt;4,"",LEFT(RIGHT(VLOOKUP(AA20,suvaha!$D$8:$H$158,5,FALSE),4),1))</f>
        <v/>
      </c>
      <c r="CA26" s="445" t="s">
        <v>965</v>
      </c>
      <c r="CB26" s="432" t="str">
        <f>IF(LEN(VLOOKUP(AA20,suvaha!$D$8:$H$158,5,FALSE))&lt;3,"",LEFT(RIGHT(VLOOKUP(AA20,suvaha!$D$8:$H$158,5,FALSE),3),1))</f>
        <v/>
      </c>
      <c r="CC26" s="434" t="s">
        <v>965</v>
      </c>
      <c r="CD26" s="432" t="str">
        <f>IF(LEN(VLOOKUP(AA20,suvaha!$D$8:$H$158,5,FALSE))&lt;2,"",LEFT(RIGHT(VLOOKUP(AA20,suvaha!$D$8:$H$158,5,FALSE),2),1))</f>
        <v/>
      </c>
      <c r="CE26" s="434" t="s">
        <v>1540</v>
      </c>
      <c r="CF26" s="432" t="str">
        <f>IF(VLOOKUP(AA20,suvaha!$D$8:$H$85,5,FALSE)=0,"",IF(LEN(VLOOKUP(AA20,suvaha!$D$8:$H$158,5,FALSE))&lt;1,"",LEFT(RIGHT(VLOOKUP(AA20,suvaha!$D$8:$H$158,5,FALSE),1),1)))</f>
        <v/>
      </c>
      <c r="CG26" s="287"/>
      <c r="CH26" s="878"/>
      <c r="CI26" s="220"/>
    </row>
    <row r="27" spans="1:87" s="250" customFormat="1" ht="3" customHeight="1">
      <c r="A27" s="220"/>
      <c r="B27" s="900"/>
      <c r="C27" s="900"/>
      <c r="D27" s="878"/>
      <c r="E27" s="960"/>
      <c r="F27" s="960"/>
      <c r="G27" s="862"/>
      <c r="H27" s="864"/>
      <c r="I27" s="864"/>
      <c r="J27" s="864"/>
      <c r="K27" s="864"/>
      <c r="L27" s="864"/>
      <c r="M27" s="864"/>
      <c r="N27" s="864"/>
      <c r="O27" s="864"/>
      <c r="P27" s="864"/>
      <c r="Q27" s="864"/>
      <c r="R27" s="864"/>
      <c r="S27" s="864"/>
      <c r="T27" s="864"/>
      <c r="U27" s="864"/>
      <c r="V27" s="864"/>
      <c r="W27" s="864"/>
      <c r="X27" s="864"/>
      <c r="Y27" s="864"/>
      <c r="Z27" s="864"/>
      <c r="AA27" s="866"/>
      <c r="AB27" s="866"/>
      <c r="AC27" s="866"/>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875"/>
      <c r="BB27" s="875"/>
      <c r="BC27" s="875"/>
      <c r="BD27" s="875"/>
      <c r="BE27" s="875"/>
      <c r="BF27" s="875"/>
      <c r="BG27" s="875"/>
      <c r="BH27" s="875"/>
      <c r="BI27" s="875"/>
      <c r="BJ27" s="875"/>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286"/>
      <c r="CH27" s="878"/>
      <c r="CI27" s="288"/>
    </row>
    <row r="28" spans="1:87" s="250" customFormat="1" ht="3" customHeight="1">
      <c r="A28" s="220"/>
      <c r="B28" s="900"/>
      <c r="C28" s="900"/>
      <c r="D28" s="878"/>
      <c r="E28" s="877" t="s">
        <v>1543</v>
      </c>
      <c r="F28" s="877"/>
      <c r="G28" s="862"/>
      <c r="H28" s="864" t="str">
        <f>Index!C110</f>
        <v>Ostatné pohľadávky voči prepojeným účtovným jednotkám (351A) - /391A/</v>
      </c>
      <c r="I28" s="864"/>
      <c r="J28" s="864"/>
      <c r="K28" s="864"/>
      <c r="L28" s="864"/>
      <c r="M28" s="864"/>
      <c r="N28" s="864"/>
      <c r="O28" s="864"/>
      <c r="P28" s="864"/>
      <c r="Q28" s="864"/>
      <c r="R28" s="864"/>
      <c r="S28" s="864"/>
      <c r="T28" s="864"/>
      <c r="U28" s="864"/>
      <c r="V28" s="864"/>
      <c r="W28" s="864"/>
      <c r="X28" s="864"/>
      <c r="Y28" s="864"/>
      <c r="Z28" s="864"/>
      <c r="AA28" s="866" t="s">
        <v>1619</v>
      </c>
      <c r="AB28" s="866"/>
      <c r="AC28" s="866"/>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67"/>
      <c r="BB28" s="867"/>
      <c r="BC28" s="867"/>
      <c r="BD28" s="867"/>
      <c r="BE28" s="867"/>
      <c r="BF28" s="867"/>
      <c r="BG28" s="867"/>
      <c r="BH28" s="867"/>
      <c r="BI28" s="867"/>
      <c r="BJ28" s="867"/>
      <c r="BK28" s="867"/>
      <c r="BL28" s="867"/>
      <c r="BM28" s="867"/>
      <c r="BN28" s="867"/>
      <c r="BO28" s="867"/>
      <c r="BP28" s="867"/>
      <c r="BQ28" s="867"/>
      <c r="BR28" s="304"/>
      <c r="BS28" s="304"/>
      <c r="BT28" s="304"/>
      <c r="BU28" s="304"/>
      <c r="BV28" s="304"/>
      <c r="BW28" s="446"/>
      <c r="BX28" s="304"/>
      <c r="BY28" s="304"/>
      <c r="BZ28" s="304"/>
      <c r="CA28" s="304"/>
      <c r="CB28" s="304"/>
      <c r="CC28" s="304"/>
      <c r="CD28" s="304"/>
      <c r="CE28" s="304"/>
      <c r="CF28" s="304"/>
      <c r="CG28" s="284"/>
      <c r="CH28" s="878"/>
      <c r="CI28" s="288"/>
    </row>
    <row r="29" spans="1:87" s="250" customFormat="1" ht="3" customHeight="1">
      <c r="A29" s="220"/>
      <c r="B29" s="900"/>
      <c r="C29" s="900"/>
      <c r="D29" s="878"/>
      <c r="E29" s="877"/>
      <c r="F29" s="877"/>
      <c r="G29" s="862"/>
      <c r="H29" s="864"/>
      <c r="I29" s="864"/>
      <c r="J29" s="864"/>
      <c r="K29" s="864"/>
      <c r="L29" s="864"/>
      <c r="M29" s="864"/>
      <c r="N29" s="864"/>
      <c r="O29" s="864"/>
      <c r="P29" s="864"/>
      <c r="Q29" s="864"/>
      <c r="R29" s="864"/>
      <c r="S29" s="864"/>
      <c r="T29" s="864"/>
      <c r="U29" s="864"/>
      <c r="V29" s="864"/>
      <c r="W29" s="864"/>
      <c r="X29" s="864"/>
      <c r="Y29" s="864"/>
      <c r="Z29" s="864"/>
      <c r="AA29" s="866"/>
      <c r="AB29" s="866"/>
      <c r="AC29" s="866"/>
      <c r="AD29" s="826"/>
      <c r="AE29" s="820"/>
      <c r="AF29" s="820"/>
      <c r="AG29" s="820"/>
      <c r="AH29" s="435"/>
      <c r="AI29" s="821"/>
      <c r="AJ29" s="821"/>
      <c r="AK29" s="821"/>
      <c r="AL29" s="821"/>
      <c r="AM29" s="821"/>
      <c r="AN29" s="818"/>
      <c r="AO29" s="822"/>
      <c r="AP29" s="822"/>
      <c r="AQ29" s="822"/>
      <c r="AR29" s="822"/>
      <c r="AS29" s="822"/>
      <c r="AT29" s="818"/>
      <c r="AU29" s="822"/>
      <c r="AV29" s="822"/>
      <c r="AW29" s="822"/>
      <c r="AX29" s="822"/>
      <c r="AY29" s="822"/>
      <c r="AZ29" s="827"/>
      <c r="BA29" s="826"/>
      <c r="BB29" s="820"/>
      <c r="BC29" s="820"/>
      <c r="BD29" s="820"/>
      <c r="BE29" s="435"/>
      <c r="BF29" s="821"/>
      <c r="BG29" s="821"/>
      <c r="BH29" s="821"/>
      <c r="BI29" s="821"/>
      <c r="BJ29" s="821"/>
      <c r="BK29" s="818"/>
      <c r="BL29" s="822"/>
      <c r="BM29" s="822"/>
      <c r="BN29" s="822"/>
      <c r="BO29" s="822"/>
      <c r="BP29" s="822"/>
      <c r="BQ29" s="819"/>
      <c r="BR29" s="822"/>
      <c r="BS29" s="822"/>
      <c r="BT29" s="822"/>
      <c r="BU29" s="822"/>
      <c r="BV29" s="822"/>
      <c r="BW29" s="441"/>
      <c r="BX29" s="442"/>
      <c r="BY29" s="442"/>
      <c r="BZ29" s="442"/>
      <c r="CA29" s="442"/>
      <c r="CB29" s="442"/>
      <c r="CC29" s="442"/>
      <c r="CD29" s="442"/>
      <c r="CE29" s="442"/>
      <c r="CF29" s="442"/>
      <c r="CG29" s="285"/>
      <c r="CH29" s="878"/>
      <c r="CI29" s="288"/>
    </row>
    <row r="30" spans="1:87" ht="15" customHeight="1">
      <c r="B30" s="900"/>
      <c r="C30" s="900"/>
      <c r="D30" s="878"/>
      <c r="E30" s="877"/>
      <c r="F30" s="877"/>
      <c r="G30" s="862"/>
      <c r="H30" s="864"/>
      <c r="I30" s="864"/>
      <c r="J30" s="864"/>
      <c r="K30" s="864"/>
      <c r="L30" s="864"/>
      <c r="M30" s="864"/>
      <c r="N30" s="864"/>
      <c r="O30" s="864"/>
      <c r="P30" s="864"/>
      <c r="Q30" s="864"/>
      <c r="R30" s="864"/>
      <c r="S30" s="864"/>
      <c r="T30" s="864"/>
      <c r="U30" s="864"/>
      <c r="V30" s="864"/>
      <c r="W30" s="864"/>
      <c r="X30" s="864"/>
      <c r="Y30" s="864"/>
      <c r="Z30" s="864"/>
      <c r="AA30" s="866"/>
      <c r="AB30" s="866"/>
      <c r="AC30" s="866"/>
      <c r="AD30" s="826"/>
      <c r="AE30" s="432" t="str">
        <f>IF(LEN(VLOOKUP(AA28,suvaha!$D$8:$H$158,2,FALSE))&lt;11,"",LEFT(RIGHT(VLOOKUP(AA28,suvaha!$D$8:$H$158,2,FALSE),11),1))</f>
        <v/>
      </c>
      <c r="AF30" s="255"/>
      <c r="AG30" s="432" t="str">
        <f>IF(LEN(VLOOKUP(AA28,suvaha!$D$8:$H$158,2,FALSE))&lt;10,"",LEFT(RIGHT(VLOOKUP(AA28,suvaha!$D$8:$H$158,2,FALSE),10),1))</f>
        <v/>
      </c>
      <c r="AH30" s="434"/>
      <c r="AI30" s="432" t="str">
        <f>IF(LEN(VLOOKUP(AA28,suvaha!$D$8:$H$158,2,FALSE))&lt;9,"",LEFT(RIGHT(VLOOKUP(AA28,suvaha!$D$8:$H$158,2,FALSE),9),1))</f>
        <v/>
      </c>
      <c r="AJ30" s="255"/>
      <c r="AK30" s="432" t="str">
        <f>IF(LEN(VLOOKUP(AA28,suvaha!$D$8:$H$158,2,FALSE))&lt;8,"",LEFT(RIGHT(VLOOKUP(AA28,suvaha!$D$8:$H$158,2,FALSE),8),1))</f>
        <v>1</v>
      </c>
      <c r="AL30" s="434"/>
      <c r="AM30" s="432" t="str">
        <f>IF(LEN(VLOOKUP(AA28,suvaha!$D$8:$H$158,2,FALSE))&lt;7,"",LEFT(RIGHT(VLOOKUP(AA28,suvaha!$D$8:$H$158,2,FALSE),7),1))</f>
        <v>4</v>
      </c>
      <c r="AN30" s="818"/>
      <c r="AO30" s="432" t="str">
        <f>IF(LEN(VLOOKUP(AA28,suvaha!$D$8:$H$158,2,FALSE))&lt;6,"",LEFT(RIGHT(VLOOKUP(AA28,suvaha!$D$8:$H$158,2,FALSE),6),1))</f>
        <v>1</v>
      </c>
      <c r="AP30" s="434"/>
      <c r="AQ30" s="432" t="str">
        <f>IF(LEN(VLOOKUP(AA28,suvaha!$D$8:$H$158,2,FALSE))&lt;5,"",LEFT(RIGHT(VLOOKUP(AA28,suvaha!$D$8:$H$158,2,FALSE),5),1))</f>
        <v>4</v>
      </c>
      <c r="AR30" s="434"/>
      <c r="AS30" s="432" t="str">
        <f>IF(LEN(VLOOKUP(AA28,suvaha!$D$8:$H$158,2,FALSE))&lt;4,"",LEFT(RIGHT(VLOOKUP(AA28,suvaha!$D$8:$H$158,2,FALSE),4),1))</f>
        <v>8</v>
      </c>
      <c r="AT30" s="818"/>
      <c r="AU30" s="432" t="str">
        <f>IF(LEN(VLOOKUP(AA28,suvaha!$D$8:$H$158,2,FALSE))&lt;3,"",LEFT(RIGHT(VLOOKUP(AA28,suvaha!$D$8:$H$158,2,FALSE),3),1))</f>
        <v>3</v>
      </c>
      <c r="AV30" s="434"/>
      <c r="AW30" s="432" t="str">
        <f>IF(LEN(VLOOKUP(AA28,suvaha!$D$8:$H$158,2,FALSE))&lt;2,"",LEFT(RIGHT(VLOOKUP(AA28,suvaha!$D$8:$H$158,2,FALSE),2),1))</f>
        <v>7</v>
      </c>
      <c r="AX30" s="434"/>
      <c r="AY30" s="432" t="str">
        <f>IF(VLOOKUP(AA28,suvaha!$D$8:$H$85,2,FALSE)=0,"",IF(LEN(VLOOKUP(AA28,suvaha!$D$8:$H$158,2,FALSE))&lt;1,"",LEFT(RIGHT(VLOOKUP(AA28,suvaha!$D$8:$H$158,2,FALSE),1),1)))</f>
        <v>1</v>
      </c>
      <c r="AZ30" s="827"/>
      <c r="BA30" s="826"/>
      <c r="BB30" s="432" t="str">
        <f>IF(LEN(VLOOKUP(AA28,suvaha!$D$8:$H$158,4,FALSE))&lt;11,"",LEFT(RIGHT(VLOOKUP(AA28,suvaha!$D$8:$H$158,4,FALSE),11),1))</f>
        <v/>
      </c>
      <c r="BC30" s="255"/>
      <c r="BD30" s="432" t="str">
        <f>IF(LEN(VLOOKUP(AA28,suvaha!$D$8:$H$158,4,FALSE))&lt;10,"",LEFT(RIGHT(VLOOKUP(AA28,suvaha!$D$8:$H$158,4,FALSE),10),1))</f>
        <v/>
      </c>
      <c r="BE30" s="434"/>
      <c r="BF30" s="432" t="str">
        <f>IF(LEN(VLOOKUP(AA28,suvaha!$D$8:$H$158,4,FALSE))&lt;9,"",LEFT(RIGHT(VLOOKUP(AA28,suvaha!$D$8:$H$158,4,FALSE),9),1))</f>
        <v/>
      </c>
      <c r="BG30" s="255"/>
      <c r="BH30" s="432" t="str">
        <f>IF(LEN(VLOOKUP(AA28,suvaha!$D$8:$H$158,4,FALSE))&lt;8,"",LEFT(RIGHT(VLOOKUP(AA28,suvaha!$D$8:$H$158,4,FALSE),8),1))</f>
        <v>1</v>
      </c>
      <c r="BI30" s="434"/>
      <c r="BJ30" s="432" t="str">
        <f>IF(LEN(VLOOKUP(AA28,suvaha!$D$8:$H$158,4,FALSE))&lt;7,"",LEFT(RIGHT(VLOOKUP(AA28,suvaha!$D$8:$H$158,4,FALSE),7),1))</f>
        <v>4</v>
      </c>
      <c r="BK30" s="818"/>
      <c r="BL30" s="432" t="str">
        <f>IF(LEN(VLOOKUP(AA28,suvaha!$D$8:$H$158,4,FALSE))&lt;6,"",LEFT(RIGHT(VLOOKUP(AA28,suvaha!$D$8:$H$158,4,FALSE),6),1))</f>
        <v>1</v>
      </c>
      <c r="BM30" s="434"/>
      <c r="BN30" s="432" t="str">
        <f>IF(LEN(VLOOKUP(AA28,suvaha!$D$8:$H$158,4,FALSE))&lt;5,"",LEFT(RIGHT(VLOOKUP(AA28,suvaha!$D$8:$H$158,4,FALSE),5),1))</f>
        <v>4</v>
      </c>
      <c r="BO30" s="434"/>
      <c r="BP30" s="432" t="str">
        <f>IF(LEN(VLOOKUP(AA28,suvaha!$D$8:$H$158,4,FALSE))&lt;4,"",LEFT(RIGHT(VLOOKUP(AA28,suvaha!$D$8:$H$158,4,FALSE),4),1))</f>
        <v>8</v>
      </c>
      <c r="BQ30" s="819"/>
      <c r="BR30" s="432" t="str">
        <f>IF(LEN(VLOOKUP(AA28,suvaha!$D$8:$H$158,4,FALSE))&lt;3,"",LEFT(RIGHT(VLOOKUP(AA28,suvaha!$D$8:$H$158,4,FALSE),3),1))</f>
        <v>3</v>
      </c>
      <c r="BS30" s="434"/>
      <c r="BT30" s="432" t="str">
        <f>IF(LEN(VLOOKUP(AA28,suvaha!$D$8:$H$158,4,FALSE))&lt;2,"",LEFT(RIGHT(VLOOKUP(AA28,suvaha!$D$8:$H$158,4,FALSE),2),1))</f>
        <v>7</v>
      </c>
      <c r="BU30" s="434"/>
      <c r="BV30" s="432" t="str">
        <f>IF(VLOOKUP(AA28,suvaha!$D$8:$H$85,4,FALSE)=0,"",IF(LEN(VLOOKUP(AA28,suvaha!$D$8:$H$158,4,FALSE))&lt;1,"",LEFT(RIGHT(VLOOKUP(AA28,suvaha!$D$8:$H$158,4,FALSE),1),1)))</f>
        <v>1</v>
      </c>
      <c r="BW30" s="441"/>
      <c r="BX30" s="442"/>
      <c r="BY30" s="442"/>
      <c r="BZ30" s="442"/>
      <c r="CA30" s="442"/>
      <c r="CB30" s="442"/>
      <c r="CC30" s="442"/>
      <c r="CD30" s="442"/>
      <c r="CE30" s="442"/>
      <c r="CF30" s="442"/>
      <c r="CG30" s="285"/>
      <c r="CH30" s="878"/>
      <c r="CI30" s="220"/>
    </row>
    <row r="31" spans="1:87" ht="3" customHeight="1">
      <c r="B31" s="900"/>
      <c r="C31" s="900"/>
      <c r="D31" s="878"/>
      <c r="E31" s="877"/>
      <c r="F31" s="877"/>
      <c r="G31" s="862"/>
      <c r="H31" s="864"/>
      <c r="I31" s="864"/>
      <c r="J31" s="864"/>
      <c r="K31" s="864"/>
      <c r="L31" s="864"/>
      <c r="M31" s="864"/>
      <c r="N31" s="864"/>
      <c r="O31" s="864"/>
      <c r="P31" s="864"/>
      <c r="Q31" s="864"/>
      <c r="R31" s="864"/>
      <c r="S31" s="864"/>
      <c r="T31" s="864"/>
      <c r="U31" s="864"/>
      <c r="V31" s="864"/>
      <c r="W31" s="864"/>
      <c r="X31" s="864"/>
      <c r="Y31" s="864"/>
      <c r="Z31" s="864"/>
      <c r="AA31" s="866"/>
      <c r="AB31" s="866"/>
      <c r="AC31" s="866"/>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6"/>
      <c r="BB31" s="846"/>
      <c r="BC31" s="846"/>
      <c r="BD31" s="846"/>
      <c r="BE31" s="846"/>
      <c r="BF31" s="846"/>
      <c r="BG31" s="846"/>
      <c r="BH31" s="846"/>
      <c r="BI31" s="846"/>
      <c r="BJ31" s="846"/>
      <c r="BK31" s="846"/>
      <c r="BL31" s="846"/>
      <c r="BM31" s="846"/>
      <c r="BN31" s="846"/>
      <c r="BO31" s="846"/>
      <c r="BP31" s="846"/>
      <c r="BQ31" s="846"/>
      <c r="BR31" s="310"/>
      <c r="BS31" s="310"/>
      <c r="BT31" s="310"/>
      <c r="BU31" s="310"/>
      <c r="BV31" s="310"/>
      <c r="BW31" s="443"/>
      <c r="BX31" s="310"/>
      <c r="BY31" s="310"/>
      <c r="BZ31" s="310"/>
      <c r="CA31" s="310"/>
      <c r="CB31" s="310"/>
      <c r="CC31" s="310"/>
      <c r="CD31" s="310"/>
      <c r="CE31" s="310"/>
      <c r="CF31" s="310"/>
      <c r="CG31" s="286"/>
      <c r="CH31" s="878"/>
      <c r="CI31" s="220"/>
    </row>
    <row r="32" spans="1:87" ht="3" customHeight="1">
      <c r="B32" s="900"/>
      <c r="C32" s="900"/>
      <c r="D32" s="878"/>
      <c r="E32" s="877"/>
      <c r="F32" s="877"/>
      <c r="G32" s="862"/>
      <c r="H32" s="864"/>
      <c r="I32" s="864"/>
      <c r="J32" s="864"/>
      <c r="K32" s="864"/>
      <c r="L32" s="864"/>
      <c r="M32" s="864"/>
      <c r="N32" s="864"/>
      <c r="O32" s="864"/>
      <c r="P32" s="864"/>
      <c r="Q32" s="864"/>
      <c r="R32" s="864"/>
      <c r="S32" s="864"/>
      <c r="T32" s="864"/>
      <c r="U32" s="864"/>
      <c r="V32" s="864"/>
      <c r="W32" s="864"/>
      <c r="X32" s="864"/>
      <c r="Y32" s="864"/>
      <c r="Z32" s="864"/>
      <c r="AA32" s="866"/>
      <c r="AB32" s="866"/>
      <c r="AC32" s="866"/>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75"/>
      <c r="BB32" s="875"/>
      <c r="BC32" s="875"/>
      <c r="BD32" s="875"/>
      <c r="BE32" s="875"/>
      <c r="BF32" s="875"/>
      <c r="BG32" s="875"/>
      <c r="BH32" s="875"/>
      <c r="BI32" s="875"/>
      <c r="BJ32" s="875"/>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284"/>
      <c r="CH32" s="878"/>
      <c r="CI32" s="220"/>
    </row>
    <row r="33" spans="1:87" ht="3" customHeight="1">
      <c r="B33" s="900"/>
      <c r="C33" s="900"/>
      <c r="D33" s="878"/>
      <c r="E33" s="877"/>
      <c r="F33" s="877"/>
      <c r="G33" s="862"/>
      <c r="H33" s="864"/>
      <c r="I33" s="864"/>
      <c r="J33" s="864"/>
      <c r="K33" s="864"/>
      <c r="L33" s="864"/>
      <c r="M33" s="864"/>
      <c r="N33" s="864"/>
      <c r="O33" s="864"/>
      <c r="P33" s="864"/>
      <c r="Q33" s="864"/>
      <c r="R33" s="864"/>
      <c r="S33" s="864"/>
      <c r="T33" s="864"/>
      <c r="U33" s="864"/>
      <c r="V33" s="864"/>
      <c r="W33" s="864"/>
      <c r="X33" s="864"/>
      <c r="Y33" s="864"/>
      <c r="Z33" s="864"/>
      <c r="AA33" s="866"/>
      <c r="AB33" s="866"/>
      <c r="AC33" s="866"/>
      <c r="AD33" s="826"/>
      <c r="AE33" s="820"/>
      <c r="AF33" s="820"/>
      <c r="AG33" s="820"/>
      <c r="AH33" s="435"/>
      <c r="AI33" s="821"/>
      <c r="AJ33" s="821"/>
      <c r="AK33" s="821"/>
      <c r="AL33" s="821"/>
      <c r="AM33" s="821"/>
      <c r="AN33" s="818" t="s">
        <v>965</v>
      </c>
      <c r="AO33" s="822"/>
      <c r="AP33" s="822"/>
      <c r="AQ33" s="822"/>
      <c r="AR33" s="822"/>
      <c r="AS33" s="822"/>
      <c r="AT33" s="818" t="s">
        <v>965</v>
      </c>
      <c r="AU33" s="822"/>
      <c r="AV33" s="822"/>
      <c r="AW33" s="822"/>
      <c r="AX33" s="822"/>
      <c r="AY33" s="822"/>
      <c r="AZ33" s="827"/>
      <c r="BA33" s="875"/>
      <c r="BB33" s="875"/>
      <c r="BC33" s="875"/>
      <c r="BD33" s="875"/>
      <c r="BE33" s="875"/>
      <c r="BF33" s="875"/>
      <c r="BG33" s="875"/>
      <c r="BH33" s="875"/>
      <c r="BI33" s="875"/>
      <c r="BJ33" s="875"/>
      <c r="BK33" s="442"/>
      <c r="BL33" s="820"/>
      <c r="BM33" s="820"/>
      <c r="BN33" s="820"/>
      <c r="BO33" s="442"/>
      <c r="BP33" s="444"/>
      <c r="BQ33" s="444"/>
      <c r="BR33" s="444"/>
      <c r="BS33" s="444"/>
      <c r="BT33" s="444"/>
      <c r="BU33" s="442"/>
      <c r="BV33" s="444"/>
      <c r="BW33" s="444"/>
      <c r="BX33" s="444"/>
      <c r="BY33" s="444"/>
      <c r="BZ33" s="444"/>
      <c r="CA33" s="445"/>
      <c r="CB33" s="444"/>
      <c r="CC33" s="444"/>
      <c r="CD33" s="444"/>
      <c r="CE33" s="444"/>
      <c r="CF33" s="444"/>
      <c r="CG33" s="287"/>
      <c r="CH33" s="878"/>
      <c r="CI33" s="220"/>
    </row>
    <row r="34" spans="1:87" ht="15" customHeight="1">
      <c r="B34" s="900"/>
      <c r="C34" s="900"/>
      <c r="D34" s="878"/>
      <c r="E34" s="877"/>
      <c r="F34" s="877"/>
      <c r="G34" s="862"/>
      <c r="H34" s="864"/>
      <c r="I34" s="864"/>
      <c r="J34" s="864"/>
      <c r="K34" s="864"/>
      <c r="L34" s="864"/>
      <c r="M34" s="864"/>
      <c r="N34" s="864"/>
      <c r="O34" s="864"/>
      <c r="P34" s="864"/>
      <c r="Q34" s="864"/>
      <c r="R34" s="864"/>
      <c r="S34" s="864"/>
      <c r="T34" s="864"/>
      <c r="U34" s="864"/>
      <c r="V34" s="864"/>
      <c r="W34" s="864"/>
      <c r="X34" s="864"/>
      <c r="Y34" s="864"/>
      <c r="Z34" s="864"/>
      <c r="AA34" s="866"/>
      <c r="AB34" s="866"/>
      <c r="AC34" s="866"/>
      <c r="AD34" s="826"/>
      <c r="AE34" s="432" t="str">
        <f>IF(LEN(VLOOKUP(AA28,suvaha!$D$8:$H$158,3,FALSE))&lt;11,"",LEFT(RIGHT(VLOOKUP(AA28,suvaha!$D$8:$H$158,3,FALSE),11),1))</f>
        <v/>
      </c>
      <c r="AF34" s="255" t="s">
        <v>965</v>
      </c>
      <c r="AG34" s="432" t="str">
        <f>IF(LEN(VLOOKUP(AA28,suvaha!$D$8:$H$158,3,FALSE))&lt;10,"",LEFT(RIGHT(VLOOKUP(AA28,suvaha!$D$8:$H$158,3,FALSE),10),1))</f>
        <v/>
      </c>
      <c r="AH34" s="434" t="s">
        <v>965</v>
      </c>
      <c r="AI34" s="432" t="str">
        <f>IF(LEN(VLOOKUP(AA28,suvaha!$D$8:$H$158,3,FALSE))&lt;9,"",LEFT(RIGHT(VLOOKUP(AA28,suvaha!$D$8:$H$158,3,FALSE),9),1))</f>
        <v/>
      </c>
      <c r="AJ34" s="255" t="s">
        <v>965</v>
      </c>
      <c r="AK34" s="432" t="str">
        <f>IF(LEN(VLOOKUP(AA28,suvaha!$D$8:$H$158,3,FALSE))&lt;8,"",LEFT(RIGHT(VLOOKUP(AA28,suvaha!$D$8:$H$158,3,FALSE),8),1))</f>
        <v/>
      </c>
      <c r="AL34" s="434" t="s">
        <v>965</v>
      </c>
      <c r="AM34" s="432" t="str">
        <f>IF(LEN(VLOOKUP(AA28,suvaha!$D$8:$H$158,3,FALSE))&lt;7,"",LEFT(RIGHT(VLOOKUP(AA28,suvaha!$D$8:$H$158,3,FALSE),7),1))</f>
        <v/>
      </c>
      <c r="AN34" s="818"/>
      <c r="AO34" s="432" t="str">
        <f>IF(LEN(VLOOKUP(AA28,suvaha!$D$8:$H$158,3,FALSE))&lt;6,"",LEFT(RIGHT(VLOOKUP(AA28,suvaha!$D$8:$H$158,3,FALSE),6),1))</f>
        <v/>
      </c>
      <c r="AP34" s="434" t="s">
        <v>965</v>
      </c>
      <c r="AQ34" s="432" t="str">
        <f>IF(LEN(VLOOKUP(AA28,suvaha!$D$8:$H$158,3,FALSE))&lt;5,"",LEFT(RIGHT(VLOOKUP(AA28,suvaha!$D$8:$H$158,3,FALSE),5),1))</f>
        <v/>
      </c>
      <c r="AR34" s="434" t="s">
        <v>965</v>
      </c>
      <c r="AS34" s="432" t="str">
        <f>IF(LEN(VLOOKUP(AA28,suvaha!$D$8:$H$158,3,FALSE))&lt;4,"",LEFT(RIGHT(VLOOKUP(AA28,suvaha!$D$8:$H$158,3,FALSE),4),1))</f>
        <v/>
      </c>
      <c r="AT34" s="818"/>
      <c r="AU34" s="432" t="str">
        <f>IF(LEN(VLOOKUP(AA28,suvaha!$D$8:$H$158,3,FALSE))&lt;3,"",LEFT(RIGHT(VLOOKUP(AA28,suvaha!$D$8:$H$158,3,FALSE),3),1))</f>
        <v/>
      </c>
      <c r="AV34" s="434" t="s">
        <v>965</v>
      </c>
      <c r="AW34" s="432" t="str">
        <f>IF(LEN(VLOOKUP(AA28,suvaha!$D$8:$H$158,3,FALSE))&lt;2,"",LEFT(RIGHT(VLOOKUP(AA28,suvaha!$D$8:$H$158,3,FALSE),2),1))</f>
        <v/>
      </c>
      <c r="AX34" s="434" t="s">
        <v>965</v>
      </c>
      <c r="AY34" s="432" t="str">
        <f>IF(VLOOKUP(AA28,suvaha!$D$8:$H$85,3,FALSE)=0,"",IF(LEN(VLOOKUP(AA28,suvaha!$D$8:$H$158,3,FALSE))&lt;1,"",LEFT(RIGHT(VLOOKUP(AA28,suvaha!$D$8:$H$158,3,FALSE),1),1)))</f>
        <v/>
      </c>
      <c r="AZ34" s="827"/>
      <c r="BA34" s="875"/>
      <c r="BB34" s="875"/>
      <c r="BC34" s="875"/>
      <c r="BD34" s="875"/>
      <c r="BE34" s="875"/>
      <c r="BF34" s="875"/>
      <c r="BG34" s="875"/>
      <c r="BH34" s="875"/>
      <c r="BI34" s="875"/>
      <c r="BJ34" s="875"/>
      <c r="BK34" s="442"/>
      <c r="BL34" s="432" t="str">
        <f>IF(LEN(VLOOKUP(AA28,suvaha!$D$8:$H$158,5,FALSE))&lt;11,"",LEFT(RIGHT(VLOOKUP(AA28,suvaha!$D$8:$H$158,5,FALSE),11),1))</f>
        <v/>
      </c>
      <c r="BM34" s="255" t="s">
        <v>965</v>
      </c>
      <c r="BN34" s="432" t="str">
        <f>IF(LEN(VLOOKUP(AA28,suvaha!$D$8:$H$158,5,FALSE))&lt;10,"",LEFT(RIGHT(VLOOKUP(AA28,suvaha!$D$8:$H$158,5,FALSE),10),1))</f>
        <v/>
      </c>
      <c r="BO34" s="442" t="s">
        <v>965</v>
      </c>
      <c r="BP34" s="432" t="str">
        <f>IF(LEN(VLOOKUP(AA28,suvaha!$D$8:$H$158,5,FALSE))&lt;9,"",LEFT(RIGHT(VLOOKUP(AA28,suvaha!$D$8:$H$158,5,FALSE),9),1))</f>
        <v/>
      </c>
      <c r="BQ34" s="434" t="s">
        <v>965</v>
      </c>
      <c r="BR34" s="432" t="str">
        <f>IF(LEN(VLOOKUP(AA28,suvaha!$D$8:$H$158,5,FALSE))&lt;8,"",LEFT(RIGHT(VLOOKUP(AA28,suvaha!$D$8:$H$158,5,FALSE),8),1))</f>
        <v>2</v>
      </c>
      <c r="BS34" s="434" t="s">
        <v>965</v>
      </c>
      <c r="BT34" s="432" t="str">
        <f>IF(LEN(VLOOKUP(AA28,suvaha!$D$8:$H$158,5,FALSE))&lt;7,"",LEFT(RIGHT(VLOOKUP(AA28,suvaha!$D$8:$H$158,5,FALSE),7),1))</f>
        <v>2</v>
      </c>
      <c r="BU34" s="442" t="s">
        <v>965</v>
      </c>
      <c r="BV34" s="432" t="str">
        <f>IF(LEN(VLOOKUP(AA28,suvaha!$D$8:$H$158,5,FALSE))&lt;6,"",LEFT(RIGHT(VLOOKUP(AA28,suvaha!$D$8:$H$158,5,FALSE),6),1))</f>
        <v>3</v>
      </c>
      <c r="BW34" s="434" t="s">
        <v>965</v>
      </c>
      <c r="BX34" s="432" t="str">
        <f>IF(LEN(VLOOKUP(AA28,suvaha!$D$8:$H$158,5,FALSE))&lt;5,"",LEFT(RIGHT(VLOOKUP(AA28,suvaha!$D$8:$H$158,5,FALSE),5),1))</f>
        <v>9</v>
      </c>
      <c r="BY34" s="434" t="s">
        <v>965</v>
      </c>
      <c r="BZ34" s="432" t="str">
        <f>IF(LEN(VLOOKUP(AA28,suvaha!$D$8:$H$158,5,FALSE))&lt;4,"",LEFT(RIGHT(VLOOKUP(AA28,suvaha!$D$8:$H$158,5,FALSE),4),1))</f>
        <v>9</v>
      </c>
      <c r="CA34" s="445" t="s">
        <v>965</v>
      </c>
      <c r="CB34" s="432" t="str">
        <f>IF(LEN(VLOOKUP(AA28,suvaha!$D$8:$H$158,5,FALSE))&lt;3,"",LEFT(RIGHT(VLOOKUP(AA28,suvaha!$D$8:$H$158,5,FALSE),3),1))</f>
        <v>7</v>
      </c>
      <c r="CC34" s="434" t="s">
        <v>965</v>
      </c>
      <c r="CD34" s="432" t="str">
        <f>IF(LEN(VLOOKUP(AA28,suvaha!$D$8:$H$158,5,FALSE))&lt;2,"",LEFT(RIGHT(VLOOKUP(AA28,suvaha!$D$8:$H$158,5,FALSE),2),1))</f>
        <v>4</v>
      </c>
      <c r="CE34" s="434" t="s">
        <v>1540</v>
      </c>
      <c r="CF34" s="432" t="str">
        <f>IF(VLOOKUP(AA28,suvaha!$D$8:$H$85,5,FALSE)=0,"",IF(LEN(VLOOKUP(AA28,suvaha!$D$8:$H$158,5,FALSE))&lt;1,"",LEFT(RIGHT(VLOOKUP(AA28,suvaha!$D$8:$H$158,5,FALSE),1),1)))</f>
        <v>5</v>
      </c>
      <c r="CG34" s="287"/>
      <c r="CH34" s="878"/>
      <c r="CI34" s="220"/>
    </row>
    <row r="35" spans="1:87" ht="3" customHeight="1">
      <c r="B35" s="900"/>
      <c r="C35" s="900"/>
      <c r="D35" s="878"/>
      <c r="E35" s="877"/>
      <c r="F35" s="877"/>
      <c r="G35" s="862"/>
      <c r="H35" s="864"/>
      <c r="I35" s="864"/>
      <c r="J35" s="864"/>
      <c r="K35" s="864"/>
      <c r="L35" s="864"/>
      <c r="M35" s="864"/>
      <c r="N35" s="864"/>
      <c r="O35" s="864"/>
      <c r="P35" s="864"/>
      <c r="Q35" s="864"/>
      <c r="R35" s="864"/>
      <c r="S35" s="864"/>
      <c r="T35" s="864"/>
      <c r="U35" s="864"/>
      <c r="V35" s="864"/>
      <c r="W35" s="864"/>
      <c r="X35" s="864"/>
      <c r="Y35" s="864"/>
      <c r="Z35" s="864"/>
      <c r="AA35" s="866"/>
      <c r="AB35" s="866"/>
      <c r="AC35" s="866"/>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875"/>
      <c r="BB35" s="875"/>
      <c r="BC35" s="875"/>
      <c r="BD35" s="875"/>
      <c r="BE35" s="875"/>
      <c r="BF35" s="875"/>
      <c r="BG35" s="875"/>
      <c r="BH35" s="875"/>
      <c r="BI35" s="875"/>
      <c r="BJ35" s="875"/>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286"/>
      <c r="CH35" s="878"/>
      <c r="CI35" s="220"/>
    </row>
    <row r="36" spans="1:87" s="250" customFormat="1" ht="3" customHeight="1">
      <c r="A36" s="220"/>
      <c r="B36" s="900"/>
      <c r="C36" s="900"/>
      <c r="D36" s="878"/>
      <c r="E36" s="877" t="s">
        <v>1544</v>
      </c>
      <c r="F36" s="877"/>
      <c r="G36" s="862"/>
      <c r="H36" s="938" t="str">
        <f>Index!C111</f>
        <v>Ostatné pohľadávky v rámci podielovej účasti okrem pohľadávok voči prepojeným účtovným jednotkám (351A) - /391A/</v>
      </c>
      <c r="I36" s="938"/>
      <c r="J36" s="938"/>
      <c r="K36" s="938"/>
      <c r="L36" s="938"/>
      <c r="M36" s="938"/>
      <c r="N36" s="938"/>
      <c r="O36" s="938"/>
      <c r="P36" s="938"/>
      <c r="Q36" s="938"/>
      <c r="R36" s="938"/>
      <c r="S36" s="938"/>
      <c r="T36" s="938"/>
      <c r="U36" s="938"/>
      <c r="V36" s="938"/>
      <c r="W36" s="938"/>
      <c r="X36" s="938"/>
      <c r="Y36" s="938"/>
      <c r="Z36" s="938"/>
      <c r="AA36" s="866" t="s">
        <v>1620</v>
      </c>
      <c r="AB36" s="866"/>
      <c r="AC36" s="866"/>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67"/>
      <c r="BB36" s="867"/>
      <c r="BC36" s="867"/>
      <c r="BD36" s="867"/>
      <c r="BE36" s="867"/>
      <c r="BF36" s="867"/>
      <c r="BG36" s="867"/>
      <c r="BH36" s="867"/>
      <c r="BI36" s="867"/>
      <c r="BJ36" s="867"/>
      <c r="BK36" s="867"/>
      <c r="BL36" s="867"/>
      <c r="BM36" s="867"/>
      <c r="BN36" s="867"/>
      <c r="BO36" s="867"/>
      <c r="BP36" s="867"/>
      <c r="BQ36" s="867"/>
      <c r="BR36" s="304"/>
      <c r="BS36" s="304"/>
      <c r="BT36" s="304"/>
      <c r="BU36" s="304"/>
      <c r="BV36" s="304"/>
      <c r="BW36" s="446"/>
      <c r="BX36" s="304"/>
      <c r="BY36" s="304"/>
      <c r="BZ36" s="304"/>
      <c r="CA36" s="304"/>
      <c r="CB36" s="304"/>
      <c r="CC36" s="304"/>
      <c r="CD36" s="304"/>
      <c r="CE36" s="304"/>
      <c r="CF36" s="304"/>
      <c r="CG36" s="284"/>
      <c r="CH36" s="878"/>
      <c r="CI36" s="288"/>
    </row>
    <row r="37" spans="1:87" s="250" customFormat="1" ht="3" customHeight="1">
      <c r="A37" s="220"/>
      <c r="B37" s="900"/>
      <c r="C37" s="900"/>
      <c r="D37" s="878"/>
      <c r="E37" s="877"/>
      <c r="F37" s="877"/>
      <c r="G37" s="862"/>
      <c r="H37" s="938"/>
      <c r="I37" s="938"/>
      <c r="J37" s="938"/>
      <c r="K37" s="938"/>
      <c r="L37" s="938"/>
      <c r="M37" s="938"/>
      <c r="N37" s="938"/>
      <c r="O37" s="938"/>
      <c r="P37" s="938"/>
      <c r="Q37" s="938"/>
      <c r="R37" s="938"/>
      <c r="S37" s="938"/>
      <c r="T37" s="938"/>
      <c r="U37" s="938"/>
      <c r="V37" s="938"/>
      <c r="W37" s="938"/>
      <c r="X37" s="938"/>
      <c r="Y37" s="938"/>
      <c r="Z37" s="938"/>
      <c r="AA37" s="866"/>
      <c r="AB37" s="866"/>
      <c r="AC37" s="866"/>
      <c r="AD37" s="826"/>
      <c r="AE37" s="820"/>
      <c r="AF37" s="820"/>
      <c r="AG37" s="820"/>
      <c r="AH37" s="435"/>
      <c r="AI37" s="821"/>
      <c r="AJ37" s="821"/>
      <c r="AK37" s="821"/>
      <c r="AL37" s="821"/>
      <c r="AM37" s="821"/>
      <c r="AN37" s="818"/>
      <c r="AO37" s="822"/>
      <c r="AP37" s="822"/>
      <c r="AQ37" s="822"/>
      <c r="AR37" s="822"/>
      <c r="AS37" s="822"/>
      <c r="AT37" s="818"/>
      <c r="AU37" s="822"/>
      <c r="AV37" s="822"/>
      <c r="AW37" s="822"/>
      <c r="AX37" s="822"/>
      <c r="AY37" s="822"/>
      <c r="AZ37" s="827"/>
      <c r="BA37" s="826"/>
      <c r="BB37" s="820"/>
      <c r="BC37" s="820"/>
      <c r="BD37" s="820"/>
      <c r="BE37" s="435"/>
      <c r="BF37" s="821"/>
      <c r="BG37" s="821"/>
      <c r="BH37" s="821"/>
      <c r="BI37" s="821"/>
      <c r="BJ37" s="821"/>
      <c r="BK37" s="818"/>
      <c r="BL37" s="822"/>
      <c r="BM37" s="822"/>
      <c r="BN37" s="822"/>
      <c r="BO37" s="822"/>
      <c r="BP37" s="822"/>
      <c r="BQ37" s="819"/>
      <c r="BR37" s="822"/>
      <c r="BS37" s="822"/>
      <c r="BT37" s="822"/>
      <c r="BU37" s="822"/>
      <c r="BV37" s="822"/>
      <c r="BW37" s="441"/>
      <c r="BX37" s="442"/>
      <c r="BY37" s="442"/>
      <c r="BZ37" s="442"/>
      <c r="CA37" s="442"/>
      <c r="CB37" s="442"/>
      <c r="CC37" s="442"/>
      <c r="CD37" s="442"/>
      <c r="CE37" s="442"/>
      <c r="CF37" s="442"/>
      <c r="CG37" s="285"/>
      <c r="CH37" s="878"/>
      <c r="CI37" s="288"/>
    </row>
    <row r="38" spans="1:87" ht="15" customHeight="1">
      <c r="B38" s="879"/>
      <c r="C38" s="879"/>
      <c r="D38" s="879"/>
      <c r="E38" s="877"/>
      <c r="F38" s="877"/>
      <c r="G38" s="862"/>
      <c r="H38" s="938"/>
      <c r="I38" s="938"/>
      <c r="J38" s="938"/>
      <c r="K38" s="938"/>
      <c r="L38" s="938"/>
      <c r="M38" s="938"/>
      <c r="N38" s="938"/>
      <c r="O38" s="938"/>
      <c r="P38" s="938"/>
      <c r="Q38" s="938"/>
      <c r="R38" s="938"/>
      <c r="S38" s="938"/>
      <c r="T38" s="938"/>
      <c r="U38" s="938"/>
      <c r="V38" s="938"/>
      <c r="W38" s="938"/>
      <c r="X38" s="938"/>
      <c r="Y38" s="938"/>
      <c r="Z38" s="938"/>
      <c r="AA38" s="866"/>
      <c r="AB38" s="866"/>
      <c r="AC38" s="866"/>
      <c r="AD38" s="826"/>
      <c r="AE38" s="432" t="str">
        <f>IF(LEN(VLOOKUP(AA36,suvaha!$D$8:$H$158,2,FALSE))&lt;11,"",LEFT(RIGHT(VLOOKUP(AA36,suvaha!$D$8:$H$158,2,FALSE),11),1))</f>
        <v/>
      </c>
      <c r="AF38" s="255"/>
      <c r="AG38" s="432" t="str">
        <f>IF(LEN(VLOOKUP(AA36,suvaha!$D$8:$H$158,2,FALSE))&lt;10,"",LEFT(RIGHT(VLOOKUP(AA36,suvaha!$D$8:$H$158,2,FALSE),10),1))</f>
        <v/>
      </c>
      <c r="AH38" s="434"/>
      <c r="AI38" s="432" t="str">
        <f>IF(LEN(VLOOKUP(AA36,suvaha!$D$8:$H$158,2,FALSE))&lt;9,"",LEFT(RIGHT(VLOOKUP(AA36,suvaha!$D$8:$H$158,2,FALSE),9),1))</f>
        <v/>
      </c>
      <c r="AJ38" s="255"/>
      <c r="AK38" s="432" t="str">
        <f>IF(LEN(VLOOKUP(AA36,suvaha!$D$8:$H$158,2,FALSE))&lt;8,"",LEFT(RIGHT(VLOOKUP(AA36,suvaha!$D$8:$H$158,2,FALSE),8),1))</f>
        <v/>
      </c>
      <c r="AL38" s="434"/>
      <c r="AM38" s="432" t="str">
        <f>IF(LEN(VLOOKUP(AA36,suvaha!$D$8:$H$158,2,FALSE))&lt;7,"",LEFT(RIGHT(VLOOKUP(AA36,suvaha!$D$8:$H$158,2,FALSE),7),1))</f>
        <v/>
      </c>
      <c r="AN38" s="818"/>
      <c r="AO38" s="432" t="str">
        <f>IF(LEN(VLOOKUP(AA36,suvaha!$D$8:$H$158,2,FALSE))&lt;6,"",LEFT(RIGHT(VLOOKUP(AA36,suvaha!$D$8:$H$158,2,FALSE),6),1))</f>
        <v/>
      </c>
      <c r="AP38" s="434"/>
      <c r="AQ38" s="432" t="str">
        <f>IF(LEN(VLOOKUP(AA36,suvaha!$D$8:$H$158,2,FALSE))&lt;5,"",LEFT(RIGHT(VLOOKUP(AA36,suvaha!$D$8:$H$158,2,FALSE),5),1))</f>
        <v/>
      </c>
      <c r="AR38" s="434"/>
      <c r="AS38" s="432" t="str">
        <f>IF(LEN(VLOOKUP(AA36,suvaha!$D$8:$H$158,2,FALSE))&lt;4,"",LEFT(RIGHT(VLOOKUP(AA36,suvaha!$D$8:$H$158,2,FALSE),4),1))</f>
        <v/>
      </c>
      <c r="AT38" s="818"/>
      <c r="AU38" s="432" t="str">
        <f>IF(LEN(VLOOKUP(AA36,suvaha!$D$8:$H$158,2,FALSE))&lt;3,"",LEFT(RIGHT(VLOOKUP(AA36,suvaha!$D$8:$H$158,2,FALSE),3),1))</f>
        <v/>
      </c>
      <c r="AV38" s="434"/>
      <c r="AW38" s="432" t="str">
        <f>IF(LEN(VLOOKUP(AA36,suvaha!$D$8:$H$158,2,FALSE))&lt;2,"",LEFT(RIGHT(VLOOKUP(AA36,suvaha!$D$8:$H$158,2,FALSE),2),1))</f>
        <v/>
      </c>
      <c r="AX38" s="434"/>
      <c r="AY38" s="432" t="str">
        <f>IF(VLOOKUP(AA36,suvaha!$D$8:$H$85,2,FALSE)=0,"",IF(LEN(VLOOKUP(AA36,suvaha!$D$8:$H$158,2,FALSE))&lt;1,"",LEFT(RIGHT(VLOOKUP(AA36,suvaha!$D$8:$H$158,2,FALSE),1),1)))</f>
        <v/>
      </c>
      <c r="AZ38" s="827"/>
      <c r="BA38" s="826"/>
      <c r="BB38" s="432" t="str">
        <f>IF(LEN(VLOOKUP(AA36,suvaha!$D$8:$H$158,4,FALSE))&lt;11,"",LEFT(RIGHT(VLOOKUP(AA36,suvaha!$D$8:$H$158,4,FALSE),11),1))</f>
        <v/>
      </c>
      <c r="BC38" s="255"/>
      <c r="BD38" s="432" t="str">
        <f>IF(LEN(VLOOKUP(AA36,suvaha!$D$8:$H$158,4,FALSE))&lt;10,"",LEFT(RIGHT(VLOOKUP(AA36,suvaha!$D$8:$H$158,4,FALSE),10),1))</f>
        <v/>
      </c>
      <c r="BE38" s="434"/>
      <c r="BF38" s="432" t="str">
        <f>IF(LEN(VLOOKUP(AA36,suvaha!$D$8:$H$158,4,FALSE))&lt;9,"",LEFT(RIGHT(VLOOKUP(AA36,suvaha!$D$8:$H$158,4,FALSE),9),1))</f>
        <v/>
      </c>
      <c r="BG38" s="255"/>
      <c r="BH38" s="432" t="str">
        <f>IF(LEN(VLOOKUP(AA36,suvaha!$D$8:$H$158,4,FALSE))&lt;8,"",LEFT(RIGHT(VLOOKUP(AA36,suvaha!$D$8:$H$158,4,FALSE),8),1))</f>
        <v/>
      </c>
      <c r="BI38" s="434"/>
      <c r="BJ38" s="432" t="str">
        <f>IF(LEN(VLOOKUP(AA36,suvaha!$D$8:$H$158,4,FALSE))&lt;7,"",LEFT(RIGHT(VLOOKUP(AA36,suvaha!$D$8:$H$158,4,FALSE),7),1))</f>
        <v/>
      </c>
      <c r="BK38" s="818"/>
      <c r="BL38" s="432" t="str">
        <f>IF(LEN(VLOOKUP(AA36,suvaha!$D$8:$H$158,4,FALSE))&lt;6,"",LEFT(RIGHT(VLOOKUP(AA36,suvaha!$D$8:$H$158,4,FALSE),6),1))</f>
        <v/>
      </c>
      <c r="BM38" s="434"/>
      <c r="BN38" s="432" t="str">
        <f>IF(LEN(VLOOKUP(AA36,suvaha!$D$8:$H$158,4,FALSE))&lt;5,"",LEFT(RIGHT(VLOOKUP(AA36,suvaha!$D$8:$H$158,4,FALSE),5),1))</f>
        <v/>
      </c>
      <c r="BO38" s="434"/>
      <c r="BP38" s="432" t="str">
        <f>IF(LEN(VLOOKUP(AA36,suvaha!$D$8:$H$158,4,FALSE))&lt;4,"",LEFT(RIGHT(VLOOKUP(AA36,suvaha!$D$8:$H$158,4,FALSE),4),1))</f>
        <v/>
      </c>
      <c r="BQ38" s="819"/>
      <c r="BR38" s="432" t="str">
        <f>IF(LEN(VLOOKUP(AA36,suvaha!$D$8:$H$158,4,FALSE))&lt;3,"",LEFT(RIGHT(VLOOKUP(AA36,suvaha!$D$8:$H$158,4,FALSE),3),1))</f>
        <v/>
      </c>
      <c r="BS38" s="434"/>
      <c r="BT38" s="432" t="str">
        <f>IF(LEN(VLOOKUP(AA36,suvaha!$D$8:$H$158,4,FALSE))&lt;2,"",LEFT(RIGHT(VLOOKUP(AA36,suvaha!$D$8:$H$158,4,FALSE),2),1))</f>
        <v/>
      </c>
      <c r="BU38" s="434"/>
      <c r="BV38" s="432" t="str">
        <f>IF(VLOOKUP(AA36,suvaha!$D$8:$H$85,4,FALSE)=0,"",IF(LEN(VLOOKUP(AA36,suvaha!$D$8:$H$158,4,FALSE))&lt;1,"",LEFT(RIGHT(VLOOKUP(AA36,suvaha!$D$8:$H$158,4,FALSE),1),1)))</f>
        <v/>
      </c>
      <c r="BW38" s="441"/>
      <c r="BX38" s="442"/>
      <c r="BY38" s="442"/>
      <c r="BZ38" s="442"/>
      <c r="CA38" s="442"/>
      <c r="CB38" s="442"/>
      <c r="CC38" s="442"/>
      <c r="CD38" s="442"/>
      <c r="CE38" s="442"/>
      <c r="CF38" s="442"/>
      <c r="CG38" s="285"/>
      <c r="CH38" s="878"/>
      <c r="CI38" s="220"/>
    </row>
    <row r="39" spans="1:87" ht="3" customHeight="1">
      <c r="B39" s="879"/>
      <c r="C39" s="879"/>
      <c r="D39" s="879"/>
      <c r="E39" s="877"/>
      <c r="F39" s="877"/>
      <c r="G39" s="862"/>
      <c r="H39" s="938"/>
      <c r="I39" s="938"/>
      <c r="J39" s="938"/>
      <c r="K39" s="938"/>
      <c r="L39" s="938"/>
      <c r="M39" s="938"/>
      <c r="N39" s="938"/>
      <c r="O39" s="938"/>
      <c r="P39" s="938"/>
      <c r="Q39" s="938"/>
      <c r="R39" s="938"/>
      <c r="S39" s="938"/>
      <c r="T39" s="938"/>
      <c r="U39" s="938"/>
      <c r="V39" s="938"/>
      <c r="W39" s="938"/>
      <c r="X39" s="938"/>
      <c r="Y39" s="938"/>
      <c r="Z39" s="938"/>
      <c r="AA39" s="866"/>
      <c r="AB39" s="866"/>
      <c r="AC39" s="866"/>
      <c r="AD39" s="845"/>
      <c r="AE39" s="845"/>
      <c r="AF39" s="845"/>
      <c r="AG39" s="845"/>
      <c r="AH39" s="845"/>
      <c r="AI39" s="845"/>
      <c r="AJ39" s="845"/>
      <c r="AK39" s="845"/>
      <c r="AL39" s="845"/>
      <c r="AM39" s="845"/>
      <c r="AN39" s="845"/>
      <c r="AO39" s="845"/>
      <c r="AP39" s="845"/>
      <c r="AQ39" s="845"/>
      <c r="AR39" s="845"/>
      <c r="AS39" s="845"/>
      <c r="AT39" s="845"/>
      <c r="AU39" s="845"/>
      <c r="AV39" s="845"/>
      <c r="AW39" s="845"/>
      <c r="AX39" s="845"/>
      <c r="AY39" s="845"/>
      <c r="AZ39" s="845"/>
      <c r="BA39" s="846"/>
      <c r="BB39" s="846"/>
      <c r="BC39" s="846"/>
      <c r="BD39" s="846"/>
      <c r="BE39" s="846"/>
      <c r="BF39" s="846"/>
      <c r="BG39" s="846"/>
      <c r="BH39" s="846"/>
      <c r="BI39" s="846"/>
      <c r="BJ39" s="846"/>
      <c r="BK39" s="846"/>
      <c r="BL39" s="846"/>
      <c r="BM39" s="846"/>
      <c r="BN39" s="846"/>
      <c r="BO39" s="846"/>
      <c r="BP39" s="846"/>
      <c r="BQ39" s="846"/>
      <c r="BR39" s="310"/>
      <c r="BS39" s="310"/>
      <c r="BT39" s="310"/>
      <c r="BU39" s="310"/>
      <c r="BV39" s="310"/>
      <c r="BW39" s="443"/>
      <c r="BX39" s="310"/>
      <c r="BY39" s="310"/>
      <c r="BZ39" s="310"/>
      <c r="CA39" s="310"/>
      <c r="CB39" s="310"/>
      <c r="CC39" s="310"/>
      <c r="CD39" s="310"/>
      <c r="CE39" s="310"/>
      <c r="CF39" s="310"/>
      <c r="CG39" s="286"/>
      <c r="CH39" s="878"/>
      <c r="CI39" s="220"/>
    </row>
    <row r="40" spans="1:87" ht="3" customHeight="1">
      <c r="B40" s="879"/>
      <c r="C40" s="879"/>
      <c r="D40" s="879"/>
      <c r="E40" s="877"/>
      <c r="F40" s="877"/>
      <c r="G40" s="862"/>
      <c r="H40" s="938"/>
      <c r="I40" s="938"/>
      <c r="J40" s="938"/>
      <c r="K40" s="938"/>
      <c r="L40" s="938"/>
      <c r="M40" s="938"/>
      <c r="N40" s="938"/>
      <c r="O40" s="938"/>
      <c r="P40" s="938"/>
      <c r="Q40" s="938"/>
      <c r="R40" s="938"/>
      <c r="S40" s="938"/>
      <c r="T40" s="938"/>
      <c r="U40" s="938"/>
      <c r="V40" s="938"/>
      <c r="W40" s="938"/>
      <c r="X40" s="938"/>
      <c r="Y40" s="938"/>
      <c r="Z40" s="938"/>
      <c r="AA40" s="866"/>
      <c r="AB40" s="866"/>
      <c r="AC40" s="866"/>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875"/>
      <c r="BB40" s="875"/>
      <c r="BC40" s="875"/>
      <c r="BD40" s="875"/>
      <c r="BE40" s="875"/>
      <c r="BF40" s="875"/>
      <c r="BG40" s="875"/>
      <c r="BH40" s="875"/>
      <c r="BI40" s="875"/>
      <c r="BJ40" s="875"/>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284"/>
      <c r="CH40" s="878"/>
      <c r="CI40" s="220"/>
    </row>
    <row r="41" spans="1:87" ht="3" customHeight="1">
      <c r="B41" s="879"/>
      <c r="C41" s="879"/>
      <c r="D41" s="879"/>
      <c r="E41" s="877"/>
      <c r="F41" s="877"/>
      <c r="G41" s="862"/>
      <c r="H41" s="938"/>
      <c r="I41" s="938"/>
      <c r="J41" s="938"/>
      <c r="K41" s="938"/>
      <c r="L41" s="938"/>
      <c r="M41" s="938"/>
      <c r="N41" s="938"/>
      <c r="O41" s="938"/>
      <c r="P41" s="938"/>
      <c r="Q41" s="938"/>
      <c r="R41" s="938"/>
      <c r="S41" s="938"/>
      <c r="T41" s="938"/>
      <c r="U41" s="938"/>
      <c r="V41" s="938"/>
      <c r="W41" s="938"/>
      <c r="X41" s="938"/>
      <c r="Y41" s="938"/>
      <c r="Z41" s="938"/>
      <c r="AA41" s="866"/>
      <c r="AB41" s="866"/>
      <c r="AC41" s="866"/>
      <c r="AD41" s="826"/>
      <c r="AE41" s="820"/>
      <c r="AF41" s="820"/>
      <c r="AG41" s="820"/>
      <c r="AH41" s="435"/>
      <c r="AI41" s="821"/>
      <c r="AJ41" s="821"/>
      <c r="AK41" s="821"/>
      <c r="AL41" s="821"/>
      <c r="AM41" s="821"/>
      <c r="AN41" s="818" t="s">
        <v>965</v>
      </c>
      <c r="AO41" s="822"/>
      <c r="AP41" s="822"/>
      <c r="AQ41" s="822"/>
      <c r="AR41" s="822"/>
      <c r="AS41" s="822"/>
      <c r="AT41" s="818" t="s">
        <v>965</v>
      </c>
      <c r="AU41" s="822"/>
      <c r="AV41" s="822"/>
      <c r="AW41" s="822"/>
      <c r="AX41" s="822"/>
      <c r="AY41" s="822"/>
      <c r="AZ41" s="827"/>
      <c r="BA41" s="875"/>
      <c r="BB41" s="875"/>
      <c r="BC41" s="875"/>
      <c r="BD41" s="875"/>
      <c r="BE41" s="875"/>
      <c r="BF41" s="875"/>
      <c r="BG41" s="875"/>
      <c r="BH41" s="875"/>
      <c r="BI41" s="875"/>
      <c r="BJ41" s="875"/>
      <c r="BK41" s="442"/>
      <c r="BL41" s="820"/>
      <c r="BM41" s="820"/>
      <c r="BN41" s="820"/>
      <c r="BO41" s="442"/>
      <c r="BP41" s="444"/>
      <c r="BQ41" s="444"/>
      <c r="BR41" s="444"/>
      <c r="BS41" s="444"/>
      <c r="BT41" s="444"/>
      <c r="BU41" s="442"/>
      <c r="BV41" s="444"/>
      <c r="BW41" s="444"/>
      <c r="BX41" s="444"/>
      <c r="BY41" s="444"/>
      <c r="BZ41" s="444"/>
      <c r="CA41" s="445"/>
      <c r="CB41" s="444"/>
      <c r="CC41" s="444"/>
      <c r="CD41" s="444"/>
      <c r="CE41" s="444"/>
      <c r="CF41" s="444"/>
      <c r="CG41" s="287"/>
      <c r="CH41" s="878"/>
      <c r="CI41" s="220"/>
    </row>
    <row r="42" spans="1:87" ht="15" customHeight="1">
      <c r="B42" s="879"/>
      <c r="C42" s="879"/>
      <c r="D42" s="879"/>
      <c r="E42" s="877"/>
      <c r="F42" s="877"/>
      <c r="G42" s="862"/>
      <c r="H42" s="938"/>
      <c r="I42" s="938"/>
      <c r="J42" s="938"/>
      <c r="K42" s="938"/>
      <c r="L42" s="938"/>
      <c r="M42" s="938"/>
      <c r="N42" s="938"/>
      <c r="O42" s="938"/>
      <c r="P42" s="938"/>
      <c r="Q42" s="938"/>
      <c r="R42" s="938"/>
      <c r="S42" s="938"/>
      <c r="T42" s="938"/>
      <c r="U42" s="938"/>
      <c r="V42" s="938"/>
      <c r="W42" s="938"/>
      <c r="X42" s="938"/>
      <c r="Y42" s="938"/>
      <c r="Z42" s="938"/>
      <c r="AA42" s="866"/>
      <c r="AB42" s="866"/>
      <c r="AC42" s="866"/>
      <c r="AD42" s="826"/>
      <c r="AE42" s="432" t="str">
        <f>IF(LEN(VLOOKUP(AA36,suvaha!$D$8:$H$158,3,FALSE))&lt;11,"",LEFT(RIGHT(VLOOKUP(AA36,suvaha!$D$8:$H$158,3,FALSE),11),1))</f>
        <v/>
      </c>
      <c r="AF42" s="255" t="s">
        <v>965</v>
      </c>
      <c r="AG42" s="432" t="str">
        <f>IF(LEN(VLOOKUP(AA36,suvaha!$D$8:$H$158,3,FALSE))&lt;10,"",LEFT(RIGHT(VLOOKUP(AA36,suvaha!$D$8:$H$158,3,FALSE),10),1))</f>
        <v/>
      </c>
      <c r="AH42" s="434" t="s">
        <v>965</v>
      </c>
      <c r="AI42" s="432" t="str">
        <f>IF(LEN(VLOOKUP(AA36,suvaha!$D$8:$H$158,3,FALSE))&lt;9,"",LEFT(RIGHT(VLOOKUP(AA36,suvaha!$D$8:$H$158,3,FALSE),9),1))</f>
        <v/>
      </c>
      <c r="AJ42" s="255" t="s">
        <v>965</v>
      </c>
      <c r="AK42" s="432" t="str">
        <f>IF(LEN(VLOOKUP(AA36,suvaha!$D$8:$H$158,3,FALSE))&lt;8,"",LEFT(RIGHT(VLOOKUP(AA36,suvaha!$D$8:$H$158,3,FALSE),8),1))</f>
        <v/>
      </c>
      <c r="AL42" s="434" t="s">
        <v>965</v>
      </c>
      <c r="AM42" s="432" t="str">
        <f>IF(LEN(VLOOKUP(AA36,suvaha!$D$8:$H$158,3,FALSE))&lt;7,"",LEFT(RIGHT(VLOOKUP(AA36,suvaha!$D$8:$H$158,3,FALSE),7),1))</f>
        <v/>
      </c>
      <c r="AN42" s="818"/>
      <c r="AO42" s="432" t="str">
        <f>IF(LEN(VLOOKUP(AA36,suvaha!$D$8:$H$158,3,FALSE))&lt;6,"",LEFT(RIGHT(VLOOKUP(AA36,suvaha!$D$8:$H$158,3,FALSE),6),1))</f>
        <v/>
      </c>
      <c r="AP42" s="434" t="s">
        <v>965</v>
      </c>
      <c r="AQ42" s="432" t="str">
        <f>IF(LEN(VLOOKUP(AA36,suvaha!$D$8:$H$158,3,FALSE))&lt;5,"",LEFT(RIGHT(VLOOKUP(AA36,suvaha!$D$8:$H$158,3,FALSE),5),1))</f>
        <v/>
      </c>
      <c r="AR42" s="434" t="s">
        <v>965</v>
      </c>
      <c r="AS42" s="432" t="str">
        <f>IF(LEN(VLOOKUP(AA36,suvaha!$D$8:$H$158,3,FALSE))&lt;4,"",LEFT(RIGHT(VLOOKUP(AA36,suvaha!$D$8:$H$158,3,FALSE),4),1))</f>
        <v/>
      </c>
      <c r="AT42" s="818"/>
      <c r="AU42" s="432" t="str">
        <f>IF(LEN(VLOOKUP(AA36,suvaha!$D$8:$H$158,3,FALSE))&lt;3,"",LEFT(RIGHT(VLOOKUP(AA36,suvaha!$D$8:$H$158,3,FALSE),3),1))</f>
        <v/>
      </c>
      <c r="AV42" s="434" t="s">
        <v>965</v>
      </c>
      <c r="AW42" s="432" t="str">
        <f>IF(LEN(VLOOKUP(AA36,suvaha!$D$8:$H$158,3,FALSE))&lt;2,"",LEFT(RIGHT(VLOOKUP(AA36,suvaha!$D$8:$H$158,3,FALSE),2),1))</f>
        <v/>
      </c>
      <c r="AX42" s="434" t="s">
        <v>965</v>
      </c>
      <c r="AY42" s="432" t="str">
        <f>IF(VLOOKUP(AA36,suvaha!$D$8:$H$85,3,FALSE)=0,"",IF(LEN(VLOOKUP(AA36,suvaha!$D$8:$H$158,3,FALSE))&lt;1,"",LEFT(RIGHT(VLOOKUP(AA36,suvaha!$D$8:$H$158,3,FALSE),1),1)))</f>
        <v/>
      </c>
      <c r="AZ42" s="827"/>
      <c r="BA42" s="875"/>
      <c r="BB42" s="875"/>
      <c r="BC42" s="875"/>
      <c r="BD42" s="875"/>
      <c r="BE42" s="875"/>
      <c r="BF42" s="875"/>
      <c r="BG42" s="875"/>
      <c r="BH42" s="875"/>
      <c r="BI42" s="875"/>
      <c r="BJ42" s="875"/>
      <c r="BK42" s="442"/>
      <c r="BL42" s="432" t="str">
        <f>IF(LEN(VLOOKUP(AA36,suvaha!$D$8:$H$158,5,FALSE))&lt;11,"",LEFT(RIGHT(VLOOKUP(AA36,suvaha!$D$8:$H$158,5,FALSE),11),1))</f>
        <v/>
      </c>
      <c r="BM42" s="255" t="s">
        <v>965</v>
      </c>
      <c r="BN42" s="432" t="str">
        <f>IF(LEN(VLOOKUP(AA36,suvaha!$D$8:$H$158,5,FALSE))&lt;10,"",LEFT(RIGHT(VLOOKUP(AA36,suvaha!$D$8:$H$158,5,FALSE),10),1))</f>
        <v/>
      </c>
      <c r="BO42" s="442" t="s">
        <v>965</v>
      </c>
      <c r="BP42" s="432" t="str">
        <f>IF(LEN(VLOOKUP(AA36,suvaha!$D$8:$H$158,5,FALSE))&lt;9,"",LEFT(RIGHT(VLOOKUP(AA36,suvaha!$D$8:$H$158,5,FALSE),9),1))</f>
        <v/>
      </c>
      <c r="BQ42" s="434" t="s">
        <v>965</v>
      </c>
      <c r="BR42" s="432" t="str">
        <f>IF(LEN(VLOOKUP(AA36,suvaha!$D$8:$H$158,5,FALSE))&lt;8,"",LEFT(RIGHT(VLOOKUP(AA36,suvaha!$D$8:$H$158,5,FALSE),8),1))</f>
        <v/>
      </c>
      <c r="BS42" s="434" t="s">
        <v>965</v>
      </c>
      <c r="BT42" s="432" t="str">
        <f>IF(LEN(VLOOKUP(AA36,suvaha!$D$8:$H$158,5,FALSE))&lt;7,"",LEFT(RIGHT(VLOOKUP(AA36,suvaha!$D$8:$H$158,5,FALSE),7),1))</f>
        <v/>
      </c>
      <c r="BU42" s="442" t="s">
        <v>965</v>
      </c>
      <c r="BV42" s="432" t="str">
        <f>IF(LEN(VLOOKUP(AA36,suvaha!$D$8:$H$158,5,FALSE))&lt;6,"",LEFT(RIGHT(VLOOKUP(AA36,suvaha!$D$8:$H$158,5,FALSE),6),1))</f>
        <v/>
      </c>
      <c r="BW42" s="434" t="s">
        <v>965</v>
      </c>
      <c r="BX42" s="432" t="str">
        <f>IF(LEN(VLOOKUP(AA36,suvaha!$D$8:$H$158,5,FALSE))&lt;5,"",LEFT(RIGHT(VLOOKUP(AA36,suvaha!$D$8:$H$158,5,FALSE),5),1))</f>
        <v/>
      </c>
      <c r="BY42" s="434" t="s">
        <v>965</v>
      </c>
      <c r="BZ42" s="432" t="str">
        <f>IF(LEN(VLOOKUP(AA36,suvaha!$D$8:$H$158,5,FALSE))&lt;4,"",LEFT(RIGHT(VLOOKUP(AA36,suvaha!$D$8:$H$158,5,FALSE),4),1))</f>
        <v/>
      </c>
      <c r="CA42" s="445" t="s">
        <v>965</v>
      </c>
      <c r="CB42" s="432" t="str">
        <f>IF(LEN(VLOOKUP(AA36,suvaha!$D$8:$H$158,5,FALSE))&lt;3,"",LEFT(RIGHT(VLOOKUP(AA36,suvaha!$D$8:$H$158,5,FALSE),3),1))</f>
        <v/>
      </c>
      <c r="CC42" s="434" t="s">
        <v>965</v>
      </c>
      <c r="CD42" s="432" t="str">
        <f>IF(LEN(VLOOKUP(AA36,suvaha!$D$8:$H$158,5,FALSE))&lt;2,"",LEFT(RIGHT(VLOOKUP(AA36,suvaha!$D$8:$H$158,5,FALSE),2),1))</f>
        <v/>
      </c>
      <c r="CE42" s="434" t="s">
        <v>1540</v>
      </c>
      <c r="CF42" s="432" t="str">
        <f>IF(VLOOKUP(AA36,suvaha!$D$8:$H$85,5,FALSE)=0,"",IF(LEN(VLOOKUP(AA36,suvaha!$D$8:$H$158,5,FALSE))&lt;1,"",LEFT(RIGHT(VLOOKUP(AA36,suvaha!$D$8:$H$158,5,FALSE),1),1)))</f>
        <v/>
      </c>
      <c r="CG42" s="287"/>
      <c r="CH42" s="878"/>
      <c r="CI42" s="220"/>
    </row>
    <row r="43" spans="1:87" ht="3" customHeight="1">
      <c r="B43" s="879"/>
      <c r="C43" s="879"/>
      <c r="D43" s="879"/>
      <c r="E43" s="877"/>
      <c r="F43" s="877"/>
      <c r="G43" s="862"/>
      <c r="H43" s="938"/>
      <c r="I43" s="938"/>
      <c r="J43" s="938"/>
      <c r="K43" s="938"/>
      <c r="L43" s="938"/>
      <c r="M43" s="938"/>
      <c r="N43" s="938"/>
      <c r="O43" s="938"/>
      <c r="P43" s="938"/>
      <c r="Q43" s="938"/>
      <c r="R43" s="938"/>
      <c r="S43" s="938"/>
      <c r="T43" s="938"/>
      <c r="U43" s="938"/>
      <c r="V43" s="938"/>
      <c r="W43" s="938"/>
      <c r="X43" s="938"/>
      <c r="Y43" s="938"/>
      <c r="Z43" s="938"/>
      <c r="AA43" s="866"/>
      <c r="AB43" s="866"/>
      <c r="AC43" s="866"/>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875"/>
      <c r="BB43" s="875"/>
      <c r="BC43" s="875"/>
      <c r="BD43" s="875"/>
      <c r="BE43" s="875"/>
      <c r="BF43" s="875"/>
      <c r="BG43" s="875"/>
      <c r="BH43" s="875"/>
      <c r="BI43" s="875"/>
      <c r="BJ43" s="875"/>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286"/>
      <c r="CH43" s="878"/>
      <c r="CI43" s="220"/>
    </row>
    <row r="44" spans="1:87" s="250" customFormat="1" ht="3" customHeight="1">
      <c r="A44" s="220"/>
      <c r="B44" s="879"/>
      <c r="C44" s="879"/>
      <c r="D44" s="879"/>
      <c r="E44" s="877" t="s">
        <v>1545</v>
      </c>
      <c r="F44" s="877"/>
      <c r="G44" s="862"/>
      <c r="H44" s="864" t="str">
        <f>Index!C112</f>
        <v>Pohľadávky voči spoločníkom, členom a združeniu (354A, 355A, 358A, 35XA, 398A) - /391A/</v>
      </c>
      <c r="I44" s="864"/>
      <c r="J44" s="864"/>
      <c r="K44" s="864"/>
      <c r="L44" s="864"/>
      <c r="M44" s="864"/>
      <c r="N44" s="864"/>
      <c r="O44" s="864"/>
      <c r="P44" s="864"/>
      <c r="Q44" s="864"/>
      <c r="R44" s="864"/>
      <c r="S44" s="864"/>
      <c r="T44" s="864"/>
      <c r="U44" s="864"/>
      <c r="V44" s="864"/>
      <c r="W44" s="864"/>
      <c r="X44" s="864"/>
      <c r="Y44" s="864"/>
      <c r="Z44" s="864"/>
      <c r="AA44" s="866" t="s">
        <v>1621</v>
      </c>
      <c r="AB44" s="866"/>
      <c r="AC44" s="866"/>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67"/>
      <c r="BB44" s="867"/>
      <c r="BC44" s="867"/>
      <c r="BD44" s="867"/>
      <c r="BE44" s="867"/>
      <c r="BF44" s="867"/>
      <c r="BG44" s="867"/>
      <c r="BH44" s="867"/>
      <c r="BI44" s="867"/>
      <c r="BJ44" s="867"/>
      <c r="BK44" s="867"/>
      <c r="BL44" s="867"/>
      <c r="BM44" s="867"/>
      <c r="BN44" s="867"/>
      <c r="BO44" s="867"/>
      <c r="BP44" s="867"/>
      <c r="BQ44" s="867"/>
      <c r="BR44" s="304"/>
      <c r="BS44" s="304"/>
      <c r="BT44" s="304"/>
      <c r="BU44" s="304"/>
      <c r="BV44" s="304"/>
      <c r="BW44" s="446"/>
      <c r="BX44" s="304"/>
      <c r="BY44" s="304"/>
      <c r="BZ44" s="304"/>
      <c r="CA44" s="304"/>
      <c r="CB44" s="304"/>
      <c r="CC44" s="304"/>
      <c r="CD44" s="304"/>
      <c r="CE44" s="304"/>
      <c r="CF44" s="304"/>
      <c r="CG44" s="284"/>
      <c r="CH44" s="878"/>
      <c r="CI44" s="288"/>
    </row>
    <row r="45" spans="1:87" s="250" customFormat="1" ht="3" customHeight="1">
      <c r="A45" s="220"/>
      <c r="B45" s="879"/>
      <c r="C45" s="879"/>
      <c r="D45" s="879"/>
      <c r="E45" s="877"/>
      <c r="F45" s="877"/>
      <c r="G45" s="862"/>
      <c r="H45" s="864"/>
      <c r="I45" s="864"/>
      <c r="J45" s="864"/>
      <c r="K45" s="864"/>
      <c r="L45" s="864"/>
      <c r="M45" s="864"/>
      <c r="N45" s="864"/>
      <c r="O45" s="864"/>
      <c r="P45" s="864"/>
      <c r="Q45" s="864"/>
      <c r="R45" s="864"/>
      <c r="S45" s="864"/>
      <c r="T45" s="864"/>
      <c r="U45" s="864"/>
      <c r="V45" s="864"/>
      <c r="W45" s="864"/>
      <c r="X45" s="864"/>
      <c r="Y45" s="864"/>
      <c r="Z45" s="864"/>
      <c r="AA45" s="866"/>
      <c r="AB45" s="866"/>
      <c r="AC45" s="866"/>
      <c r="AD45" s="826"/>
      <c r="AE45" s="820"/>
      <c r="AF45" s="820"/>
      <c r="AG45" s="820"/>
      <c r="AH45" s="435"/>
      <c r="AI45" s="821"/>
      <c r="AJ45" s="821"/>
      <c r="AK45" s="821"/>
      <c r="AL45" s="821"/>
      <c r="AM45" s="821"/>
      <c r="AN45" s="818"/>
      <c r="AO45" s="822"/>
      <c r="AP45" s="822"/>
      <c r="AQ45" s="822"/>
      <c r="AR45" s="822"/>
      <c r="AS45" s="822"/>
      <c r="AT45" s="818"/>
      <c r="AU45" s="822"/>
      <c r="AV45" s="822"/>
      <c r="AW45" s="822"/>
      <c r="AX45" s="822"/>
      <c r="AY45" s="822"/>
      <c r="AZ45" s="827"/>
      <c r="BA45" s="826"/>
      <c r="BB45" s="820"/>
      <c r="BC45" s="820"/>
      <c r="BD45" s="820"/>
      <c r="BE45" s="435"/>
      <c r="BF45" s="821"/>
      <c r="BG45" s="821"/>
      <c r="BH45" s="821"/>
      <c r="BI45" s="821"/>
      <c r="BJ45" s="821"/>
      <c r="BK45" s="818"/>
      <c r="BL45" s="822"/>
      <c r="BM45" s="822"/>
      <c r="BN45" s="822"/>
      <c r="BO45" s="822"/>
      <c r="BP45" s="822"/>
      <c r="BQ45" s="819"/>
      <c r="BR45" s="822"/>
      <c r="BS45" s="822"/>
      <c r="BT45" s="822"/>
      <c r="BU45" s="822"/>
      <c r="BV45" s="822"/>
      <c r="BW45" s="441"/>
      <c r="BX45" s="442"/>
      <c r="BY45" s="442"/>
      <c r="BZ45" s="442"/>
      <c r="CA45" s="442"/>
      <c r="CB45" s="442"/>
      <c r="CC45" s="442"/>
      <c r="CD45" s="442"/>
      <c r="CE45" s="442"/>
      <c r="CF45" s="442"/>
      <c r="CG45" s="285"/>
      <c r="CH45" s="878"/>
      <c r="CI45" s="288"/>
    </row>
    <row r="46" spans="1:87" ht="15" customHeight="1">
      <c r="B46" s="879"/>
      <c r="C46" s="879"/>
      <c r="D46" s="879"/>
      <c r="E46" s="877"/>
      <c r="F46" s="877"/>
      <c r="G46" s="862"/>
      <c r="H46" s="864"/>
      <c r="I46" s="864"/>
      <c r="J46" s="864"/>
      <c r="K46" s="864"/>
      <c r="L46" s="864"/>
      <c r="M46" s="864"/>
      <c r="N46" s="864"/>
      <c r="O46" s="864"/>
      <c r="P46" s="864"/>
      <c r="Q46" s="864"/>
      <c r="R46" s="864"/>
      <c r="S46" s="864"/>
      <c r="T46" s="864"/>
      <c r="U46" s="864"/>
      <c r="V46" s="864"/>
      <c r="W46" s="864"/>
      <c r="X46" s="864"/>
      <c r="Y46" s="864"/>
      <c r="Z46" s="864"/>
      <c r="AA46" s="866"/>
      <c r="AB46" s="866"/>
      <c r="AC46" s="866"/>
      <c r="AD46" s="826"/>
      <c r="AE46" s="432" t="str">
        <f>IF(LEN(VLOOKUP(AA44,suvaha!$D$8:$H$158,2,FALSE))&lt;11,"",LEFT(RIGHT(VLOOKUP(AA44,suvaha!$D$8:$H$158,2,FALSE),11),1))</f>
        <v/>
      </c>
      <c r="AF46" s="255"/>
      <c r="AG46" s="432" t="str">
        <f>IF(LEN(VLOOKUP(AA44,suvaha!$D$8:$H$158,2,FALSE))&lt;10,"",LEFT(RIGHT(VLOOKUP(AA44,suvaha!$D$8:$H$158,2,FALSE),10),1))</f>
        <v/>
      </c>
      <c r="AH46" s="434"/>
      <c r="AI46" s="432" t="str">
        <f>IF(LEN(VLOOKUP(AA44,suvaha!$D$8:$H$158,2,FALSE))&lt;9,"",LEFT(RIGHT(VLOOKUP(AA44,suvaha!$D$8:$H$158,2,FALSE),9),1))</f>
        <v/>
      </c>
      <c r="AJ46" s="255"/>
      <c r="AK46" s="432" t="str">
        <f>IF(LEN(VLOOKUP(AA44,suvaha!$D$8:$H$158,2,FALSE))&lt;8,"",LEFT(RIGHT(VLOOKUP(AA44,suvaha!$D$8:$H$158,2,FALSE),8),1))</f>
        <v/>
      </c>
      <c r="AL46" s="434"/>
      <c r="AM46" s="432" t="str">
        <f>IF(LEN(VLOOKUP(AA44,suvaha!$D$8:$H$158,2,FALSE))&lt;7,"",LEFT(RIGHT(VLOOKUP(AA44,suvaha!$D$8:$H$158,2,FALSE),7),1))</f>
        <v/>
      </c>
      <c r="AN46" s="818"/>
      <c r="AO46" s="432" t="str">
        <f>IF(LEN(VLOOKUP(AA44,suvaha!$D$8:$H$158,2,FALSE))&lt;6,"",LEFT(RIGHT(VLOOKUP(AA44,suvaha!$D$8:$H$158,2,FALSE),6),1))</f>
        <v/>
      </c>
      <c r="AP46" s="434"/>
      <c r="AQ46" s="432" t="str">
        <f>IF(LEN(VLOOKUP(AA44,suvaha!$D$8:$H$158,2,FALSE))&lt;5,"",LEFT(RIGHT(VLOOKUP(AA44,suvaha!$D$8:$H$158,2,FALSE),5),1))</f>
        <v/>
      </c>
      <c r="AR46" s="434"/>
      <c r="AS46" s="432" t="str">
        <f>IF(LEN(VLOOKUP(AA44,suvaha!$D$8:$H$158,2,FALSE))&lt;4,"",LEFT(RIGHT(VLOOKUP(AA44,suvaha!$D$8:$H$158,2,FALSE),4),1))</f>
        <v/>
      </c>
      <c r="AT46" s="818"/>
      <c r="AU46" s="432" t="str">
        <f>IF(LEN(VLOOKUP(AA44,suvaha!$D$8:$H$158,2,FALSE))&lt;3,"",LEFT(RIGHT(VLOOKUP(AA44,suvaha!$D$8:$H$158,2,FALSE),3),1))</f>
        <v/>
      </c>
      <c r="AV46" s="434"/>
      <c r="AW46" s="432" t="str">
        <f>IF(LEN(VLOOKUP(AA44,suvaha!$D$8:$H$158,2,FALSE))&lt;2,"",LEFT(RIGHT(VLOOKUP(AA44,suvaha!$D$8:$H$158,2,FALSE),2),1))</f>
        <v/>
      </c>
      <c r="AX46" s="434"/>
      <c r="AY46" s="432" t="str">
        <f>IF(VLOOKUP(AA44,suvaha!$D$8:$H$85,2,FALSE)=0,"",IF(LEN(VLOOKUP(AA44,suvaha!$D$8:$H$158,2,FALSE))&lt;1,"",LEFT(RIGHT(VLOOKUP(AA44,suvaha!$D$8:$H$158,2,FALSE),1),1)))</f>
        <v/>
      </c>
      <c r="AZ46" s="827"/>
      <c r="BA46" s="826"/>
      <c r="BB46" s="432" t="str">
        <f>IF(LEN(VLOOKUP(AA44,suvaha!$D$8:$H$158,4,FALSE))&lt;11,"",LEFT(RIGHT(VLOOKUP(AA44,suvaha!$D$8:$H$158,4,FALSE),11),1))</f>
        <v/>
      </c>
      <c r="BC46" s="255"/>
      <c r="BD46" s="432" t="str">
        <f>IF(LEN(VLOOKUP(AA44,suvaha!$D$8:$H$158,4,FALSE))&lt;10,"",LEFT(RIGHT(VLOOKUP(AA44,suvaha!$D$8:$H$158,4,FALSE),10),1))</f>
        <v/>
      </c>
      <c r="BE46" s="434"/>
      <c r="BF46" s="432" t="str">
        <f>IF(LEN(VLOOKUP(AA44,suvaha!$D$8:$H$158,4,FALSE))&lt;9,"",LEFT(RIGHT(VLOOKUP(AA44,suvaha!$D$8:$H$158,4,FALSE),9),1))</f>
        <v/>
      </c>
      <c r="BG46" s="255"/>
      <c r="BH46" s="432" t="str">
        <f>IF(LEN(VLOOKUP(AA44,suvaha!$D$8:$H$158,4,FALSE))&lt;8,"",LEFT(RIGHT(VLOOKUP(AA44,suvaha!$D$8:$H$158,4,FALSE),8),1))</f>
        <v/>
      </c>
      <c r="BI46" s="434"/>
      <c r="BJ46" s="432" t="str">
        <f>IF(LEN(VLOOKUP(AA44,suvaha!$D$8:$H$158,4,FALSE))&lt;7,"",LEFT(RIGHT(VLOOKUP(AA44,suvaha!$D$8:$H$158,4,FALSE),7),1))</f>
        <v/>
      </c>
      <c r="BK46" s="818"/>
      <c r="BL46" s="432" t="str">
        <f>IF(LEN(VLOOKUP(AA44,suvaha!$D$8:$H$158,4,FALSE))&lt;6,"",LEFT(RIGHT(VLOOKUP(AA44,suvaha!$D$8:$H$158,4,FALSE),6),1))</f>
        <v/>
      </c>
      <c r="BM46" s="434"/>
      <c r="BN46" s="432" t="str">
        <f>IF(LEN(VLOOKUP(AA44,suvaha!$D$8:$H$158,4,FALSE))&lt;5,"",LEFT(RIGHT(VLOOKUP(AA44,suvaha!$D$8:$H$158,4,FALSE),5),1))</f>
        <v/>
      </c>
      <c r="BO46" s="434"/>
      <c r="BP46" s="432" t="str">
        <f>IF(LEN(VLOOKUP(AA44,suvaha!$D$8:$H$158,4,FALSE))&lt;4,"",LEFT(RIGHT(VLOOKUP(AA44,suvaha!$D$8:$H$158,4,FALSE),4),1))</f>
        <v/>
      </c>
      <c r="BQ46" s="819"/>
      <c r="BR46" s="432" t="str">
        <f>IF(LEN(VLOOKUP(AA44,suvaha!$D$8:$H$158,4,FALSE))&lt;3,"",LEFT(RIGHT(VLOOKUP(AA44,suvaha!$D$8:$H$158,4,FALSE),3),1))</f>
        <v/>
      </c>
      <c r="BS46" s="434"/>
      <c r="BT46" s="432" t="str">
        <f>IF(LEN(VLOOKUP(AA44,suvaha!$D$8:$H$158,4,FALSE))&lt;2,"",LEFT(RIGHT(VLOOKUP(AA44,suvaha!$D$8:$H$158,4,FALSE),2),1))</f>
        <v/>
      </c>
      <c r="BU46" s="434"/>
      <c r="BV46" s="432" t="str">
        <f>IF(VLOOKUP(AA44,suvaha!$D$8:$H$85,4,FALSE)=0,"",IF(LEN(VLOOKUP(AA44,suvaha!$D$8:$H$158,4,FALSE))&lt;1,"",LEFT(RIGHT(VLOOKUP(AA44,suvaha!$D$8:$H$158,4,FALSE),1),1)))</f>
        <v/>
      </c>
      <c r="BW46" s="441"/>
      <c r="BX46" s="442"/>
      <c r="BY46" s="442"/>
      <c r="BZ46" s="442"/>
      <c r="CA46" s="442"/>
      <c r="CB46" s="442"/>
      <c r="CC46" s="442"/>
      <c r="CD46" s="442"/>
      <c r="CE46" s="442"/>
      <c r="CF46" s="442"/>
      <c r="CG46" s="285"/>
      <c r="CH46" s="878"/>
      <c r="CI46" s="220"/>
    </row>
    <row r="47" spans="1:87" ht="3" customHeight="1">
      <c r="B47" s="879"/>
      <c r="C47" s="879"/>
      <c r="D47" s="879"/>
      <c r="E47" s="877"/>
      <c r="F47" s="877"/>
      <c r="G47" s="862"/>
      <c r="H47" s="864"/>
      <c r="I47" s="864"/>
      <c r="J47" s="864"/>
      <c r="K47" s="864"/>
      <c r="L47" s="864"/>
      <c r="M47" s="864"/>
      <c r="N47" s="864"/>
      <c r="O47" s="864"/>
      <c r="P47" s="864"/>
      <c r="Q47" s="864"/>
      <c r="R47" s="864"/>
      <c r="S47" s="864"/>
      <c r="T47" s="864"/>
      <c r="U47" s="864"/>
      <c r="V47" s="864"/>
      <c r="W47" s="864"/>
      <c r="X47" s="864"/>
      <c r="Y47" s="864"/>
      <c r="Z47" s="864"/>
      <c r="AA47" s="866"/>
      <c r="AB47" s="866"/>
      <c r="AC47" s="866"/>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6"/>
      <c r="BB47" s="846"/>
      <c r="BC47" s="846"/>
      <c r="BD47" s="846"/>
      <c r="BE47" s="846"/>
      <c r="BF47" s="846"/>
      <c r="BG47" s="846"/>
      <c r="BH47" s="846"/>
      <c r="BI47" s="846"/>
      <c r="BJ47" s="846"/>
      <c r="BK47" s="846"/>
      <c r="BL47" s="846"/>
      <c r="BM47" s="846"/>
      <c r="BN47" s="846"/>
      <c r="BO47" s="846"/>
      <c r="BP47" s="846"/>
      <c r="BQ47" s="846"/>
      <c r="BR47" s="310"/>
      <c r="BS47" s="310"/>
      <c r="BT47" s="310"/>
      <c r="BU47" s="310"/>
      <c r="BV47" s="310"/>
      <c r="BW47" s="443"/>
      <c r="BX47" s="310"/>
      <c r="BY47" s="310"/>
      <c r="BZ47" s="310"/>
      <c r="CA47" s="310"/>
      <c r="CB47" s="310"/>
      <c r="CC47" s="310"/>
      <c r="CD47" s="310"/>
      <c r="CE47" s="310"/>
      <c r="CF47" s="310"/>
      <c r="CG47" s="286"/>
      <c r="CH47" s="878"/>
      <c r="CI47" s="220"/>
    </row>
    <row r="48" spans="1:87" ht="3" customHeight="1">
      <c r="B48" s="879"/>
      <c r="C48" s="879"/>
      <c r="D48" s="879"/>
      <c r="E48" s="877"/>
      <c r="F48" s="877"/>
      <c r="G48" s="862"/>
      <c r="H48" s="864"/>
      <c r="I48" s="864"/>
      <c r="J48" s="864"/>
      <c r="K48" s="864"/>
      <c r="L48" s="864"/>
      <c r="M48" s="864"/>
      <c r="N48" s="864"/>
      <c r="O48" s="864"/>
      <c r="P48" s="864"/>
      <c r="Q48" s="864"/>
      <c r="R48" s="864"/>
      <c r="S48" s="864"/>
      <c r="T48" s="864"/>
      <c r="U48" s="864"/>
      <c r="V48" s="864"/>
      <c r="W48" s="864"/>
      <c r="X48" s="864"/>
      <c r="Y48" s="864"/>
      <c r="Z48" s="864"/>
      <c r="AA48" s="866"/>
      <c r="AB48" s="866"/>
      <c r="AC48" s="866"/>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875"/>
      <c r="BB48" s="875"/>
      <c r="BC48" s="875"/>
      <c r="BD48" s="875"/>
      <c r="BE48" s="875"/>
      <c r="BF48" s="875"/>
      <c r="BG48" s="875"/>
      <c r="BH48" s="875"/>
      <c r="BI48" s="875"/>
      <c r="BJ48" s="875"/>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284"/>
      <c r="CH48" s="878"/>
      <c r="CI48" s="220"/>
    </row>
    <row r="49" spans="1:87" ht="3" customHeight="1">
      <c r="B49" s="879"/>
      <c r="C49" s="879"/>
      <c r="D49" s="879"/>
      <c r="E49" s="877"/>
      <c r="F49" s="877"/>
      <c r="G49" s="862"/>
      <c r="H49" s="864"/>
      <c r="I49" s="864"/>
      <c r="J49" s="864"/>
      <c r="K49" s="864"/>
      <c r="L49" s="864"/>
      <c r="M49" s="864"/>
      <c r="N49" s="864"/>
      <c r="O49" s="864"/>
      <c r="P49" s="864"/>
      <c r="Q49" s="864"/>
      <c r="R49" s="864"/>
      <c r="S49" s="864"/>
      <c r="T49" s="864"/>
      <c r="U49" s="864"/>
      <c r="V49" s="864"/>
      <c r="W49" s="864"/>
      <c r="X49" s="864"/>
      <c r="Y49" s="864"/>
      <c r="Z49" s="864"/>
      <c r="AA49" s="866"/>
      <c r="AB49" s="866"/>
      <c r="AC49" s="866"/>
      <c r="AD49" s="826"/>
      <c r="AE49" s="820"/>
      <c r="AF49" s="820"/>
      <c r="AG49" s="820"/>
      <c r="AH49" s="435"/>
      <c r="AI49" s="821"/>
      <c r="AJ49" s="821"/>
      <c r="AK49" s="821"/>
      <c r="AL49" s="821"/>
      <c r="AM49" s="821"/>
      <c r="AN49" s="818" t="s">
        <v>965</v>
      </c>
      <c r="AO49" s="822"/>
      <c r="AP49" s="822"/>
      <c r="AQ49" s="822"/>
      <c r="AR49" s="822"/>
      <c r="AS49" s="822"/>
      <c r="AT49" s="818" t="s">
        <v>965</v>
      </c>
      <c r="AU49" s="822"/>
      <c r="AV49" s="822"/>
      <c r="AW49" s="822"/>
      <c r="AX49" s="822"/>
      <c r="AY49" s="822"/>
      <c r="AZ49" s="827"/>
      <c r="BA49" s="875"/>
      <c r="BB49" s="875"/>
      <c r="BC49" s="875"/>
      <c r="BD49" s="875"/>
      <c r="BE49" s="875"/>
      <c r="BF49" s="875"/>
      <c r="BG49" s="875"/>
      <c r="BH49" s="875"/>
      <c r="BI49" s="875"/>
      <c r="BJ49" s="875"/>
      <c r="BK49" s="442"/>
      <c r="BL49" s="820"/>
      <c r="BM49" s="820"/>
      <c r="BN49" s="820"/>
      <c r="BO49" s="442"/>
      <c r="BP49" s="444"/>
      <c r="BQ49" s="444"/>
      <c r="BR49" s="444"/>
      <c r="BS49" s="444"/>
      <c r="BT49" s="444"/>
      <c r="BU49" s="442"/>
      <c r="BV49" s="444"/>
      <c r="BW49" s="444"/>
      <c r="BX49" s="444"/>
      <c r="BY49" s="444"/>
      <c r="BZ49" s="444"/>
      <c r="CA49" s="445"/>
      <c r="CB49" s="444"/>
      <c r="CC49" s="444"/>
      <c r="CD49" s="444"/>
      <c r="CE49" s="444"/>
      <c r="CF49" s="444"/>
      <c r="CG49" s="287"/>
      <c r="CH49" s="878"/>
      <c r="CI49" s="220"/>
    </row>
    <row r="50" spans="1:87" ht="15" customHeight="1">
      <c r="B50" s="879"/>
      <c r="C50" s="879"/>
      <c r="D50" s="879"/>
      <c r="E50" s="877"/>
      <c r="F50" s="877"/>
      <c r="G50" s="862"/>
      <c r="H50" s="864"/>
      <c r="I50" s="864"/>
      <c r="J50" s="864"/>
      <c r="K50" s="864"/>
      <c r="L50" s="864"/>
      <c r="M50" s="864"/>
      <c r="N50" s="864"/>
      <c r="O50" s="864"/>
      <c r="P50" s="864"/>
      <c r="Q50" s="864"/>
      <c r="R50" s="864"/>
      <c r="S50" s="864"/>
      <c r="T50" s="864"/>
      <c r="U50" s="864"/>
      <c r="V50" s="864"/>
      <c r="W50" s="864"/>
      <c r="X50" s="864"/>
      <c r="Y50" s="864"/>
      <c r="Z50" s="864"/>
      <c r="AA50" s="866"/>
      <c r="AB50" s="866"/>
      <c r="AC50" s="866"/>
      <c r="AD50" s="826"/>
      <c r="AE50" s="432" t="str">
        <f>IF(LEN(VLOOKUP(AA44,suvaha!$D$8:$H$158,3,FALSE))&lt;11,"",LEFT(RIGHT(VLOOKUP(AA44,suvaha!$D$8:$H$158,3,FALSE),11),1))</f>
        <v/>
      </c>
      <c r="AF50" s="255" t="s">
        <v>965</v>
      </c>
      <c r="AG50" s="432" t="str">
        <f>IF(LEN(VLOOKUP(AA44,suvaha!$D$8:$H$158,3,FALSE))&lt;10,"",LEFT(RIGHT(VLOOKUP(AA44,suvaha!$D$8:$H$158,3,FALSE),10),1))</f>
        <v/>
      </c>
      <c r="AH50" s="434" t="s">
        <v>965</v>
      </c>
      <c r="AI50" s="432" t="str">
        <f>IF(LEN(VLOOKUP(AA44,suvaha!$D$8:$H$158,3,FALSE))&lt;9,"",LEFT(RIGHT(VLOOKUP(AA44,suvaha!$D$8:$H$158,3,FALSE),9),1))</f>
        <v/>
      </c>
      <c r="AJ50" s="255" t="s">
        <v>965</v>
      </c>
      <c r="AK50" s="432" t="str">
        <f>IF(LEN(VLOOKUP(AA44,suvaha!$D$8:$H$158,3,FALSE))&lt;8,"",LEFT(RIGHT(VLOOKUP(AA44,suvaha!$D$8:$H$158,3,FALSE),8),1))</f>
        <v/>
      </c>
      <c r="AL50" s="434" t="s">
        <v>965</v>
      </c>
      <c r="AM50" s="432" t="str">
        <f>IF(LEN(VLOOKUP(AA44,suvaha!$D$8:$H$158,3,FALSE))&lt;7,"",LEFT(RIGHT(VLOOKUP(AA44,suvaha!$D$8:$H$158,3,FALSE),7),1))</f>
        <v/>
      </c>
      <c r="AN50" s="818"/>
      <c r="AO50" s="432" t="str">
        <f>IF(LEN(VLOOKUP(AA44,suvaha!$D$8:$H$158,3,FALSE))&lt;6,"",LEFT(RIGHT(VLOOKUP(AA44,suvaha!$D$8:$H$158,3,FALSE),6),1))</f>
        <v/>
      </c>
      <c r="AP50" s="434" t="s">
        <v>965</v>
      </c>
      <c r="AQ50" s="432" t="str">
        <f>IF(LEN(VLOOKUP(AA44,suvaha!$D$8:$H$158,3,FALSE))&lt;5,"",LEFT(RIGHT(VLOOKUP(AA44,suvaha!$D$8:$H$158,3,FALSE),5),1))</f>
        <v/>
      </c>
      <c r="AR50" s="434" t="s">
        <v>965</v>
      </c>
      <c r="AS50" s="432" t="str">
        <f>IF(LEN(VLOOKUP(AA44,suvaha!$D$8:$H$158,3,FALSE))&lt;4,"",LEFT(RIGHT(VLOOKUP(AA44,suvaha!$D$8:$H$158,3,FALSE),4),1))</f>
        <v/>
      </c>
      <c r="AT50" s="818"/>
      <c r="AU50" s="432" t="str">
        <f>IF(LEN(VLOOKUP(AA44,suvaha!$D$8:$H$158,3,FALSE))&lt;3,"",LEFT(RIGHT(VLOOKUP(AA44,suvaha!$D$8:$H$158,3,FALSE),3),1))</f>
        <v/>
      </c>
      <c r="AV50" s="434" t="s">
        <v>965</v>
      </c>
      <c r="AW50" s="432" t="str">
        <f>IF(LEN(VLOOKUP(AA44,suvaha!$D$8:$H$158,3,FALSE))&lt;2,"",LEFT(RIGHT(VLOOKUP(AA44,suvaha!$D$8:$H$158,3,FALSE),2),1))</f>
        <v/>
      </c>
      <c r="AX50" s="434" t="s">
        <v>965</v>
      </c>
      <c r="AY50" s="432" t="str">
        <f>IF(VLOOKUP(AA44,suvaha!$D$8:$H$85,3,FALSE)=0,"",IF(LEN(VLOOKUP(AA44,suvaha!$D$8:$H$158,3,FALSE))&lt;1,"",LEFT(RIGHT(VLOOKUP(AA44,suvaha!$D$8:$H$158,3,FALSE),1),1)))</f>
        <v/>
      </c>
      <c r="AZ50" s="827"/>
      <c r="BA50" s="875"/>
      <c r="BB50" s="875"/>
      <c r="BC50" s="875"/>
      <c r="BD50" s="875"/>
      <c r="BE50" s="875"/>
      <c r="BF50" s="875"/>
      <c r="BG50" s="875"/>
      <c r="BH50" s="875"/>
      <c r="BI50" s="875"/>
      <c r="BJ50" s="875"/>
      <c r="BK50" s="442"/>
      <c r="BL50" s="432" t="str">
        <f>IF(LEN(VLOOKUP(AA44,suvaha!$D$8:$H$158,5,FALSE))&lt;11,"",LEFT(RIGHT(VLOOKUP(AA44,suvaha!$D$8:$H$158,5,FALSE),11),1))</f>
        <v/>
      </c>
      <c r="BM50" s="255" t="s">
        <v>965</v>
      </c>
      <c r="BN50" s="432" t="str">
        <f>IF(LEN(VLOOKUP(AA44,suvaha!$D$8:$H$158,5,FALSE))&lt;10,"",LEFT(RIGHT(VLOOKUP(AA44,suvaha!$D$8:$H$158,5,FALSE),10),1))</f>
        <v/>
      </c>
      <c r="BO50" s="442" t="s">
        <v>965</v>
      </c>
      <c r="BP50" s="432" t="str">
        <f>IF(LEN(VLOOKUP(AA44,suvaha!$D$8:$H$158,5,FALSE))&lt;9,"",LEFT(RIGHT(VLOOKUP(AA44,suvaha!$D$8:$H$158,5,FALSE),9),1))</f>
        <v/>
      </c>
      <c r="BQ50" s="434" t="s">
        <v>965</v>
      </c>
      <c r="BR50" s="432" t="str">
        <f>IF(LEN(VLOOKUP(AA44,suvaha!$D$8:$H$158,5,FALSE))&lt;8,"",LEFT(RIGHT(VLOOKUP(AA44,suvaha!$D$8:$H$158,5,FALSE),8),1))</f>
        <v/>
      </c>
      <c r="BS50" s="434" t="s">
        <v>965</v>
      </c>
      <c r="BT50" s="432" t="str">
        <f>IF(LEN(VLOOKUP(AA44,suvaha!$D$8:$H$158,5,FALSE))&lt;7,"",LEFT(RIGHT(VLOOKUP(AA44,suvaha!$D$8:$H$158,5,FALSE),7),1))</f>
        <v/>
      </c>
      <c r="BU50" s="442" t="s">
        <v>965</v>
      </c>
      <c r="BV50" s="432" t="str">
        <f>IF(LEN(VLOOKUP(AA44,suvaha!$D$8:$H$158,5,FALSE))&lt;6,"",LEFT(RIGHT(VLOOKUP(AA44,suvaha!$D$8:$H$158,5,FALSE),6),1))</f>
        <v/>
      </c>
      <c r="BW50" s="434" t="s">
        <v>965</v>
      </c>
      <c r="BX50" s="432" t="str">
        <f>IF(LEN(VLOOKUP(AA44,suvaha!$D$8:$H$158,5,FALSE))&lt;5,"",LEFT(RIGHT(VLOOKUP(AA44,suvaha!$D$8:$H$158,5,FALSE),5),1))</f>
        <v/>
      </c>
      <c r="BY50" s="434" t="s">
        <v>965</v>
      </c>
      <c r="BZ50" s="432" t="str">
        <f>IF(LEN(VLOOKUP(AA44,suvaha!$D$8:$H$158,5,FALSE))&lt;4,"",LEFT(RIGHT(VLOOKUP(AA44,suvaha!$D$8:$H$158,5,FALSE),4),1))</f>
        <v/>
      </c>
      <c r="CA50" s="445" t="s">
        <v>965</v>
      </c>
      <c r="CB50" s="432" t="str">
        <f>IF(LEN(VLOOKUP(AA44,suvaha!$D$8:$H$158,5,FALSE))&lt;3,"",LEFT(RIGHT(VLOOKUP(AA44,suvaha!$D$8:$H$158,5,FALSE),3),1))</f>
        <v/>
      </c>
      <c r="CC50" s="434" t="s">
        <v>965</v>
      </c>
      <c r="CD50" s="432" t="str">
        <f>IF(LEN(VLOOKUP(AA44,suvaha!$D$8:$H$158,5,FALSE))&lt;2,"",LEFT(RIGHT(VLOOKUP(AA44,suvaha!$D$8:$H$158,5,FALSE),2),1))</f>
        <v/>
      </c>
      <c r="CE50" s="434" t="s">
        <v>1540</v>
      </c>
      <c r="CF50" s="432" t="str">
        <f>IF(VLOOKUP(AA44,suvaha!$D$8:$H$85,5,FALSE)=0,"",IF(LEN(VLOOKUP(AA44,suvaha!$D$8:$H$158,5,FALSE))&lt;1,"",LEFT(RIGHT(VLOOKUP(AA44,suvaha!$D$8:$H$158,5,FALSE),1),1)))</f>
        <v/>
      </c>
      <c r="CG50" s="287"/>
      <c r="CH50" s="878"/>
      <c r="CI50" s="220"/>
    </row>
    <row r="51" spans="1:87" ht="3" customHeight="1">
      <c r="B51" s="879"/>
      <c r="C51" s="879"/>
      <c r="D51" s="879"/>
      <c r="E51" s="877"/>
      <c r="F51" s="877"/>
      <c r="G51" s="862"/>
      <c r="H51" s="864"/>
      <c r="I51" s="864"/>
      <c r="J51" s="864"/>
      <c r="K51" s="864"/>
      <c r="L51" s="864"/>
      <c r="M51" s="864"/>
      <c r="N51" s="864"/>
      <c r="O51" s="864"/>
      <c r="P51" s="864"/>
      <c r="Q51" s="864"/>
      <c r="R51" s="864"/>
      <c r="S51" s="864"/>
      <c r="T51" s="864"/>
      <c r="U51" s="864"/>
      <c r="V51" s="864"/>
      <c r="W51" s="864"/>
      <c r="X51" s="864"/>
      <c r="Y51" s="864"/>
      <c r="Z51" s="864"/>
      <c r="AA51" s="866"/>
      <c r="AB51" s="866"/>
      <c r="AC51" s="866"/>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875"/>
      <c r="BB51" s="875"/>
      <c r="BC51" s="875"/>
      <c r="BD51" s="875"/>
      <c r="BE51" s="875"/>
      <c r="BF51" s="875"/>
      <c r="BG51" s="875"/>
      <c r="BH51" s="875"/>
      <c r="BI51" s="875"/>
      <c r="BJ51" s="875"/>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286"/>
      <c r="CH51" s="878"/>
      <c r="CI51" s="220"/>
    </row>
    <row r="52" spans="1:87" s="250" customFormat="1" ht="3" customHeight="1">
      <c r="A52" s="220"/>
      <c r="B52" s="879"/>
      <c r="C52" s="879"/>
      <c r="D52" s="879"/>
      <c r="E52" s="877" t="s">
        <v>1546</v>
      </c>
      <c r="F52" s="877"/>
      <c r="G52" s="862"/>
      <c r="H52" s="864" t="str">
        <f>Index!C113</f>
        <v>Sociálne poistenie (336) - /391A/</v>
      </c>
      <c r="I52" s="864"/>
      <c r="J52" s="864"/>
      <c r="K52" s="864"/>
      <c r="L52" s="864"/>
      <c r="M52" s="864"/>
      <c r="N52" s="864"/>
      <c r="O52" s="864"/>
      <c r="P52" s="864"/>
      <c r="Q52" s="864"/>
      <c r="R52" s="864"/>
      <c r="S52" s="864"/>
      <c r="T52" s="864"/>
      <c r="U52" s="864"/>
      <c r="V52" s="864"/>
      <c r="W52" s="864"/>
      <c r="X52" s="864"/>
      <c r="Y52" s="864"/>
      <c r="Z52" s="864"/>
      <c r="AA52" s="866" t="s">
        <v>1622</v>
      </c>
      <c r="AB52" s="866"/>
      <c r="AC52" s="866"/>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67"/>
      <c r="BB52" s="867"/>
      <c r="BC52" s="867"/>
      <c r="BD52" s="867"/>
      <c r="BE52" s="867"/>
      <c r="BF52" s="867"/>
      <c r="BG52" s="867"/>
      <c r="BH52" s="867"/>
      <c r="BI52" s="867"/>
      <c r="BJ52" s="867"/>
      <c r="BK52" s="867"/>
      <c r="BL52" s="867"/>
      <c r="BM52" s="867"/>
      <c r="BN52" s="867"/>
      <c r="BO52" s="867"/>
      <c r="BP52" s="867"/>
      <c r="BQ52" s="867"/>
      <c r="BR52" s="304"/>
      <c r="BS52" s="304"/>
      <c r="BT52" s="304"/>
      <c r="BU52" s="304"/>
      <c r="BV52" s="304"/>
      <c r="BW52" s="446"/>
      <c r="BX52" s="304"/>
      <c r="BY52" s="304"/>
      <c r="BZ52" s="304"/>
      <c r="CA52" s="304"/>
      <c r="CB52" s="304"/>
      <c r="CC52" s="304"/>
      <c r="CD52" s="304"/>
      <c r="CE52" s="304"/>
      <c r="CF52" s="304"/>
      <c r="CG52" s="284"/>
      <c r="CH52" s="878"/>
      <c r="CI52" s="288"/>
    </row>
    <row r="53" spans="1:87" s="250" customFormat="1" ht="3" customHeight="1">
      <c r="A53" s="220"/>
      <c r="B53" s="879"/>
      <c r="C53" s="879"/>
      <c r="D53" s="879"/>
      <c r="E53" s="877"/>
      <c r="F53" s="877"/>
      <c r="G53" s="862"/>
      <c r="H53" s="864"/>
      <c r="I53" s="864"/>
      <c r="J53" s="864"/>
      <c r="K53" s="864"/>
      <c r="L53" s="864"/>
      <c r="M53" s="864"/>
      <c r="N53" s="864"/>
      <c r="O53" s="864"/>
      <c r="P53" s="864"/>
      <c r="Q53" s="864"/>
      <c r="R53" s="864"/>
      <c r="S53" s="864"/>
      <c r="T53" s="864"/>
      <c r="U53" s="864"/>
      <c r="V53" s="864"/>
      <c r="W53" s="864"/>
      <c r="X53" s="864"/>
      <c r="Y53" s="864"/>
      <c r="Z53" s="864"/>
      <c r="AA53" s="866"/>
      <c r="AB53" s="866"/>
      <c r="AC53" s="866"/>
      <c r="AD53" s="826"/>
      <c r="AE53" s="820"/>
      <c r="AF53" s="820"/>
      <c r="AG53" s="820"/>
      <c r="AH53" s="435"/>
      <c r="AI53" s="821"/>
      <c r="AJ53" s="821"/>
      <c r="AK53" s="821"/>
      <c r="AL53" s="821"/>
      <c r="AM53" s="821"/>
      <c r="AN53" s="818"/>
      <c r="AO53" s="822"/>
      <c r="AP53" s="822"/>
      <c r="AQ53" s="822"/>
      <c r="AR53" s="822"/>
      <c r="AS53" s="822"/>
      <c r="AT53" s="818"/>
      <c r="AU53" s="822"/>
      <c r="AV53" s="822"/>
      <c r="AW53" s="822"/>
      <c r="AX53" s="822"/>
      <c r="AY53" s="822"/>
      <c r="AZ53" s="827"/>
      <c r="BA53" s="826"/>
      <c r="BB53" s="820"/>
      <c r="BC53" s="820"/>
      <c r="BD53" s="820"/>
      <c r="BE53" s="435"/>
      <c r="BF53" s="821"/>
      <c r="BG53" s="821"/>
      <c r="BH53" s="821"/>
      <c r="BI53" s="821"/>
      <c r="BJ53" s="821"/>
      <c r="BK53" s="818"/>
      <c r="BL53" s="822"/>
      <c r="BM53" s="822"/>
      <c r="BN53" s="822"/>
      <c r="BO53" s="822"/>
      <c r="BP53" s="822"/>
      <c r="BQ53" s="819"/>
      <c r="BR53" s="822"/>
      <c r="BS53" s="822"/>
      <c r="BT53" s="822"/>
      <c r="BU53" s="822"/>
      <c r="BV53" s="822"/>
      <c r="BW53" s="441"/>
      <c r="BX53" s="442"/>
      <c r="BY53" s="442"/>
      <c r="BZ53" s="442"/>
      <c r="CA53" s="442"/>
      <c r="CB53" s="442"/>
      <c r="CC53" s="442"/>
      <c r="CD53" s="442"/>
      <c r="CE53" s="442"/>
      <c r="CF53" s="442"/>
      <c r="CG53" s="285"/>
      <c r="CH53" s="878"/>
      <c r="CI53" s="288"/>
    </row>
    <row r="54" spans="1:87" ht="15" customHeight="1">
      <c r="B54" s="879"/>
      <c r="C54" s="879"/>
      <c r="D54" s="879"/>
      <c r="E54" s="877"/>
      <c r="F54" s="877"/>
      <c r="G54" s="862"/>
      <c r="H54" s="864"/>
      <c r="I54" s="864"/>
      <c r="J54" s="864"/>
      <c r="K54" s="864"/>
      <c r="L54" s="864"/>
      <c r="M54" s="864"/>
      <c r="N54" s="864"/>
      <c r="O54" s="864"/>
      <c r="P54" s="864"/>
      <c r="Q54" s="864"/>
      <c r="R54" s="864"/>
      <c r="S54" s="864"/>
      <c r="T54" s="864"/>
      <c r="U54" s="864"/>
      <c r="V54" s="864"/>
      <c r="W54" s="864"/>
      <c r="X54" s="864"/>
      <c r="Y54" s="864"/>
      <c r="Z54" s="864"/>
      <c r="AA54" s="866"/>
      <c r="AB54" s="866"/>
      <c r="AC54" s="866"/>
      <c r="AD54" s="826"/>
      <c r="AE54" s="432" t="str">
        <f>IF(LEN(VLOOKUP(AA52,suvaha!$D$8:$H$158,2,FALSE))&lt;11,"",LEFT(RIGHT(VLOOKUP(AA52,suvaha!$D$8:$H$158,2,FALSE),11),1))</f>
        <v/>
      </c>
      <c r="AF54" s="255"/>
      <c r="AG54" s="432" t="str">
        <f>IF(LEN(VLOOKUP(AA52,suvaha!$D$8:$H$158,2,FALSE))&lt;10,"",LEFT(RIGHT(VLOOKUP(AA52,suvaha!$D$8:$H$158,2,FALSE),10),1))</f>
        <v/>
      </c>
      <c r="AH54" s="434"/>
      <c r="AI54" s="432" t="str">
        <f>IF(LEN(VLOOKUP(AA52,suvaha!$D$8:$H$158,2,FALSE))&lt;9,"",LEFT(RIGHT(VLOOKUP(AA52,suvaha!$D$8:$H$158,2,FALSE),9),1))</f>
        <v/>
      </c>
      <c r="AJ54" s="255"/>
      <c r="AK54" s="432" t="str">
        <f>IF(LEN(VLOOKUP(AA52,suvaha!$D$8:$H$158,2,FALSE))&lt;8,"",LEFT(RIGHT(VLOOKUP(AA52,suvaha!$D$8:$H$158,2,FALSE),8),1))</f>
        <v/>
      </c>
      <c r="AL54" s="434"/>
      <c r="AM54" s="432" t="str">
        <f>IF(LEN(VLOOKUP(AA52,suvaha!$D$8:$H$158,2,FALSE))&lt;7,"",LEFT(RIGHT(VLOOKUP(AA52,suvaha!$D$8:$H$158,2,FALSE),7),1))</f>
        <v/>
      </c>
      <c r="AN54" s="818"/>
      <c r="AO54" s="432" t="str">
        <f>IF(LEN(VLOOKUP(AA52,suvaha!$D$8:$H$158,2,FALSE))&lt;6,"",LEFT(RIGHT(VLOOKUP(AA52,suvaha!$D$8:$H$158,2,FALSE),6),1))</f>
        <v/>
      </c>
      <c r="AP54" s="434"/>
      <c r="AQ54" s="432" t="str">
        <f>IF(LEN(VLOOKUP(AA52,suvaha!$D$8:$H$158,2,FALSE))&lt;5,"",LEFT(RIGHT(VLOOKUP(AA52,suvaha!$D$8:$H$158,2,FALSE),5),1))</f>
        <v/>
      </c>
      <c r="AR54" s="434"/>
      <c r="AS54" s="432" t="str">
        <f>IF(LEN(VLOOKUP(AA52,suvaha!$D$8:$H$158,2,FALSE))&lt;4,"",LEFT(RIGHT(VLOOKUP(AA52,suvaha!$D$8:$H$158,2,FALSE),4),1))</f>
        <v/>
      </c>
      <c r="AT54" s="818"/>
      <c r="AU54" s="432" t="str">
        <f>IF(LEN(VLOOKUP(AA52,suvaha!$D$8:$H$158,2,FALSE))&lt;3,"",LEFT(RIGHT(VLOOKUP(AA52,suvaha!$D$8:$H$158,2,FALSE),3),1))</f>
        <v/>
      </c>
      <c r="AV54" s="434"/>
      <c r="AW54" s="432" t="str">
        <f>IF(LEN(VLOOKUP(AA52,suvaha!$D$8:$H$158,2,FALSE))&lt;2,"",LEFT(RIGHT(VLOOKUP(AA52,suvaha!$D$8:$H$158,2,FALSE),2),1))</f>
        <v/>
      </c>
      <c r="AX54" s="434"/>
      <c r="AY54" s="432" t="str">
        <f>IF(VLOOKUP(AA52,suvaha!$D$8:$H$85,2,FALSE)=0,"",IF(LEN(VLOOKUP(AA52,suvaha!$D$8:$H$158,2,FALSE))&lt;1,"",LEFT(RIGHT(VLOOKUP(AA52,suvaha!$D$8:$H$158,2,FALSE),1),1)))</f>
        <v/>
      </c>
      <c r="AZ54" s="827"/>
      <c r="BA54" s="826"/>
      <c r="BB54" s="432" t="str">
        <f>IF(LEN(VLOOKUP(AA52,suvaha!$D$8:$H$158,4,FALSE))&lt;11,"",LEFT(RIGHT(VLOOKUP(AA52,suvaha!$D$8:$H$158,4,FALSE),11),1))</f>
        <v/>
      </c>
      <c r="BC54" s="255"/>
      <c r="BD54" s="432" t="str">
        <f>IF(LEN(VLOOKUP(AA52,suvaha!$D$8:$H$158,4,FALSE))&lt;10,"",LEFT(RIGHT(VLOOKUP(AA52,suvaha!$D$8:$H$158,4,FALSE),10),1))</f>
        <v/>
      </c>
      <c r="BE54" s="434"/>
      <c r="BF54" s="432" t="str">
        <f>IF(LEN(VLOOKUP(AA52,suvaha!$D$8:$H$158,4,FALSE))&lt;9,"",LEFT(RIGHT(VLOOKUP(AA52,suvaha!$D$8:$H$158,4,FALSE),9),1))</f>
        <v/>
      </c>
      <c r="BG54" s="255"/>
      <c r="BH54" s="432" t="str">
        <f>IF(LEN(VLOOKUP(AA52,suvaha!$D$8:$H$158,4,FALSE))&lt;8,"",LEFT(RIGHT(VLOOKUP(AA52,suvaha!$D$8:$H$158,4,FALSE),8),1))</f>
        <v/>
      </c>
      <c r="BI54" s="434"/>
      <c r="BJ54" s="432" t="str">
        <f>IF(LEN(VLOOKUP(AA52,suvaha!$D$8:$H$158,4,FALSE))&lt;7,"",LEFT(RIGHT(VLOOKUP(AA52,suvaha!$D$8:$H$158,4,FALSE),7),1))</f>
        <v/>
      </c>
      <c r="BK54" s="818"/>
      <c r="BL54" s="432" t="str">
        <f>IF(LEN(VLOOKUP(AA52,suvaha!$D$8:$H$158,4,FALSE))&lt;6,"",LEFT(RIGHT(VLOOKUP(AA52,suvaha!$D$8:$H$158,4,FALSE),6),1))</f>
        <v/>
      </c>
      <c r="BM54" s="434"/>
      <c r="BN54" s="432" t="str">
        <f>IF(LEN(VLOOKUP(AA52,suvaha!$D$8:$H$158,4,FALSE))&lt;5,"",LEFT(RIGHT(VLOOKUP(AA52,suvaha!$D$8:$H$158,4,FALSE),5),1))</f>
        <v/>
      </c>
      <c r="BO54" s="434"/>
      <c r="BP54" s="432" t="str">
        <f>IF(LEN(VLOOKUP(AA52,suvaha!$D$8:$H$158,4,FALSE))&lt;4,"",LEFT(RIGHT(VLOOKUP(AA52,suvaha!$D$8:$H$158,4,FALSE),4),1))</f>
        <v/>
      </c>
      <c r="BQ54" s="819"/>
      <c r="BR54" s="432" t="str">
        <f>IF(LEN(VLOOKUP(AA52,suvaha!$D$8:$H$158,4,FALSE))&lt;3,"",LEFT(RIGHT(VLOOKUP(AA52,suvaha!$D$8:$H$158,4,FALSE),3),1))</f>
        <v/>
      </c>
      <c r="BS54" s="434"/>
      <c r="BT54" s="432" t="str">
        <f>IF(LEN(VLOOKUP(AA52,suvaha!$D$8:$H$158,4,FALSE))&lt;2,"",LEFT(RIGHT(VLOOKUP(AA52,suvaha!$D$8:$H$158,4,FALSE),2),1))</f>
        <v/>
      </c>
      <c r="BU54" s="434"/>
      <c r="BV54" s="432" t="str">
        <f>IF(VLOOKUP(AA52,suvaha!$D$8:$H$85,4,FALSE)=0,"",IF(LEN(VLOOKUP(AA52,suvaha!$D$8:$H$158,4,FALSE))&lt;1,"",LEFT(RIGHT(VLOOKUP(AA52,suvaha!$D$8:$H$158,4,FALSE),1),1)))</f>
        <v/>
      </c>
      <c r="BW54" s="441"/>
      <c r="BX54" s="442"/>
      <c r="BY54" s="442"/>
      <c r="BZ54" s="442"/>
      <c r="CA54" s="442"/>
      <c r="CB54" s="442"/>
      <c r="CC54" s="442"/>
      <c r="CD54" s="442"/>
      <c r="CE54" s="442"/>
      <c r="CF54" s="442"/>
      <c r="CG54" s="285"/>
      <c r="CH54" s="878"/>
      <c r="CI54" s="220"/>
    </row>
    <row r="55" spans="1:87" ht="3" customHeight="1">
      <c r="B55" s="879"/>
      <c r="C55" s="879"/>
      <c r="D55" s="879"/>
      <c r="E55" s="877"/>
      <c r="F55" s="877"/>
      <c r="G55" s="862"/>
      <c r="H55" s="864"/>
      <c r="I55" s="864"/>
      <c r="J55" s="864"/>
      <c r="K55" s="864"/>
      <c r="L55" s="864"/>
      <c r="M55" s="864"/>
      <c r="N55" s="864"/>
      <c r="O55" s="864"/>
      <c r="P55" s="864"/>
      <c r="Q55" s="864"/>
      <c r="R55" s="864"/>
      <c r="S55" s="864"/>
      <c r="T55" s="864"/>
      <c r="U55" s="864"/>
      <c r="V55" s="864"/>
      <c r="W55" s="864"/>
      <c r="X55" s="864"/>
      <c r="Y55" s="864"/>
      <c r="Z55" s="864"/>
      <c r="AA55" s="866"/>
      <c r="AB55" s="866"/>
      <c r="AC55" s="866"/>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6"/>
      <c r="BB55" s="846"/>
      <c r="BC55" s="846"/>
      <c r="BD55" s="846"/>
      <c r="BE55" s="846"/>
      <c r="BF55" s="846"/>
      <c r="BG55" s="846"/>
      <c r="BH55" s="846"/>
      <c r="BI55" s="846"/>
      <c r="BJ55" s="846"/>
      <c r="BK55" s="846"/>
      <c r="BL55" s="846"/>
      <c r="BM55" s="846"/>
      <c r="BN55" s="846"/>
      <c r="BO55" s="846"/>
      <c r="BP55" s="846"/>
      <c r="BQ55" s="846"/>
      <c r="BR55" s="310"/>
      <c r="BS55" s="310"/>
      <c r="BT55" s="310"/>
      <c r="BU55" s="310"/>
      <c r="BV55" s="310"/>
      <c r="BW55" s="443"/>
      <c r="BX55" s="310"/>
      <c r="BY55" s="310"/>
      <c r="BZ55" s="310"/>
      <c r="CA55" s="310"/>
      <c r="CB55" s="310"/>
      <c r="CC55" s="310"/>
      <c r="CD55" s="310"/>
      <c r="CE55" s="310"/>
      <c r="CF55" s="310"/>
      <c r="CG55" s="286"/>
      <c r="CH55" s="878"/>
      <c r="CI55" s="220"/>
    </row>
    <row r="56" spans="1:87" ht="3" customHeight="1">
      <c r="B56" s="879"/>
      <c r="C56" s="879"/>
      <c r="D56" s="879"/>
      <c r="E56" s="877"/>
      <c r="F56" s="877"/>
      <c r="G56" s="862"/>
      <c r="H56" s="864"/>
      <c r="I56" s="864"/>
      <c r="J56" s="864"/>
      <c r="K56" s="864"/>
      <c r="L56" s="864"/>
      <c r="M56" s="864"/>
      <c r="N56" s="864"/>
      <c r="O56" s="864"/>
      <c r="P56" s="864"/>
      <c r="Q56" s="864"/>
      <c r="R56" s="864"/>
      <c r="S56" s="864"/>
      <c r="T56" s="864"/>
      <c r="U56" s="864"/>
      <c r="V56" s="864"/>
      <c r="W56" s="864"/>
      <c r="X56" s="864"/>
      <c r="Y56" s="864"/>
      <c r="Z56" s="864"/>
      <c r="AA56" s="866"/>
      <c r="AB56" s="866"/>
      <c r="AC56" s="866"/>
      <c r="AD56" s="825"/>
      <c r="AE56" s="825"/>
      <c r="AF56" s="825"/>
      <c r="AG56" s="825"/>
      <c r="AH56" s="825"/>
      <c r="AI56" s="825"/>
      <c r="AJ56" s="825"/>
      <c r="AK56" s="825"/>
      <c r="AL56" s="825"/>
      <c r="AM56" s="825"/>
      <c r="AN56" s="825"/>
      <c r="AO56" s="825"/>
      <c r="AP56" s="825"/>
      <c r="AQ56" s="825"/>
      <c r="AR56" s="825"/>
      <c r="AS56" s="825"/>
      <c r="AT56" s="825"/>
      <c r="AU56" s="825"/>
      <c r="AV56" s="825"/>
      <c r="AW56" s="825"/>
      <c r="AX56" s="825"/>
      <c r="AY56" s="825"/>
      <c r="AZ56" s="825"/>
      <c r="BA56" s="875"/>
      <c r="BB56" s="875"/>
      <c r="BC56" s="875"/>
      <c r="BD56" s="875"/>
      <c r="BE56" s="875"/>
      <c r="BF56" s="875"/>
      <c r="BG56" s="875"/>
      <c r="BH56" s="875"/>
      <c r="BI56" s="875"/>
      <c r="BJ56" s="875"/>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284"/>
      <c r="CH56" s="878"/>
      <c r="CI56" s="220"/>
    </row>
    <row r="57" spans="1:87" ht="3" customHeight="1">
      <c r="B57" s="879"/>
      <c r="C57" s="879"/>
      <c r="D57" s="879"/>
      <c r="E57" s="877"/>
      <c r="F57" s="877"/>
      <c r="G57" s="862"/>
      <c r="H57" s="864"/>
      <c r="I57" s="864"/>
      <c r="J57" s="864"/>
      <c r="K57" s="864"/>
      <c r="L57" s="864"/>
      <c r="M57" s="864"/>
      <c r="N57" s="864"/>
      <c r="O57" s="864"/>
      <c r="P57" s="864"/>
      <c r="Q57" s="864"/>
      <c r="R57" s="864"/>
      <c r="S57" s="864"/>
      <c r="T57" s="864"/>
      <c r="U57" s="864"/>
      <c r="V57" s="864"/>
      <c r="W57" s="864"/>
      <c r="X57" s="864"/>
      <c r="Y57" s="864"/>
      <c r="Z57" s="864"/>
      <c r="AA57" s="866"/>
      <c r="AB57" s="866"/>
      <c r="AC57" s="866"/>
      <c r="AD57" s="826"/>
      <c r="AE57" s="820"/>
      <c r="AF57" s="820"/>
      <c r="AG57" s="820"/>
      <c r="AH57" s="435"/>
      <c r="AI57" s="821"/>
      <c r="AJ57" s="821"/>
      <c r="AK57" s="821"/>
      <c r="AL57" s="821"/>
      <c r="AM57" s="821"/>
      <c r="AN57" s="818" t="s">
        <v>965</v>
      </c>
      <c r="AO57" s="822"/>
      <c r="AP57" s="822"/>
      <c r="AQ57" s="822"/>
      <c r="AR57" s="822"/>
      <c r="AS57" s="822"/>
      <c r="AT57" s="818" t="s">
        <v>965</v>
      </c>
      <c r="AU57" s="822"/>
      <c r="AV57" s="822"/>
      <c r="AW57" s="822"/>
      <c r="AX57" s="822"/>
      <c r="AY57" s="822"/>
      <c r="AZ57" s="827"/>
      <c r="BA57" s="875"/>
      <c r="BB57" s="875"/>
      <c r="BC57" s="875"/>
      <c r="BD57" s="875"/>
      <c r="BE57" s="875"/>
      <c r="BF57" s="875"/>
      <c r="BG57" s="875"/>
      <c r="BH57" s="875"/>
      <c r="BI57" s="875"/>
      <c r="BJ57" s="875"/>
      <c r="BK57" s="442"/>
      <c r="BL57" s="820"/>
      <c r="BM57" s="820"/>
      <c r="BN57" s="820"/>
      <c r="BO57" s="442"/>
      <c r="BP57" s="444"/>
      <c r="BQ57" s="444"/>
      <c r="BR57" s="444"/>
      <c r="BS57" s="444"/>
      <c r="BT57" s="444"/>
      <c r="BU57" s="442"/>
      <c r="BV57" s="444"/>
      <c r="BW57" s="444"/>
      <c r="BX57" s="444"/>
      <c r="BY57" s="444"/>
      <c r="BZ57" s="444"/>
      <c r="CA57" s="445"/>
      <c r="CB57" s="444"/>
      <c r="CC57" s="444"/>
      <c r="CD57" s="444"/>
      <c r="CE57" s="444"/>
      <c r="CF57" s="444"/>
      <c r="CG57" s="287"/>
      <c r="CH57" s="878"/>
      <c r="CI57" s="220"/>
    </row>
    <row r="58" spans="1:87" ht="15" customHeight="1">
      <c r="B58" s="879"/>
      <c r="C58" s="879"/>
      <c r="D58" s="879"/>
      <c r="E58" s="877"/>
      <c r="F58" s="877"/>
      <c r="G58" s="862"/>
      <c r="H58" s="864"/>
      <c r="I58" s="864"/>
      <c r="J58" s="864"/>
      <c r="K58" s="864"/>
      <c r="L58" s="864"/>
      <c r="M58" s="864"/>
      <c r="N58" s="864"/>
      <c r="O58" s="864"/>
      <c r="P58" s="864"/>
      <c r="Q58" s="864"/>
      <c r="R58" s="864"/>
      <c r="S58" s="864"/>
      <c r="T58" s="864"/>
      <c r="U58" s="864"/>
      <c r="V58" s="864"/>
      <c r="W58" s="864"/>
      <c r="X58" s="864"/>
      <c r="Y58" s="864"/>
      <c r="Z58" s="864"/>
      <c r="AA58" s="866"/>
      <c r="AB58" s="866"/>
      <c r="AC58" s="866"/>
      <c r="AD58" s="826"/>
      <c r="AE58" s="432" t="str">
        <f>IF(LEN(VLOOKUP(AA52,suvaha!$D$8:$H$158,3,FALSE))&lt;11,"",LEFT(RIGHT(VLOOKUP(AA52,suvaha!$D$8:$H$158,3,FALSE),11),1))</f>
        <v/>
      </c>
      <c r="AF58" s="255" t="s">
        <v>965</v>
      </c>
      <c r="AG58" s="432" t="str">
        <f>IF(LEN(VLOOKUP(AA52,suvaha!$D$8:$H$158,3,FALSE))&lt;10,"",LEFT(RIGHT(VLOOKUP(AA52,suvaha!$D$8:$H$158,3,FALSE),10),1))</f>
        <v/>
      </c>
      <c r="AH58" s="434" t="s">
        <v>965</v>
      </c>
      <c r="AI58" s="432" t="str">
        <f>IF(LEN(VLOOKUP(AA52,suvaha!$D$8:$H$158,3,FALSE))&lt;9,"",LEFT(RIGHT(VLOOKUP(AA52,suvaha!$D$8:$H$158,3,FALSE),9),1))</f>
        <v/>
      </c>
      <c r="AJ58" s="255" t="s">
        <v>965</v>
      </c>
      <c r="AK58" s="432" t="str">
        <f>IF(LEN(VLOOKUP(AA52,suvaha!$D$8:$H$158,3,FALSE))&lt;8,"",LEFT(RIGHT(VLOOKUP(AA52,suvaha!$D$8:$H$158,3,FALSE),8),1))</f>
        <v/>
      </c>
      <c r="AL58" s="434" t="s">
        <v>965</v>
      </c>
      <c r="AM58" s="432" t="str">
        <f>IF(LEN(VLOOKUP(AA52,suvaha!$D$8:$H$158,3,FALSE))&lt;7,"",LEFT(RIGHT(VLOOKUP(AA52,suvaha!$D$8:$H$158,3,FALSE),7),1))</f>
        <v/>
      </c>
      <c r="AN58" s="818"/>
      <c r="AO58" s="432" t="str">
        <f>IF(LEN(VLOOKUP(AA52,suvaha!$D$8:$H$158,3,FALSE))&lt;6,"",LEFT(RIGHT(VLOOKUP(AA52,suvaha!$D$8:$H$158,3,FALSE),6),1))</f>
        <v/>
      </c>
      <c r="AP58" s="434" t="s">
        <v>965</v>
      </c>
      <c r="AQ58" s="432" t="str">
        <f>IF(LEN(VLOOKUP(AA52,suvaha!$D$8:$H$158,3,FALSE))&lt;5,"",LEFT(RIGHT(VLOOKUP(AA52,suvaha!$D$8:$H$158,3,FALSE),5),1))</f>
        <v/>
      </c>
      <c r="AR58" s="434" t="s">
        <v>965</v>
      </c>
      <c r="AS58" s="432" t="str">
        <f>IF(LEN(VLOOKUP(AA52,suvaha!$D$8:$H$158,3,FALSE))&lt;4,"",LEFT(RIGHT(VLOOKUP(AA52,suvaha!$D$8:$H$158,3,FALSE),4),1))</f>
        <v/>
      </c>
      <c r="AT58" s="818"/>
      <c r="AU58" s="432" t="str">
        <f>IF(LEN(VLOOKUP(AA52,suvaha!$D$8:$H$158,3,FALSE))&lt;3,"",LEFT(RIGHT(VLOOKUP(AA52,suvaha!$D$8:$H$158,3,FALSE),3),1))</f>
        <v/>
      </c>
      <c r="AV58" s="434" t="s">
        <v>965</v>
      </c>
      <c r="AW58" s="432" t="str">
        <f>IF(LEN(VLOOKUP(AA52,suvaha!$D$8:$H$158,3,FALSE))&lt;2,"",LEFT(RIGHT(VLOOKUP(AA52,suvaha!$D$8:$H$158,3,FALSE),2),1))</f>
        <v/>
      </c>
      <c r="AX58" s="434" t="s">
        <v>965</v>
      </c>
      <c r="AY58" s="432" t="str">
        <f>IF(VLOOKUP(AA52,suvaha!$D$8:$H$85,3,FALSE)=0,"",IF(LEN(VLOOKUP(AA52,suvaha!$D$8:$H$158,3,FALSE))&lt;1,"",LEFT(RIGHT(VLOOKUP(AA52,suvaha!$D$8:$H$158,3,FALSE),1),1)))</f>
        <v/>
      </c>
      <c r="AZ58" s="827"/>
      <c r="BA58" s="875"/>
      <c r="BB58" s="875"/>
      <c r="BC58" s="875"/>
      <c r="BD58" s="875"/>
      <c r="BE58" s="875"/>
      <c r="BF58" s="875"/>
      <c r="BG58" s="875"/>
      <c r="BH58" s="875"/>
      <c r="BI58" s="875"/>
      <c r="BJ58" s="875"/>
      <c r="BK58" s="442"/>
      <c r="BL58" s="432" t="str">
        <f>IF(LEN(VLOOKUP(AA52,suvaha!$D$8:$H$158,5,FALSE))&lt;11,"",LEFT(RIGHT(VLOOKUP(AA52,suvaha!$D$8:$H$158,5,FALSE),11),1))</f>
        <v/>
      </c>
      <c r="BM58" s="255" t="s">
        <v>965</v>
      </c>
      <c r="BN58" s="432" t="str">
        <f>IF(LEN(VLOOKUP(AA52,suvaha!$D$8:$H$158,5,FALSE))&lt;10,"",LEFT(RIGHT(VLOOKUP(AA52,suvaha!$D$8:$H$158,5,FALSE),10),1))</f>
        <v/>
      </c>
      <c r="BO58" s="442" t="s">
        <v>965</v>
      </c>
      <c r="BP58" s="432" t="str">
        <f>IF(LEN(VLOOKUP(AA52,suvaha!$D$8:$H$158,5,FALSE))&lt;9,"",LEFT(RIGHT(VLOOKUP(AA52,suvaha!$D$8:$H$158,5,FALSE),9),1))</f>
        <v/>
      </c>
      <c r="BQ58" s="434" t="s">
        <v>965</v>
      </c>
      <c r="BR58" s="432" t="str">
        <f>IF(LEN(VLOOKUP(AA52,suvaha!$D$8:$H$158,5,FALSE))&lt;8,"",LEFT(RIGHT(VLOOKUP(AA52,suvaha!$D$8:$H$158,5,FALSE),8),1))</f>
        <v/>
      </c>
      <c r="BS58" s="434" t="s">
        <v>965</v>
      </c>
      <c r="BT58" s="432" t="str">
        <f>IF(LEN(VLOOKUP(AA52,suvaha!$D$8:$H$158,5,FALSE))&lt;7,"",LEFT(RIGHT(VLOOKUP(AA52,suvaha!$D$8:$H$158,5,FALSE),7),1))</f>
        <v/>
      </c>
      <c r="BU58" s="442" t="s">
        <v>965</v>
      </c>
      <c r="BV58" s="432" t="str">
        <f>IF(LEN(VLOOKUP(AA52,suvaha!$D$8:$H$158,5,FALSE))&lt;6,"",LEFT(RIGHT(VLOOKUP(AA52,suvaha!$D$8:$H$158,5,FALSE),6),1))</f>
        <v/>
      </c>
      <c r="BW58" s="434" t="s">
        <v>965</v>
      </c>
      <c r="BX58" s="432" t="str">
        <f>IF(LEN(VLOOKUP(AA52,suvaha!$D$8:$H$158,5,FALSE))&lt;5,"",LEFT(RIGHT(VLOOKUP(AA52,suvaha!$D$8:$H$158,5,FALSE),5),1))</f>
        <v/>
      </c>
      <c r="BY58" s="434" t="s">
        <v>965</v>
      </c>
      <c r="BZ58" s="432" t="str">
        <f>IF(LEN(VLOOKUP(AA52,suvaha!$D$8:$H$158,5,FALSE))&lt;4,"",LEFT(RIGHT(VLOOKUP(AA52,suvaha!$D$8:$H$158,5,FALSE),4),1))</f>
        <v/>
      </c>
      <c r="CA58" s="445" t="s">
        <v>965</v>
      </c>
      <c r="CB58" s="432" t="str">
        <f>IF(LEN(VLOOKUP(AA52,suvaha!$D$8:$H$158,5,FALSE))&lt;3,"",LEFT(RIGHT(VLOOKUP(AA52,suvaha!$D$8:$H$158,5,FALSE),3),1))</f>
        <v/>
      </c>
      <c r="CC58" s="434" t="s">
        <v>965</v>
      </c>
      <c r="CD58" s="432" t="str">
        <f>IF(LEN(VLOOKUP(AA52,suvaha!$D$8:$H$158,5,FALSE))&lt;2,"",LEFT(RIGHT(VLOOKUP(AA52,suvaha!$D$8:$H$158,5,FALSE),2),1))</f>
        <v/>
      </c>
      <c r="CE58" s="434" t="s">
        <v>1540</v>
      </c>
      <c r="CF58" s="432" t="str">
        <f>IF(VLOOKUP(AA52,suvaha!$D$8:$H$85,5,FALSE)=0,"",IF(LEN(VLOOKUP(AA52,suvaha!$D$8:$H$158,5,FALSE))&lt;1,"",LEFT(RIGHT(VLOOKUP(AA52,suvaha!$D$8:$H$158,5,FALSE),1),1)))</f>
        <v/>
      </c>
      <c r="CG58" s="287"/>
      <c r="CH58" s="878"/>
      <c r="CI58" s="220"/>
    </row>
    <row r="59" spans="1:87" ht="3" customHeight="1">
      <c r="B59" s="879"/>
      <c r="C59" s="879"/>
      <c r="D59" s="879"/>
      <c r="E59" s="877"/>
      <c r="F59" s="877"/>
      <c r="G59" s="862"/>
      <c r="H59" s="864"/>
      <c r="I59" s="864"/>
      <c r="J59" s="864"/>
      <c r="K59" s="864"/>
      <c r="L59" s="864"/>
      <c r="M59" s="864"/>
      <c r="N59" s="864"/>
      <c r="O59" s="864"/>
      <c r="P59" s="864"/>
      <c r="Q59" s="864"/>
      <c r="R59" s="864"/>
      <c r="S59" s="864"/>
      <c r="T59" s="864"/>
      <c r="U59" s="864"/>
      <c r="V59" s="864"/>
      <c r="W59" s="864"/>
      <c r="X59" s="864"/>
      <c r="Y59" s="864"/>
      <c r="Z59" s="864"/>
      <c r="AA59" s="866"/>
      <c r="AB59" s="866"/>
      <c r="AC59" s="866"/>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75"/>
      <c r="BB59" s="875"/>
      <c r="BC59" s="875"/>
      <c r="BD59" s="875"/>
      <c r="BE59" s="875"/>
      <c r="BF59" s="875"/>
      <c r="BG59" s="875"/>
      <c r="BH59" s="875"/>
      <c r="BI59" s="875"/>
      <c r="BJ59" s="875"/>
      <c r="BK59" s="310"/>
      <c r="BL59" s="310"/>
      <c r="BM59" s="310"/>
      <c r="BN59" s="310"/>
      <c r="BO59" s="310"/>
      <c r="BP59" s="310"/>
      <c r="BQ59" s="310"/>
      <c r="BR59" s="310"/>
      <c r="BS59" s="310"/>
      <c r="BT59" s="310"/>
      <c r="BU59" s="310"/>
      <c r="BV59" s="310"/>
      <c r="BW59" s="310"/>
      <c r="BX59" s="310"/>
      <c r="BY59" s="310"/>
      <c r="BZ59" s="310"/>
      <c r="CA59" s="310"/>
      <c r="CB59" s="310"/>
      <c r="CC59" s="310"/>
      <c r="CD59" s="310"/>
      <c r="CE59" s="310"/>
      <c r="CF59" s="310"/>
      <c r="CG59" s="286"/>
      <c r="CH59" s="878"/>
      <c r="CI59" s="220"/>
    </row>
    <row r="60" spans="1:87" s="250" customFormat="1" ht="3" customHeight="1">
      <c r="A60" s="220"/>
      <c r="B60" s="879"/>
      <c r="C60" s="879"/>
      <c r="D60" s="879"/>
      <c r="E60" s="877" t="s">
        <v>1547</v>
      </c>
      <c r="F60" s="877"/>
      <c r="G60" s="862"/>
      <c r="H60" s="864" t="str">
        <f>Index!C114</f>
        <v>Daňové pohľadávky a dotácie (341, 342, 343, 345 346, 347) - /391A/</v>
      </c>
      <c r="I60" s="864"/>
      <c r="J60" s="864"/>
      <c r="K60" s="864"/>
      <c r="L60" s="864"/>
      <c r="M60" s="864"/>
      <c r="N60" s="864"/>
      <c r="O60" s="864"/>
      <c r="P60" s="864"/>
      <c r="Q60" s="864"/>
      <c r="R60" s="864"/>
      <c r="S60" s="864"/>
      <c r="T60" s="864"/>
      <c r="U60" s="864"/>
      <c r="V60" s="864"/>
      <c r="W60" s="864"/>
      <c r="X60" s="864"/>
      <c r="Y60" s="864"/>
      <c r="Z60" s="864"/>
      <c r="AA60" s="866" t="s">
        <v>1623</v>
      </c>
      <c r="AB60" s="866"/>
      <c r="AC60" s="866"/>
      <c r="AD60" s="825"/>
      <c r="AE60" s="825"/>
      <c r="AF60" s="825"/>
      <c r="AG60" s="825"/>
      <c r="AH60" s="825"/>
      <c r="AI60" s="825"/>
      <c r="AJ60" s="825"/>
      <c r="AK60" s="825"/>
      <c r="AL60" s="825"/>
      <c r="AM60" s="825"/>
      <c r="AN60" s="825"/>
      <c r="AO60" s="825"/>
      <c r="AP60" s="825"/>
      <c r="AQ60" s="825"/>
      <c r="AR60" s="825"/>
      <c r="AS60" s="825"/>
      <c r="AT60" s="825"/>
      <c r="AU60" s="825"/>
      <c r="AV60" s="825"/>
      <c r="AW60" s="825"/>
      <c r="AX60" s="825"/>
      <c r="AY60" s="825"/>
      <c r="AZ60" s="825"/>
      <c r="BA60" s="867"/>
      <c r="BB60" s="867"/>
      <c r="BC60" s="867"/>
      <c r="BD60" s="867"/>
      <c r="BE60" s="867"/>
      <c r="BF60" s="867"/>
      <c r="BG60" s="867"/>
      <c r="BH60" s="867"/>
      <c r="BI60" s="867"/>
      <c r="BJ60" s="867"/>
      <c r="BK60" s="867"/>
      <c r="BL60" s="867"/>
      <c r="BM60" s="867"/>
      <c r="BN60" s="867"/>
      <c r="BO60" s="867"/>
      <c r="BP60" s="867"/>
      <c r="BQ60" s="867"/>
      <c r="BR60" s="304"/>
      <c r="BS60" s="304"/>
      <c r="BT60" s="304"/>
      <c r="BU60" s="304"/>
      <c r="BV60" s="304"/>
      <c r="BW60" s="446"/>
      <c r="BX60" s="304"/>
      <c r="BY60" s="304"/>
      <c r="BZ60" s="304"/>
      <c r="CA60" s="304"/>
      <c r="CB60" s="304"/>
      <c r="CC60" s="304"/>
      <c r="CD60" s="304"/>
      <c r="CE60" s="304"/>
      <c r="CF60" s="304"/>
      <c r="CG60" s="284"/>
      <c r="CH60" s="878"/>
      <c r="CI60" s="288"/>
    </row>
    <row r="61" spans="1:87" s="250" customFormat="1" ht="3" customHeight="1">
      <c r="A61" s="220"/>
      <c r="B61" s="879"/>
      <c r="C61" s="879"/>
      <c r="D61" s="879"/>
      <c r="E61" s="877"/>
      <c r="F61" s="877"/>
      <c r="G61" s="862"/>
      <c r="H61" s="864"/>
      <c r="I61" s="864"/>
      <c r="J61" s="864"/>
      <c r="K61" s="864"/>
      <c r="L61" s="864"/>
      <c r="M61" s="864"/>
      <c r="N61" s="864"/>
      <c r="O61" s="864"/>
      <c r="P61" s="864"/>
      <c r="Q61" s="864"/>
      <c r="R61" s="864"/>
      <c r="S61" s="864"/>
      <c r="T61" s="864"/>
      <c r="U61" s="864"/>
      <c r="V61" s="864"/>
      <c r="W61" s="864"/>
      <c r="X61" s="864"/>
      <c r="Y61" s="864"/>
      <c r="Z61" s="864"/>
      <c r="AA61" s="866"/>
      <c r="AB61" s="866"/>
      <c r="AC61" s="866"/>
      <c r="AD61" s="826"/>
      <c r="AE61" s="820"/>
      <c r="AF61" s="820"/>
      <c r="AG61" s="820"/>
      <c r="AH61" s="435"/>
      <c r="AI61" s="821"/>
      <c r="AJ61" s="821"/>
      <c r="AK61" s="821"/>
      <c r="AL61" s="821"/>
      <c r="AM61" s="821"/>
      <c r="AN61" s="818"/>
      <c r="AO61" s="822"/>
      <c r="AP61" s="822"/>
      <c r="AQ61" s="822"/>
      <c r="AR61" s="822"/>
      <c r="AS61" s="822"/>
      <c r="AT61" s="818"/>
      <c r="AU61" s="822"/>
      <c r="AV61" s="822"/>
      <c r="AW61" s="822"/>
      <c r="AX61" s="822"/>
      <c r="AY61" s="822"/>
      <c r="AZ61" s="827"/>
      <c r="BA61" s="826"/>
      <c r="BB61" s="820"/>
      <c r="BC61" s="820"/>
      <c r="BD61" s="820"/>
      <c r="BE61" s="435"/>
      <c r="BF61" s="821"/>
      <c r="BG61" s="821"/>
      <c r="BH61" s="821"/>
      <c r="BI61" s="821"/>
      <c r="BJ61" s="821"/>
      <c r="BK61" s="818"/>
      <c r="BL61" s="822"/>
      <c r="BM61" s="822"/>
      <c r="BN61" s="822"/>
      <c r="BO61" s="822"/>
      <c r="BP61" s="822"/>
      <c r="BQ61" s="819"/>
      <c r="BR61" s="822"/>
      <c r="BS61" s="822"/>
      <c r="BT61" s="822"/>
      <c r="BU61" s="822"/>
      <c r="BV61" s="822"/>
      <c r="BW61" s="441"/>
      <c r="BX61" s="442"/>
      <c r="BY61" s="442"/>
      <c r="BZ61" s="442"/>
      <c r="CA61" s="442"/>
      <c r="CB61" s="442"/>
      <c r="CC61" s="442"/>
      <c r="CD61" s="442"/>
      <c r="CE61" s="442"/>
      <c r="CF61" s="442"/>
      <c r="CG61" s="285"/>
      <c r="CH61" s="878"/>
      <c r="CI61" s="288"/>
    </row>
    <row r="62" spans="1:87" ht="15" customHeight="1">
      <c r="B62" s="879"/>
      <c r="C62" s="879"/>
      <c r="D62" s="879"/>
      <c r="E62" s="877"/>
      <c r="F62" s="877"/>
      <c r="G62" s="862"/>
      <c r="H62" s="864"/>
      <c r="I62" s="864"/>
      <c r="J62" s="864"/>
      <c r="K62" s="864"/>
      <c r="L62" s="864"/>
      <c r="M62" s="864"/>
      <c r="N62" s="864"/>
      <c r="O62" s="864"/>
      <c r="P62" s="864"/>
      <c r="Q62" s="864"/>
      <c r="R62" s="864"/>
      <c r="S62" s="864"/>
      <c r="T62" s="864"/>
      <c r="U62" s="864"/>
      <c r="V62" s="864"/>
      <c r="W62" s="864"/>
      <c r="X62" s="864"/>
      <c r="Y62" s="864"/>
      <c r="Z62" s="864"/>
      <c r="AA62" s="866"/>
      <c r="AB62" s="866"/>
      <c r="AC62" s="866"/>
      <c r="AD62" s="826"/>
      <c r="AE62" s="432" t="str">
        <f>IF(LEN(VLOOKUP(AA60,suvaha!$D$8:$H$158,2,FALSE))&lt;11,"",LEFT(RIGHT(VLOOKUP(AA60,suvaha!$D$8:$H$158,2,FALSE),11),1))</f>
        <v/>
      </c>
      <c r="AF62" s="255"/>
      <c r="AG62" s="432" t="str">
        <f>IF(LEN(VLOOKUP(AA60,suvaha!$D$8:$H$158,2,FALSE))&lt;10,"",LEFT(RIGHT(VLOOKUP(AA60,suvaha!$D$8:$H$158,2,FALSE),10),1))</f>
        <v/>
      </c>
      <c r="AH62" s="434"/>
      <c r="AI62" s="432" t="str">
        <f>IF(LEN(VLOOKUP(AA60,suvaha!$D$8:$H$158,2,FALSE))&lt;9,"",LEFT(RIGHT(VLOOKUP(AA60,suvaha!$D$8:$H$158,2,FALSE),9),1))</f>
        <v/>
      </c>
      <c r="AJ62" s="255"/>
      <c r="AK62" s="432" t="str">
        <f>IF(LEN(VLOOKUP(AA60,suvaha!$D$8:$H$158,2,FALSE))&lt;8,"",LEFT(RIGHT(VLOOKUP(AA60,suvaha!$D$8:$H$158,2,FALSE),8),1))</f>
        <v/>
      </c>
      <c r="AL62" s="434"/>
      <c r="AM62" s="432" t="str">
        <f>IF(LEN(VLOOKUP(AA60,suvaha!$D$8:$H$158,2,FALSE))&lt;7,"",LEFT(RIGHT(VLOOKUP(AA60,suvaha!$D$8:$H$158,2,FALSE),7),1))</f>
        <v/>
      </c>
      <c r="AN62" s="818"/>
      <c r="AO62" s="432" t="str">
        <f>IF(LEN(VLOOKUP(AA60,suvaha!$D$8:$H$158,2,FALSE))&lt;6,"",LEFT(RIGHT(VLOOKUP(AA60,suvaha!$D$8:$H$158,2,FALSE),6),1))</f>
        <v/>
      </c>
      <c r="AP62" s="434"/>
      <c r="AQ62" s="432" t="str">
        <f>IF(LEN(VLOOKUP(AA60,suvaha!$D$8:$H$158,2,FALSE))&lt;5,"",LEFT(RIGHT(VLOOKUP(AA60,suvaha!$D$8:$H$158,2,FALSE),5),1))</f>
        <v/>
      </c>
      <c r="AR62" s="434"/>
      <c r="AS62" s="432" t="str">
        <f>IF(LEN(VLOOKUP(AA60,suvaha!$D$8:$H$158,2,FALSE))&lt;4,"",LEFT(RIGHT(VLOOKUP(AA60,suvaha!$D$8:$H$158,2,FALSE),4),1))</f>
        <v/>
      </c>
      <c r="AT62" s="818"/>
      <c r="AU62" s="432" t="str">
        <f>IF(LEN(VLOOKUP(AA60,suvaha!$D$8:$H$158,2,FALSE))&lt;3,"",LEFT(RIGHT(VLOOKUP(AA60,suvaha!$D$8:$H$158,2,FALSE),3),1))</f>
        <v>4</v>
      </c>
      <c r="AV62" s="434"/>
      <c r="AW62" s="432" t="str">
        <f>IF(LEN(VLOOKUP(AA60,suvaha!$D$8:$H$158,2,FALSE))&lt;2,"",LEFT(RIGHT(VLOOKUP(AA60,suvaha!$D$8:$H$158,2,FALSE),2),1))</f>
        <v>8</v>
      </c>
      <c r="AX62" s="434"/>
      <c r="AY62" s="432" t="str">
        <f>IF(VLOOKUP(AA60,suvaha!$D$8:$H$85,2,FALSE)=0,"",IF(LEN(VLOOKUP(AA60,suvaha!$D$8:$H$158,2,FALSE))&lt;1,"",LEFT(RIGHT(VLOOKUP(AA60,suvaha!$D$8:$H$158,2,FALSE),1),1)))</f>
        <v>2</v>
      </c>
      <c r="AZ62" s="827"/>
      <c r="BA62" s="826"/>
      <c r="BB62" s="432" t="str">
        <f>IF(LEN(VLOOKUP(AA60,suvaha!$D$8:$H$158,4,FALSE))&lt;11,"",LEFT(RIGHT(VLOOKUP(AA60,suvaha!$D$8:$H$158,4,FALSE),11),1))</f>
        <v/>
      </c>
      <c r="BC62" s="255"/>
      <c r="BD62" s="432" t="str">
        <f>IF(LEN(VLOOKUP(AA60,suvaha!$D$8:$H$158,4,FALSE))&lt;10,"",LEFT(RIGHT(VLOOKUP(AA60,suvaha!$D$8:$H$158,4,FALSE),10),1))</f>
        <v/>
      </c>
      <c r="BE62" s="434"/>
      <c r="BF62" s="432" t="str">
        <f>IF(LEN(VLOOKUP(AA60,suvaha!$D$8:$H$158,4,FALSE))&lt;9,"",LEFT(RIGHT(VLOOKUP(AA60,suvaha!$D$8:$H$158,4,FALSE),9),1))</f>
        <v/>
      </c>
      <c r="BG62" s="255"/>
      <c r="BH62" s="432" t="str">
        <f>IF(LEN(VLOOKUP(AA60,suvaha!$D$8:$H$158,4,FALSE))&lt;8,"",LEFT(RIGHT(VLOOKUP(AA60,suvaha!$D$8:$H$158,4,FALSE),8),1))</f>
        <v/>
      </c>
      <c r="BI62" s="434"/>
      <c r="BJ62" s="432" t="str">
        <f>IF(LEN(VLOOKUP(AA60,suvaha!$D$8:$H$158,4,FALSE))&lt;7,"",LEFT(RIGHT(VLOOKUP(AA60,suvaha!$D$8:$H$158,4,FALSE),7),1))</f>
        <v/>
      </c>
      <c r="BK62" s="818"/>
      <c r="BL62" s="432" t="str">
        <f>IF(LEN(VLOOKUP(AA60,suvaha!$D$8:$H$158,4,FALSE))&lt;6,"",LEFT(RIGHT(VLOOKUP(AA60,suvaha!$D$8:$H$158,4,FALSE),6),1))</f>
        <v/>
      </c>
      <c r="BM62" s="434"/>
      <c r="BN62" s="432" t="str">
        <f>IF(LEN(VLOOKUP(AA60,suvaha!$D$8:$H$158,4,FALSE))&lt;5,"",LEFT(RIGHT(VLOOKUP(AA60,suvaha!$D$8:$H$158,4,FALSE),5),1))</f>
        <v/>
      </c>
      <c r="BO62" s="434"/>
      <c r="BP62" s="432" t="str">
        <f>IF(LEN(VLOOKUP(AA60,suvaha!$D$8:$H$158,4,FALSE))&lt;4,"",LEFT(RIGHT(VLOOKUP(AA60,suvaha!$D$8:$H$158,4,FALSE),4),1))</f>
        <v/>
      </c>
      <c r="BQ62" s="819"/>
      <c r="BR62" s="432" t="str">
        <f>IF(LEN(VLOOKUP(AA60,suvaha!$D$8:$H$158,4,FALSE))&lt;3,"",LEFT(RIGHT(VLOOKUP(AA60,suvaha!$D$8:$H$158,4,FALSE),3),1))</f>
        <v>4</v>
      </c>
      <c r="BS62" s="434"/>
      <c r="BT62" s="432" t="str">
        <f>IF(LEN(VLOOKUP(AA60,suvaha!$D$8:$H$158,4,FALSE))&lt;2,"",LEFT(RIGHT(VLOOKUP(AA60,suvaha!$D$8:$H$158,4,FALSE),2),1))</f>
        <v>8</v>
      </c>
      <c r="BU62" s="434"/>
      <c r="BV62" s="432" t="str">
        <f>IF(VLOOKUP(AA60,suvaha!$D$8:$H$85,4,FALSE)=0,"",IF(LEN(VLOOKUP(AA60,suvaha!$D$8:$H$158,4,FALSE))&lt;1,"",LEFT(RIGHT(VLOOKUP(AA60,suvaha!$D$8:$H$158,4,FALSE),1),1)))</f>
        <v>2</v>
      </c>
      <c r="BW62" s="441"/>
      <c r="BX62" s="442"/>
      <c r="BY62" s="442"/>
      <c r="BZ62" s="442"/>
      <c r="CA62" s="442"/>
      <c r="CB62" s="442"/>
      <c r="CC62" s="442"/>
      <c r="CD62" s="442"/>
      <c r="CE62" s="442"/>
      <c r="CF62" s="442"/>
      <c r="CG62" s="285"/>
      <c r="CH62" s="878"/>
      <c r="CI62" s="220"/>
    </row>
    <row r="63" spans="1:87" ht="3" customHeight="1">
      <c r="B63" s="879"/>
      <c r="C63" s="879"/>
      <c r="D63" s="879"/>
      <c r="E63" s="877"/>
      <c r="F63" s="877"/>
      <c r="G63" s="862"/>
      <c r="H63" s="864"/>
      <c r="I63" s="864"/>
      <c r="J63" s="864"/>
      <c r="K63" s="864"/>
      <c r="L63" s="864"/>
      <c r="M63" s="864"/>
      <c r="N63" s="864"/>
      <c r="O63" s="864"/>
      <c r="P63" s="864"/>
      <c r="Q63" s="864"/>
      <c r="R63" s="864"/>
      <c r="S63" s="864"/>
      <c r="T63" s="864"/>
      <c r="U63" s="864"/>
      <c r="V63" s="864"/>
      <c r="W63" s="864"/>
      <c r="X63" s="864"/>
      <c r="Y63" s="864"/>
      <c r="Z63" s="864"/>
      <c r="AA63" s="866"/>
      <c r="AB63" s="866"/>
      <c r="AC63" s="866"/>
      <c r="AD63" s="845"/>
      <c r="AE63" s="845"/>
      <c r="AF63" s="845"/>
      <c r="AG63" s="845"/>
      <c r="AH63" s="845"/>
      <c r="AI63" s="845"/>
      <c r="AJ63" s="845"/>
      <c r="AK63" s="845"/>
      <c r="AL63" s="845"/>
      <c r="AM63" s="845"/>
      <c r="AN63" s="845"/>
      <c r="AO63" s="845"/>
      <c r="AP63" s="845"/>
      <c r="AQ63" s="845"/>
      <c r="AR63" s="845"/>
      <c r="AS63" s="845"/>
      <c r="AT63" s="845"/>
      <c r="AU63" s="845"/>
      <c r="AV63" s="845"/>
      <c r="AW63" s="845"/>
      <c r="AX63" s="845"/>
      <c r="AY63" s="845"/>
      <c r="AZ63" s="845"/>
      <c r="BA63" s="846"/>
      <c r="BB63" s="846"/>
      <c r="BC63" s="846"/>
      <c r="BD63" s="846"/>
      <c r="BE63" s="846"/>
      <c r="BF63" s="846"/>
      <c r="BG63" s="846"/>
      <c r="BH63" s="846"/>
      <c r="BI63" s="846"/>
      <c r="BJ63" s="846"/>
      <c r="BK63" s="846"/>
      <c r="BL63" s="846"/>
      <c r="BM63" s="846"/>
      <c r="BN63" s="846"/>
      <c r="BO63" s="846"/>
      <c r="BP63" s="846"/>
      <c r="BQ63" s="846"/>
      <c r="BR63" s="310"/>
      <c r="BS63" s="310"/>
      <c r="BT63" s="310"/>
      <c r="BU63" s="310"/>
      <c r="BV63" s="310"/>
      <c r="BW63" s="443"/>
      <c r="BX63" s="310"/>
      <c r="BY63" s="310"/>
      <c r="BZ63" s="310"/>
      <c r="CA63" s="310"/>
      <c r="CB63" s="310"/>
      <c r="CC63" s="310"/>
      <c r="CD63" s="310"/>
      <c r="CE63" s="310"/>
      <c r="CF63" s="310"/>
      <c r="CG63" s="286"/>
      <c r="CH63" s="878"/>
      <c r="CI63" s="220"/>
    </row>
    <row r="64" spans="1:87" ht="3" customHeight="1">
      <c r="B64" s="879"/>
      <c r="C64" s="879"/>
      <c r="D64" s="879"/>
      <c r="E64" s="877"/>
      <c r="F64" s="877"/>
      <c r="G64" s="862"/>
      <c r="H64" s="864"/>
      <c r="I64" s="864"/>
      <c r="J64" s="864"/>
      <c r="K64" s="864"/>
      <c r="L64" s="864"/>
      <c r="M64" s="864"/>
      <c r="N64" s="864"/>
      <c r="O64" s="864"/>
      <c r="P64" s="864"/>
      <c r="Q64" s="864"/>
      <c r="R64" s="864"/>
      <c r="S64" s="864"/>
      <c r="T64" s="864"/>
      <c r="U64" s="864"/>
      <c r="V64" s="864"/>
      <c r="W64" s="864"/>
      <c r="X64" s="864"/>
      <c r="Y64" s="864"/>
      <c r="Z64" s="864"/>
      <c r="AA64" s="866"/>
      <c r="AB64" s="866"/>
      <c r="AC64" s="866"/>
      <c r="AD64" s="825"/>
      <c r="AE64" s="825"/>
      <c r="AF64" s="825"/>
      <c r="AG64" s="825"/>
      <c r="AH64" s="825"/>
      <c r="AI64" s="825"/>
      <c r="AJ64" s="825"/>
      <c r="AK64" s="825"/>
      <c r="AL64" s="825"/>
      <c r="AM64" s="825"/>
      <c r="AN64" s="825"/>
      <c r="AO64" s="825"/>
      <c r="AP64" s="825"/>
      <c r="AQ64" s="825"/>
      <c r="AR64" s="825"/>
      <c r="AS64" s="825"/>
      <c r="AT64" s="825"/>
      <c r="AU64" s="825"/>
      <c r="AV64" s="825"/>
      <c r="AW64" s="825"/>
      <c r="AX64" s="825"/>
      <c r="AY64" s="825"/>
      <c r="AZ64" s="825"/>
      <c r="BA64" s="875"/>
      <c r="BB64" s="875"/>
      <c r="BC64" s="875"/>
      <c r="BD64" s="875"/>
      <c r="BE64" s="875"/>
      <c r="BF64" s="875"/>
      <c r="BG64" s="875"/>
      <c r="BH64" s="875"/>
      <c r="BI64" s="875"/>
      <c r="BJ64" s="875"/>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284"/>
      <c r="CH64" s="878"/>
      <c r="CI64" s="220"/>
    </row>
    <row r="65" spans="1:87" ht="3" customHeight="1">
      <c r="B65" s="879"/>
      <c r="C65" s="879"/>
      <c r="D65" s="879"/>
      <c r="E65" s="877"/>
      <c r="F65" s="877"/>
      <c r="G65" s="862"/>
      <c r="H65" s="864"/>
      <c r="I65" s="864"/>
      <c r="J65" s="864"/>
      <c r="K65" s="864"/>
      <c r="L65" s="864"/>
      <c r="M65" s="864"/>
      <c r="N65" s="864"/>
      <c r="O65" s="864"/>
      <c r="P65" s="864"/>
      <c r="Q65" s="864"/>
      <c r="R65" s="864"/>
      <c r="S65" s="864"/>
      <c r="T65" s="864"/>
      <c r="U65" s="864"/>
      <c r="V65" s="864"/>
      <c r="W65" s="864"/>
      <c r="X65" s="864"/>
      <c r="Y65" s="864"/>
      <c r="Z65" s="864"/>
      <c r="AA65" s="866"/>
      <c r="AB65" s="866"/>
      <c r="AC65" s="866"/>
      <c r="AD65" s="826"/>
      <c r="AE65" s="820"/>
      <c r="AF65" s="820"/>
      <c r="AG65" s="820"/>
      <c r="AH65" s="435"/>
      <c r="AI65" s="821"/>
      <c r="AJ65" s="821"/>
      <c r="AK65" s="821"/>
      <c r="AL65" s="821"/>
      <c r="AM65" s="821"/>
      <c r="AN65" s="818" t="s">
        <v>965</v>
      </c>
      <c r="AO65" s="822"/>
      <c r="AP65" s="822"/>
      <c r="AQ65" s="822"/>
      <c r="AR65" s="822"/>
      <c r="AS65" s="822"/>
      <c r="AT65" s="818" t="s">
        <v>965</v>
      </c>
      <c r="AU65" s="822"/>
      <c r="AV65" s="822"/>
      <c r="AW65" s="822"/>
      <c r="AX65" s="822"/>
      <c r="AY65" s="822"/>
      <c r="AZ65" s="827"/>
      <c r="BA65" s="875"/>
      <c r="BB65" s="875"/>
      <c r="BC65" s="875"/>
      <c r="BD65" s="875"/>
      <c r="BE65" s="875"/>
      <c r="BF65" s="875"/>
      <c r="BG65" s="875"/>
      <c r="BH65" s="875"/>
      <c r="BI65" s="875"/>
      <c r="BJ65" s="875"/>
      <c r="BK65" s="442"/>
      <c r="BL65" s="820"/>
      <c r="BM65" s="820"/>
      <c r="BN65" s="820"/>
      <c r="BO65" s="442"/>
      <c r="BP65" s="444"/>
      <c r="BQ65" s="444"/>
      <c r="BR65" s="444"/>
      <c r="BS65" s="444"/>
      <c r="BT65" s="444"/>
      <c r="BU65" s="442"/>
      <c r="BV65" s="444"/>
      <c r="BW65" s="444"/>
      <c r="BX65" s="444"/>
      <c r="BY65" s="444"/>
      <c r="BZ65" s="444"/>
      <c r="CA65" s="445"/>
      <c r="CB65" s="444"/>
      <c r="CC65" s="444"/>
      <c r="CD65" s="444"/>
      <c r="CE65" s="444"/>
      <c r="CF65" s="444"/>
      <c r="CG65" s="287"/>
      <c r="CH65" s="878"/>
      <c r="CI65" s="220"/>
    </row>
    <row r="66" spans="1:87" ht="15" customHeight="1">
      <c r="B66" s="879"/>
      <c r="C66" s="879"/>
      <c r="D66" s="879"/>
      <c r="E66" s="877"/>
      <c r="F66" s="877"/>
      <c r="G66" s="862"/>
      <c r="H66" s="864"/>
      <c r="I66" s="864"/>
      <c r="J66" s="864"/>
      <c r="K66" s="864"/>
      <c r="L66" s="864"/>
      <c r="M66" s="864"/>
      <c r="N66" s="864"/>
      <c r="O66" s="864"/>
      <c r="P66" s="864"/>
      <c r="Q66" s="864"/>
      <c r="R66" s="864"/>
      <c r="S66" s="864"/>
      <c r="T66" s="864"/>
      <c r="U66" s="864"/>
      <c r="V66" s="864"/>
      <c r="W66" s="864"/>
      <c r="X66" s="864"/>
      <c r="Y66" s="864"/>
      <c r="Z66" s="864"/>
      <c r="AA66" s="866"/>
      <c r="AB66" s="866"/>
      <c r="AC66" s="866"/>
      <c r="AD66" s="826"/>
      <c r="AE66" s="432" t="str">
        <f>IF(LEN(VLOOKUP(AA60,suvaha!$D$8:$H$158,3,FALSE))&lt;11,"",LEFT(RIGHT(VLOOKUP(AA60,suvaha!$D$8:$H$158,3,FALSE),11),1))</f>
        <v/>
      </c>
      <c r="AF66" s="255" t="s">
        <v>965</v>
      </c>
      <c r="AG66" s="432" t="str">
        <f>IF(LEN(VLOOKUP(AA60,suvaha!$D$8:$H$158,3,FALSE))&lt;10,"",LEFT(RIGHT(VLOOKUP(AA60,suvaha!$D$8:$H$158,3,FALSE),10),1))</f>
        <v/>
      </c>
      <c r="AH66" s="434" t="s">
        <v>965</v>
      </c>
      <c r="AI66" s="432" t="str">
        <f>IF(LEN(VLOOKUP(AA60,suvaha!$D$8:$H$158,3,FALSE))&lt;9,"",LEFT(RIGHT(VLOOKUP(AA60,suvaha!$D$8:$H$158,3,FALSE),9),1))</f>
        <v/>
      </c>
      <c r="AJ66" s="255" t="s">
        <v>965</v>
      </c>
      <c r="AK66" s="432" t="str">
        <f>IF(LEN(VLOOKUP(AA60,suvaha!$D$8:$H$158,3,FALSE))&lt;8,"",LEFT(RIGHT(VLOOKUP(AA60,suvaha!$D$8:$H$158,3,FALSE),8),1))</f>
        <v/>
      </c>
      <c r="AL66" s="434" t="s">
        <v>965</v>
      </c>
      <c r="AM66" s="432" t="str">
        <f>IF(LEN(VLOOKUP(AA60,suvaha!$D$8:$H$158,3,FALSE))&lt;7,"",LEFT(RIGHT(VLOOKUP(AA60,suvaha!$D$8:$H$158,3,FALSE),7),1))</f>
        <v/>
      </c>
      <c r="AN66" s="818"/>
      <c r="AO66" s="432" t="str">
        <f>IF(LEN(VLOOKUP(AA60,suvaha!$D$8:$H$158,3,FALSE))&lt;6,"",LEFT(RIGHT(VLOOKUP(AA60,suvaha!$D$8:$H$158,3,FALSE),6),1))</f>
        <v/>
      </c>
      <c r="AP66" s="434" t="s">
        <v>965</v>
      </c>
      <c r="AQ66" s="432" t="str">
        <f>IF(LEN(VLOOKUP(AA60,suvaha!$D$8:$H$158,3,FALSE))&lt;5,"",LEFT(RIGHT(VLOOKUP(AA60,suvaha!$D$8:$H$158,3,FALSE),5),1))</f>
        <v/>
      </c>
      <c r="AR66" s="434" t="s">
        <v>965</v>
      </c>
      <c r="AS66" s="432" t="str">
        <f>IF(LEN(VLOOKUP(AA60,suvaha!$D$8:$H$158,3,FALSE))&lt;4,"",LEFT(RIGHT(VLOOKUP(AA60,suvaha!$D$8:$H$158,3,FALSE),4),1))</f>
        <v/>
      </c>
      <c r="AT66" s="818"/>
      <c r="AU66" s="432" t="str">
        <f>IF(LEN(VLOOKUP(AA60,suvaha!$D$8:$H$158,3,FALSE))&lt;3,"",LEFT(RIGHT(VLOOKUP(AA60,suvaha!$D$8:$H$158,3,FALSE),3),1))</f>
        <v/>
      </c>
      <c r="AV66" s="434" t="s">
        <v>965</v>
      </c>
      <c r="AW66" s="432" t="str">
        <f>IF(LEN(VLOOKUP(AA60,suvaha!$D$8:$H$158,3,FALSE))&lt;2,"",LEFT(RIGHT(VLOOKUP(AA60,suvaha!$D$8:$H$158,3,FALSE),2),1))</f>
        <v/>
      </c>
      <c r="AX66" s="434" t="s">
        <v>965</v>
      </c>
      <c r="AY66" s="432" t="str">
        <f>IF(VLOOKUP(AA60,suvaha!$D$8:$H$85,3,FALSE)=0,"",IF(LEN(VLOOKUP(AA60,suvaha!$D$8:$H$158,3,FALSE))&lt;1,"",LEFT(RIGHT(VLOOKUP(AA60,suvaha!$D$8:$H$158,3,FALSE),1),1)))</f>
        <v/>
      </c>
      <c r="AZ66" s="827"/>
      <c r="BA66" s="875"/>
      <c r="BB66" s="875"/>
      <c r="BC66" s="875"/>
      <c r="BD66" s="875"/>
      <c r="BE66" s="875"/>
      <c r="BF66" s="875"/>
      <c r="BG66" s="875"/>
      <c r="BH66" s="875"/>
      <c r="BI66" s="875"/>
      <c r="BJ66" s="875"/>
      <c r="BK66" s="442"/>
      <c r="BL66" s="432" t="str">
        <f>IF(LEN(VLOOKUP(AA60,suvaha!$D$8:$H$158,5,FALSE))&lt;11,"",LEFT(RIGHT(VLOOKUP(AA60,suvaha!$D$8:$H$158,5,FALSE),11),1))</f>
        <v/>
      </c>
      <c r="BM66" s="255" t="s">
        <v>965</v>
      </c>
      <c r="BN66" s="432" t="str">
        <f>IF(LEN(VLOOKUP(AA60,suvaha!$D$8:$H$158,5,FALSE))&lt;10,"",LEFT(RIGHT(VLOOKUP(AA60,suvaha!$D$8:$H$158,5,FALSE),10),1))</f>
        <v/>
      </c>
      <c r="BO66" s="442" t="s">
        <v>965</v>
      </c>
      <c r="BP66" s="432" t="str">
        <f>IF(LEN(VLOOKUP(AA60,suvaha!$D$8:$H$158,5,FALSE))&lt;9,"",LEFT(RIGHT(VLOOKUP(AA60,suvaha!$D$8:$H$158,5,FALSE),9),1))</f>
        <v/>
      </c>
      <c r="BQ66" s="434" t="s">
        <v>965</v>
      </c>
      <c r="BR66" s="432" t="str">
        <f>IF(LEN(VLOOKUP(AA60,suvaha!$D$8:$H$158,5,FALSE))&lt;8,"",LEFT(RIGHT(VLOOKUP(AA60,suvaha!$D$8:$H$158,5,FALSE),8),1))</f>
        <v/>
      </c>
      <c r="BS66" s="434" t="s">
        <v>965</v>
      </c>
      <c r="BT66" s="432" t="str">
        <f>IF(LEN(VLOOKUP(AA60,suvaha!$D$8:$H$158,5,FALSE))&lt;7,"",LEFT(RIGHT(VLOOKUP(AA60,suvaha!$D$8:$H$158,5,FALSE),7),1))</f>
        <v/>
      </c>
      <c r="BU66" s="442" t="s">
        <v>965</v>
      </c>
      <c r="BV66" s="432" t="str">
        <f>IF(LEN(VLOOKUP(AA60,suvaha!$D$8:$H$158,5,FALSE))&lt;6,"",LEFT(RIGHT(VLOOKUP(AA60,suvaha!$D$8:$H$158,5,FALSE),6),1))</f>
        <v/>
      </c>
      <c r="BW66" s="434" t="s">
        <v>965</v>
      </c>
      <c r="BX66" s="432" t="str">
        <f>IF(LEN(VLOOKUP(AA60,suvaha!$D$8:$H$158,5,FALSE))&lt;5,"",LEFT(RIGHT(VLOOKUP(AA60,suvaha!$D$8:$H$158,5,FALSE),5),1))</f>
        <v/>
      </c>
      <c r="BY66" s="434" t="s">
        <v>965</v>
      </c>
      <c r="BZ66" s="432" t="str">
        <f>IF(LEN(VLOOKUP(AA60,suvaha!$D$8:$H$158,5,FALSE))&lt;4,"",LEFT(RIGHT(VLOOKUP(AA60,suvaha!$D$8:$H$158,5,FALSE),4),1))</f>
        <v>2</v>
      </c>
      <c r="CA66" s="445" t="s">
        <v>965</v>
      </c>
      <c r="CB66" s="432" t="str">
        <f>IF(LEN(VLOOKUP(AA60,suvaha!$D$8:$H$158,5,FALSE))&lt;3,"",LEFT(RIGHT(VLOOKUP(AA60,suvaha!$D$8:$H$158,5,FALSE),3),1))</f>
        <v>4</v>
      </c>
      <c r="CC66" s="434" t="s">
        <v>965</v>
      </c>
      <c r="CD66" s="432" t="str">
        <f>IF(LEN(VLOOKUP(AA60,suvaha!$D$8:$H$158,5,FALSE))&lt;2,"",LEFT(RIGHT(VLOOKUP(AA60,suvaha!$D$8:$H$158,5,FALSE),2),1))</f>
        <v>4</v>
      </c>
      <c r="CE66" s="434" t="s">
        <v>1540</v>
      </c>
      <c r="CF66" s="432" t="str">
        <f>IF(VLOOKUP(AA60,suvaha!$D$8:$H$85,5,FALSE)=0,"",IF(LEN(VLOOKUP(AA60,suvaha!$D$8:$H$158,5,FALSE))&lt;1,"",LEFT(RIGHT(VLOOKUP(AA60,suvaha!$D$8:$H$158,5,FALSE),1),1)))</f>
        <v>8</v>
      </c>
      <c r="CG66" s="287"/>
      <c r="CH66" s="878"/>
      <c r="CI66" s="220"/>
    </row>
    <row r="67" spans="1:87" ht="3" customHeight="1">
      <c r="B67" s="879"/>
      <c r="C67" s="879"/>
      <c r="D67" s="879"/>
      <c r="E67" s="877"/>
      <c r="F67" s="877"/>
      <c r="G67" s="862"/>
      <c r="H67" s="864"/>
      <c r="I67" s="864"/>
      <c r="J67" s="864"/>
      <c r="K67" s="864"/>
      <c r="L67" s="864"/>
      <c r="M67" s="864"/>
      <c r="N67" s="864"/>
      <c r="O67" s="864"/>
      <c r="P67" s="864"/>
      <c r="Q67" s="864"/>
      <c r="R67" s="864"/>
      <c r="S67" s="864"/>
      <c r="T67" s="864"/>
      <c r="U67" s="864"/>
      <c r="V67" s="864"/>
      <c r="W67" s="864"/>
      <c r="X67" s="864"/>
      <c r="Y67" s="864"/>
      <c r="Z67" s="864"/>
      <c r="AA67" s="866"/>
      <c r="AB67" s="866"/>
      <c r="AC67" s="866"/>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875"/>
      <c r="BB67" s="875"/>
      <c r="BC67" s="875"/>
      <c r="BD67" s="875"/>
      <c r="BE67" s="875"/>
      <c r="BF67" s="875"/>
      <c r="BG67" s="875"/>
      <c r="BH67" s="875"/>
      <c r="BI67" s="875"/>
      <c r="BJ67" s="875"/>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286"/>
      <c r="CH67" s="878"/>
      <c r="CI67" s="220"/>
    </row>
    <row r="68" spans="1:87" s="250" customFormat="1" ht="3" customHeight="1">
      <c r="A68" s="220"/>
      <c r="B68" s="879"/>
      <c r="C68" s="879"/>
      <c r="D68" s="879"/>
      <c r="E68" s="877" t="s">
        <v>1559</v>
      </c>
      <c r="F68" s="877"/>
      <c r="G68" s="862"/>
      <c r="H68" s="864" t="str">
        <f>Index!C115</f>
        <v>Pohľadávky z derivátových operácií (373A, 376A)</v>
      </c>
      <c r="I68" s="864"/>
      <c r="J68" s="864"/>
      <c r="K68" s="864"/>
      <c r="L68" s="864"/>
      <c r="M68" s="864"/>
      <c r="N68" s="864"/>
      <c r="O68" s="864"/>
      <c r="P68" s="864"/>
      <c r="Q68" s="864"/>
      <c r="R68" s="864"/>
      <c r="S68" s="864"/>
      <c r="T68" s="864"/>
      <c r="U68" s="864"/>
      <c r="V68" s="864"/>
      <c r="W68" s="864"/>
      <c r="X68" s="864"/>
      <c r="Y68" s="864"/>
      <c r="Z68" s="864"/>
      <c r="AA68" s="866" t="s">
        <v>1624</v>
      </c>
      <c r="AB68" s="866"/>
      <c r="AC68" s="866"/>
      <c r="AD68" s="825"/>
      <c r="AE68" s="825"/>
      <c r="AF68" s="825"/>
      <c r="AG68" s="825"/>
      <c r="AH68" s="825"/>
      <c r="AI68" s="825"/>
      <c r="AJ68" s="825"/>
      <c r="AK68" s="825"/>
      <c r="AL68" s="825"/>
      <c r="AM68" s="825"/>
      <c r="AN68" s="825"/>
      <c r="AO68" s="825"/>
      <c r="AP68" s="825"/>
      <c r="AQ68" s="825"/>
      <c r="AR68" s="825"/>
      <c r="AS68" s="825"/>
      <c r="AT68" s="825"/>
      <c r="AU68" s="825"/>
      <c r="AV68" s="825"/>
      <c r="AW68" s="825"/>
      <c r="AX68" s="825"/>
      <c r="AY68" s="825"/>
      <c r="AZ68" s="825"/>
      <c r="BA68" s="867"/>
      <c r="BB68" s="867"/>
      <c r="BC68" s="867"/>
      <c r="BD68" s="867"/>
      <c r="BE68" s="867"/>
      <c r="BF68" s="867"/>
      <c r="BG68" s="867"/>
      <c r="BH68" s="867"/>
      <c r="BI68" s="867"/>
      <c r="BJ68" s="867"/>
      <c r="BK68" s="867"/>
      <c r="BL68" s="867"/>
      <c r="BM68" s="867"/>
      <c r="BN68" s="867"/>
      <c r="BO68" s="867"/>
      <c r="BP68" s="867"/>
      <c r="BQ68" s="867"/>
      <c r="BR68" s="304"/>
      <c r="BS68" s="304"/>
      <c r="BT68" s="304"/>
      <c r="BU68" s="304"/>
      <c r="BV68" s="304"/>
      <c r="BW68" s="446"/>
      <c r="BX68" s="304"/>
      <c r="BY68" s="304"/>
      <c r="BZ68" s="304"/>
      <c r="CA68" s="304"/>
      <c r="CB68" s="304"/>
      <c r="CC68" s="304"/>
      <c r="CD68" s="304"/>
      <c r="CE68" s="304"/>
      <c r="CF68" s="304"/>
      <c r="CG68" s="284"/>
      <c r="CH68" s="878"/>
      <c r="CI68" s="288"/>
    </row>
    <row r="69" spans="1:87" s="250" customFormat="1" ht="3" customHeight="1">
      <c r="A69" s="220"/>
      <c r="B69" s="879"/>
      <c r="C69" s="879"/>
      <c r="D69" s="879"/>
      <c r="E69" s="877"/>
      <c r="F69" s="877"/>
      <c r="G69" s="862"/>
      <c r="H69" s="864"/>
      <c r="I69" s="864"/>
      <c r="J69" s="864"/>
      <c r="K69" s="864"/>
      <c r="L69" s="864"/>
      <c r="M69" s="864"/>
      <c r="N69" s="864"/>
      <c r="O69" s="864"/>
      <c r="P69" s="864"/>
      <c r="Q69" s="864"/>
      <c r="R69" s="864"/>
      <c r="S69" s="864"/>
      <c r="T69" s="864"/>
      <c r="U69" s="864"/>
      <c r="V69" s="864"/>
      <c r="W69" s="864"/>
      <c r="X69" s="864"/>
      <c r="Y69" s="864"/>
      <c r="Z69" s="864"/>
      <c r="AA69" s="866"/>
      <c r="AB69" s="866"/>
      <c r="AC69" s="866"/>
      <c r="AD69" s="826"/>
      <c r="AE69" s="820"/>
      <c r="AF69" s="820"/>
      <c r="AG69" s="820"/>
      <c r="AH69" s="435"/>
      <c r="AI69" s="821"/>
      <c r="AJ69" s="821"/>
      <c r="AK69" s="821"/>
      <c r="AL69" s="821"/>
      <c r="AM69" s="821"/>
      <c r="AN69" s="818"/>
      <c r="AO69" s="822"/>
      <c r="AP69" s="822"/>
      <c r="AQ69" s="822"/>
      <c r="AR69" s="822"/>
      <c r="AS69" s="822"/>
      <c r="AT69" s="818"/>
      <c r="AU69" s="822"/>
      <c r="AV69" s="822"/>
      <c r="AW69" s="822"/>
      <c r="AX69" s="822"/>
      <c r="AY69" s="822"/>
      <c r="AZ69" s="827"/>
      <c r="BA69" s="826"/>
      <c r="BB69" s="820"/>
      <c r="BC69" s="820"/>
      <c r="BD69" s="820"/>
      <c r="BE69" s="435"/>
      <c r="BF69" s="821"/>
      <c r="BG69" s="821"/>
      <c r="BH69" s="821"/>
      <c r="BI69" s="821"/>
      <c r="BJ69" s="821"/>
      <c r="BK69" s="818"/>
      <c r="BL69" s="822"/>
      <c r="BM69" s="822"/>
      <c r="BN69" s="822"/>
      <c r="BO69" s="822"/>
      <c r="BP69" s="822"/>
      <c r="BQ69" s="819"/>
      <c r="BR69" s="822"/>
      <c r="BS69" s="822"/>
      <c r="BT69" s="822"/>
      <c r="BU69" s="822"/>
      <c r="BV69" s="822"/>
      <c r="BW69" s="441"/>
      <c r="BX69" s="442"/>
      <c r="BY69" s="442"/>
      <c r="BZ69" s="442"/>
      <c r="CA69" s="442"/>
      <c r="CB69" s="442"/>
      <c r="CC69" s="442"/>
      <c r="CD69" s="442"/>
      <c r="CE69" s="442"/>
      <c r="CF69" s="442"/>
      <c r="CG69" s="285"/>
      <c r="CH69" s="878"/>
      <c r="CI69" s="288"/>
    </row>
    <row r="70" spans="1:87" ht="15" customHeight="1">
      <c r="B70" s="879"/>
      <c r="C70" s="879"/>
      <c r="D70" s="879"/>
      <c r="E70" s="877"/>
      <c r="F70" s="877"/>
      <c r="G70" s="862"/>
      <c r="H70" s="864"/>
      <c r="I70" s="864"/>
      <c r="J70" s="864"/>
      <c r="K70" s="864"/>
      <c r="L70" s="864"/>
      <c r="M70" s="864"/>
      <c r="N70" s="864"/>
      <c r="O70" s="864"/>
      <c r="P70" s="864"/>
      <c r="Q70" s="864"/>
      <c r="R70" s="864"/>
      <c r="S70" s="864"/>
      <c r="T70" s="864"/>
      <c r="U70" s="864"/>
      <c r="V70" s="864"/>
      <c r="W70" s="864"/>
      <c r="X70" s="864"/>
      <c r="Y70" s="864"/>
      <c r="Z70" s="864"/>
      <c r="AA70" s="866"/>
      <c r="AB70" s="866"/>
      <c r="AC70" s="866"/>
      <c r="AD70" s="826"/>
      <c r="AE70" s="432" t="str">
        <f>IF(LEN(VLOOKUP(AA68,suvaha!$D$8:$H$158,2,FALSE))&lt;11,"",LEFT(RIGHT(VLOOKUP(AA68,suvaha!$D$8:$H$158,2,FALSE),11),1))</f>
        <v/>
      </c>
      <c r="AF70" s="255"/>
      <c r="AG70" s="432" t="str">
        <f>IF(LEN(VLOOKUP(AA68,suvaha!$D$8:$H$158,2,FALSE))&lt;10,"",LEFT(RIGHT(VLOOKUP(AA68,suvaha!$D$8:$H$158,2,FALSE),10),1))</f>
        <v/>
      </c>
      <c r="AH70" s="434"/>
      <c r="AI70" s="432" t="str">
        <f>IF(LEN(VLOOKUP(AA68,suvaha!$D$8:$H$158,2,FALSE))&lt;9,"",LEFT(RIGHT(VLOOKUP(AA68,suvaha!$D$8:$H$158,2,FALSE),9),1))</f>
        <v/>
      </c>
      <c r="AJ70" s="255"/>
      <c r="AK70" s="432" t="str">
        <f>IF(LEN(VLOOKUP(AA68,suvaha!$D$8:$H$158,2,FALSE))&lt;8,"",LEFT(RIGHT(VLOOKUP(AA68,suvaha!$D$8:$H$158,2,FALSE),8),1))</f>
        <v/>
      </c>
      <c r="AL70" s="434"/>
      <c r="AM70" s="432" t="str">
        <f>IF(LEN(VLOOKUP(AA68,suvaha!$D$8:$H$158,2,FALSE))&lt;7,"",LEFT(RIGHT(VLOOKUP(AA68,suvaha!$D$8:$H$158,2,FALSE),7),1))</f>
        <v/>
      </c>
      <c r="AN70" s="818"/>
      <c r="AO70" s="432" t="str">
        <f>IF(LEN(VLOOKUP(AA68,suvaha!$D$8:$H$158,2,FALSE))&lt;6,"",LEFT(RIGHT(VLOOKUP(AA68,suvaha!$D$8:$H$158,2,FALSE),6),1))</f>
        <v/>
      </c>
      <c r="AP70" s="434"/>
      <c r="AQ70" s="432" t="str">
        <f>IF(LEN(VLOOKUP(AA68,suvaha!$D$8:$H$158,2,FALSE))&lt;5,"",LEFT(RIGHT(VLOOKUP(AA68,suvaha!$D$8:$H$158,2,FALSE),5),1))</f>
        <v/>
      </c>
      <c r="AR70" s="434"/>
      <c r="AS70" s="432" t="str">
        <f>IF(LEN(VLOOKUP(AA68,suvaha!$D$8:$H$158,2,FALSE))&lt;4,"",LEFT(RIGHT(VLOOKUP(AA68,suvaha!$D$8:$H$158,2,FALSE),4),1))</f>
        <v/>
      </c>
      <c r="AT70" s="818"/>
      <c r="AU70" s="432" t="str">
        <f>IF(LEN(VLOOKUP(AA68,suvaha!$D$8:$H$158,2,FALSE))&lt;3,"",LEFT(RIGHT(VLOOKUP(AA68,suvaha!$D$8:$H$158,2,FALSE),3),1))</f>
        <v/>
      </c>
      <c r="AV70" s="434"/>
      <c r="AW70" s="432" t="str">
        <f>IF(LEN(VLOOKUP(AA68,suvaha!$D$8:$H$158,2,FALSE))&lt;2,"",LEFT(RIGHT(VLOOKUP(AA68,suvaha!$D$8:$H$158,2,FALSE),2),1))</f>
        <v/>
      </c>
      <c r="AX70" s="434"/>
      <c r="AY70" s="432" t="str">
        <f>IF(VLOOKUP(AA68,suvaha!$D$8:$H$85,2,FALSE)=0,"",IF(LEN(VLOOKUP(AA68,suvaha!$D$8:$H$158,2,FALSE))&lt;1,"",LEFT(RIGHT(VLOOKUP(AA68,suvaha!$D$8:$H$158,2,FALSE),1),1)))</f>
        <v/>
      </c>
      <c r="AZ70" s="827"/>
      <c r="BA70" s="826"/>
      <c r="BB70" s="432" t="str">
        <f>IF(LEN(VLOOKUP(AA68,suvaha!$D$8:$H$158,4,FALSE))&lt;11,"",LEFT(RIGHT(VLOOKUP(AA68,suvaha!$D$8:$H$158,4,FALSE),11),1))</f>
        <v/>
      </c>
      <c r="BC70" s="255"/>
      <c r="BD70" s="432" t="str">
        <f>IF(LEN(VLOOKUP(AA68,suvaha!$D$8:$H$158,4,FALSE))&lt;10,"",LEFT(RIGHT(VLOOKUP(AA68,suvaha!$D$8:$H$158,4,FALSE),10),1))</f>
        <v/>
      </c>
      <c r="BE70" s="434"/>
      <c r="BF70" s="432" t="str">
        <f>IF(LEN(VLOOKUP(AA68,suvaha!$D$8:$H$158,4,FALSE))&lt;9,"",LEFT(RIGHT(VLOOKUP(AA68,suvaha!$D$8:$H$158,4,FALSE),9),1))</f>
        <v/>
      </c>
      <c r="BG70" s="255"/>
      <c r="BH70" s="432" t="str">
        <f>IF(LEN(VLOOKUP(AA68,suvaha!$D$8:$H$158,4,FALSE))&lt;8,"",LEFT(RIGHT(VLOOKUP(AA68,suvaha!$D$8:$H$158,4,FALSE),8),1))</f>
        <v/>
      </c>
      <c r="BI70" s="434"/>
      <c r="BJ70" s="432" t="str">
        <f>IF(LEN(VLOOKUP(AA68,suvaha!$D$8:$H$158,4,FALSE))&lt;7,"",LEFT(RIGHT(VLOOKUP(AA68,suvaha!$D$8:$H$158,4,FALSE),7),1))</f>
        <v/>
      </c>
      <c r="BK70" s="818"/>
      <c r="BL70" s="432" t="str">
        <f>IF(LEN(VLOOKUP(AA68,suvaha!$D$8:$H$158,4,FALSE))&lt;6,"",LEFT(RIGHT(VLOOKUP(AA68,suvaha!$D$8:$H$158,4,FALSE),6),1))</f>
        <v/>
      </c>
      <c r="BM70" s="434"/>
      <c r="BN70" s="432" t="str">
        <f>IF(LEN(VLOOKUP(AA68,suvaha!$D$8:$H$158,4,FALSE))&lt;5,"",LEFT(RIGHT(VLOOKUP(AA68,suvaha!$D$8:$H$158,4,FALSE),5),1))</f>
        <v/>
      </c>
      <c r="BO70" s="434"/>
      <c r="BP70" s="432" t="str">
        <f>IF(LEN(VLOOKUP(AA68,suvaha!$D$8:$H$158,4,FALSE))&lt;4,"",LEFT(RIGHT(VLOOKUP(AA68,suvaha!$D$8:$H$158,4,FALSE),4),1))</f>
        <v/>
      </c>
      <c r="BQ70" s="819"/>
      <c r="BR70" s="432" t="str">
        <f>IF(LEN(VLOOKUP(AA68,suvaha!$D$8:$H$158,4,FALSE))&lt;3,"",LEFT(RIGHT(VLOOKUP(AA68,suvaha!$D$8:$H$158,4,FALSE),3),1))</f>
        <v/>
      </c>
      <c r="BS70" s="434"/>
      <c r="BT70" s="432" t="str">
        <f>IF(LEN(VLOOKUP(AA68,suvaha!$D$8:$H$158,4,FALSE))&lt;2,"",LEFT(RIGHT(VLOOKUP(AA68,suvaha!$D$8:$H$158,4,FALSE),2),1))</f>
        <v/>
      </c>
      <c r="BU70" s="434"/>
      <c r="BV70" s="432" t="str">
        <f>IF(VLOOKUP(AA68,suvaha!$D$8:$H$85,4,FALSE)=0,"",IF(LEN(VLOOKUP(AA68,suvaha!$D$8:$H$158,4,FALSE))&lt;1,"",LEFT(RIGHT(VLOOKUP(AA68,suvaha!$D$8:$H$158,4,FALSE),1),1)))</f>
        <v/>
      </c>
      <c r="BW70" s="441"/>
      <c r="BX70" s="442"/>
      <c r="BY70" s="442"/>
      <c r="BZ70" s="442"/>
      <c r="CA70" s="442"/>
      <c r="CB70" s="442"/>
      <c r="CC70" s="442"/>
      <c r="CD70" s="442"/>
      <c r="CE70" s="442"/>
      <c r="CF70" s="442"/>
      <c r="CG70" s="285"/>
      <c r="CH70" s="878"/>
      <c r="CI70" s="220"/>
    </row>
    <row r="71" spans="1:87" ht="3" customHeight="1">
      <c r="B71" s="879"/>
      <c r="C71" s="879"/>
      <c r="D71" s="879"/>
      <c r="E71" s="877"/>
      <c r="F71" s="877"/>
      <c r="G71" s="862"/>
      <c r="H71" s="864"/>
      <c r="I71" s="864"/>
      <c r="J71" s="864"/>
      <c r="K71" s="864"/>
      <c r="L71" s="864"/>
      <c r="M71" s="864"/>
      <c r="N71" s="864"/>
      <c r="O71" s="864"/>
      <c r="P71" s="864"/>
      <c r="Q71" s="864"/>
      <c r="R71" s="864"/>
      <c r="S71" s="864"/>
      <c r="T71" s="864"/>
      <c r="U71" s="864"/>
      <c r="V71" s="864"/>
      <c r="W71" s="864"/>
      <c r="X71" s="864"/>
      <c r="Y71" s="864"/>
      <c r="Z71" s="864"/>
      <c r="AA71" s="866"/>
      <c r="AB71" s="866"/>
      <c r="AC71" s="866"/>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6"/>
      <c r="BB71" s="846"/>
      <c r="BC71" s="846"/>
      <c r="BD71" s="846"/>
      <c r="BE71" s="846"/>
      <c r="BF71" s="846"/>
      <c r="BG71" s="846"/>
      <c r="BH71" s="846"/>
      <c r="BI71" s="846"/>
      <c r="BJ71" s="846"/>
      <c r="BK71" s="846"/>
      <c r="BL71" s="846"/>
      <c r="BM71" s="846"/>
      <c r="BN71" s="846"/>
      <c r="BO71" s="846"/>
      <c r="BP71" s="846"/>
      <c r="BQ71" s="846"/>
      <c r="BR71" s="310"/>
      <c r="BS71" s="310"/>
      <c r="BT71" s="310"/>
      <c r="BU71" s="310"/>
      <c r="BV71" s="310"/>
      <c r="BW71" s="443"/>
      <c r="BX71" s="310"/>
      <c r="BY71" s="310"/>
      <c r="BZ71" s="310"/>
      <c r="CA71" s="310"/>
      <c r="CB71" s="310"/>
      <c r="CC71" s="310"/>
      <c r="CD71" s="310"/>
      <c r="CE71" s="310"/>
      <c r="CF71" s="310"/>
      <c r="CG71" s="286"/>
      <c r="CH71" s="878"/>
      <c r="CI71" s="220"/>
    </row>
    <row r="72" spans="1:87" ht="3" customHeight="1">
      <c r="B72" s="879"/>
      <c r="C72" s="879"/>
      <c r="D72" s="879"/>
      <c r="E72" s="877"/>
      <c r="F72" s="877"/>
      <c r="G72" s="862"/>
      <c r="H72" s="864"/>
      <c r="I72" s="864"/>
      <c r="J72" s="864"/>
      <c r="K72" s="864"/>
      <c r="L72" s="864"/>
      <c r="M72" s="864"/>
      <c r="N72" s="864"/>
      <c r="O72" s="864"/>
      <c r="P72" s="864"/>
      <c r="Q72" s="864"/>
      <c r="R72" s="864"/>
      <c r="S72" s="864"/>
      <c r="T72" s="864"/>
      <c r="U72" s="864"/>
      <c r="V72" s="864"/>
      <c r="W72" s="864"/>
      <c r="X72" s="864"/>
      <c r="Y72" s="864"/>
      <c r="Z72" s="864"/>
      <c r="AA72" s="866"/>
      <c r="AB72" s="866"/>
      <c r="AC72" s="866"/>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25"/>
      <c r="BA72" s="875"/>
      <c r="BB72" s="875"/>
      <c r="BC72" s="875"/>
      <c r="BD72" s="875"/>
      <c r="BE72" s="875"/>
      <c r="BF72" s="875"/>
      <c r="BG72" s="875"/>
      <c r="BH72" s="875"/>
      <c r="BI72" s="875"/>
      <c r="BJ72" s="875"/>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284"/>
      <c r="CH72" s="878"/>
      <c r="CI72" s="220"/>
    </row>
    <row r="73" spans="1:87" ht="3" customHeight="1">
      <c r="B73" s="879"/>
      <c r="C73" s="879"/>
      <c r="D73" s="879"/>
      <c r="E73" s="877"/>
      <c r="F73" s="877"/>
      <c r="G73" s="862"/>
      <c r="H73" s="864"/>
      <c r="I73" s="864"/>
      <c r="J73" s="864"/>
      <c r="K73" s="864"/>
      <c r="L73" s="864"/>
      <c r="M73" s="864"/>
      <c r="N73" s="864"/>
      <c r="O73" s="864"/>
      <c r="P73" s="864"/>
      <c r="Q73" s="864"/>
      <c r="R73" s="864"/>
      <c r="S73" s="864"/>
      <c r="T73" s="864"/>
      <c r="U73" s="864"/>
      <c r="V73" s="864"/>
      <c r="W73" s="864"/>
      <c r="X73" s="864"/>
      <c r="Y73" s="864"/>
      <c r="Z73" s="864"/>
      <c r="AA73" s="866"/>
      <c r="AB73" s="866"/>
      <c r="AC73" s="866"/>
      <c r="AD73" s="826"/>
      <c r="AE73" s="820"/>
      <c r="AF73" s="820"/>
      <c r="AG73" s="820"/>
      <c r="AH73" s="435"/>
      <c r="AI73" s="821"/>
      <c r="AJ73" s="821"/>
      <c r="AK73" s="821"/>
      <c r="AL73" s="821"/>
      <c r="AM73" s="821"/>
      <c r="AN73" s="818" t="s">
        <v>965</v>
      </c>
      <c r="AO73" s="822"/>
      <c r="AP73" s="822"/>
      <c r="AQ73" s="822"/>
      <c r="AR73" s="822"/>
      <c r="AS73" s="822"/>
      <c r="AT73" s="818" t="s">
        <v>965</v>
      </c>
      <c r="AU73" s="822"/>
      <c r="AV73" s="822"/>
      <c r="AW73" s="822"/>
      <c r="AX73" s="822"/>
      <c r="AY73" s="822"/>
      <c r="AZ73" s="827"/>
      <c r="BA73" s="875"/>
      <c r="BB73" s="875"/>
      <c r="BC73" s="875"/>
      <c r="BD73" s="875"/>
      <c r="BE73" s="875"/>
      <c r="BF73" s="875"/>
      <c r="BG73" s="875"/>
      <c r="BH73" s="875"/>
      <c r="BI73" s="875"/>
      <c r="BJ73" s="875"/>
      <c r="BK73" s="442"/>
      <c r="BL73" s="820"/>
      <c r="BM73" s="820"/>
      <c r="BN73" s="820"/>
      <c r="BO73" s="442"/>
      <c r="BP73" s="444"/>
      <c r="BQ73" s="444"/>
      <c r="BR73" s="444"/>
      <c r="BS73" s="444"/>
      <c r="BT73" s="444"/>
      <c r="BU73" s="442"/>
      <c r="BV73" s="444"/>
      <c r="BW73" s="444"/>
      <c r="BX73" s="444"/>
      <c r="BY73" s="444"/>
      <c r="BZ73" s="444"/>
      <c r="CA73" s="445"/>
      <c r="CB73" s="444"/>
      <c r="CC73" s="444"/>
      <c r="CD73" s="444"/>
      <c r="CE73" s="444"/>
      <c r="CF73" s="444"/>
      <c r="CG73" s="287"/>
      <c r="CH73" s="878"/>
      <c r="CI73" s="220"/>
    </row>
    <row r="74" spans="1:87" ht="15" customHeight="1">
      <c r="B74" s="879"/>
      <c r="C74" s="879"/>
      <c r="D74" s="879"/>
      <c r="E74" s="877"/>
      <c r="F74" s="877"/>
      <c r="G74" s="862"/>
      <c r="H74" s="864"/>
      <c r="I74" s="864"/>
      <c r="J74" s="864"/>
      <c r="K74" s="864"/>
      <c r="L74" s="864"/>
      <c r="M74" s="864"/>
      <c r="N74" s="864"/>
      <c r="O74" s="864"/>
      <c r="P74" s="864"/>
      <c r="Q74" s="864"/>
      <c r="R74" s="864"/>
      <c r="S74" s="864"/>
      <c r="T74" s="864"/>
      <c r="U74" s="864"/>
      <c r="V74" s="864"/>
      <c r="W74" s="864"/>
      <c r="X74" s="864"/>
      <c r="Y74" s="864"/>
      <c r="Z74" s="864"/>
      <c r="AA74" s="866"/>
      <c r="AB74" s="866"/>
      <c r="AC74" s="866"/>
      <c r="AD74" s="826"/>
      <c r="AE74" s="432" t="str">
        <f>IF(LEN(VLOOKUP(AA68,suvaha!$D$8:$H$158,3,FALSE))&lt;11,"",LEFT(RIGHT(VLOOKUP(AA68,suvaha!$D$8:$H$158,3,FALSE),11),1))</f>
        <v/>
      </c>
      <c r="AF74" s="255" t="s">
        <v>965</v>
      </c>
      <c r="AG74" s="432" t="str">
        <f>IF(LEN(VLOOKUP(AA68,suvaha!$D$8:$H$158,3,FALSE))&lt;10,"",LEFT(RIGHT(VLOOKUP(AA68,suvaha!$D$8:$H$158,3,FALSE),10),1))</f>
        <v/>
      </c>
      <c r="AH74" s="434" t="s">
        <v>965</v>
      </c>
      <c r="AI74" s="432" t="str">
        <f>IF(LEN(VLOOKUP(AA68,suvaha!$D$8:$H$158,3,FALSE))&lt;9,"",LEFT(RIGHT(VLOOKUP(AA68,suvaha!$D$8:$H$158,3,FALSE),9),1))</f>
        <v/>
      </c>
      <c r="AJ74" s="255" t="s">
        <v>965</v>
      </c>
      <c r="AK74" s="432" t="str">
        <f>IF(LEN(VLOOKUP(AA68,suvaha!$D$8:$H$158,3,FALSE))&lt;8,"",LEFT(RIGHT(VLOOKUP(AA68,suvaha!$D$8:$H$158,3,FALSE),8),1))</f>
        <v/>
      </c>
      <c r="AL74" s="434" t="s">
        <v>965</v>
      </c>
      <c r="AM74" s="432" t="str">
        <f>IF(LEN(VLOOKUP(AA68,suvaha!$D$8:$H$158,3,FALSE))&lt;7,"",LEFT(RIGHT(VLOOKUP(AA68,suvaha!$D$8:$H$158,3,FALSE),7),1))</f>
        <v/>
      </c>
      <c r="AN74" s="818"/>
      <c r="AO74" s="432" t="str">
        <f>IF(LEN(VLOOKUP(AA68,suvaha!$D$8:$H$158,3,FALSE))&lt;6,"",LEFT(RIGHT(VLOOKUP(AA68,suvaha!$D$8:$H$158,3,FALSE),6),1))</f>
        <v/>
      </c>
      <c r="AP74" s="434" t="s">
        <v>965</v>
      </c>
      <c r="AQ74" s="432" t="str">
        <f>IF(LEN(VLOOKUP(AA68,suvaha!$D$8:$H$158,3,FALSE))&lt;5,"",LEFT(RIGHT(VLOOKUP(AA68,suvaha!$D$8:$H$158,3,FALSE),5),1))</f>
        <v/>
      </c>
      <c r="AR74" s="434" t="s">
        <v>965</v>
      </c>
      <c r="AS74" s="432" t="str">
        <f>IF(LEN(VLOOKUP(AA68,suvaha!$D$8:$H$158,3,FALSE))&lt;4,"",LEFT(RIGHT(VLOOKUP(AA68,suvaha!$D$8:$H$158,3,FALSE),4),1))</f>
        <v/>
      </c>
      <c r="AT74" s="818"/>
      <c r="AU74" s="432" t="str">
        <f>IF(LEN(VLOOKUP(AA68,suvaha!$D$8:$H$158,3,FALSE))&lt;3,"",LEFT(RIGHT(VLOOKUP(AA68,suvaha!$D$8:$H$158,3,FALSE),3),1))</f>
        <v/>
      </c>
      <c r="AV74" s="434" t="s">
        <v>965</v>
      </c>
      <c r="AW74" s="432" t="str">
        <f>IF(LEN(VLOOKUP(AA68,suvaha!$D$8:$H$158,3,FALSE))&lt;2,"",LEFT(RIGHT(VLOOKUP(AA68,suvaha!$D$8:$H$158,3,FALSE),2),1))</f>
        <v/>
      </c>
      <c r="AX74" s="434" t="s">
        <v>965</v>
      </c>
      <c r="AY74" s="432" t="str">
        <f>IF(VLOOKUP(AA68,suvaha!$D$8:$H$85,3,FALSE)=0,"",IF(LEN(VLOOKUP(AA68,suvaha!$D$8:$H$158,3,FALSE))&lt;1,"",LEFT(RIGHT(VLOOKUP(AA68,suvaha!$D$8:$H$158,3,FALSE),1),1)))</f>
        <v/>
      </c>
      <c r="AZ74" s="827"/>
      <c r="BA74" s="875"/>
      <c r="BB74" s="875"/>
      <c r="BC74" s="875"/>
      <c r="BD74" s="875"/>
      <c r="BE74" s="875"/>
      <c r="BF74" s="875"/>
      <c r="BG74" s="875"/>
      <c r="BH74" s="875"/>
      <c r="BI74" s="875"/>
      <c r="BJ74" s="875"/>
      <c r="BK74" s="442"/>
      <c r="BL74" s="432" t="str">
        <f>IF(LEN(VLOOKUP(AA68,suvaha!$D$8:$H$158,5,FALSE))&lt;11,"",LEFT(RIGHT(VLOOKUP(AA68,suvaha!$D$8:$H$158,5,FALSE),11),1))</f>
        <v/>
      </c>
      <c r="BM74" s="255" t="s">
        <v>965</v>
      </c>
      <c r="BN74" s="432" t="str">
        <f>IF(LEN(VLOOKUP(AA68,suvaha!$D$8:$H$158,5,FALSE))&lt;10,"",LEFT(RIGHT(VLOOKUP(AA68,suvaha!$D$8:$H$158,5,FALSE),10),1))</f>
        <v/>
      </c>
      <c r="BO74" s="442" t="s">
        <v>965</v>
      </c>
      <c r="BP74" s="432" t="str">
        <f>IF(LEN(VLOOKUP(AA68,suvaha!$D$8:$H$158,5,FALSE))&lt;9,"",LEFT(RIGHT(VLOOKUP(AA68,suvaha!$D$8:$H$158,5,FALSE),9),1))</f>
        <v/>
      </c>
      <c r="BQ74" s="434" t="s">
        <v>965</v>
      </c>
      <c r="BR74" s="432" t="str">
        <f>IF(LEN(VLOOKUP(AA68,suvaha!$D$8:$H$158,5,FALSE))&lt;8,"",LEFT(RIGHT(VLOOKUP(AA68,suvaha!$D$8:$H$158,5,FALSE),8),1))</f>
        <v/>
      </c>
      <c r="BS74" s="434" t="s">
        <v>965</v>
      </c>
      <c r="BT74" s="432" t="str">
        <f>IF(LEN(VLOOKUP(AA68,suvaha!$D$8:$H$158,5,FALSE))&lt;7,"",LEFT(RIGHT(VLOOKUP(AA68,suvaha!$D$8:$H$158,5,FALSE),7),1))</f>
        <v/>
      </c>
      <c r="BU74" s="442" t="s">
        <v>965</v>
      </c>
      <c r="BV74" s="432" t="str">
        <f>IF(LEN(VLOOKUP(AA68,suvaha!$D$8:$H$158,5,FALSE))&lt;6,"",LEFT(RIGHT(VLOOKUP(AA68,suvaha!$D$8:$H$158,5,FALSE),6),1))</f>
        <v/>
      </c>
      <c r="BW74" s="434" t="s">
        <v>965</v>
      </c>
      <c r="BX74" s="432" t="str">
        <f>IF(LEN(VLOOKUP(AA68,suvaha!$D$8:$H$158,5,FALSE))&lt;5,"",LEFT(RIGHT(VLOOKUP(AA68,suvaha!$D$8:$H$158,5,FALSE),5),1))</f>
        <v/>
      </c>
      <c r="BY74" s="434" t="s">
        <v>965</v>
      </c>
      <c r="BZ74" s="432" t="str">
        <f>IF(LEN(VLOOKUP(AA68,suvaha!$D$8:$H$158,5,FALSE))&lt;4,"",LEFT(RIGHT(VLOOKUP(AA68,suvaha!$D$8:$H$158,5,FALSE),4),1))</f>
        <v/>
      </c>
      <c r="CA74" s="445" t="s">
        <v>965</v>
      </c>
      <c r="CB74" s="432" t="str">
        <f>IF(LEN(VLOOKUP(AA68,suvaha!$D$8:$H$158,5,FALSE))&lt;3,"",LEFT(RIGHT(VLOOKUP(AA68,suvaha!$D$8:$H$158,5,FALSE),3),1))</f>
        <v/>
      </c>
      <c r="CC74" s="434" t="s">
        <v>965</v>
      </c>
      <c r="CD74" s="432" t="str">
        <f>IF(LEN(VLOOKUP(AA68,suvaha!$D$8:$H$158,5,FALSE))&lt;2,"",LEFT(RIGHT(VLOOKUP(AA68,suvaha!$D$8:$H$158,5,FALSE),2),1))</f>
        <v/>
      </c>
      <c r="CE74" s="434" t="s">
        <v>1540</v>
      </c>
      <c r="CF74" s="432" t="str">
        <f>IF(VLOOKUP(AA68,suvaha!$D$8:$H$85,5,FALSE)=0,"",IF(LEN(VLOOKUP(AA68,suvaha!$D$8:$H$158,5,FALSE))&lt;1,"",LEFT(RIGHT(VLOOKUP(AA68,suvaha!$D$8:$H$158,5,FALSE),1),1)))</f>
        <v/>
      </c>
      <c r="CG74" s="287"/>
      <c r="CH74" s="878"/>
      <c r="CI74" s="220"/>
    </row>
    <row r="75" spans="1:87" ht="3" customHeight="1">
      <c r="B75" s="879"/>
      <c r="C75" s="879"/>
      <c r="D75" s="879"/>
      <c r="E75" s="877"/>
      <c r="F75" s="877"/>
      <c r="G75" s="862"/>
      <c r="H75" s="864"/>
      <c r="I75" s="864"/>
      <c r="J75" s="864"/>
      <c r="K75" s="864"/>
      <c r="L75" s="864"/>
      <c r="M75" s="864"/>
      <c r="N75" s="864"/>
      <c r="O75" s="864"/>
      <c r="P75" s="864"/>
      <c r="Q75" s="864"/>
      <c r="R75" s="864"/>
      <c r="S75" s="864"/>
      <c r="T75" s="864"/>
      <c r="U75" s="864"/>
      <c r="V75" s="864"/>
      <c r="W75" s="864"/>
      <c r="X75" s="864"/>
      <c r="Y75" s="864"/>
      <c r="Z75" s="864"/>
      <c r="AA75" s="866"/>
      <c r="AB75" s="866"/>
      <c r="AC75" s="866"/>
      <c r="AD75" s="845"/>
      <c r="AE75" s="845"/>
      <c r="AF75" s="845"/>
      <c r="AG75" s="845"/>
      <c r="AH75" s="845"/>
      <c r="AI75" s="845"/>
      <c r="AJ75" s="845"/>
      <c r="AK75" s="845"/>
      <c r="AL75" s="845"/>
      <c r="AM75" s="845"/>
      <c r="AN75" s="845"/>
      <c r="AO75" s="845"/>
      <c r="AP75" s="845"/>
      <c r="AQ75" s="845"/>
      <c r="AR75" s="845"/>
      <c r="AS75" s="845"/>
      <c r="AT75" s="845"/>
      <c r="AU75" s="845"/>
      <c r="AV75" s="845"/>
      <c r="AW75" s="845"/>
      <c r="AX75" s="845"/>
      <c r="AY75" s="845"/>
      <c r="AZ75" s="845"/>
      <c r="BA75" s="875"/>
      <c r="BB75" s="875"/>
      <c r="BC75" s="875"/>
      <c r="BD75" s="875"/>
      <c r="BE75" s="875"/>
      <c r="BF75" s="875"/>
      <c r="BG75" s="875"/>
      <c r="BH75" s="875"/>
      <c r="BI75" s="875"/>
      <c r="BJ75" s="875"/>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286"/>
      <c r="CH75" s="878"/>
      <c r="CI75" s="220"/>
    </row>
    <row r="76" spans="1:87" s="250" customFormat="1" ht="3" customHeight="1">
      <c r="A76" s="220"/>
      <c r="B76" s="879"/>
      <c r="C76" s="879"/>
      <c r="D76" s="879"/>
      <c r="E76" s="877" t="s">
        <v>1561</v>
      </c>
      <c r="F76" s="877"/>
      <c r="G76" s="862"/>
      <c r="H76" s="864" t="str">
        <f>Index!C116</f>
        <v>Iné pohľadávky (335A, 33XA, 371A, 374A, 375A, 378A) - /391A/</v>
      </c>
      <c r="I76" s="864"/>
      <c r="J76" s="864"/>
      <c r="K76" s="864"/>
      <c r="L76" s="864"/>
      <c r="M76" s="864"/>
      <c r="N76" s="864"/>
      <c r="O76" s="864"/>
      <c r="P76" s="864"/>
      <c r="Q76" s="864"/>
      <c r="R76" s="864"/>
      <c r="S76" s="864"/>
      <c r="T76" s="864"/>
      <c r="U76" s="864"/>
      <c r="V76" s="864"/>
      <c r="W76" s="864"/>
      <c r="X76" s="864"/>
      <c r="Y76" s="864"/>
      <c r="Z76" s="864"/>
      <c r="AA76" s="866" t="s">
        <v>1625</v>
      </c>
      <c r="AB76" s="866"/>
      <c r="AC76" s="866"/>
      <c r="AD76" s="825"/>
      <c r="AE76" s="825"/>
      <c r="AF76" s="825"/>
      <c r="AG76" s="825"/>
      <c r="AH76" s="825"/>
      <c r="AI76" s="825"/>
      <c r="AJ76" s="825"/>
      <c r="AK76" s="825"/>
      <c r="AL76" s="825"/>
      <c r="AM76" s="825"/>
      <c r="AN76" s="825"/>
      <c r="AO76" s="825"/>
      <c r="AP76" s="825"/>
      <c r="AQ76" s="825"/>
      <c r="AR76" s="825"/>
      <c r="AS76" s="825"/>
      <c r="AT76" s="825"/>
      <c r="AU76" s="825"/>
      <c r="AV76" s="825"/>
      <c r="AW76" s="825"/>
      <c r="AX76" s="825"/>
      <c r="AY76" s="825"/>
      <c r="AZ76" s="825"/>
      <c r="BA76" s="867"/>
      <c r="BB76" s="867"/>
      <c r="BC76" s="867"/>
      <c r="BD76" s="867"/>
      <c r="BE76" s="867"/>
      <c r="BF76" s="867"/>
      <c r="BG76" s="867"/>
      <c r="BH76" s="867"/>
      <c r="BI76" s="867"/>
      <c r="BJ76" s="867"/>
      <c r="BK76" s="867"/>
      <c r="BL76" s="867"/>
      <c r="BM76" s="867"/>
      <c r="BN76" s="867"/>
      <c r="BO76" s="867"/>
      <c r="BP76" s="867"/>
      <c r="BQ76" s="867"/>
      <c r="BR76" s="304"/>
      <c r="BS76" s="304"/>
      <c r="BT76" s="304"/>
      <c r="BU76" s="304"/>
      <c r="BV76" s="304"/>
      <c r="BW76" s="446"/>
      <c r="BX76" s="304"/>
      <c r="BY76" s="304"/>
      <c r="BZ76" s="304"/>
      <c r="CA76" s="304"/>
      <c r="CB76" s="304"/>
      <c r="CC76" s="304"/>
      <c r="CD76" s="304"/>
      <c r="CE76" s="304"/>
      <c r="CF76" s="304"/>
      <c r="CG76" s="284"/>
      <c r="CH76" s="878"/>
      <c r="CI76" s="288"/>
    </row>
    <row r="77" spans="1:87" s="250" customFormat="1" ht="3" customHeight="1">
      <c r="A77" s="220"/>
      <c r="B77" s="879"/>
      <c r="C77" s="879"/>
      <c r="D77" s="879"/>
      <c r="E77" s="877"/>
      <c r="F77" s="877"/>
      <c r="G77" s="862"/>
      <c r="H77" s="864"/>
      <c r="I77" s="864"/>
      <c r="J77" s="864"/>
      <c r="K77" s="864"/>
      <c r="L77" s="864"/>
      <c r="M77" s="864"/>
      <c r="N77" s="864"/>
      <c r="O77" s="864"/>
      <c r="P77" s="864"/>
      <c r="Q77" s="864"/>
      <c r="R77" s="864"/>
      <c r="S77" s="864"/>
      <c r="T77" s="864"/>
      <c r="U77" s="864"/>
      <c r="V77" s="864"/>
      <c r="W77" s="864"/>
      <c r="X77" s="864"/>
      <c r="Y77" s="864"/>
      <c r="Z77" s="864"/>
      <c r="AA77" s="866"/>
      <c r="AB77" s="866"/>
      <c r="AC77" s="866"/>
      <c r="AD77" s="826"/>
      <c r="AE77" s="820"/>
      <c r="AF77" s="820"/>
      <c r="AG77" s="820"/>
      <c r="AH77" s="435"/>
      <c r="AI77" s="821"/>
      <c r="AJ77" s="821"/>
      <c r="AK77" s="821"/>
      <c r="AL77" s="821"/>
      <c r="AM77" s="821"/>
      <c r="AN77" s="818"/>
      <c r="AO77" s="822"/>
      <c r="AP77" s="822"/>
      <c r="AQ77" s="822"/>
      <c r="AR77" s="822"/>
      <c r="AS77" s="822"/>
      <c r="AT77" s="818"/>
      <c r="AU77" s="822"/>
      <c r="AV77" s="822"/>
      <c r="AW77" s="822"/>
      <c r="AX77" s="822"/>
      <c r="AY77" s="822"/>
      <c r="AZ77" s="827"/>
      <c r="BA77" s="826"/>
      <c r="BB77" s="820"/>
      <c r="BC77" s="820"/>
      <c r="BD77" s="820"/>
      <c r="BE77" s="435"/>
      <c r="BF77" s="821"/>
      <c r="BG77" s="821"/>
      <c r="BH77" s="821"/>
      <c r="BI77" s="821"/>
      <c r="BJ77" s="821"/>
      <c r="BK77" s="818"/>
      <c r="BL77" s="822"/>
      <c r="BM77" s="822"/>
      <c r="BN77" s="822"/>
      <c r="BO77" s="822"/>
      <c r="BP77" s="822"/>
      <c r="BQ77" s="819"/>
      <c r="BR77" s="822"/>
      <c r="BS77" s="822"/>
      <c r="BT77" s="822"/>
      <c r="BU77" s="822"/>
      <c r="BV77" s="822"/>
      <c r="BW77" s="441"/>
      <c r="BX77" s="442"/>
      <c r="BY77" s="442"/>
      <c r="BZ77" s="442"/>
      <c r="CA77" s="442"/>
      <c r="CB77" s="442"/>
      <c r="CC77" s="442"/>
      <c r="CD77" s="442"/>
      <c r="CE77" s="442"/>
      <c r="CF77" s="442"/>
      <c r="CG77" s="285"/>
      <c r="CH77" s="878"/>
      <c r="CI77" s="288"/>
    </row>
    <row r="78" spans="1:87" ht="15" customHeight="1">
      <c r="B78" s="879"/>
      <c r="C78" s="879"/>
      <c r="D78" s="879"/>
      <c r="E78" s="877"/>
      <c r="F78" s="877"/>
      <c r="G78" s="862"/>
      <c r="H78" s="864"/>
      <c r="I78" s="864"/>
      <c r="J78" s="864"/>
      <c r="K78" s="864"/>
      <c r="L78" s="864"/>
      <c r="M78" s="864"/>
      <c r="N78" s="864"/>
      <c r="O78" s="864"/>
      <c r="P78" s="864"/>
      <c r="Q78" s="864"/>
      <c r="R78" s="864"/>
      <c r="S78" s="864"/>
      <c r="T78" s="864"/>
      <c r="U78" s="864"/>
      <c r="V78" s="864"/>
      <c r="W78" s="864"/>
      <c r="X78" s="864"/>
      <c r="Y78" s="864"/>
      <c r="Z78" s="864"/>
      <c r="AA78" s="866"/>
      <c r="AB78" s="866"/>
      <c r="AC78" s="866"/>
      <c r="AD78" s="826"/>
      <c r="AE78" s="432" t="str">
        <f>IF(LEN(VLOOKUP(AA76,suvaha!$D$8:$H$158,2,FALSE))&lt;11,"",LEFT(RIGHT(VLOOKUP(AA76,suvaha!$D$8:$H$158,2,FALSE),11),1))</f>
        <v/>
      </c>
      <c r="AF78" s="255"/>
      <c r="AG78" s="432" t="str">
        <f>IF(LEN(VLOOKUP(AA76,suvaha!$D$8:$H$158,2,FALSE))&lt;10,"",LEFT(RIGHT(VLOOKUP(AA76,suvaha!$D$8:$H$158,2,FALSE),10),1))</f>
        <v/>
      </c>
      <c r="AH78" s="434"/>
      <c r="AI78" s="432" t="str">
        <f>IF(LEN(VLOOKUP(AA76,suvaha!$D$8:$H$158,2,FALSE))&lt;9,"",LEFT(RIGHT(VLOOKUP(AA76,suvaha!$D$8:$H$158,2,FALSE),9),1))</f>
        <v/>
      </c>
      <c r="AJ78" s="255"/>
      <c r="AK78" s="432" t="str">
        <f>IF(LEN(VLOOKUP(AA76,suvaha!$D$8:$H$158,2,FALSE))&lt;8,"",LEFT(RIGHT(VLOOKUP(AA76,suvaha!$D$8:$H$158,2,FALSE),8),1))</f>
        <v/>
      </c>
      <c r="AL78" s="434"/>
      <c r="AM78" s="432" t="str">
        <f>IF(LEN(VLOOKUP(AA76,suvaha!$D$8:$H$158,2,FALSE))&lt;7,"",LEFT(RIGHT(VLOOKUP(AA76,suvaha!$D$8:$H$158,2,FALSE),7),1))</f>
        <v/>
      </c>
      <c r="AN78" s="818"/>
      <c r="AO78" s="432" t="str">
        <f>IF(LEN(VLOOKUP(AA76,suvaha!$D$8:$H$158,2,FALSE))&lt;6,"",LEFT(RIGHT(VLOOKUP(AA76,suvaha!$D$8:$H$158,2,FALSE),6),1))</f>
        <v/>
      </c>
      <c r="AP78" s="434"/>
      <c r="AQ78" s="432" t="str">
        <f>IF(LEN(VLOOKUP(AA76,suvaha!$D$8:$H$158,2,FALSE))&lt;5,"",LEFT(RIGHT(VLOOKUP(AA76,suvaha!$D$8:$H$158,2,FALSE),5),1))</f>
        <v>-</v>
      </c>
      <c r="AR78" s="434"/>
      <c r="AS78" s="432" t="str">
        <f>IF(LEN(VLOOKUP(AA76,suvaha!$D$8:$H$158,2,FALSE))&lt;4,"",LEFT(RIGHT(VLOOKUP(AA76,suvaha!$D$8:$H$158,2,FALSE),4),1))</f>
        <v>1</v>
      </c>
      <c r="AT78" s="818"/>
      <c r="AU78" s="432" t="str">
        <f>IF(LEN(VLOOKUP(AA76,suvaha!$D$8:$H$158,2,FALSE))&lt;3,"",LEFT(RIGHT(VLOOKUP(AA76,suvaha!$D$8:$H$158,2,FALSE),3),1))</f>
        <v>7</v>
      </c>
      <c r="AV78" s="434"/>
      <c r="AW78" s="432" t="str">
        <f>IF(LEN(VLOOKUP(AA76,suvaha!$D$8:$H$158,2,FALSE))&lt;2,"",LEFT(RIGHT(VLOOKUP(AA76,suvaha!$D$8:$H$158,2,FALSE),2),1))</f>
        <v>5</v>
      </c>
      <c r="AX78" s="434"/>
      <c r="AY78" s="432" t="str">
        <f>IF(VLOOKUP(AA76,suvaha!$D$8:$H$85,2,FALSE)=0,"",IF(LEN(VLOOKUP(AA76,suvaha!$D$8:$H$158,2,FALSE))&lt;1,"",LEFT(RIGHT(VLOOKUP(AA76,suvaha!$D$8:$H$158,2,FALSE),1),1)))</f>
        <v>1</v>
      </c>
      <c r="AZ78" s="827"/>
      <c r="BA78" s="826"/>
      <c r="BB78" s="432" t="str">
        <f>IF(LEN(VLOOKUP(AA76,suvaha!$D$8:$H$158,4,FALSE))&lt;11,"",LEFT(RIGHT(VLOOKUP(AA76,suvaha!$D$8:$H$158,4,FALSE),11),1))</f>
        <v/>
      </c>
      <c r="BC78" s="255"/>
      <c r="BD78" s="432" t="str">
        <f>IF(LEN(VLOOKUP(AA76,suvaha!$D$8:$H$158,4,FALSE))&lt;10,"",LEFT(RIGHT(VLOOKUP(AA76,suvaha!$D$8:$H$158,4,FALSE),10),1))</f>
        <v/>
      </c>
      <c r="BE78" s="434"/>
      <c r="BF78" s="432" t="str">
        <f>IF(LEN(VLOOKUP(AA76,suvaha!$D$8:$H$158,4,FALSE))&lt;9,"",LEFT(RIGHT(VLOOKUP(AA76,suvaha!$D$8:$H$158,4,FALSE),9),1))</f>
        <v/>
      </c>
      <c r="BG78" s="255"/>
      <c r="BH78" s="432" t="str">
        <f>IF(LEN(VLOOKUP(AA76,suvaha!$D$8:$H$158,4,FALSE))&lt;8,"",LEFT(RIGHT(VLOOKUP(AA76,suvaha!$D$8:$H$158,4,FALSE),8),1))</f>
        <v/>
      </c>
      <c r="BI78" s="434"/>
      <c r="BJ78" s="432" t="str">
        <f>IF(LEN(VLOOKUP(AA76,suvaha!$D$8:$H$158,4,FALSE))&lt;7,"",LEFT(RIGHT(VLOOKUP(AA76,suvaha!$D$8:$H$158,4,FALSE),7),1))</f>
        <v/>
      </c>
      <c r="BK78" s="818"/>
      <c r="BL78" s="432" t="str">
        <f>IF(LEN(VLOOKUP(AA76,suvaha!$D$8:$H$158,4,FALSE))&lt;6,"",LEFT(RIGHT(VLOOKUP(AA76,suvaha!$D$8:$H$158,4,FALSE),6),1))</f>
        <v/>
      </c>
      <c r="BM78" s="434"/>
      <c r="BN78" s="432" t="str">
        <f>IF(LEN(VLOOKUP(AA76,suvaha!$D$8:$H$158,4,FALSE))&lt;5,"",LEFT(RIGHT(VLOOKUP(AA76,suvaha!$D$8:$H$158,4,FALSE),5),1))</f>
        <v>-</v>
      </c>
      <c r="BO78" s="434"/>
      <c r="BP78" s="432" t="str">
        <f>IF(LEN(VLOOKUP(AA76,suvaha!$D$8:$H$158,4,FALSE))&lt;4,"",LEFT(RIGHT(VLOOKUP(AA76,suvaha!$D$8:$H$158,4,FALSE),4),1))</f>
        <v>1</v>
      </c>
      <c r="BQ78" s="819"/>
      <c r="BR78" s="432" t="str">
        <f>IF(LEN(VLOOKUP(AA76,suvaha!$D$8:$H$158,4,FALSE))&lt;3,"",LEFT(RIGHT(VLOOKUP(AA76,suvaha!$D$8:$H$158,4,FALSE),3),1))</f>
        <v>7</v>
      </c>
      <c r="BS78" s="434"/>
      <c r="BT78" s="432" t="str">
        <f>IF(LEN(VLOOKUP(AA76,suvaha!$D$8:$H$158,4,FALSE))&lt;2,"",LEFT(RIGHT(VLOOKUP(AA76,suvaha!$D$8:$H$158,4,FALSE),2),1))</f>
        <v>5</v>
      </c>
      <c r="BU78" s="434"/>
      <c r="BV78" s="432" t="str">
        <f>IF(VLOOKUP(AA76,suvaha!$D$8:$H$85,4,FALSE)=0,"",IF(LEN(VLOOKUP(AA76,suvaha!$D$8:$H$158,4,FALSE))&lt;1,"",LEFT(RIGHT(VLOOKUP(AA76,suvaha!$D$8:$H$158,4,FALSE),1),1)))</f>
        <v>1</v>
      </c>
      <c r="BW78" s="441"/>
      <c r="BX78" s="442"/>
      <c r="BY78" s="442"/>
      <c r="BZ78" s="442"/>
      <c r="CA78" s="442"/>
      <c r="CB78" s="442"/>
      <c r="CC78" s="442"/>
      <c r="CD78" s="442"/>
      <c r="CE78" s="442"/>
      <c r="CF78" s="442"/>
      <c r="CG78" s="285"/>
      <c r="CH78" s="878"/>
      <c r="CI78" s="220"/>
    </row>
    <row r="79" spans="1:87" ht="3" customHeight="1">
      <c r="B79" s="879"/>
      <c r="C79" s="879"/>
      <c r="D79" s="879"/>
      <c r="E79" s="877"/>
      <c r="F79" s="877"/>
      <c r="G79" s="862"/>
      <c r="H79" s="864"/>
      <c r="I79" s="864"/>
      <c r="J79" s="864"/>
      <c r="K79" s="864"/>
      <c r="L79" s="864"/>
      <c r="M79" s="864"/>
      <c r="N79" s="864"/>
      <c r="O79" s="864"/>
      <c r="P79" s="864"/>
      <c r="Q79" s="864"/>
      <c r="R79" s="864"/>
      <c r="S79" s="864"/>
      <c r="T79" s="864"/>
      <c r="U79" s="864"/>
      <c r="V79" s="864"/>
      <c r="W79" s="864"/>
      <c r="X79" s="864"/>
      <c r="Y79" s="864"/>
      <c r="Z79" s="864"/>
      <c r="AA79" s="866"/>
      <c r="AB79" s="866"/>
      <c r="AC79" s="866"/>
      <c r="AD79" s="845"/>
      <c r="AE79" s="845"/>
      <c r="AF79" s="845"/>
      <c r="AG79" s="845"/>
      <c r="AH79" s="845"/>
      <c r="AI79" s="845"/>
      <c r="AJ79" s="845"/>
      <c r="AK79" s="845"/>
      <c r="AL79" s="845"/>
      <c r="AM79" s="845"/>
      <c r="AN79" s="845"/>
      <c r="AO79" s="845"/>
      <c r="AP79" s="845"/>
      <c r="AQ79" s="845"/>
      <c r="AR79" s="845"/>
      <c r="AS79" s="845"/>
      <c r="AT79" s="845"/>
      <c r="AU79" s="845"/>
      <c r="AV79" s="845"/>
      <c r="AW79" s="845"/>
      <c r="AX79" s="845"/>
      <c r="AY79" s="845"/>
      <c r="AZ79" s="845"/>
      <c r="BA79" s="846"/>
      <c r="BB79" s="846"/>
      <c r="BC79" s="846"/>
      <c r="BD79" s="846"/>
      <c r="BE79" s="846"/>
      <c r="BF79" s="846"/>
      <c r="BG79" s="846"/>
      <c r="BH79" s="846"/>
      <c r="BI79" s="846"/>
      <c r="BJ79" s="846"/>
      <c r="BK79" s="846"/>
      <c r="BL79" s="846"/>
      <c r="BM79" s="846"/>
      <c r="BN79" s="846"/>
      <c r="BO79" s="846"/>
      <c r="BP79" s="846"/>
      <c r="BQ79" s="846"/>
      <c r="BR79" s="310"/>
      <c r="BS79" s="310"/>
      <c r="BT79" s="310"/>
      <c r="BU79" s="310"/>
      <c r="BV79" s="310"/>
      <c r="BW79" s="443"/>
      <c r="BX79" s="310"/>
      <c r="BY79" s="310"/>
      <c r="BZ79" s="310"/>
      <c r="CA79" s="310"/>
      <c r="CB79" s="310"/>
      <c r="CC79" s="310"/>
      <c r="CD79" s="310"/>
      <c r="CE79" s="310"/>
      <c r="CF79" s="310"/>
      <c r="CG79" s="286"/>
      <c r="CH79" s="878"/>
      <c r="CI79" s="220"/>
    </row>
    <row r="80" spans="1:87" ht="3" customHeight="1">
      <c r="B80" s="879"/>
      <c r="C80" s="879"/>
      <c r="D80" s="879"/>
      <c r="E80" s="877"/>
      <c r="F80" s="877"/>
      <c r="G80" s="862"/>
      <c r="H80" s="864"/>
      <c r="I80" s="864"/>
      <c r="J80" s="864"/>
      <c r="K80" s="864"/>
      <c r="L80" s="864"/>
      <c r="M80" s="864"/>
      <c r="N80" s="864"/>
      <c r="O80" s="864"/>
      <c r="P80" s="864"/>
      <c r="Q80" s="864"/>
      <c r="R80" s="864"/>
      <c r="S80" s="864"/>
      <c r="T80" s="864"/>
      <c r="U80" s="864"/>
      <c r="V80" s="864"/>
      <c r="W80" s="864"/>
      <c r="X80" s="864"/>
      <c r="Y80" s="864"/>
      <c r="Z80" s="864"/>
      <c r="AA80" s="866"/>
      <c r="AB80" s="866"/>
      <c r="AC80" s="866"/>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25"/>
      <c r="BA80" s="875"/>
      <c r="BB80" s="875"/>
      <c r="BC80" s="875"/>
      <c r="BD80" s="875"/>
      <c r="BE80" s="875"/>
      <c r="BF80" s="875"/>
      <c r="BG80" s="875"/>
      <c r="BH80" s="875"/>
      <c r="BI80" s="875"/>
      <c r="BJ80" s="875"/>
      <c r="BK80" s="304"/>
      <c r="BL80" s="304"/>
      <c r="BM80" s="304"/>
      <c r="BN80" s="304"/>
      <c r="BO80" s="304"/>
      <c r="BP80" s="304"/>
      <c r="BQ80" s="304"/>
      <c r="BR80" s="304"/>
      <c r="BS80" s="304"/>
      <c r="BT80" s="304"/>
      <c r="BU80" s="304"/>
      <c r="BV80" s="304"/>
      <c r="BW80" s="304"/>
      <c r="BX80" s="304"/>
      <c r="BY80" s="304"/>
      <c r="BZ80" s="304"/>
      <c r="CA80" s="304"/>
      <c r="CB80" s="304"/>
      <c r="CC80" s="304"/>
      <c r="CD80" s="304"/>
      <c r="CE80" s="304"/>
      <c r="CF80" s="304"/>
      <c r="CG80" s="284"/>
      <c r="CH80" s="878"/>
      <c r="CI80" s="220"/>
    </row>
    <row r="81" spans="1:87" ht="3" customHeight="1">
      <c r="B81" s="879"/>
      <c r="C81" s="879"/>
      <c r="D81" s="879"/>
      <c r="E81" s="877"/>
      <c r="F81" s="877"/>
      <c r="G81" s="862"/>
      <c r="H81" s="864"/>
      <c r="I81" s="864"/>
      <c r="J81" s="864"/>
      <c r="K81" s="864"/>
      <c r="L81" s="864"/>
      <c r="M81" s="864"/>
      <c r="N81" s="864"/>
      <c r="O81" s="864"/>
      <c r="P81" s="864"/>
      <c r="Q81" s="864"/>
      <c r="R81" s="864"/>
      <c r="S81" s="864"/>
      <c r="T81" s="864"/>
      <c r="U81" s="864"/>
      <c r="V81" s="864"/>
      <c r="W81" s="864"/>
      <c r="X81" s="864"/>
      <c r="Y81" s="864"/>
      <c r="Z81" s="864"/>
      <c r="AA81" s="866"/>
      <c r="AB81" s="866"/>
      <c r="AC81" s="866"/>
      <c r="AD81" s="826"/>
      <c r="AE81" s="820"/>
      <c r="AF81" s="820"/>
      <c r="AG81" s="820"/>
      <c r="AH81" s="435"/>
      <c r="AI81" s="821"/>
      <c r="AJ81" s="821"/>
      <c r="AK81" s="821"/>
      <c r="AL81" s="821"/>
      <c r="AM81" s="821"/>
      <c r="AN81" s="818" t="s">
        <v>965</v>
      </c>
      <c r="AO81" s="822"/>
      <c r="AP81" s="822"/>
      <c r="AQ81" s="822"/>
      <c r="AR81" s="822"/>
      <c r="AS81" s="822"/>
      <c r="AT81" s="818" t="s">
        <v>965</v>
      </c>
      <c r="AU81" s="822"/>
      <c r="AV81" s="822"/>
      <c r="AW81" s="822"/>
      <c r="AX81" s="822"/>
      <c r="AY81" s="822"/>
      <c r="AZ81" s="827"/>
      <c r="BA81" s="875"/>
      <c r="BB81" s="875"/>
      <c r="BC81" s="875"/>
      <c r="BD81" s="875"/>
      <c r="BE81" s="875"/>
      <c r="BF81" s="875"/>
      <c r="BG81" s="875"/>
      <c r="BH81" s="875"/>
      <c r="BI81" s="875"/>
      <c r="BJ81" s="875"/>
      <c r="BK81" s="442"/>
      <c r="BL81" s="820"/>
      <c r="BM81" s="820"/>
      <c r="BN81" s="820"/>
      <c r="BO81" s="442"/>
      <c r="BP81" s="444"/>
      <c r="BQ81" s="444"/>
      <c r="BR81" s="444"/>
      <c r="BS81" s="444"/>
      <c r="BT81" s="444"/>
      <c r="BU81" s="442"/>
      <c r="BV81" s="444"/>
      <c r="BW81" s="444"/>
      <c r="BX81" s="444"/>
      <c r="BY81" s="444"/>
      <c r="BZ81" s="444"/>
      <c r="CA81" s="445"/>
      <c r="CB81" s="444"/>
      <c r="CC81" s="444"/>
      <c r="CD81" s="444"/>
      <c r="CE81" s="444"/>
      <c r="CF81" s="444"/>
      <c r="CG81" s="287"/>
      <c r="CH81" s="878"/>
      <c r="CI81" s="220"/>
    </row>
    <row r="82" spans="1:87" ht="15" customHeight="1">
      <c r="B82" s="879"/>
      <c r="C82" s="879"/>
      <c r="D82" s="879"/>
      <c r="E82" s="877"/>
      <c r="F82" s="877"/>
      <c r="G82" s="862"/>
      <c r="H82" s="864"/>
      <c r="I82" s="864"/>
      <c r="J82" s="864"/>
      <c r="K82" s="864"/>
      <c r="L82" s="864"/>
      <c r="M82" s="864"/>
      <c r="N82" s="864"/>
      <c r="O82" s="864"/>
      <c r="P82" s="864"/>
      <c r="Q82" s="864"/>
      <c r="R82" s="864"/>
      <c r="S82" s="864"/>
      <c r="T82" s="864"/>
      <c r="U82" s="864"/>
      <c r="V82" s="864"/>
      <c r="W82" s="864"/>
      <c r="X82" s="864"/>
      <c r="Y82" s="864"/>
      <c r="Z82" s="864"/>
      <c r="AA82" s="866"/>
      <c r="AB82" s="866"/>
      <c r="AC82" s="866"/>
      <c r="AD82" s="826"/>
      <c r="AE82" s="432" t="str">
        <f>IF(LEN(VLOOKUP(AA76,suvaha!$D$8:$H$158,3,FALSE))&lt;11,"",LEFT(RIGHT(VLOOKUP(AA76,suvaha!$D$8:$H$158,3,FALSE),11),1))</f>
        <v/>
      </c>
      <c r="AF82" s="255" t="s">
        <v>965</v>
      </c>
      <c r="AG82" s="432" t="str">
        <f>IF(LEN(VLOOKUP(AA76,suvaha!$D$8:$H$158,3,FALSE))&lt;10,"",LEFT(RIGHT(VLOOKUP(AA76,suvaha!$D$8:$H$158,3,FALSE),10),1))</f>
        <v/>
      </c>
      <c r="AH82" s="434" t="s">
        <v>965</v>
      </c>
      <c r="AI82" s="432" t="str">
        <f>IF(LEN(VLOOKUP(AA76,suvaha!$D$8:$H$158,3,FALSE))&lt;9,"",LEFT(RIGHT(VLOOKUP(AA76,suvaha!$D$8:$H$158,3,FALSE),9),1))</f>
        <v/>
      </c>
      <c r="AJ82" s="255" t="s">
        <v>965</v>
      </c>
      <c r="AK82" s="432" t="str">
        <f>IF(LEN(VLOOKUP(AA76,suvaha!$D$8:$H$158,3,FALSE))&lt;8,"",LEFT(RIGHT(VLOOKUP(AA76,suvaha!$D$8:$H$158,3,FALSE),8),1))</f>
        <v/>
      </c>
      <c r="AL82" s="434" t="s">
        <v>965</v>
      </c>
      <c r="AM82" s="432" t="str">
        <f>IF(LEN(VLOOKUP(AA76,suvaha!$D$8:$H$158,3,FALSE))&lt;7,"",LEFT(RIGHT(VLOOKUP(AA76,suvaha!$D$8:$H$158,3,FALSE),7),1))</f>
        <v/>
      </c>
      <c r="AN82" s="818"/>
      <c r="AO82" s="432" t="str">
        <f>IF(LEN(VLOOKUP(AA76,suvaha!$D$8:$H$158,3,FALSE))&lt;6,"",LEFT(RIGHT(VLOOKUP(AA76,suvaha!$D$8:$H$158,3,FALSE),6),1))</f>
        <v/>
      </c>
      <c r="AP82" s="434" t="s">
        <v>965</v>
      </c>
      <c r="AQ82" s="432" t="str">
        <f>IF(LEN(VLOOKUP(AA76,suvaha!$D$8:$H$158,3,FALSE))&lt;5,"",LEFT(RIGHT(VLOOKUP(AA76,suvaha!$D$8:$H$158,3,FALSE),5),1))</f>
        <v/>
      </c>
      <c r="AR82" s="434" t="s">
        <v>965</v>
      </c>
      <c r="AS82" s="432" t="str">
        <f>IF(LEN(VLOOKUP(AA76,suvaha!$D$8:$H$158,3,FALSE))&lt;4,"",LEFT(RIGHT(VLOOKUP(AA76,suvaha!$D$8:$H$158,3,FALSE),4),1))</f>
        <v/>
      </c>
      <c r="AT82" s="818"/>
      <c r="AU82" s="432" t="str">
        <f>IF(LEN(VLOOKUP(AA76,suvaha!$D$8:$H$158,3,FALSE))&lt;3,"",LEFT(RIGHT(VLOOKUP(AA76,suvaha!$D$8:$H$158,3,FALSE),3),1))</f>
        <v/>
      </c>
      <c r="AV82" s="434" t="s">
        <v>965</v>
      </c>
      <c r="AW82" s="432" t="str">
        <f>IF(LEN(VLOOKUP(AA76,suvaha!$D$8:$H$158,3,FALSE))&lt;2,"",LEFT(RIGHT(VLOOKUP(AA76,suvaha!$D$8:$H$158,3,FALSE),2),1))</f>
        <v/>
      </c>
      <c r="AX82" s="434" t="s">
        <v>965</v>
      </c>
      <c r="AY82" s="432" t="str">
        <f>IF(VLOOKUP(AA76,suvaha!$D$8:$H$85,3,FALSE)=0,"",IF(LEN(VLOOKUP(AA76,suvaha!$D$8:$H$158,3,FALSE))&lt;1,"",LEFT(RIGHT(VLOOKUP(AA76,suvaha!$D$8:$H$158,3,FALSE),1),1)))</f>
        <v/>
      </c>
      <c r="AZ82" s="827"/>
      <c r="BA82" s="875"/>
      <c r="BB82" s="875"/>
      <c r="BC82" s="875"/>
      <c r="BD82" s="875"/>
      <c r="BE82" s="875"/>
      <c r="BF82" s="875"/>
      <c r="BG82" s="875"/>
      <c r="BH82" s="875"/>
      <c r="BI82" s="875"/>
      <c r="BJ82" s="875"/>
      <c r="BK82" s="442"/>
      <c r="BL82" s="432" t="str">
        <f>IF(LEN(VLOOKUP(AA76,suvaha!$D$8:$H$158,5,FALSE))&lt;11,"",LEFT(RIGHT(VLOOKUP(AA76,suvaha!$D$8:$H$158,5,FALSE),11),1))</f>
        <v/>
      </c>
      <c r="BM82" s="255" t="s">
        <v>965</v>
      </c>
      <c r="BN82" s="432" t="str">
        <f>IF(LEN(VLOOKUP(AA76,suvaha!$D$8:$H$158,5,FALSE))&lt;10,"",LEFT(RIGHT(VLOOKUP(AA76,suvaha!$D$8:$H$158,5,FALSE),10),1))</f>
        <v/>
      </c>
      <c r="BO82" s="442" t="s">
        <v>965</v>
      </c>
      <c r="BP82" s="432" t="str">
        <f>IF(LEN(VLOOKUP(AA76,suvaha!$D$8:$H$158,5,FALSE))&lt;9,"",LEFT(RIGHT(VLOOKUP(AA76,suvaha!$D$8:$H$158,5,FALSE),9),1))</f>
        <v/>
      </c>
      <c r="BQ82" s="434" t="s">
        <v>965</v>
      </c>
      <c r="BR82" s="432" t="str">
        <f>IF(LEN(VLOOKUP(AA76,suvaha!$D$8:$H$158,5,FALSE))&lt;8,"",LEFT(RIGHT(VLOOKUP(AA76,suvaha!$D$8:$H$158,5,FALSE),8),1))</f>
        <v/>
      </c>
      <c r="BS82" s="434" t="s">
        <v>965</v>
      </c>
      <c r="BT82" s="432" t="str">
        <f>IF(LEN(VLOOKUP(AA76,suvaha!$D$8:$H$158,5,FALSE))&lt;7,"",LEFT(RIGHT(VLOOKUP(AA76,suvaha!$D$8:$H$158,5,FALSE),7),1))</f>
        <v/>
      </c>
      <c r="BU82" s="442" t="s">
        <v>965</v>
      </c>
      <c r="BV82" s="432" t="str">
        <f>IF(LEN(VLOOKUP(AA76,suvaha!$D$8:$H$158,5,FALSE))&lt;6,"",LEFT(RIGHT(VLOOKUP(AA76,suvaha!$D$8:$H$158,5,FALSE),6),1))</f>
        <v/>
      </c>
      <c r="BW82" s="434" t="s">
        <v>965</v>
      </c>
      <c r="BX82" s="432" t="str">
        <f>IF(LEN(VLOOKUP(AA76,suvaha!$D$8:$H$158,5,FALSE))&lt;5,"",LEFT(RIGHT(VLOOKUP(AA76,suvaha!$D$8:$H$158,5,FALSE),5),1))</f>
        <v/>
      </c>
      <c r="BY82" s="434" t="s">
        <v>965</v>
      </c>
      <c r="BZ82" s="432" t="str">
        <f>IF(LEN(VLOOKUP(AA76,suvaha!$D$8:$H$158,5,FALSE))&lt;4,"",LEFT(RIGHT(VLOOKUP(AA76,suvaha!$D$8:$H$158,5,FALSE),4),1))</f>
        <v>-</v>
      </c>
      <c r="CA82" s="445" t="s">
        <v>965</v>
      </c>
      <c r="CB82" s="432" t="str">
        <f>IF(LEN(VLOOKUP(AA76,suvaha!$D$8:$H$158,5,FALSE))&lt;3,"",LEFT(RIGHT(VLOOKUP(AA76,suvaha!$D$8:$H$158,5,FALSE),3),1))</f>
        <v>1</v>
      </c>
      <c r="CC82" s="434" t="s">
        <v>965</v>
      </c>
      <c r="CD82" s="432" t="str">
        <f>IF(LEN(VLOOKUP(AA76,suvaha!$D$8:$H$158,5,FALSE))&lt;2,"",LEFT(RIGHT(VLOOKUP(AA76,suvaha!$D$8:$H$158,5,FALSE),2),1))</f>
        <v>0</v>
      </c>
      <c r="CE82" s="434" t="s">
        <v>1540</v>
      </c>
      <c r="CF82" s="432" t="str">
        <f>IF(VLOOKUP(AA76,suvaha!$D$8:$H$85,5,FALSE)=0,"",IF(LEN(VLOOKUP(AA76,suvaha!$D$8:$H$158,5,FALSE))&lt;1,"",LEFT(RIGHT(VLOOKUP(AA76,suvaha!$D$8:$H$158,5,FALSE),1),1)))</f>
        <v>7</v>
      </c>
      <c r="CG82" s="287"/>
      <c r="CH82" s="878"/>
      <c r="CI82" s="220"/>
    </row>
    <row r="83" spans="1:87" ht="3" customHeight="1">
      <c r="B83" s="879"/>
      <c r="C83" s="879"/>
      <c r="D83" s="879"/>
      <c r="E83" s="877"/>
      <c r="F83" s="877"/>
      <c r="G83" s="862"/>
      <c r="H83" s="864"/>
      <c r="I83" s="864"/>
      <c r="J83" s="864"/>
      <c r="K83" s="864"/>
      <c r="L83" s="864"/>
      <c r="M83" s="864"/>
      <c r="N83" s="864"/>
      <c r="O83" s="864"/>
      <c r="P83" s="864"/>
      <c r="Q83" s="864"/>
      <c r="R83" s="864"/>
      <c r="S83" s="864"/>
      <c r="T83" s="864"/>
      <c r="U83" s="864"/>
      <c r="V83" s="864"/>
      <c r="W83" s="864"/>
      <c r="X83" s="864"/>
      <c r="Y83" s="864"/>
      <c r="Z83" s="864"/>
      <c r="AA83" s="866"/>
      <c r="AB83" s="866"/>
      <c r="AC83" s="866"/>
      <c r="AD83" s="845"/>
      <c r="AE83" s="845"/>
      <c r="AF83" s="845"/>
      <c r="AG83" s="845"/>
      <c r="AH83" s="845"/>
      <c r="AI83" s="845"/>
      <c r="AJ83" s="845"/>
      <c r="AK83" s="845"/>
      <c r="AL83" s="845"/>
      <c r="AM83" s="845"/>
      <c r="AN83" s="845"/>
      <c r="AO83" s="845"/>
      <c r="AP83" s="845"/>
      <c r="AQ83" s="845"/>
      <c r="AR83" s="845"/>
      <c r="AS83" s="845"/>
      <c r="AT83" s="845"/>
      <c r="AU83" s="845"/>
      <c r="AV83" s="845"/>
      <c r="AW83" s="845"/>
      <c r="AX83" s="845"/>
      <c r="AY83" s="845"/>
      <c r="AZ83" s="845"/>
      <c r="BA83" s="875"/>
      <c r="BB83" s="875"/>
      <c r="BC83" s="875"/>
      <c r="BD83" s="875"/>
      <c r="BE83" s="875"/>
      <c r="BF83" s="875"/>
      <c r="BG83" s="875"/>
      <c r="BH83" s="875"/>
      <c r="BI83" s="875"/>
      <c r="BJ83" s="875"/>
      <c r="BK83" s="310"/>
      <c r="BL83" s="310"/>
      <c r="BM83" s="310"/>
      <c r="BN83" s="310"/>
      <c r="BO83" s="310"/>
      <c r="BP83" s="310"/>
      <c r="BQ83" s="310"/>
      <c r="BR83" s="310"/>
      <c r="BS83" s="310"/>
      <c r="BT83" s="310"/>
      <c r="BU83" s="310"/>
      <c r="BV83" s="310"/>
      <c r="BW83" s="310"/>
      <c r="BX83" s="310"/>
      <c r="BY83" s="310"/>
      <c r="BZ83" s="310"/>
      <c r="CA83" s="310"/>
      <c r="CB83" s="310"/>
      <c r="CC83" s="310"/>
      <c r="CD83" s="310"/>
      <c r="CE83" s="310"/>
      <c r="CF83" s="310"/>
      <c r="CG83" s="286"/>
      <c r="CH83" s="878"/>
      <c r="CI83" s="220"/>
    </row>
    <row r="84" spans="1:87" s="250" customFormat="1" ht="3" customHeight="1">
      <c r="A84" s="220"/>
      <c r="B84" s="879"/>
      <c r="C84" s="879"/>
      <c r="D84" s="879"/>
      <c r="E84" s="939" t="s">
        <v>568</v>
      </c>
      <c r="F84" s="939"/>
      <c r="G84" s="946"/>
      <c r="H84" s="874" t="str">
        <f>Index!C117</f>
        <v>Krátkodobý finančný majetok súčet (r. 67 až r. 70)</v>
      </c>
      <c r="I84" s="874"/>
      <c r="J84" s="874"/>
      <c r="K84" s="874"/>
      <c r="L84" s="874"/>
      <c r="M84" s="874"/>
      <c r="N84" s="874"/>
      <c r="O84" s="874"/>
      <c r="P84" s="874"/>
      <c r="Q84" s="874"/>
      <c r="R84" s="874"/>
      <c r="S84" s="874"/>
      <c r="T84" s="874"/>
      <c r="U84" s="874"/>
      <c r="V84" s="874"/>
      <c r="W84" s="874"/>
      <c r="X84" s="874"/>
      <c r="Y84" s="874"/>
      <c r="Z84" s="874"/>
      <c r="AA84" s="875" t="s">
        <v>1626</v>
      </c>
      <c r="AB84" s="875"/>
      <c r="AC84" s="87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25"/>
      <c r="BA84" s="867"/>
      <c r="BB84" s="867"/>
      <c r="BC84" s="867"/>
      <c r="BD84" s="867"/>
      <c r="BE84" s="867"/>
      <c r="BF84" s="867"/>
      <c r="BG84" s="867"/>
      <c r="BH84" s="867"/>
      <c r="BI84" s="867"/>
      <c r="BJ84" s="867"/>
      <c r="BK84" s="867"/>
      <c r="BL84" s="867"/>
      <c r="BM84" s="867"/>
      <c r="BN84" s="867"/>
      <c r="BO84" s="867"/>
      <c r="BP84" s="867"/>
      <c r="BQ84" s="867"/>
      <c r="BR84" s="304"/>
      <c r="BS84" s="304"/>
      <c r="BT84" s="304"/>
      <c r="BU84" s="304"/>
      <c r="BV84" s="304"/>
      <c r="BW84" s="446"/>
      <c r="BX84" s="304"/>
      <c r="BY84" s="304"/>
      <c r="BZ84" s="304"/>
      <c r="CA84" s="304"/>
      <c r="CB84" s="304"/>
      <c r="CC84" s="304"/>
      <c r="CD84" s="304"/>
      <c r="CE84" s="304"/>
      <c r="CF84" s="304"/>
      <c r="CG84" s="284"/>
      <c r="CH84" s="878"/>
      <c r="CI84" s="288"/>
    </row>
    <row r="85" spans="1:87" s="250" customFormat="1" ht="3" customHeight="1">
      <c r="A85" s="220"/>
      <c r="B85" s="879"/>
      <c r="C85" s="879"/>
      <c r="D85" s="879"/>
      <c r="E85" s="939"/>
      <c r="F85" s="939"/>
      <c r="G85" s="946"/>
      <c r="H85" s="874"/>
      <c r="I85" s="874"/>
      <c r="J85" s="874"/>
      <c r="K85" s="874"/>
      <c r="L85" s="874"/>
      <c r="M85" s="874"/>
      <c r="N85" s="874"/>
      <c r="O85" s="874"/>
      <c r="P85" s="874"/>
      <c r="Q85" s="874"/>
      <c r="R85" s="874"/>
      <c r="S85" s="874"/>
      <c r="T85" s="874"/>
      <c r="U85" s="874"/>
      <c r="V85" s="874"/>
      <c r="W85" s="874"/>
      <c r="X85" s="874"/>
      <c r="Y85" s="874"/>
      <c r="Z85" s="874"/>
      <c r="AA85" s="875"/>
      <c r="AB85" s="875"/>
      <c r="AC85" s="875"/>
      <c r="AD85" s="826"/>
      <c r="AE85" s="820"/>
      <c r="AF85" s="820"/>
      <c r="AG85" s="820"/>
      <c r="AH85" s="435"/>
      <c r="AI85" s="821"/>
      <c r="AJ85" s="821"/>
      <c r="AK85" s="821"/>
      <c r="AL85" s="821"/>
      <c r="AM85" s="821"/>
      <c r="AN85" s="818"/>
      <c r="AO85" s="822"/>
      <c r="AP85" s="822"/>
      <c r="AQ85" s="822"/>
      <c r="AR85" s="822"/>
      <c r="AS85" s="822"/>
      <c r="AT85" s="818"/>
      <c r="AU85" s="822"/>
      <c r="AV85" s="822"/>
      <c r="AW85" s="822"/>
      <c r="AX85" s="822"/>
      <c r="AY85" s="822"/>
      <c r="AZ85" s="827"/>
      <c r="BA85" s="826"/>
      <c r="BB85" s="820"/>
      <c r="BC85" s="820"/>
      <c r="BD85" s="820"/>
      <c r="BE85" s="435"/>
      <c r="BF85" s="821"/>
      <c r="BG85" s="821"/>
      <c r="BH85" s="821"/>
      <c r="BI85" s="821"/>
      <c r="BJ85" s="821"/>
      <c r="BK85" s="818"/>
      <c r="BL85" s="822"/>
      <c r="BM85" s="822"/>
      <c r="BN85" s="822"/>
      <c r="BO85" s="822"/>
      <c r="BP85" s="822"/>
      <c r="BQ85" s="819"/>
      <c r="BR85" s="822"/>
      <c r="BS85" s="822"/>
      <c r="BT85" s="822"/>
      <c r="BU85" s="822"/>
      <c r="BV85" s="822"/>
      <c r="BW85" s="441"/>
      <c r="BX85" s="442"/>
      <c r="BY85" s="442"/>
      <c r="BZ85" s="442"/>
      <c r="CA85" s="442"/>
      <c r="CB85" s="442"/>
      <c r="CC85" s="442"/>
      <c r="CD85" s="442"/>
      <c r="CE85" s="442"/>
      <c r="CF85" s="442"/>
      <c r="CG85" s="285"/>
      <c r="CH85" s="878"/>
      <c r="CI85" s="288"/>
    </row>
    <row r="86" spans="1:87" ht="15" customHeight="1">
      <c r="B86" s="879"/>
      <c r="C86" s="879"/>
      <c r="D86" s="879"/>
      <c r="E86" s="939"/>
      <c r="F86" s="939"/>
      <c r="G86" s="946"/>
      <c r="H86" s="874"/>
      <c r="I86" s="874"/>
      <c r="J86" s="874"/>
      <c r="K86" s="874"/>
      <c r="L86" s="874"/>
      <c r="M86" s="874"/>
      <c r="N86" s="874"/>
      <c r="O86" s="874"/>
      <c r="P86" s="874"/>
      <c r="Q86" s="874"/>
      <c r="R86" s="874"/>
      <c r="S86" s="874"/>
      <c r="T86" s="874"/>
      <c r="U86" s="874"/>
      <c r="V86" s="874"/>
      <c r="W86" s="874"/>
      <c r="X86" s="874"/>
      <c r="Y86" s="874"/>
      <c r="Z86" s="874"/>
      <c r="AA86" s="875"/>
      <c r="AB86" s="875"/>
      <c r="AC86" s="875"/>
      <c r="AD86" s="826"/>
      <c r="AE86" s="432" t="str">
        <f>IF(LEN(VLOOKUP(AA84,suvaha!$D$8:$H$158,2,FALSE))&lt;11,"",LEFT(RIGHT(VLOOKUP(AA84,suvaha!$D$8:$H$158,2,FALSE),11),1))</f>
        <v/>
      </c>
      <c r="AF86" s="255"/>
      <c r="AG86" s="432" t="str">
        <f>IF(LEN(VLOOKUP(AA84,suvaha!$D$8:$H$158,2,FALSE))&lt;10,"",LEFT(RIGHT(VLOOKUP(AA84,suvaha!$D$8:$H$158,2,FALSE),10),1))</f>
        <v/>
      </c>
      <c r="AH86" s="434"/>
      <c r="AI86" s="432" t="str">
        <f>IF(LEN(VLOOKUP(AA84,suvaha!$D$8:$H$158,2,FALSE))&lt;9,"",LEFT(RIGHT(VLOOKUP(AA84,suvaha!$D$8:$H$158,2,FALSE),9),1))</f>
        <v/>
      </c>
      <c r="AJ86" s="255"/>
      <c r="AK86" s="432" t="str">
        <f>IF(LEN(VLOOKUP(AA84,suvaha!$D$8:$H$158,2,FALSE))&lt;8,"",LEFT(RIGHT(VLOOKUP(AA84,suvaha!$D$8:$H$158,2,FALSE),8),1))</f>
        <v/>
      </c>
      <c r="AL86" s="434"/>
      <c r="AM86" s="432" t="str">
        <f>IF(LEN(VLOOKUP(AA84,suvaha!$D$8:$H$158,2,FALSE))&lt;7,"",LEFT(RIGHT(VLOOKUP(AA84,suvaha!$D$8:$H$158,2,FALSE),7),1))</f>
        <v/>
      </c>
      <c r="AN86" s="818"/>
      <c r="AO86" s="432" t="str">
        <f>IF(LEN(VLOOKUP(AA84,suvaha!$D$8:$H$158,2,FALSE))&lt;6,"",LEFT(RIGHT(VLOOKUP(AA84,suvaha!$D$8:$H$158,2,FALSE),6),1))</f>
        <v/>
      </c>
      <c r="AP86" s="434"/>
      <c r="AQ86" s="432" t="str">
        <f>IF(LEN(VLOOKUP(AA84,suvaha!$D$8:$H$158,2,FALSE))&lt;5,"",LEFT(RIGHT(VLOOKUP(AA84,suvaha!$D$8:$H$158,2,FALSE),5),1))</f>
        <v/>
      </c>
      <c r="AR86" s="434"/>
      <c r="AS86" s="432" t="str">
        <f>IF(LEN(VLOOKUP(AA84,suvaha!$D$8:$H$158,2,FALSE))&lt;4,"",LEFT(RIGHT(VLOOKUP(AA84,suvaha!$D$8:$H$158,2,FALSE),4),1))</f>
        <v/>
      </c>
      <c r="AT86" s="818"/>
      <c r="AU86" s="432" t="str">
        <f>IF(LEN(VLOOKUP(AA84,suvaha!$D$8:$H$158,2,FALSE))&lt;3,"",LEFT(RIGHT(VLOOKUP(AA84,suvaha!$D$8:$H$158,2,FALSE),3),1))</f>
        <v/>
      </c>
      <c r="AV86" s="434"/>
      <c r="AW86" s="432" t="str">
        <f>IF(LEN(VLOOKUP(AA84,suvaha!$D$8:$H$158,2,FALSE))&lt;2,"",LEFT(RIGHT(VLOOKUP(AA84,suvaha!$D$8:$H$158,2,FALSE),2),1))</f>
        <v/>
      </c>
      <c r="AX86" s="434"/>
      <c r="AY86" s="432" t="str">
        <f>IF(VLOOKUP(AA84,suvaha!$D$8:$H$85,2,FALSE)=0,"",IF(LEN(VLOOKUP(AA84,suvaha!$D$8:$H$158,2,FALSE))&lt;1,"",LEFT(RIGHT(VLOOKUP(AA84,suvaha!$D$8:$H$158,2,FALSE),1),1)))</f>
        <v/>
      </c>
      <c r="AZ86" s="827"/>
      <c r="BA86" s="826"/>
      <c r="BB86" s="432" t="str">
        <f>IF(LEN(VLOOKUP(AA84,suvaha!$D$8:$H$158,4,FALSE))&lt;11,"",LEFT(RIGHT(VLOOKUP(AA84,suvaha!$D$8:$H$158,4,FALSE),11),1))</f>
        <v/>
      </c>
      <c r="BC86" s="255"/>
      <c r="BD86" s="432" t="str">
        <f>IF(LEN(VLOOKUP(AA84,suvaha!$D$8:$H$158,4,FALSE))&lt;10,"",LEFT(RIGHT(VLOOKUP(AA84,suvaha!$D$8:$H$158,4,FALSE),10),1))</f>
        <v/>
      </c>
      <c r="BE86" s="434"/>
      <c r="BF86" s="432" t="str">
        <f>IF(LEN(VLOOKUP(AA84,suvaha!$D$8:$H$158,4,FALSE))&lt;9,"",LEFT(RIGHT(VLOOKUP(AA84,suvaha!$D$8:$H$158,4,FALSE),9),1))</f>
        <v/>
      </c>
      <c r="BG86" s="255"/>
      <c r="BH86" s="432" t="str">
        <f>IF(LEN(VLOOKUP(AA84,suvaha!$D$8:$H$158,4,FALSE))&lt;8,"",LEFT(RIGHT(VLOOKUP(AA84,suvaha!$D$8:$H$158,4,FALSE),8),1))</f>
        <v/>
      </c>
      <c r="BI86" s="434"/>
      <c r="BJ86" s="432" t="str">
        <f>IF(LEN(VLOOKUP(AA84,suvaha!$D$8:$H$158,4,FALSE))&lt;7,"",LEFT(RIGHT(VLOOKUP(AA84,suvaha!$D$8:$H$158,4,FALSE),7),1))</f>
        <v/>
      </c>
      <c r="BK86" s="818"/>
      <c r="BL86" s="432" t="str">
        <f>IF(LEN(VLOOKUP(AA84,suvaha!$D$8:$H$158,4,FALSE))&lt;6,"",LEFT(RIGHT(VLOOKUP(AA84,suvaha!$D$8:$H$158,4,FALSE),6),1))</f>
        <v/>
      </c>
      <c r="BM86" s="434"/>
      <c r="BN86" s="432" t="str">
        <f>IF(LEN(VLOOKUP(AA84,suvaha!$D$8:$H$158,4,FALSE))&lt;5,"",LEFT(RIGHT(VLOOKUP(AA84,suvaha!$D$8:$H$158,4,FALSE),5),1))</f>
        <v/>
      </c>
      <c r="BO86" s="434"/>
      <c r="BP86" s="432" t="str">
        <f>IF(LEN(VLOOKUP(AA84,suvaha!$D$8:$H$158,4,FALSE))&lt;4,"",LEFT(RIGHT(VLOOKUP(AA84,suvaha!$D$8:$H$158,4,FALSE),4),1))</f>
        <v/>
      </c>
      <c r="BQ86" s="819"/>
      <c r="BR86" s="432" t="str">
        <f>IF(LEN(VLOOKUP(AA84,suvaha!$D$8:$H$158,4,FALSE))&lt;3,"",LEFT(RIGHT(VLOOKUP(AA84,suvaha!$D$8:$H$158,4,FALSE),3),1))</f>
        <v/>
      </c>
      <c r="BS86" s="434"/>
      <c r="BT86" s="432" t="str">
        <f>IF(LEN(VLOOKUP(AA84,suvaha!$D$8:$H$158,4,FALSE))&lt;2,"",LEFT(RIGHT(VLOOKUP(AA84,suvaha!$D$8:$H$158,4,FALSE),2),1))</f>
        <v/>
      </c>
      <c r="BU86" s="434"/>
      <c r="BV86" s="432" t="str">
        <f>IF(VLOOKUP(AA84,suvaha!$D$8:$H$85,4,FALSE)=0,"",IF(LEN(VLOOKUP(AA84,suvaha!$D$8:$H$158,4,FALSE))&lt;1,"",LEFT(RIGHT(VLOOKUP(AA84,suvaha!$D$8:$H$158,4,FALSE),1),1)))</f>
        <v/>
      </c>
      <c r="BW86" s="441"/>
      <c r="BX86" s="442"/>
      <c r="BY86" s="442"/>
      <c r="BZ86" s="442"/>
      <c r="CA86" s="442"/>
      <c r="CB86" s="442"/>
      <c r="CC86" s="442"/>
      <c r="CD86" s="442"/>
      <c r="CE86" s="442"/>
      <c r="CF86" s="442"/>
      <c r="CG86" s="285"/>
      <c r="CH86" s="878"/>
      <c r="CI86" s="220"/>
    </row>
    <row r="87" spans="1:87" ht="3" customHeight="1">
      <c r="B87" s="879"/>
      <c r="C87" s="879"/>
      <c r="D87" s="879"/>
      <c r="E87" s="939"/>
      <c r="F87" s="939"/>
      <c r="G87" s="946"/>
      <c r="H87" s="874"/>
      <c r="I87" s="874"/>
      <c r="J87" s="874"/>
      <c r="K87" s="874"/>
      <c r="L87" s="874"/>
      <c r="M87" s="874"/>
      <c r="N87" s="874"/>
      <c r="O87" s="874"/>
      <c r="P87" s="874"/>
      <c r="Q87" s="874"/>
      <c r="R87" s="874"/>
      <c r="S87" s="874"/>
      <c r="T87" s="874"/>
      <c r="U87" s="874"/>
      <c r="V87" s="874"/>
      <c r="W87" s="874"/>
      <c r="X87" s="874"/>
      <c r="Y87" s="874"/>
      <c r="Z87" s="874"/>
      <c r="AA87" s="875"/>
      <c r="AB87" s="875"/>
      <c r="AC87" s="875"/>
      <c r="AD87" s="845"/>
      <c r="AE87" s="845"/>
      <c r="AF87" s="845"/>
      <c r="AG87" s="845"/>
      <c r="AH87" s="845"/>
      <c r="AI87" s="845"/>
      <c r="AJ87" s="845"/>
      <c r="AK87" s="845"/>
      <c r="AL87" s="845"/>
      <c r="AM87" s="845"/>
      <c r="AN87" s="845"/>
      <c r="AO87" s="845"/>
      <c r="AP87" s="845"/>
      <c r="AQ87" s="845"/>
      <c r="AR87" s="845"/>
      <c r="AS87" s="845"/>
      <c r="AT87" s="845"/>
      <c r="AU87" s="845"/>
      <c r="AV87" s="845"/>
      <c r="AW87" s="845"/>
      <c r="AX87" s="845"/>
      <c r="AY87" s="845"/>
      <c r="AZ87" s="845"/>
      <c r="BA87" s="846"/>
      <c r="BB87" s="846"/>
      <c r="BC87" s="846"/>
      <c r="BD87" s="846"/>
      <c r="BE87" s="846"/>
      <c r="BF87" s="846"/>
      <c r="BG87" s="846"/>
      <c r="BH87" s="846"/>
      <c r="BI87" s="846"/>
      <c r="BJ87" s="846"/>
      <c r="BK87" s="846"/>
      <c r="BL87" s="846"/>
      <c r="BM87" s="846"/>
      <c r="BN87" s="846"/>
      <c r="BO87" s="846"/>
      <c r="BP87" s="846"/>
      <c r="BQ87" s="846"/>
      <c r="BR87" s="310"/>
      <c r="BS87" s="310"/>
      <c r="BT87" s="310"/>
      <c r="BU87" s="310"/>
      <c r="BV87" s="310"/>
      <c r="BW87" s="443"/>
      <c r="BX87" s="310"/>
      <c r="BY87" s="310"/>
      <c r="BZ87" s="310"/>
      <c r="CA87" s="310"/>
      <c r="CB87" s="310"/>
      <c r="CC87" s="310"/>
      <c r="CD87" s="310"/>
      <c r="CE87" s="310"/>
      <c r="CF87" s="310"/>
      <c r="CG87" s="286"/>
      <c r="CH87" s="878"/>
      <c r="CI87" s="220"/>
    </row>
    <row r="88" spans="1:87" ht="3" customHeight="1">
      <c r="B88" s="879"/>
      <c r="C88" s="879"/>
      <c r="D88" s="879"/>
      <c r="E88" s="939"/>
      <c r="F88" s="939"/>
      <c r="G88" s="946"/>
      <c r="H88" s="874"/>
      <c r="I88" s="874"/>
      <c r="J88" s="874"/>
      <c r="K88" s="874"/>
      <c r="L88" s="874"/>
      <c r="M88" s="874"/>
      <c r="N88" s="874"/>
      <c r="O88" s="874"/>
      <c r="P88" s="874"/>
      <c r="Q88" s="874"/>
      <c r="R88" s="874"/>
      <c r="S88" s="874"/>
      <c r="T88" s="874"/>
      <c r="U88" s="874"/>
      <c r="V88" s="874"/>
      <c r="W88" s="874"/>
      <c r="X88" s="874"/>
      <c r="Y88" s="874"/>
      <c r="Z88" s="874"/>
      <c r="AA88" s="875"/>
      <c r="AB88" s="875"/>
      <c r="AC88" s="875"/>
      <c r="AD88" s="825"/>
      <c r="AE88" s="825"/>
      <c r="AF88" s="825"/>
      <c r="AG88" s="825"/>
      <c r="AH88" s="825"/>
      <c r="AI88" s="825"/>
      <c r="AJ88" s="825"/>
      <c r="AK88" s="825"/>
      <c r="AL88" s="825"/>
      <c r="AM88" s="825"/>
      <c r="AN88" s="825"/>
      <c r="AO88" s="825"/>
      <c r="AP88" s="825"/>
      <c r="AQ88" s="825"/>
      <c r="AR88" s="825"/>
      <c r="AS88" s="825"/>
      <c r="AT88" s="825"/>
      <c r="AU88" s="825"/>
      <c r="AV88" s="825"/>
      <c r="AW88" s="825"/>
      <c r="AX88" s="825"/>
      <c r="AY88" s="825"/>
      <c r="AZ88" s="825"/>
      <c r="BA88" s="875"/>
      <c r="BB88" s="875"/>
      <c r="BC88" s="875"/>
      <c r="BD88" s="875"/>
      <c r="BE88" s="875"/>
      <c r="BF88" s="875"/>
      <c r="BG88" s="875"/>
      <c r="BH88" s="875"/>
      <c r="BI88" s="875"/>
      <c r="BJ88" s="875"/>
      <c r="BK88" s="304"/>
      <c r="BL88" s="304"/>
      <c r="BM88" s="304"/>
      <c r="BN88" s="304"/>
      <c r="BO88" s="304"/>
      <c r="BP88" s="304"/>
      <c r="BQ88" s="304"/>
      <c r="BR88" s="304"/>
      <c r="BS88" s="304"/>
      <c r="BT88" s="304"/>
      <c r="BU88" s="304"/>
      <c r="BV88" s="304"/>
      <c r="BW88" s="304"/>
      <c r="BX88" s="304"/>
      <c r="BY88" s="304"/>
      <c r="BZ88" s="304"/>
      <c r="CA88" s="304"/>
      <c r="CB88" s="304"/>
      <c r="CC88" s="304"/>
      <c r="CD88" s="304"/>
      <c r="CE88" s="304"/>
      <c r="CF88" s="304"/>
      <c r="CG88" s="284"/>
      <c r="CH88" s="878"/>
      <c r="CI88" s="220"/>
    </row>
    <row r="89" spans="1:87" ht="3" customHeight="1">
      <c r="B89" s="879"/>
      <c r="C89" s="879"/>
      <c r="D89" s="879"/>
      <c r="E89" s="939"/>
      <c r="F89" s="939"/>
      <c r="G89" s="946"/>
      <c r="H89" s="874"/>
      <c r="I89" s="874"/>
      <c r="J89" s="874"/>
      <c r="K89" s="874"/>
      <c r="L89" s="874"/>
      <c r="M89" s="874"/>
      <c r="N89" s="874"/>
      <c r="O89" s="874"/>
      <c r="P89" s="874"/>
      <c r="Q89" s="874"/>
      <c r="R89" s="874"/>
      <c r="S89" s="874"/>
      <c r="T89" s="874"/>
      <c r="U89" s="874"/>
      <c r="V89" s="874"/>
      <c r="W89" s="874"/>
      <c r="X89" s="874"/>
      <c r="Y89" s="874"/>
      <c r="Z89" s="874"/>
      <c r="AA89" s="875"/>
      <c r="AB89" s="875"/>
      <c r="AC89" s="875"/>
      <c r="AD89" s="826"/>
      <c r="AE89" s="820"/>
      <c r="AF89" s="820"/>
      <c r="AG89" s="820"/>
      <c r="AH89" s="435"/>
      <c r="AI89" s="821"/>
      <c r="AJ89" s="821"/>
      <c r="AK89" s="821"/>
      <c r="AL89" s="821"/>
      <c r="AM89" s="821"/>
      <c r="AN89" s="818" t="s">
        <v>965</v>
      </c>
      <c r="AO89" s="822"/>
      <c r="AP89" s="822"/>
      <c r="AQ89" s="822"/>
      <c r="AR89" s="822"/>
      <c r="AS89" s="822"/>
      <c r="AT89" s="818" t="s">
        <v>965</v>
      </c>
      <c r="AU89" s="822"/>
      <c r="AV89" s="822"/>
      <c r="AW89" s="822"/>
      <c r="AX89" s="822"/>
      <c r="AY89" s="822"/>
      <c r="AZ89" s="827"/>
      <c r="BA89" s="875"/>
      <c r="BB89" s="875"/>
      <c r="BC89" s="875"/>
      <c r="BD89" s="875"/>
      <c r="BE89" s="875"/>
      <c r="BF89" s="875"/>
      <c r="BG89" s="875"/>
      <c r="BH89" s="875"/>
      <c r="BI89" s="875"/>
      <c r="BJ89" s="875"/>
      <c r="BK89" s="442"/>
      <c r="BL89" s="820"/>
      <c r="BM89" s="820"/>
      <c r="BN89" s="820"/>
      <c r="BO89" s="442"/>
      <c r="BP89" s="444"/>
      <c r="BQ89" s="444"/>
      <c r="BR89" s="444"/>
      <c r="BS89" s="444"/>
      <c r="BT89" s="444"/>
      <c r="BU89" s="442"/>
      <c r="BV89" s="444"/>
      <c r="BW89" s="444"/>
      <c r="BX89" s="444"/>
      <c r="BY89" s="444"/>
      <c r="BZ89" s="444"/>
      <c r="CA89" s="445"/>
      <c r="CB89" s="444"/>
      <c r="CC89" s="444"/>
      <c r="CD89" s="444"/>
      <c r="CE89" s="444"/>
      <c r="CF89" s="444"/>
      <c r="CG89" s="287"/>
      <c r="CH89" s="878"/>
      <c r="CI89" s="220"/>
    </row>
    <row r="90" spans="1:87" ht="15" customHeight="1">
      <c r="B90" s="879"/>
      <c r="C90" s="879"/>
      <c r="D90" s="879"/>
      <c r="E90" s="939"/>
      <c r="F90" s="939"/>
      <c r="G90" s="946"/>
      <c r="H90" s="874"/>
      <c r="I90" s="874"/>
      <c r="J90" s="874"/>
      <c r="K90" s="874"/>
      <c r="L90" s="874"/>
      <c r="M90" s="874"/>
      <c r="N90" s="874"/>
      <c r="O90" s="874"/>
      <c r="P90" s="874"/>
      <c r="Q90" s="874"/>
      <c r="R90" s="874"/>
      <c r="S90" s="874"/>
      <c r="T90" s="874"/>
      <c r="U90" s="874"/>
      <c r="V90" s="874"/>
      <c r="W90" s="874"/>
      <c r="X90" s="874"/>
      <c r="Y90" s="874"/>
      <c r="Z90" s="874"/>
      <c r="AA90" s="875"/>
      <c r="AB90" s="875"/>
      <c r="AC90" s="875"/>
      <c r="AD90" s="826"/>
      <c r="AE90" s="432" t="str">
        <f>IF(LEN(VLOOKUP(AA84,suvaha!$D$8:$H$158,3,FALSE))&lt;11,"",LEFT(RIGHT(VLOOKUP(AA84,suvaha!$D$8:$H$158,3,FALSE),11),1))</f>
        <v/>
      </c>
      <c r="AF90" s="255" t="s">
        <v>965</v>
      </c>
      <c r="AG90" s="432" t="str">
        <f>IF(LEN(VLOOKUP(AA84,suvaha!$D$8:$H$158,3,FALSE))&lt;10,"",LEFT(RIGHT(VLOOKUP(AA84,suvaha!$D$8:$H$158,3,FALSE),10),1))</f>
        <v/>
      </c>
      <c r="AH90" s="434" t="s">
        <v>965</v>
      </c>
      <c r="AI90" s="432" t="str">
        <f>IF(LEN(VLOOKUP(AA84,suvaha!$D$8:$H$158,3,FALSE))&lt;9,"",LEFT(RIGHT(VLOOKUP(AA84,suvaha!$D$8:$H$158,3,FALSE),9),1))</f>
        <v/>
      </c>
      <c r="AJ90" s="255" t="s">
        <v>965</v>
      </c>
      <c r="AK90" s="432" t="str">
        <f>IF(LEN(VLOOKUP(AA84,suvaha!$D$8:$H$158,3,FALSE))&lt;8,"",LEFT(RIGHT(VLOOKUP(AA84,suvaha!$D$8:$H$158,3,FALSE),8),1))</f>
        <v/>
      </c>
      <c r="AL90" s="434" t="s">
        <v>965</v>
      </c>
      <c r="AM90" s="432" t="str">
        <f>IF(LEN(VLOOKUP(AA84,suvaha!$D$8:$H$158,3,FALSE))&lt;7,"",LEFT(RIGHT(VLOOKUP(AA84,suvaha!$D$8:$H$158,3,FALSE),7),1))</f>
        <v/>
      </c>
      <c r="AN90" s="818"/>
      <c r="AO90" s="432" t="str">
        <f>IF(LEN(VLOOKUP(AA84,suvaha!$D$8:$H$158,3,FALSE))&lt;6,"",LEFT(RIGHT(VLOOKUP(AA84,suvaha!$D$8:$H$158,3,FALSE),6),1))</f>
        <v/>
      </c>
      <c r="AP90" s="434" t="s">
        <v>965</v>
      </c>
      <c r="AQ90" s="432" t="str">
        <f>IF(LEN(VLOOKUP(AA84,suvaha!$D$8:$H$158,3,FALSE))&lt;5,"",LEFT(RIGHT(VLOOKUP(AA84,suvaha!$D$8:$H$158,3,FALSE),5),1))</f>
        <v/>
      </c>
      <c r="AR90" s="434" t="s">
        <v>965</v>
      </c>
      <c r="AS90" s="432" t="str">
        <f>IF(LEN(VLOOKUP(AA84,suvaha!$D$8:$H$158,3,FALSE))&lt;4,"",LEFT(RIGHT(VLOOKUP(AA84,suvaha!$D$8:$H$158,3,FALSE),4),1))</f>
        <v/>
      </c>
      <c r="AT90" s="818"/>
      <c r="AU90" s="432" t="str">
        <f>IF(LEN(VLOOKUP(AA84,suvaha!$D$8:$H$158,3,FALSE))&lt;3,"",LEFT(RIGHT(VLOOKUP(AA84,suvaha!$D$8:$H$158,3,FALSE),3),1))</f>
        <v/>
      </c>
      <c r="AV90" s="434" t="s">
        <v>965</v>
      </c>
      <c r="AW90" s="432" t="str">
        <f>IF(LEN(VLOOKUP(AA84,suvaha!$D$8:$H$158,3,FALSE))&lt;2,"",LEFT(RIGHT(VLOOKUP(AA84,suvaha!$D$8:$H$158,3,FALSE),2),1))</f>
        <v/>
      </c>
      <c r="AX90" s="434" t="s">
        <v>965</v>
      </c>
      <c r="AY90" s="432" t="str">
        <f>IF(VLOOKUP(AA84,suvaha!$D$8:$H$85,3,FALSE)=0,"",IF(LEN(VLOOKUP(AA84,suvaha!$D$8:$H$158,3,FALSE))&lt;1,"",LEFT(RIGHT(VLOOKUP(AA84,suvaha!$D$8:$H$158,3,FALSE),1),1)))</f>
        <v/>
      </c>
      <c r="AZ90" s="827"/>
      <c r="BA90" s="875"/>
      <c r="BB90" s="875"/>
      <c r="BC90" s="875"/>
      <c r="BD90" s="875"/>
      <c r="BE90" s="875"/>
      <c r="BF90" s="875"/>
      <c r="BG90" s="875"/>
      <c r="BH90" s="875"/>
      <c r="BI90" s="875"/>
      <c r="BJ90" s="875"/>
      <c r="BK90" s="442"/>
      <c r="BL90" s="432" t="str">
        <f>IF(LEN(VLOOKUP(AA84,suvaha!$D$8:$H$158,5,FALSE))&lt;11,"",LEFT(RIGHT(VLOOKUP(AA84,suvaha!$D$8:$H$158,5,FALSE),11),1))</f>
        <v/>
      </c>
      <c r="BM90" s="255" t="s">
        <v>965</v>
      </c>
      <c r="BN90" s="432" t="str">
        <f>IF(LEN(VLOOKUP(AA84,suvaha!$D$8:$H$158,5,FALSE))&lt;10,"",LEFT(RIGHT(VLOOKUP(AA84,suvaha!$D$8:$H$158,5,FALSE),10),1))</f>
        <v/>
      </c>
      <c r="BO90" s="442" t="s">
        <v>965</v>
      </c>
      <c r="BP90" s="432" t="str">
        <f>IF(LEN(VLOOKUP(AA84,suvaha!$D$8:$H$158,5,FALSE))&lt;9,"",LEFT(RIGHT(VLOOKUP(AA84,suvaha!$D$8:$H$158,5,FALSE),9),1))</f>
        <v/>
      </c>
      <c r="BQ90" s="434" t="s">
        <v>965</v>
      </c>
      <c r="BR90" s="432" t="str">
        <f>IF(LEN(VLOOKUP(AA84,suvaha!$D$8:$H$158,5,FALSE))&lt;8,"",LEFT(RIGHT(VLOOKUP(AA84,suvaha!$D$8:$H$158,5,FALSE),8),1))</f>
        <v/>
      </c>
      <c r="BS90" s="434" t="s">
        <v>965</v>
      </c>
      <c r="BT90" s="432" t="str">
        <f>IF(LEN(VLOOKUP(AA84,suvaha!$D$8:$H$158,5,FALSE))&lt;7,"",LEFT(RIGHT(VLOOKUP(AA84,suvaha!$D$8:$H$158,5,FALSE),7),1))</f>
        <v/>
      </c>
      <c r="BU90" s="442" t="s">
        <v>965</v>
      </c>
      <c r="BV90" s="432" t="str">
        <f>IF(LEN(VLOOKUP(AA84,suvaha!$D$8:$H$158,5,FALSE))&lt;6,"",LEFT(RIGHT(VLOOKUP(AA84,suvaha!$D$8:$H$158,5,FALSE),6),1))</f>
        <v/>
      </c>
      <c r="BW90" s="434" t="s">
        <v>965</v>
      </c>
      <c r="BX90" s="432" t="str">
        <f>IF(LEN(VLOOKUP(AA84,suvaha!$D$8:$H$158,5,FALSE))&lt;5,"",LEFT(RIGHT(VLOOKUP(AA84,suvaha!$D$8:$H$158,5,FALSE),5),1))</f>
        <v/>
      </c>
      <c r="BY90" s="434" t="s">
        <v>965</v>
      </c>
      <c r="BZ90" s="432" t="str">
        <f>IF(LEN(VLOOKUP(AA84,suvaha!$D$8:$H$158,5,FALSE))&lt;4,"",LEFT(RIGHT(VLOOKUP(AA84,suvaha!$D$8:$H$158,5,FALSE),4),1))</f>
        <v/>
      </c>
      <c r="CA90" s="445" t="s">
        <v>965</v>
      </c>
      <c r="CB90" s="432" t="str">
        <f>IF(LEN(VLOOKUP(AA84,suvaha!$D$8:$H$158,5,FALSE))&lt;3,"",LEFT(RIGHT(VLOOKUP(AA84,suvaha!$D$8:$H$158,5,FALSE),3),1))</f>
        <v/>
      </c>
      <c r="CC90" s="434" t="s">
        <v>965</v>
      </c>
      <c r="CD90" s="432" t="str">
        <f>IF(LEN(VLOOKUP(AA84,suvaha!$D$8:$H$158,5,FALSE))&lt;2,"",LEFT(RIGHT(VLOOKUP(AA84,suvaha!$D$8:$H$158,5,FALSE),2),1))</f>
        <v/>
      </c>
      <c r="CE90" s="434" t="s">
        <v>1540</v>
      </c>
      <c r="CF90" s="432" t="str">
        <f>IF(VLOOKUP(AA84,suvaha!$D$8:$H$85,5,FALSE)=0,"",IF(LEN(VLOOKUP(AA84,suvaha!$D$8:$H$158,5,FALSE))&lt;1,"",LEFT(RIGHT(VLOOKUP(AA84,suvaha!$D$8:$H$158,5,FALSE),1),1)))</f>
        <v/>
      </c>
      <c r="CG90" s="287"/>
      <c r="CH90" s="878"/>
      <c r="CI90" s="220"/>
    </row>
    <row r="91" spans="1:87" ht="3" customHeight="1">
      <c r="B91" s="879"/>
      <c r="C91" s="879"/>
      <c r="D91" s="879"/>
      <c r="E91" s="939"/>
      <c r="F91" s="939"/>
      <c r="G91" s="946"/>
      <c r="H91" s="874"/>
      <c r="I91" s="874"/>
      <c r="J91" s="874"/>
      <c r="K91" s="874"/>
      <c r="L91" s="874"/>
      <c r="M91" s="874"/>
      <c r="N91" s="874"/>
      <c r="O91" s="874"/>
      <c r="P91" s="874"/>
      <c r="Q91" s="874"/>
      <c r="R91" s="874"/>
      <c r="S91" s="874"/>
      <c r="T91" s="874"/>
      <c r="U91" s="874"/>
      <c r="V91" s="874"/>
      <c r="W91" s="874"/>
      <c r="X91" s="874"/>
      <c r="Y91" s="874"/>
      <c r="Z91" s="874"/>
      <c r="AA91" s="875"/>
      <c r="AB91" s="875"/>
      <c r="AC91" s="875"/>
      <c r="AD91" s="845"/>
      <c r="AE91" s="845"/>
      <c r="AF91" s="845"/>
      <c r="AG91" s="845"/>
      <c r="AH91" s="845"/>
      <c r="AI91" s="845"/>
      <c r="AJ91" s="845"/>
      <c r="AK91" s="845"/>
      <c r="AL91" s="845"/>
      <c r="AM91" s="845"/>
      <c r="AN91" s="845"/>
      <c r="AO91" s="845"/>
      <c r="AP91" s="845"/>
      <c r="AQ91" s="845"/>
      <c r="AR91" s="845"/>
      <c r="AS91" s="845"/>
      <c r="AT91" s="845"/>
      <c r="AU91" s="845"/>
      <c r="AV91" s="845"/>
      <c r="AW91" s="845"/>
      <c r="AX91" s="845"/>
      <c r="AY91" s="845"/>
      <c r="AZ91" s="845"/>
      <c r="BA91" s="875"/>
      <c r="BB91" s="875"/>
      <c r="BC91" s="875"/>
      <c r="BD91" s="875"/>
      <c r="BE91" s="875"/>
      <c r="BF91" s="875"/>
      <c r="BG91" s="875"/>
      <c r="BH91" s="875"/>
      <c r="BI91" s="875"/>
      <c r="BJ91" s="875"/>
      <c r="BK91" s="310"/>
      <c r="BL91" s="310"/>
      <c r="BM91" s="310"/>
      <c r="BN91" s="310"/>
      <c r="BO91" s="310"/>
      <c r="BP91" s="310"/>
      <c r="BQ91" s="310"/>
      <c r="BR91" s="310"/>
      <c r="BS91" s="310"/>
      <c r="BT91" s="310"/>
      <c r="BU91" s="310"/>
      <c r="BV91" s="310"/>
      <c r="BW91" s="310"/>
      <c r="BX91" s="310"/>
      <c r="BY91" s="310"/>
      <c r="BZ91" s="310"/>
      <c r="CA91" s="310"/>
      <c r="CB91" s="310"/>
      <c r="CC91" s="310"/>
      <c r="CD91" s="310"/>
      <c r="CE91" s="310"/>
      <c r="CF91" s="310"/>
      <c r="CG91" s="286"/>
      <c r="CH91" s="878"/>
      <c r="CI91" s="220"/>
    </row>
    <row r="92" spans="1:87" s="250" customFormat="1" ht="3" customHeight="1">
      <c r="A92" s="220"/>
      <c r="B92" s="879"/>
      <c r="C92" s="879"/>
      <c r="D92" s="879"/>
      <c r="E92" s="877" t="s">
        <v>569</v>
      </c>
      <c r="F92" s="877"/>
      <c r="G92" s="862"/>
      <c r="H92" s="938" t="str">
        <f>Index!C118</f>
        <v>Krátkodobý finančný majetok v prepojených účtovných jednotkách (251A, 253A, 256A, 257A, 25XA) - /291A, 29XA/</v>
      </c>
      <c r="I92" s="938"/>
      <c r="J92" s="938"/>
      <c r="K92" s="938"/>
      <c r="L92" s="938"/>
      <c r="M92" s="938"/>
      <c r="N92" s="938"/>
      <c r="O92" s="938"/>
      <c r="P92" s="938"/>
      <c r="Q92" s="938"/>
      <c r="R92" s="938"/>
      <c r="S92" s="938"/>
      <c r="T92" s="938"/>
      <c r="U92" s="938"/>
      <c r="V92" s="938"/>
      <c r="W92" s="938"/>
      <c r="X92" s="938"/>
      <c r="Y92" s="938"/>
      <c r="Z92" s="938"/>
      <c r="AA92" s="866" t="s">
        <v>1628</v>
      </c>
      <c r="AB92" s="866"/>
      <c r="AC92" s="866"/>
      <c r="AD92" s="825"/>
      <c r="AE92" s="825"/>
      <c r="AF92" s="825"/>
      <c r="AG92" s="825"/>
      <c r="AH92" s="825"/>
      <c r="AI92" s="825"/>
      <c r="AJ92" s="825"/>
      <c r="AK92" s="825"/>
      <c r="AL92" s="825"/>
      <c r="AM92" s="825"/>
      <c r="AN92" s="825"/>
      <c r="AO92" s="825"/>
      <c r="AP92" s="825"/>
      <c r="AQ92" s="825"/>
      <c r="AR92" s="825"/>
      <c r="AS92" s="825"/>
      <c r="AT92" s="825"/>
      <c r="AU92" s="825"/>
      <c r="AV92" s="825"/>
      <c r="AW92" s="825"/>
      <c r="AX92" s="825"/>
      <c r="AY92" s="825"/>
      <c r="AZ92" s="825"/>
      <c r="BA92" s="867"/>
      <c r="BB92" s="867"/>
      <c r="BC92" s="867"/>
      <c r="BD92" s="867"/>
      <c r="BE92" s="867"/>
      <c r="BF92" s="867"/>
      <c r="BG92" s="867"/>
      <c r="BH92" s="867"/>
      <c r="BI92" s="867"/>
      <c r="BJ92" s="867"/>
      <c r="BK92" s="867"/>
      <c r="BL92" s="867"/>
      <c r="BM92" s="867"/>
      <c r="BN92" s="867"/>
      <c r="BO92" s="867"/>
      <c r="BP92" s="867"/>
      <c r="BQ92" s="867"/>
      <c r="BR92" s="304"/>
      <c r="BS92" s="304"/>
      <c r="BT92" s="304"/>
      <c r="BU92" s="304"/>
      <c r="BV92" s="304"/>
      <c r="BW92" s="446"/>
      <c r="BX92" s="304"/>
      <c r="BY92" s="304"/>
      <c r="BZ92" s="304"/>
      <c r="CA92" s="304"/>
      <c r="CB92" s="304"/>
      <c r="CC92" s="304"/>
      <c r="CD92" s="304"/>
      <c r="CE92" s="304"/>
      <c r="CF92" s="304"/>
      <c r="CG92" s="284"/>
      <c r="CH92" s="878"/>
      <c r="CI92" s="288"/>
    </row>
    <row r="93" spans="1:87" s="250" customFormat="1" ht="3" customHeight="1">
      <c r="A93" s="220"/>
      <c r="B93" s="879"/>
      <c r="C93" s="879"/>
      <c r="D93" s="879"/>
      <c r="E93" s="877"/>
      <c r="F93" s="877"/>
      <c r="G93" s="862"/>
      <c r="H93" s="938"/>
      <c r="I93" s="938"/>
      <c r="J93" s="938"/>
      <c r="K93" s="938"/>
      <c r="L93" s="938"/>
      <c r="M93" s="938"/>
      <c r="N93" s="938"/>
      <c r="O93" s="938"/>
      <c r="P93" s="938"/>
      <c r="Q93" s="938"/>
      <c r="R93" s="938"/>
      <c r="S93" s="938"/>
      <c r="T93" s="938"/>
      <c r="U93" s="938"/>
      <c r="V93" s="938"/>
      <c r="W93" s="938"/>
      <c r="X93" s="938"/>
      <c r="Y93" s="938"/>
      <c r="Z93" s="938"/>
      <c r="AA93" s="866"/>
      <c r="AB93" s="866"/>
      <c r="AC93" s="866"/>
      <c r="AD93" s="826"/>
      <c r="AE93" s="820"/>
      <c r="AF93" s="820"/>
      <c r="AG93" s="820"/>
      <c r="AH93" s="435"/>
      <c r="AI93" s="821"/>
      <c r="AJ93" s="821"/>
      <c r="AK93" s="821"/>
      <c r="AL93" s="821"/>
      <c r="AM93" s="821"/>
      <c r="AN93" s="818"/>
      <c r="AO93" s="822"/>
      <c r="AP93" s="822"/>
      <c r="AQ93" s="822"/>
      <c r="AR93" s="822"/>
      <c r="AS93" s="822"/>
      <c r="AT93" s="818"/>
      <c r="AU93" s="822"/>
      <c r="AV93" s="822"/>
      <c r="AW93" s="822"/>
      <c r="AX93" s="822"/>
      <c r="AY93" s="822"/>
      <c r="AZ93" s="827"/>
      <c r="BA93" s="826"/>
      <c r="BB93" s="820"/>
      <c r="BC93" s="820"/>
      <c r="BD93" s="820"/>
      <c r="BE93" s="435"/>
      <c r="BF93" s="821"/>
      <c r="BG93" s="821"/>
      <c r="BH93" s="821"/>
      <c r="BI93" s="821"/>
      <c r="BJ93" s="821"/>
      <c r="BK93" s="818"/>
      <c r="BL93" s="822"/>
      <c r="BM93" s="822"/>
      <c r="BN93" s="822"/>
      <c r="BO93" s="822"/>
      <c r="BP93" s="822"/>
      <c r="BQ93" s="819"/>
      <c r="BR93" s="822"/>
      <c r="BS93" s="822"/>
      <c r="BT93" s="822"/>
      <c r="BU93" s="822"/>
      <c r="BV93" s="822"/>
      <c r="BW93" s="441"/>
      <c r="BX93" s="442"/>
      <c r="BY93" s="442"/>
      <c r="BZ93" s="442"/>
      <c r="CA93" s="442"/>
      <c r="CB93" s="442"/>
      <c r="CC93" s="442"/>
      <c r="CD93" s="442"/>
      <c r="CE93" s="442"/>
      <c r="CF93" s="442"/>
      <c r="CG93" s="285"/>
      <c r="CH93" s="878"/>
      <c r="CI93" s="288"/>
    </row>
    <row r="94" spans="1:87" ht="15" customHeight="1">
      <c r="B94" s="879"/>
      <c r="C94" s="879"/>
      <c r="D94" s="879"/>
      <c r="E94" s="877"/>
      <c r="F94" s="877"/>
      <c r="G94" s="862"/>
      <c r="H94" s="938"/>
      <c r="I94" s="938"/>
      <c r="J94" s="938"/>
      <c r="K94" s="938"/>
      <c r="L94" s="938"/>
      <c r="M94" s="938"/>
      <c r="N94" s="938"/>
      <c r="O94" s="938"/>
      <c r="P94" s="938"/>
      <c r="Q94" s="938"/>
      <c r="R94" s="938"/>
      <c r="S94" s="938"/>
      <c r="T94" s="938"/>
      <c r="U94" s="938"/>
      <c r="V94" s="938"/>
      <c r="W94" s="938"/>
      <c r="X94" s="938"/>
      <c r="Y94" s="938"/>
      <c r="Z94" s="938"/>
      <c r="AA94" s="866"/>
      <c r="AB94" s="866"/>
      <c r="AC94" s="866"/>
      <c r="AD94" s="826"/>
      <c r="AE94" s="432" t="str">
        <f>IF(LEN(VLOOKUP(AA92,suvaha!$D$8:$H$158,2,FALSE))&lt;11,"",LEFT(RIGHT(VLOOKUP(AA92,suvaha!$D$8:$H$158,2,FALSE),11),1))</f>
        <v/>
      </c>
      <c r="AF94" s="255"/>
      <c r="AG94" s="432" t="str">
        <f>IF(LEN(VLOOKUP(AA92,suvaha!$D$8:$H$158,2,FALSE))&lt;10,"",LEFT(RIGHT(VLOOKUP(AA92,suvaha!$D$8:$H$158,2,FALSE),10),1))</f>
        <v/>
      </c>
      <c r="AH94" s="434"/>
      <c r="AI94" s="432" t="str">
        <f>IF(LEN(VLOOKUP(AA92,suvaha!$D$8:$H$158,2,FALSE))&lt;9,"",LEFT(RIGHT(VLOOKUP(AA92,suvaha!$D$8:$H$158,2,FALSE),9),1))</f>
        <v/>
      </c>
      <c r="AJ94" s="255"/>
      <c r="AK94" s="432" t="str">
        <f>IF(LEN(VLOOKUP(AA92,suvaha!$D$8:$H$158,2,FALSE))&lt;8,"",LEFT(RIGHT(VLOOKUP(AA92,suvaha!$D$8:$H$158,2,FALSE),8),1))</f>
        <v/>
      </c>
      <c r="AL94" s="434"/>
      <c r="AM94" s="432" t="str">
        <f>IF(LEN(VLOOKUP(AA92,suvaha!$D$8:$H$158,2,FALSE))&lt;7,"",LEFT(RIGHT(VLOOKUP(AA92,suvaha!$D$8:$H$158,2,FALSE),7),1))</f>
        <v/>
      </c>
      <c r="AN94" s="818"/>
      <c r="AO94" s="432" t="str">
        <f>IF(LEN(VLOOKUP(AA92,suvaha!$D$8:$H$158,2,FALSE))&lt;6,"",LEFT(RIGHT(VLOOKUP(AA92,suvaha!$D$8:$H$158,2,FALSE),6),1))</f>
        <v/>
      </c>
      <c r="AP94" s="434"/>
      <c r="AQ94" s="432" t="str">
        <f>IF(LEN(VLOOKUP(AA92,suvaha!$D$8:$H$158,2,FALSE))&lt;5,"",LEFT(RIGHT(VLOOKUP(AA92,suvaha!$D$8:$H$158,2,FALSE),5),1))</f>
        <v/>
      </c>
      <c r="AR94" s="434"/>
      <c r="AS94" s="432" t="str">
        <f>IF(LEN(VLOOKUP(AA92,suvaha!$D$8:$H$158,2,FALSE))&lt;4,"",LEFT(RIGHT(VLOOKUP(AA92,suvaha!$D$8:$H$158,2,FALSE),4),1))</f>
        <v/>
      </c>
      <c r="AT94" s="818"/>
      <c r="AU94" s="432" t="str">
        <f>IF(LEN(VLOOKUP(AA92,suvaha!$D$8:$H$158,2,FALSE))&lt;3,"",LEFT(RIGHT(VLOOKUP(AA92,suvaha!$D$8:$H$158,2,FALSE),3),1))</f>
        <v/>
      </c>
      <c r="AV94" s="434"/>
      <c r="AW94" s="432" t="str">
        <f>IF(LEN(VLOOKUP(AA92,suvaha!$D$8:$H$158,2,FALSE))&lt;2,"",LEFT(RIGHT(VLOOKUP(AA92,suvaha!$D$8:$H$158,2,FALSE),2),1))</f>
        <v/>
      </c>
      <c r="AX94" s="434"/>
      <c r="AY94" s="432" t="str">
        <f>IF(VLOOKUP(AA92,suvaha!$D$8:$H$85,2,FALSE)=0,"",IF(LEN(VLOOKUP(AA92,suvaha!$D$8:$H$158,2,FALSE))&lt;1,"",LEFT(RIGHT(VLOOKUP(AA92,suvaha!$D$8:$H$158,2,FALSE),1),1)))</f>
        <v/>
      </c>
      <c r="AZ94" s="827"/>
      <c r="BA94" s="826"/>
      <c r="BB94" s="432" t="str">
        <f>IF(LEN(VLOOKUP(AA92,suvaha!$D$8:$H$158,4,FALSE))&lt;11,"",LEFT(RIGHT(VLOOKUP(AA92,suvaha!$D$8:$H$158,4,FALSE),11),1))</f>
        <v/>
      </c>
      <c r="BC94" s="255"/>
      <c r="BD94" s="432" t="str">
        <f>IF(LEN(VLOOKUP(AA92,suvaha!$D$8:$H$158,4,FALSE))&lt;10,"",LEFT(RIGHT(VLOOKUP(AA92,suvaha!$D$8:$H$158,4,FALSE),10),1))</f>
        <v/>
      </c>
      <c r="BE94" s="434"/>
      <c r="BF94" s="432" t="str">
        <f>IF(LEN(VLOOKUP(AA92,suvaha!$D$8:$H$158,4,FALSE))&lt;9,"",LEFT(RIGHT(VLOOKUP(AA92,suvaha!$D$8:$H$158,4,FALSE),9),1))</f>
        <v/>
      </c>
      <c r="BG94" s="255"/>
      <c r="BH94" s="432" t="str">
        <f>IF(LEN(VLOOKUP(AA92,suvaha!$D$8:$H$158,4,FALSE))&lt;8,"",LEFT(RIGHT(VLOOKUP(AA92,suvaha!$D$8:$H$158,4,FALSE),8),1))</f>
        <v/>
      </c>
      <c r="BI94" s="434"/>
      <c r="BJ94" s="432" t="str">
        <f>IF(LEN(VLOOKUP(AA92,suvaha!$D$8:$H$158,4,FALSE))&lt;7,"",LEFT(RIGHT(VLOOKUP(AA92,suvaha!$D$8:$H$158,4,FALSE),7),1))</f>
        <v/>
      </c>
      <c r="BK94" s="818"/>
      <c r="BL94" s="432" t="str">
        <f>IF(LEN(VLOOKUP(AA92,suvaha!$D$8:$H$158,4,FALSE))&lt;6,"",LEFT(RIGHT(VLOOKUP(AA92,suvaha!$D$8:$H$158,4,FALSE),6),1))</f>
        <v/>
      </c>
      <c r="BM94" s="434"/>
      <c r="BN94" s="432" t="str">
        <f>IF(LEN(VLOOKUP(AA92,suvaha!$D$8:$H$158,4,FALSE))&lt;5,"",LEFT(RIGHT(VLOOKUP(AA92,suvaha!$D$8:$H$158,4,FALSE),5),1))</f>
        <v/>
      </c>
      <c r="BO94" s="434"/>
      <c r="BP94" s="432" t="str">
        <f>IF(LEN(VLOOKUP(AA92,suvaha!$D$8:$H$158,4,FALSE))&lt;4,"",LEFT(RIGHT(VLOOKUP(AA92,suvaha!$D$8:$H$158,4,FALSE),4),1))</f>
        <v/>
      </c>
      <c r="BQ94" s="819"/>
      <c r="BR94" s="432" t="str">
        <f>IF(LEN(VLOOKUP(AA92,suvaha!$D$8:$H$158,4,FALSE))&lt;3,"",LEFT(RIGHT(VLOOKUP(AA92,suvaha!$D$8:$H$158,4,FALSE),3),1))</f>
        <v/>
      </c>
      <c r="BS94" s="434"/>
      <c r="BT94" s="432" t="str">
        <f>IF(LEN(VLOOKUP(AA92,suvaha!$D$8:$H$158,4,FALSE))&lt;2,"",LEFT(RIGHT(VLOOKUP(AA92,suvaha!$D$8:$H$158,4,FALSE),2),1))</f>
        <v/>
      </c>
      <c r="BU94" s="434"/>
      <c r="BV94" s="432" t="str">
        <f>IF(VLOOKUP(AA92,suvaha!$D$8:$H$85,4,FALSE)=0,"",IF(LEN(VLOOKUP(AA92,suvaha!$D$8:$H$158,4,FALSE))&lt;1,"",LEFT(RIGHT(VLOOKUP(AA92,suvaha!$D$8:$H$158,4,FALSE),1),1)))</f>
        <v/>
      </c>
      <c r="BW94" s="441"/>
      <c r="BX94" s="442"/>
      <c r="BY94" s="442"/>
      <c r="BZ94" s="442"/>
      <c r="CA94" s="442"/>
      <c r="CB94" s="442"/>
      <c r="CC94" s="442"/>
      <c r="CD94" s="442"/>
      <c r="CE94" s="442"/>
      <c r="CF94" s="442"/>
      <c r="CG94" s="285"/>
      <c r="CH94" s="878"/>
      <c r="CI94" s="220"/>
    </row>
    <row r="95" spans="1:87" ht="3" customHeight="1">
      <c r="B95" s="879"/>
      <c r="C95" s="879"/>
      <c r="D95" s="879"/>
      <c r="E95" s="877"/>
      <c r="F95" s="877"/>
      <c r="G95" s="862"/>
      <c r="H95" s="938"/>
      <c r="I95" s="938"/>
      <c r="J95" s="938"/>
      <c r="K95" s="938"/>
      <c r="L95" s="938"/>
      <c r="M95" s="938"/>
      <c r="N95" s="938"/>
      <c r="O95" s="938"/>
      <c r="P95" s="938"/>
      <c r="Q95" s="938"/>
      <c r="R95" s="938"/>
      <c r="S95" s="938"/>
      <c r="T95" s="938"/>
      <c r="U95" s="938"/>
      <c r="V95" s="938"/>
      <c r="W95" s="938"/>
      <c r="X95" s="938"/>
      <c r="Y95" s="938"/>
      <c r="Z95" s="938"/>
      <c r="AA95" s="866"/>
      <c r="AB95" s="866"/>
      <c r="AC95" s="866"/>
      <c r="AD95" s="845"/>
      <c r="AE95" s="845"/>
      <c r="AF95" s="845"/>
      <c r="AG95" s="845"/>
      <c r="AH95" s="845"/>
      <c r="AI95" s="845"/>
      <c r="AJ95" s="845"/>
      <c r="AK95" s="845"/>
      <c r="AL95" s="845"/>
      <c r="AM95" s="845"/>
      <c r="AN95" s="845"/>
      <c r="AO95" s="845"/>
      <c r="AP95" s="845"/>
      <c r="AQ95" s="845"/>
      <c r="AR95" s="845"/>
      <c r="AS95" s="845"/>
      <c r="AT95" s="845"/>
      <c r="AU95" s="845"/>
      <c r="AV95" s="845"/>
      <c r="AW95" s="845"/>
      <c r="AX95" s="845"/>
      <c r="AY95" s="845"/>
      <c r="AZ95" s="845"/>
      <c r="BA95" s="846"/>
      <c r="BB95" s="846"/>
      <c r="BC95" s="846"/>
      <c r="BD95" s="846"/>
      <c r="BE95" s="846"/>
      <c r="BF95" s="846"/>
      <c r="BG95" s="846"/>
      <c r="BH95" s="846"/>
      <c r="BI95" s="846"/>
      <c r="BJ95" s="846"/>
      <c r="BK95" s="846"/>
      <c r="BL95" s="846"/>
      <c r="BM95" s="846"/>
      <c r="BN95" s="846"/>
      <c r="BO95" s="846"/>
      <c r="BP95" s="846"/>
      <c r="BQ95" s="846"/>
      <c r="BR95" s="310"/>
      <c r="BS95" s="310"/>
      <c r="BT95" s="310"/>
      <c r="BU95" s="310"/>
      <c r="BV95" s="310"/>
      <c r="BW95" s="443"/>
      <c r="BX95" s="310"/>
      <c r="BY95" s="310"/>
      <c r="BZ95" s="310"/>
      <c r="CA95" s="310"/>
      <c r="CB95" s="310"/>
      <c r="CC95" s="310"/>
      <c r="CD95" s="310"/>
      <c r="CE95" s="310"/>
      <c r="CF95" s="310"/>
      <c r="CG95" s="286"/>
      <c r="CH95" s="220"/>
      <c r="CI95" s="220"/>
    </row>
    <row r="96" spans="1:87" ht="3" customHeight="1">
      <c r="B96" s="879"/>
      <c r="C96" s="879"/>
      <c r="D96" s="879"/>
      <c r="E96" s="877"/>
      <c r="F96" s="877"/>
      <c r="G96" s="862"/>
      <c r="H96" s="938"/>
      <c r="I96" s="938"/>
      <c r="J96" s="938"/>
      <c r="K96" s="938"/>
      <c r="L96" s="938"/>
      <c r="M96" s="938"/>
      <c r="N96" s="938"/>
      <c r="O96" s="938"/>
      <c r="P96" s="938"/>
      <c r="Q96" s="938"/>
      <c r="R96" s="938"/>
      <c r="S96" s="938"/>
      <c r="T96" s="938"/>
      <c r="U96" s="938"/>
      <c r="V96" s="938"/>
      <c r="W96" s="938"/>
      <c r="X96" s="938"/>
      <c r="Y96" s="938"/>
      <c r="Z96" s="938"/>
      <c r="AA96" s="866"/>
      <c r="AB96" s="866"/>
      <c r="AC96" s="866"/>
      <c r="AD96" s="825"/>
      <c r="AE96" s="825"/>
      <c r="AF96" s="825"/>
      <c r="AG96" s="825"/>
      <c r="AH96" s="825"/>
      <c r="AI96" s="825"/>
      <c r="AJ96" s="825"/>
      <c r="AK96" s="825"/>
      <c r="AL96" s="825"/>
      <c r="AM96" s="825"/>
      <c r="AN96" s="825"/>
      <c r="AO96" s="825"/>
      <c r="AP96" s="825"/>
      <c r="AQ96" s="825"/>
      <c r="AR96" s="825"/>
      <c r="AS96" s="825"/>
      <c r="AT96" s="825"/>
      <c r="AU96" s="825"/>
      <c r="AV96" s="825"/>
      <c r="AW96" s="825"/>
      <c r="AX96" s="825"/>
      <c r="AY96" s="825"/>
      <c r="AZ96" s="825"/>
      <c r="BA96" s="875"/>
      <c r="BB96" s="875"/>
      <c r="BC96" s="875"/>
      <c r="BD96" s="875"/>
      <c r="BE96" s="875"/>
      <c r="BF96" s="875"/>
      <c r="BG96" s="875"/>
      <c r="BH96" s="875"/>
      <c r="BI96" s="875"/>
      <c r="BJ96" s="875"/>
      <c r="BK96" s="304"/>
      <c r="BL96" s="304"/>
      <c r="BM96" s="304"/>
      <c r="BN96" s="304"/>
      <c r="BO96" s="304"/>
      <c r="BP96" s="304"/>
      <c r="BQ96" s="304"/>
      <c r="BR96" s="304"/>
      <c r="BS96" s="304"/>
      <c r="BT96" s="304"/>
      <c r="BU96" s="304"/>
      <c r="BV96" s="304"/>
      <c r="BW96" s="304"/>
      <c r="BX96" s="304"/>
      <c r="BY96" s="304"/>
      <c r="BZ96" s="304"/>
      <c r="CA96" s="304"/>
      <c r="CB96" s="304"/>
      <c r="CC96" s="304"/>
      <c r="CD96" s="304"/>
      <c r="CE96" s="304"/>
      <c r="CF96" s="304"/>
      <c r="CG96" s="284"/>
      <c r="CH96" s="220"/>
      <c r="CI96" s="220"/>
    </row>
    <row r="97" spans="1:87" ht="3" customHeight="1">
      <c r="B97" s="879"/>
      <c r="C97" s="879"/>
      <c r="D97" s="879"/>
      <c r="E97" s="877"/>
      <c r="F97" s="877"/>
      <c r="G97" s="862"/>
      <c r="H97" s="938"/>
      <c r="I97" s="938"/>
      <c r="J97" s="938"/>
      <c r="K97" s="938"/>
      <c r="L97" s="938"/>
      <c r="M97" s="938"/>
      <c r="N97" s="938"/>
      <c r="O97" s="938"/>
      <c r="P97" s="938"/>
      <c r="Q97" s="938"/>
      <c r="R97" s="938"/>
      <c r="S97" s="938"/>
      <c r="T97" s="938"/>
      <c r="U97" s="938"/>
      <c r="V97" s="938"/>
      <c r="W97" s="938"/>
      <c r="X97" s="938"/>
      <c r="Y97" s="938"/>
      <c r="Z97" s="938"/>
      <c r="AA97" s="866"/>
      <c r="AB97" s="866"/>
      <c r="AC97" s="866"/>
      <c r="AD97" s="826"/>
      <c r="AE97" s="820"/>
      <c r="AF97" s="820"/>
      <c r="AG97" s="820"/>
      <c r="AH97" s="435"/>
      <c r="AI97" s="821"/>
      <c r="AJ97" s="821"/>
      <c r="AK97" s="821"/>
      <c r="AL97" s="821"/>
      <c r="AM97" s="821"/>
      <c r="AN97" s="818" t="s">
        <v>965</v>
      </c>
      <c r="AO97" s="822"/>
      <c r="AP97" s="822"/>
      <c r="AQ97" s="822"/>
      <c r="AR97" s="822"/>
      <c r="AS97" s="822"/>
      <c r="AT97" s="818" t="s">
        <v>965</v>
      </c>
      <c r="AU97" s="822"/>
      <c r="AV97" s="822"/>
      <c r="AW97" s="822"/>
      <c r="AX97" s="822"/>
      <c r="AY97" s="822"/>
      <c r="AZ97" s="827"/>
      <c r="BA97" s="875"/>
      <c r="BB97" s="875"/>
      <c r="BC97" s="875"/>
      <c r="BD97" s="875"/>
      <c r="BE97" s="875"/>
      <c r="BF97" s="875"/>
      <c r="BG97" s="875"/>
      <c r="BH97" s="875"/>
      <c r="BI97" s="875"/>
      <c r="BJ97" s="875"/>
      <c r="BK97" s="442"/>
      <c r="BL97" s="820"/>
      <c r="BM97" s="820"/>
      <c r="BN97" s="820"/>
      <c r="BO97" s="442"/>
      <c r="BP97" s="444"/>
      <c r="BQ97" s="444"/>
      <c r="BR97" s="444"/>
      <c r="BS97" s="444"/>
      <c r="BT97" s="444"/>
      <c r="BU97" s="442"/>
      <c r="BV97" s="444"/>
      <c r="BW97" s="444"/>
      <c r="BX97" s="444"/>
      <c r="BY97" s="444"/>
      <c r="BZ97" s="444"/>
      <c r="CA97" s="445"/>
      <c r="CB97" s="444"/>
      <c r="CC97" s="444"/>
      <c r="CD97" s="444"/>
      <c r="CE97" s="444"/>
      <c r="CF97" s="444"/>
      <c r="CG97" s="287"/>
      <c r="CH97" s="220"/>
      <c r="CI97" s="220"/>
    </row>
    <row r="98" spans="1:87" ht="15" customHeight="1">
      <c r="B98" s="879"/>
      <c r="C98" s="879"/>
      <c r="D98" s="879"/>
      <c r="E98" s="877"/>
      <c r="F98" s="877"/>
      <c r="G98" s="862"/>
      <c r="H98" s="938"/>
      <c r="I98" s="938"/>
      <c r="J98" s="938"/>
      <c r="K98" s="938"/>
      <c r="L98" s="938"/>
      <c r="M98" s="938"/>
      <c r="N98" s="938"/>
      <c r="O98" s="938"/>
      <c r="P98" s="938"/>
      <c r="Q98" s="938"/>
      <c r="R98" s="938"/>
      <c r="S98" s="938"/>
      <c r="T98" s="938"/>
      <c r="U98" s="938"/>
      <c r="V98" s="938"/>
      <c r="W98" s="938"/>
      <c r="X98" s="938"/>
      <c r="Y98" s="938"/>
      <c r="Z98" s="938"/>
      <c r="AA98" s="866"/>
      <c r="AB98" s="866"/>
      <c r="AC98" s="866"/>
      <c r="AD98" s="826"/>
      <c r="AE98" s="432" t="str">
        <f>IF(LEN(VLOOKUP(AA92,suvaha!$D$8:$H$158,3,FALSE))&lt;11,"",LEFT(RIGHT(VLOOKUP(AA92,suvaha!$D$8:$H$158,3,FALSE),11),1))</f>
        <v/>
      </c>
      <c r="AF98" s="255" t="s">
        <v>965</v>
      </c>
      <c r="AG98" s="432" t="str">
        <f>IF(LEN(VLOOKUP(AA92,suvaha!$D$8:$H$158,3,FALSE))&lt;10,"",LEFT(RIGHT(VLOOKUP(AA92,suvaha!$D$8:$H$158,3,FALSE),10),1))</f>
        <v/>
      </c>
      <c r="AH98" s="434" t="s">
        <v>965</v>
      </c>
      <c r="AI98" s="432" t="str">
        <f>IF(LEN(VLOOKUP(AA92,suvaha!$D$8:$H$158,3,FALSE))&lt;9,"",LEFT(RIGHT(VLOOKUP(AA92,suvaha!$D$8:$H$158,3,FALSE),9),1))</f>
        <v/>
      </c>
      <c r="AJ98" s="255" t="s">
        <v>965</v>
      </c>
      <c r="AK98" s="432" t="str">
        <f>IF(LEN(VLOOKUP(AA92,suvaha!$D$8:$H$158,3,FALSE))&lt;8,"",LEFT(RIGHT(VLOOKUP(AA92,suvaha!$D$8:$H$158,3,FALSE),8),1))</f>
        <v/>
      </c>
      <c r="AL98" s="434" t="s">
        <v>965</v>
      </c>
      <c r="AM98" s="432" t="str">
        <f>IF(LEN(VLOOKUP(AA92,suvaha!$D$8:$H$158,3,FALSE))&lt;7,"",LEFT(RIGHT(VLOOKUP(AA92,suvaha!$D$8:$H$158,3,FALSE),7),1))</f>
        <v/>
      </c>
      <c r="AN98" s="818"/>
      <c r="AO98" s="432" t="str">
        <f>IF(LEN(VLOOKUP(AA92,suvaha!$D$8:$H$158,3,FALSE))&lt;6,"",LEFT(RIGHT(VLOOKUP(AA92,suvaha!$D$8:$H$158,3,FALSE),6),1))</f>
        <v/>
      </c>
      <c r="AP98" s="434" t="s">
        <v>965</v>
      </c>
      <c r="AQ98" s="432" t="str">
        <f>IF(LEN(VLOOKUP(AA92,suvaha!$D$8:$H$158,3,FALSE))&lt;5,"",LEFT(RIGHT(VLOOKUP(AA92,suvaha!$D$8:$H$158,3,FALSE),5),1))</f>
        <v/>
      </c>
      <c r="AR98" s="434" t="s">
        <v>965</v>
      </c>
      <c r="AS98" s="432" t="str">
        <f>IF(LEN(VLOOKUP(AA92,suvaha!$D$8:$H$158,3,FALSE))&lt;4,"",LEFT(RIGHT(VLOOKUP(AA92,suvaha!$D$8:$H$158,3,FALSE),4),1))</f>
        <v/>
      </c>
      <c r="AT98" s="818"/>
      <c r="AU98" s="432" t="str">
        <f>IF(LEN(VLOOKUP(AA92,suvaha!$D$8:$H$158,3,FALSE))&lt;3,"",LEFT(RIGHT(VLOOKUP(AA92,suvaha!$D$8:$H$158,3,FALSE),3),1))</f>
        <v/>
      </c>
      <c r="AV98" s="434" t="s">
        <v>965</v>
      </c>
      <c r="AW98" s="432" t="str">
        <f>IF(LEN(VLOOKUP(AA92,suvaha!$D$8:$H$158,3,FALSE))&lt;2,"",LEFT(RIGHT(VLOOKUP(AA92,suvaha!$D$8:$H$158,3,FALSE),2),1))</f>
        <v/>
      </c>
      <c r="AX98" s="434" t="s">
        <v>965</v>
      </c>
      <c r="AY98" s="432" t="str">
        <f>IF(VLOOKUP(AA92,suvaha!$D$8:$H$85,3,FALSE)=0,"",IF(LEN(VLOOKUP(AA92,suvaha!$D$8:$H$158,3,FALSE))&lt;1,"",LEFT(RIGHT(VLOOKUP(AA92,suvaha!$D$8:$H$158,3,FALSE),1),1)))</f>
        <v/>
      </c>
      <c r="AZ98" s="827"/>
      <c r="BA98" s="875"/>
      <c r="BB98" s="875"/>
      <c r="BC98" s="875"/>
      <c r="BD98" s="875"/>
      <c r="BE98" s="875"/>
      <c r="BF98" s="875"/>
      <c r="BG98" s="875"/>
      <c r="BH98" s="875"/>
      <c r="BI98" s="875"/>
      <c r="BJ98" s="875"/>
      <c r="BK98" s="442"/>
      <c r="BL98" s="432" t="str">
        <f>IF(LEN(VLOOKUP(AA92,suvaha!$D$8:$H$158,5,FALSE))&lt;11,"",LEFT(RIGHT(VLOOKUP(AA92,suvaha!$D$8:$H$158,5,FALSE),11),1))</f>
        <v/>
      </c>
      <c r="BM98" s="255" t="s">
        <v>965</v>
      </c>
      <c r="BN98" s="432" t="str">
        <f>IF(LEN(VLOOKUP(AA92,suvaha!$D$8:$H$158,5,FALSE))&lt;10,"",LEFT(RIGHT(VLOOKUP(AA92,suvaha!$D$8:$H$158,5,FALSE),10),1))</f>
        <v/>
      </c>
      <c r="BO98" s="442" t="s">
        <v>965</v>
      </c>
      <c r="BP98" s="432" t="str">
        <f>IF(LEN(VLOOKUP(AA92,suvaha!$D$8:$H$158,5,FALSE))&lt;9,"",LEFT(RIGHT(VLOOKUP(AA92,suvaha!$D$8:$H$158,5,FALSE),9),1))</f>
        <v/>
      </c>
      <c r="BQ98" s="434" t="s">
        <v>965</v>
      </c>
      <c r="BR98" s="432" t="str">
        <f>IF(LEN(VLOOKUP(AA92,suvaha!$D$8:$H$158,5,FALSE))&lt;8,"",LEFT(RIGHT(VLOOKUP(AA92,suvaha!$D$8:$H$158,5,FALSE),8),1))</f>
        <v/>
      </c>
      <c r="BS98" s="434" t="s">
        <v>965</v>
      </c>
      <c r="BT98" s="432" t="str">
        <f>IF(LEN(VLOOKUP(AA92,suvaha!$D$8:$H$158,5,FALSE))&lt;7,"",LEFT(RIGHT(VLOOKUP(AA92,suvaha!$D$8:$H$158,5,FALSE),7),1))</f>
        <v/>
      </c>
      <c r="BU98" s="442" t="s">
        <v>965</v>
      </c>
      <c r="BV98" s="432" t="str">
        <f>IF(LEN(VLOOKUP(AA92,suvaha!$D$8:$H$158,5,FALSE))&lt;6,"",LEFT(RIGHT(VLOOKUP(AA92,suvaha!$D$8:$H$158,5,FALSE),6),1))</f>
        <v/>
      </c>
      <c r="BW98" s="434" t="s">
        <v>965</v>
      </c>
      <c r="BX98" s="432" t="str">
        <f>IF(LEN(VLOOKUP(AA92,suvaha!$D$8:$H$158,5,FALSE))&lt;5,"",LEFT(RIGHT(VLOOKUP(AA92,suvaha!$D$8:$H$158,5,FALSE),5),1))</f>
        <v/>
      </c>
      <c r="BY98" s="434" t="s">
        <v>965</v>
      </c>
      <c r="BZ98" s="432" t="str">
        <f>IF(LEN(VLOOKUP(AA92,suvaha!$D$8:$H$158,5,FALSE))&lt;4,"",LEFT(RIGHT(VLOOKUP(AA92,suvaha!$D$8:$H$158,5,FALSE),4),1))</f>
        <v/>
      </c>
      <c r="CA98" s="445" t="s">
        <v>965</v>
      </c>
      <c r="CB98" s="432" t="str">
        <f>IF(LEN(VLOOKUP(AA92,suvaha!$D$8:$H$158,5,FALSE))&lt;3,"",LEFT(RIGHT(VLOOKUP(AA92,suvaha!$D$8:$H$158,5,FALSE),3),1))</f>
        <v/>
      </c>
      <c r="CC98" s="434" t="s">
        <v>965</v>
      </c>
      <c r="CD98" s="432" t="str">
        <f>IF(LEN(VLOOKUP(AA92,suvaha!$D$8:$H$158,5,FALSE))&lt;2,"",LEFT(RIGHT(VLOOKUP(AA92,suvaha!$D$8:$H$158,5,FALSE),2),1))</f>
        <v/>
      </c>
      <c r="CE98" s="434" t="s">
        <v>1540</v>
      </c>
      <c r="CF98" s="432" t="str">
        <f>IF(VLOOKUP(AA92,suvaha!$D$8:$H$85,5,FALSE)=0,"",IF(LEN(VLOOKUP(AA92,suvaha!$D$8:$H$158,5,FALSE))&lt;1,"",LEFT(RIGHT(VLOOKUP(AA92,suvaha!$D$8:$H$158,5,FALSE),1),1)))</f>
        <v/>
      </c>
      <c r="CG98" s="287"/>
      <c r="CH98" s="220"/>
      <c r="CI98" s="220"/>
    </row>
    <row r="99" spans="1:87" ht="3" customHeight="1">
      <c r="B99" s="879"/>
      <c r="C99" s="879"/>
      <c r="D99" s="879"/>
      <c r="E99" s="877"/>
      <c r="F99" s="877"/>
      <c r="G99" s="862"/>
      <c r="H99" s="938"/>
      <c r="I99" s="938"/>
      <c r="J99" s="938"/>
      <c r="K99" s="938"/>
      <c r="L99" s="938"/>
      <c r="M99" s="938"/>
      <c r="N99" s="938"/>
      <c r="O99" s="938"/>
      <c r="P99" s="938"/>
      <c r="Q99" s="938"/>
      <c r="R99" s="938"/>
      <c r="S99" s="938"/>
      <c r="T99" s="938"/>
      <c r="U99" s="938"/>
      <c r="V99" s="938"/>
      <c r="W99" s="938"/>
      <c r="X99" s="938"/>
      <c r="Y99" s="938"/>
      <c r="Z99" s="938"/>
      <c r="AA99" s="866"/>
      <c r="AB99" s="866"/>
      <c r="AC99" s="866"/>
      <c r="AD99" s="845"/>
      <c r="AE99" s="845"/>
      <c r="AF99" s="845"/>
      <c r="AG99" s="845"/>
      <c r="AH99" s="845"/>
      <c r="AI99" s="845"/>
      <c r="AJ99" s="845"/>
      <c r="AK99" s="845"/>
      <c r="AL99" s="845"/>
      <c r="AM99" s="845"/>
      <c r="AN99" s="845"/>
      <c r="AO99" s="845"/>
      <c r="AP99" s="845"/>
      <c r="AQ99" s="845"/>
      <c r="AR99" s="845"/>
      <c r="AS99" s="845"/>
      <c r="AT99" s="845"/>
      <c r="AU99" s="845"/>
      <c r="AV99" s="845"/>
      <c r="AW99" s="845"/>
      <c r="AX99" s="845"/>
      <c r="AY99" s="845"/>
      <c r="AZ99" s="845"/>
      <c r="BA99" s="875"/>
      <c r="BB99" s="875"/>
      <c r="BC99" s="875"/>
      <c r="BD99" s="875"/>
      <c r="BE99" s="875"/>
      <c r="BF99" s="875"/>
      <c r="BG99" s="875"/>
      <c r="BH99" s="875"/>
      <c r="BI99" s="875"/>
      <c r="BJ99" s="875"/>
      <c r="BK99" s="310"/>
      <c r="BL99" s="310"/>
      <c r="BM99" s="310"/>
      <c r="BN99" s="310"/>
      <c r="BO99" s="310"/>
      <c r="BP99" s="310"/>
      <c r="BQ99" s="310"/>
      <c r="BR99" s="310"/>
      <c r="BS99" s="310"/>
      <c r="BT99" s="310"/>
      <c r="BU99" s="310"/>
      <c r="BV99" s="310"/>
      <c r="BW99" s="310"/>
      <c r="BX99" s="310"/>
      <c r="BY99" s="310"/>
      <c r="BZ99" s="310"/>
      <c r="CA99" s="310"/>
      <c r="CB99" s="310"/>
      <c r="CC99" s="310"/>
      <c r="CD99" s="310"/>
      <c r="CE99" s="310"/>
      <c r="CF99" s="310"/>
      <c r="CG99" s="286"/>
      <c r="CH99" s="220"/>
      <c r="CI99" s="220"/>
    </row>
    <row r="100" spans="1:87" s="250" customFormat="1" ht="3.75" customHeight="1">
      <c r="A100" s="220"/>
      <c r="B100" s="879"/>
      <c r="C100" s="879"/>
      <c r="D100" s="879"/>
      <c r="E100" s="877" t="s">
        <v>1542</v>
      </c>
      <c r="F100" s="877"/>
      <c r="G100" s="862"/>
      <c r="H100" s="957" t="str">
        <f>Index!C119</f>
        <v>Krátkodobý finančný
majetok bez krátkodobého finančného majetku v prepojených účtovných jednotkách (251A, 253A, 256A, 257A, 25XA) - /291A, 29XA/</v>
      </c>
      <c r="I100" s="957"/>
      <c r="J100" s="957"/>
      <c r="K100" s="957"/>
      <c r="L100" s="957"/>
      <c r="M100" s="957"/>
      <c r="N100" s="957"/>
      <c r="O100" s="957"/>
      <c r="P100" s="957"/>
      <c r="Q100" s="957"/>
      <c r="R100" s="957"/>
      <c r="S100" s="957"/>
      <c r="T100" s="957"/>
      <c r="U100" s="957"/>
      <c r="V100" s="957"/>
      <c r="W100" s="957"/>
      <c r="X100" s="957"/>
      <c r="Y100" s="957"/>
      <c r="Z100" s="957"/>
      <c r="AA100" s="866" t="s">
        <v>1629</v>
      </c>
      <c r="AB100" s="866"/>
      <c r="AC100" s="866"/>
      <c r="AD100" s="825"/>
      <c r="AE100" s="825"/>
      <c r="AF100" s="825"/>
      <c r="AG100" s="825"/>
      <c r="AH100" s="825"/>
      <c r="AI100" s="825"/>
      <c r="AJ100" s="825"/>
      <c r="AK100" s="825"/>
      <c r="AL100" s="825"/>
      <c r="AM100" s="825"/>
      <c r="AN100" s="825"/>
      <c r="AO100" s="825"/>
      <c r="AP100" s="825"/>
      <c r="AQ100" s="825"/>
      <c r="AR100" s="825"/>
      <c r="AS100" s="825"/>
      <c r="AT100" s="825"/>
      <c r="AU100" s="825"/>
      <c r="AV100" s="825"/>
      <c r="AW100" s="825"/>
      <c r="AX100" s="825"/>
      <c r="AY100" s="825"/>
      <c r="AZ100" s="825"/>
      <c r="BA100" s="867"/>
      <c r="BB100" s="867"/>
      <c r="BC100" s="867"/>
      <c r="BD100" s="867"/>
      <c r="BE100" s="867"/>
      <c r="BF100" s="867"/>
      <c r="BG100" s="867"/>
      <c r="BH100" s="867"/>
      <c r="BI100" s="867"/>
      <c r="BJ100" s="867"/>
      <c r="BK100" s="867"/>
      <c r="BL100" s="867"/>
      <c r="BM100" s="867"/>
      <c r="BN100" s="867"/>
      <c r="BO100" s="867"/>
      <c r="BP100" s="867"/>
      <c r="BQ100" s="867"/>
      <c r="BR100" s="304"/>
      <c r="BS100" s="304"/>
      <c r="BT100" s="304"/>
      <c r="BU100" s="304"/>
      <c r="BV100" s="304"/>
      <c r="BW100" s="446"/>
      <c r="BX100" s="304"/>
      <c r="BY100" s="304"/>
      <c r="BZ100" s="304"/>
      <c r="CA100" s="304"/>
      <c r="CB100" s="304"/>
      <c r="CC100" s="304"/>
      <c r="CD100" s="304"/>
      <c r="CE100" s="304"/>
      <c r="CF100" s="304"/>
      <c r="CG100" s="284"/>
      <c r="CH100" s="220"/>
      <c r="CI100" s="288"/>
    </row>
    <row r="101" spans="1:87" s="250" customFormat="1" ht="3" customHeight="1">
      <c r="A101" s="220"/>
      <c r="B101" s="879"/>
      <c r="C101" s="879"/>
      <c r="D101" s="879"/>
      <c r="E101" s="877"/>
      <c r="F101" s="877"/>
      <c r="G101" s="862"/>
      <c r="H101" s="957"/>
      <c r="I101" s="957"/>
      <c r="J101" s="957"/>
      <c r="K101" s="957"/>
      <c r="L101" s="957"/>
      <c r="M101" s="957"/>
      <c r="N101" s="957"/>
      <c r="O101" s="957"/>
      <c r="P101" s="957"/>
      <c r="Q101" s="957"/>
      <c r="R101" s="957"/>
      <c r="S101" s="957"/>
      <c r="T101" s="957"/>
      <c r="U101" s="957"/>
      <c r="V101" s="957"/>
      <c r="W101" s="957"/>
      <c r="X101" s="957"/>
      <c r="Y101" s="957"/>
      <c r="Z101" s="957"/>
      <c r="AA101" s="866"/>
      <c r="AB101" s="866"/>
      <c r="AC101" s="866"/>
      <c r="AD101" s="826"/>
      <c r="AE101" s="820"/>
      <c r="AF101" s="820"/>
      <c r="AG101" s="820"/>
      <c r="AH101" s="435"/>
      <c r="AI101" s="821"/>
      <c r="AJ101" s="821"/>
      <c r="AK101" s="821"/>
      <c r="AL101" s="821"/>
      <c r="AM101" s="821"/>
      <c r="AN101" s="818"/>
      <c r="AO101" s="822"/>
      <c r="AP101" s="822"/>
      <c r="AQ101" s="822"/>
      <c r="AR101" s="822"/>
      <c r="AS101" s="822"/>
      <c r="AT101" s="818"/>
      <c r="AU101" s="822"/>
      <c r="AV101" s="822"/>
      <c r="AW101" s="822"/>
      <c r="AX101" s="822"/>
      <c r="AY101" s="822"/>
      <c r="AZ101" s="827"/>
      <c r="BA101" s="826"/>
      <c r="BB101" s="820"/>
      <c r="BC101" s="820"/>
      <c r="BD101" s="820"/>
      <c r="BE101" s="435"/>
      <c r="BF101" s="821"/>
      <c r="BG101" s="821"/>
      <c r="BH101" s="821"/>
      <c r="BI101" s="821"/>
      <c r="BJ101" s="821"/>
      <c r="BK101" s="818"/>
      <c r="BL101" s="822"/>
      <c r="BM101" s="822"/>
      <c r="BN101" s="822"/>
      <c r="BO101" s="822"/>
      <c r="BP101" s="822"/>
      <c r="BQ101" s="819"/>
      <c r="BR101" s="822"/>
      <c r="BS101" s="822"/>
      <c r="BT101" s="822"/>
      <c r="BU101" s="822"/>
      <c r="BV101" s="822"/>
      <c r="BW101" s="441"/>
      <c r="BX101" s="442"/>
      <c r="BY101" s="442"/>
      <c r="BZ101" s="442"/>
      <c r="CA101" s="442"/>
      <c r="CB101" s="442"/>
      <c r="CC101" s="442"/>
      <c r="CD101" s="442"/>
      <c r="CE101" s="442"/>
      <c r="CF101" s="442"/>
      <c r="CG101" s="285"/>
      <c r="CH101" s="220"/>
      <c r="CI101" s="288"/>
    </row>
    <row r="102" spans="1:87" ht="16.5" customHeight="1">
      <c r="B102" s="879"/>
      <c r="C102" s="879"/>
      <c r="D102" s="879"/>
      <c r="E102" s="877"/>
      <c r="F102" s="877"/>
      <c r="G102" s="862"/>
      <c r="H102" s="957"/>
      <c r="I102" s="957"/>
      <c r="J102" s="957"/>
      <c r="K102" s="957"/>
      <c r="L102" s="957"/>
      <c r="M102" s="957"/>
      <c r="N102" s="957"/>
      <c r="O102" s="957"/>
      <c r="P102" s="957"/>
      <c r="Q102" s="957"/>
      <c r="R102" s="957"/>
      <c r="S102" s="957"/>
      <c r="T102" s="957"/>
      <c r="U102" s="957"/>
      <c r="V102" s="957"/>
      <c r="W102" s="957"/>
      <c r="X102" s="957"/>
      <c r="Y102" s="957"/>
      <c r="Z102" s="957"/>
      <c r="AA102" s="866"/>
      <c r="AB102" s="866"/>
      <c r="AC102" s="866"/>
      <c r="AD102" s="826"/>
      <c r="AE102" s="432" t="str">
        <f>IF(LEN(VLOOKUP(AA100,suvaha!$D$8:$H$158,2,FALSE))&lt;11,"",LEFT(RIGHT(VLOOKUP(AA100,suvaha!$D$8:$H$158,2,FALSE),11),1))</f>
        <v/>
      </c>
      <c r="AF102" s="255"/>
      <c r="AG102" s="432" t="str">
        <f>IF(LEN(VLOOKUP(AA100,suvaha!$D$8:$H$158,2,FALSE))&lt;10,"",LEFT(RIGHT(VLOOKUP(AA100,suvaha!$D$8:$H$158,2,FALSE),10),1))</f>
        <v/>
      </c>
      <c r="AH102" s="434"/>
      <c r="AI102" s="432" t="str">
        <f>IF(LEN(VLOOKUP(AA100,suvaha!$D$8:$H$158,2,FALSE))&lt;9,"",LEFT(RIGHT(VLOOKUP(AA100,suvaha!$D$8:$H$158,2,FALSE),9),1))</f>
        <v/>
      </c>
      <c r="AJ102" s="255"/>
      <c r="AK102" s="432" t="str">
        <f>IF(LEN(VLOOKUP(AA100,suvaha!$D$8:$H$158,2,FALSE))&lt;8,"",LEFT(RIGHT(VLOOKUP(AA100,suvaha!$D$8:$H$158,2,FALSE),8),1))</f>
        <v/>
      </c>
      <c r="AL102" s="434"/>
      <c r="AM102" s="432" t="str">
        <f>IF(LEN(VLOOKUP(AA100,suvaha!$D$8:$H$158,2,FALSE))&lt;7,"",LEFT(RIGHT(VLOOKUP(AA100,suvaha!$D$8:$H$158,2,FALSE),7),1))</f>
        <v/>
      </c>
      <c r="AN102" s="818"/>
      <c r="AO102" s="432" t="str">
        <f>IF(LEN(VLOOKUP(AA100,suvaha!$D$8:$H$158,2,FALSE))&lt;6,"",LEFT(RIGHT(VLOOKUP(AA100,suvaha!$D$8:$H$158,2,FALSE),6),1))</f>
        <v/>
      </c>
      <c r="AP102" s="434"/>
      <c r="AQ102" s="432" t="str">
        <f>IF(LEN(VLOOKUP(AA100,suvaha!$D$8:$H$158,2,FALSE))&lt;5,"",LEFT(RIGHT(VLOOKUP(AA100,suvaha!$D$8:$H$158,2,FALSE),5),1))</f>
        <v/>
      </c>
      <c r="AR102" s="434"/>
      <c r="AS102" s="432" t="str">
        <f>IF(LEN(VLOOKUP(AA100,suvaha!$D$8:$H$158,2,FALSE))&lt;4,"",LEFT(RIGHT(VLOOKUP(AA100,suvaha!$D$8:$H$158,2,FALSE),4),1))</f>
        <v/>
      </c>
      <c r="AT102" s="818"/>
      <c r="AU102" s="432" t="str">
        <f>IF(LEN(VLOOKUP(AA100,suvaha!$D$8:$H$158,2,FALSE))&lt;3,"",LEFT(RIGHT(VLOOKUP(AA100,suvaha!$D$8:$H$158,2,FALSE),3),1))</f>
        <v/>
      </c>
      <c r="AV102" s="434"/>
      <c r="AW102" s="432" t="str">
        <f>IF(LEN(VLOOKUP(AA100,suvaha!$D$8:$H$158,2,FALSE))&lt;2,"",LEFT(RIGHT(VLOOKUP(AA100,suvaha!$D$8:$H$158,2,FALSE),2),1))</f>
        <v/>
      </c>
      <c r="AX102" s="434"/>
      <c r="AY102" s="432" t="str">
        <f>IF(VLOOKUP(AA100,suvaha!$D$8:$H$85,2,FALSE)=0,"",IF(LEN(VLOOKUP(AA100,suvaha!$D$8:$H$158,2,FALSE))&lt;1,"",LEFT(RIGHT(VLOOKUP(AA100,suvaha!$D$8:$H$158,2,FALSE),1),1)))</f>
        <v/>
      </c>
      <c r="AZ102" s="827"/>
      <c r="BA102" s="826"/>
      <c r="BB102" s="432" t="str">
        <f>IF(LEN(VLOOKUP(AA100,suvaha!$D$8:$H$158,4,FALSE))&lt;11,"",LEFT(RIGHT(VLOOKUP(AA100,suvaha!$D$8:$H$158,4,FALSE),11),1))</f>
        <v/>
      </c>
      <c r="BC102" s="255"/>
      <c r="BD102" s="432" t="str">
        <f>IF(LEN(VLOOKUP(AA100,suvaha!$D$8:$H$158,4,FALSE))&lt;10,"",LEFT(RIGHT(VLOOKUP(AA100,suvaha!$D$8:$H$158,4,FALSE),10),1))</f>
        <v/>
      </c>
      <c r="BE102" s="434"/>
      <c r="BF102" s="432" t="str">
        <f>IF(LEN(VLOOKUP(AA100,suvaha!$D$8:$H$158,4,FALSE))&lt;9,"",LEFT(RIGHT(VLOOKUP(AA100,suvaha!$D$8:$H$158,4,FALSE),9),1))</f>
        <v/>
      </c>
      <c r="BG102" s="255"/>
      <c r="BH102" s="432" t="str">
        <f>IF(LEN(VLOOKUP(AA100,suvaha!$D$8:$H$158,4,FALSE))&lt;8,"",LEFT(RIGHT(VLOOKUP(AA100,suvaha!$D$8:$H$158,4,FALSE),8),1))</f>
        <v/>
      </c>
      <c r="BI102" s="434"/>
      <c r="BJ102" s="432" t="str">
        <f>IF(LEN(VLOOKUP(AA100,suvaha!$D$8:$H$158,4,FALSE))&lt;7,"",LEFT(RIGHT(VLOOKUP(AA100,suvaha!$D$8:$H$158,4,FALSE),7),1))</f>
        <v/>
      </c>
      <c r="BK102" s="818"/>
      <c r="BL102" s="432" t="str">
        <f>IF(LEN(VLOOKUP(AA100,suvaha!$D$8:$H$158,4,FALSE))&lt;6,"",LEFT(RIGHT(VLOOKUP(AA100,suvaha!$D$8:$H$158,4,FALSE),6),1))</f>
        <v/>
      </c>
      <c r="BM102" s="434"/>
      <c r="BN102" s="432" t="str">
        <f>IF(LEN(VLOOKUP(AA100,suvaha!$D$8:$H$158,4,FALSE))&lt;5,"",LEFT(RIGHT(VLOOKUP(AA100,suvaha!$D$8:$H$158,4,FALSE),5),1))</f>
        <v/>
      </c>
      <c r="BO102" s="434"/>
      <c r="BP102" s="432" t="str">
        <f>IF(LEN(VLOOKUP(AA100,suvaha!$D$8:$H$158,4,FALSE))&lt;4,"",LEFT(RIGHT(VLOOKUP(AA100,suvaha!$D$8:$H$158,4,FALSE),4),1))</f>
        <v/>
      </c>
      <c r="BQ102" s="819"/>
      <c r="BR102" s="432" t="str">
        <f>IF(LEN(VLOOKUP(AA100,suvaha!$D$8:$H$158,4,FALSE))&lt;3,"",LEFT(RIGHT(VLOOKUP(AA100,suvaha!$D$8:$H$158,4,FALSE),3),1))</f>
        <v/>
      </c>
      <c r="BS102" s="434"/>
      <c r="BT102" s="432" t="str">
        <f>IF(LEN(VLOOKUP(AA100,suvaha!$D$8:$H$158,4,FALSE))&lt;2,"",LEFT(RIGHT(VLOOKUP(AA100,suvaha!$D$8:$H$158,4,FALSE),2),1))</f>
        <v/>
      </c>
      <c r="BU102" s="434"/>
      <c r="BV102" s="432" t="str">
        <f>IF(VLOOKUP(AA100,suvaha!$D$8:$H$85,4,FALSE)=0,"",IF(LEN(VLOOKUP(AA100,suvaha!$D$8:$H$158,4,FALSE))&lt;1,"",LEFT(RIGHT(VLOOKUP(AA100,suvaha!$D$8:$H$158,4,FALSE),1),1)))</f>
        <v/>
      </c>
      <c r="BW102" s="441"/>
      <c r="BX102" s="442"/>
      <c r="BY102" s="442"/>
      <c r="BZ102" s="442"/>
      <c r="CA102" s="442"/>
      <c r="CB102" s="442"/>
      <c r="CC102" s="442"/>
      <c r="CD102" s="442"/>
      <c r="CE102" s="442"/>
      <c r="CF102" s="442"/>
      <c r="CG102" s="285"/>
      <c r="CH102" s="220"/>
      <c r="CI102" s="220"/>
    </row>
    <row r="103" spans="1:87" ht="3.75" customHeight="1">
      <c r="B103" s="879"/>
      <c r="C103" s="879"/>
      <c r="D103" s="879"/>
      <c r="E103" s="877"/>
      <c r="F103" s="877"/>
      <c r="G103" s="862"/>
      <c r="H103" s="957"/>
      <c r="I103" s="957"/>
      <c r="J103" s="957"/>
      <c r="K103" s="957"/>
      <c r="L103" s="957"/>
      <c r="M103" s="957"/>
      <c r="N103" s="957"/>
      <c r="O103" s="957"/>
      <c r="P103" s="957"/>
      <c r="Q103" s="957"/>
      <c r="R103" s="957"/>
      <c r="S103" s="957"/>
      <c r="T103" s="957"/>
      <c r="U103" s="957"/>
      <c r="V103" s="957"/>
      <c r="W103" s="957"/>
      <c r="X103" s="957"/>
      <c r="Y103" s="957"/>
      <c r="Z103" s="957"/>
      <c r="AA103" s="866"/>
      <c r="AB103" s="866"/>
      <c r="AC103" s="866"/>
      <c r="AD103" s="845"/>
      <c r="AE103" s="845"/>
      <c r="AF103" s="845"/>
      <c r="AG103" s="845"/>
      <c r="AH103" s="845"/>
      <c r="AI103" s="845"/>
      <c r="AJ103" s="845"/>
      <c r="AK103" s="845"/>
      <c r="AL103" s="845"/>
      <c r="AM103" s="845"/>
      <c r="AN103" s="845"/>
      <c r="AO103" s="845"/>
      <c r="AP103" s="845"/>
      <c r="AQ103" s="845"/>
      <c r="AR103" s="845"/>
      <c r="AS103" s="845"/>
      <c r="AT103" s="845"/>
      <c r="AU103" s="845"/>
      <c r="AV103" s="845"/>
      <c r="AW103" s="845"/>
      <c r="AX103" s="845"/>
      <c r="AY103" s="845"/>
      <c r="AZ103" s="845"/>
      <c r="BA103" s="846"/>
      <c r="BB103" s="846"/>
      <c r="BC103" s="846"/>
      <c r="BD103" s="846"/>
      <c r="BE103" s="846"/>
      <c r="BF103" s="846"/>
      <c r="BG103" s="846"/>
      <c r="BH103" s="846"/>
      <c r="BI103" s="846"/>
      <c r="BJ103" s="846"/>
      <c r="BK103" s="846"/>
      <c r="BL103" s="846"/>
      <c r="BM103" s="846"/>
      <c r="BN103" s="846"/>
      <c r="BO103" s="846"/>
      <c r="BP103" s="846"/>
      <c r="BQ103" s="846"/>
      <c r="BR103" s="310"/>
      <c r="BS103" s="310"/>
      <c r="BT103" s="310"/>
      <c r="BU103" s="310"/>
      <c r="BV103" s="310"/>
      <c r="BW103" s="443"/>
      <c r="BX103" s="310"/>
      <c r="BY103" s="310"/>
      <c r="BZ103" s="310"/>
      <c r="CA103" s="310"/>
      <c r="CB103" s="310"/>
      <c r="CC103" s="310"/>
      <c r="CD103" s="310"/>
      <c r="CE103" s="310"/>
      <c r="CF103" s="310"/>
      <c r="CG103" s="286"/>
      <c r="CH103" s="220"/>
      <c r="CI103" s="220"/>
    </row>
    <row r="104" spans="1:87" ht="4.5" customHeight="1">
      <c r="B104" s="879"/>
      <c r="C104" s="879"/>
      <c r="D104" s="879"/>
      <c r="E104" s="877"/>
      <c r="F104" s="877"/>
      <c r="G104" s="862"/>
      <c r="H104" s="957"/>
      <c r="I104" s="957"/>
      <c r="J104" s="957"/>
      <c r="K104" s="957"/>
      <c r="L104" s="957"/>
      <c r="M104" s="957"/>
      <c r="N104" s="957"/>
      <c r="O104" s="957"/>
      <c r="P104" s="957"/>
      <c r="Q104" s="957"/>
      <c r="R104" s="957"/>
      <c r="S104" s="957"/>
      <c r="T104" s="957"/>
      <c r="U104" s="957"/>
      <c r="V104" s="957"/>
      <c r="W104" s="957"/>
      <c r="X104" s="957"/>
      <c r="Y104" s="957"/>
      <c r="Z104" s="957"/>
      <c r="AA104" s="866"/>
      <c r="AB104" s="866"/>
      <c r="AC104" s="866"/>
      <c r="AD104" s="825"/>
      <c r="AE104" s="825"/>
      <c r="AF104" s="825"/>
      <c r="AG104" s="825"/>
      <c r="AH104" s="825"/>
      <c r="AI104" s="825"/>
      <c r="AJ104" s="825"/>
      <c r="AK104" s="825"/>
      <c r="AL104" s="825"/>
      <c r="AM104" s="825"/>
      <c r="AN104" s="825"/>
      <c r="AO104" s="825"/>
      <c r="AP104" s="825"/>
      <c r="AQ104" s="825"/>
      <c r="AR104" s="825"/>
      <c r="AS104" s="825"/>
      <c r="AT104" s="825"/>
      <c r="AU104" s="825"/>
      <c r="AV104" s="825"/>
      <c r="AW104" s="825"/>
      <c r="AX104" s="825"/>
      <c r="AY104" s="825"/>
      <c r="AZ104" s="825"/>
      <c r="BA104" s="875"/>
      <c r="BB104" s="875"/>
      <c r="BC104" s="875"/>
      <c r="BD104" s="875"/>
      <c r="BE104" s="875"/>
      <c r="BF104" s="875"/>
      <c r="BG104" s="875"/>
      <c r="BH104" s="875"/>
      <c r="BI104" s="875"/>
      <c r="BJ104" s="875"/>
      <c r="BK104" s="304"/>
      <c r="BL104" s="304"/>
      <c r="BM104" s="304"/>
      <c r="BN104" s="304"/>
      <c r="BO104" s="304"/>
      <c r="BP104" s="304"/>
      <c r="BQ104" s="304"/>
      <c r="BR104" s="304"/>
      <c r="BS104" s="304"/>
      <c r="BT104" s="304"/>
      <c r="BU104" s="304"/>
      <c r="BV104" s="304"/>
      <c r="BW104" s="304"/>
      <c r="BX104" s="304"/>
      <c r="BY104" s="304"/>
      <c r="BZ104" s="304"/>
      <c r="CA104" s="304"/>
      <c r="CB104" s="304"/>
      <c r="CC104" s="304"/>
      <c r="CD104" s="304"/>
      <c r="CE104" s="304"/>
      <c r="CF104" s="304"/>
      <c r="CG104" s="284"/>
      <c r="CH104" s="220"/>
      <c r="CI104" s="220"/>
    </row>
    <row r="105" spans="1:87" ht="3" customHeight="1">
      <c r="B105" s="879"/>
      <c r="C105" s="879"/>
      <c r="D105" s="879"/>
      <c r="E105" s="877"/>
      <c r="F105" s="877"/>
      <c r="G105" s="862"/>
      <c r="H105" s="957"/>
      <c r="I105" s="957"/>
      <c r="J105" s="957"/>
      <c r="K105" s="957"/>
      <c r="L105" s="957"/>
      <c r="M105" s="957"/>
      <c r="N105" s="957"/>
      <c r="O105" s="957"/>
      <c r="P105" s="957"/>
      <c r="Q105" s="957"/>
      <c r="R105" s="957"/>
      <c r="S105" s="957"/>
      <c r="T105" s="957"/>
      <c r="U105" s="957"/>
      <c r="V105" s="957"/>
      <c r="W105" s="957"/>
      <c r="X105" s="957"/>
      <c r="Y105" s="957"/>
      <c r="Z105" s="957"/>
      <c r="AA105" s="866"/>
      <c r="AB105" s="866"/>
      <c r="AC105" s="866"/>
      <c r="AD105" s="826"/>
      <c r="AE105" s="820"/>
      <c r="AF105" s="820"/>
      <c r="AG105" s="820"/>
      <c r="AH105" s="435"/>
      <c r="AI105" s="821"/>
      <c r="AJ105" s="821"/>
      <c r="AK105" s="821"/>
      <c r="AL105" s="821"/>
      <c r="AM105" s="821"/>
      <c r="AN105" s="818" t="s">
        <v>965</v>
      </c>
      <c r="AO105" s="822"/>
      <c r="AP105" s="822"/>
      <c r="AQ105" s="822"/>
      <c r="AR105" s="822"/>
      <c r="AS105" s="822"/>
      <c r="AT105" s="818" t="s">
        <v>965</v>
      </c>
      <c r="AU105" s="822"/>
      <c r="AV105" s="822"/>
      <c r="AW105" s="822"/>
      <c r="AX105" s="822"/>
      <c r="AY105" s="822"/>
      <c r="AZ105" s="827"/>
      <c r="BA105" s="875"/>
      <c r="BB105" s="875"/>
      <c r="BC105" s="875"/>
      <c r="BD105" s="875"/>
      <c r="BE105" s="875"/>
      <c r="BF105" s="875"/>
      <c r="BG105" s="875"/>
      <c r="BH105" s="875"/>
      <c r="BI105" s="875"/>
      <c r="BJ105" s="875"/>
      <c r="BK105" s="442"/>
      <c r="BL105" s="820"/>
      <c r="BM105" s="820"/>
      <c r="BN105" s="820"/>
      <c r="BO105" s="442"/>
      <c r="BP105" s="444"/>
      <c r="BQ105" s="444"/>
      <c r="BR105" s="444"/>
      <c r="BS105" s="444"/>
      <c r="BT105" s="444"/>
      <c r="BU105" s="442"/>
      <c r="BV105" s="444"/>
      <c r="BW105" s="444"/>
      <c r="BX105" s="444"/>
      <c r="BY105" s="444"/>
      <c r="BZ105" s="444"/>
      <c r="CA105" s="445"/>
      <c r="CB105" s="444"/>
      <c r="CC105" s="444"/>
      <c r="CD105" s="444"/>
      <c r="CE105" s="444"/>
      <c r="CF105" s="444"/>
      <c r="CG105" s="287"/>
      <c r="CH105" s="220"/>
      <c r="CI105" s="220"/>
    </row>
    <row r="106" spans="1:87" ht="15.75" customHeight="1">
      <c r="B106" s="879"/>
      <c r="C106" s="879"/>
      <c r="D106" s="879"/>
      <c r="E106" s="877"/>
      <c r="F106" s="877"/>
      <c r="G106" s="862"/>
      <c r="H106" s="957"/>
      <c r="I106" s="957"/>
      <c r="J106" s="957"/>
      <c r="K106" s="957"/>
      <c r="L106" s="957"/>
      <c r="M106" s="957"/>
      <c r="N106" s="957"/>
      <c r="O106" s="957"/>
      <c r="P106" s="957"/>
      <c r="Q106" s="957"/>
      <c r="R106" s="957"/>
      <c r="S106" s="957"/>
      <c r="T106" s="957"/>
      <c r="U106" s="957"/>
      <c r="V106" s="957"/>
      <c r="W106" s="957"/>
      <c r="X106" s="957"/>
      <c r="Y106" s="957"/>
      <c r="Z106" s="957"/>
      <c r="AA106" s="866"/>
      <c r="AB106" s="866"/>
      <c r="AC106" s="866"/>
      <c r="AD106" s="826"/>
      <c r="AE106" s="432" t="str">
        <f>IF(LEN(VLOOKUP(AA100,suvaha!$D$8:$H$158,3,FALSE))&lt;11,"",LEFT(RIGHT(VLOOKUP(AA100,suvaha!$D$8:$H$158,3,FALSE),11),1))</f>
        <v/>
      </c>
      <c r="AF106" s="255" t="s">
        <v>965</v>
      </c>
      <c r="AG106" s="432" t="str">
        <f>IF(LEN(VLOOKUP(AA100,suvaha!$D$8:$H$158,3,FALSE))&lt;10,"",LEFT(RIGHT(VLOOKUP(AA100,suvaha!$D$8:$H$158,3,FALSE),10),1))</f>
        <v/>
      </c>
      <c r="AH106" s="434" t="s">
        <v>965</v>
      </c>
      <c r="AI106" s="432" t="str">
        <f>IF(LEN(VLOOKUP(AA100,suvaha!$D$8:$H$158,3,FALSE))&lt;9,"",LEFT(RIGHT(VLOOKUP(AA100,suvaha!$D$8:$H$158,3,FALSE),9),1))</f>
        <v/>
      </c>
      <c r="AJ106" s="255" t="s">
        <v>965</v>
      </c>
      <c r="AK106" s="432" t="str">
        <f>IF(LEN(VLOOKUP(AA100,suvaha!$D$8:$H$158,3,FALSE))&lt;8,"",LEFT(RIGHT(VLOOKUP(AA100,suvaha!$D$8:$H$158,3,FALSE),8),1))</f>
        <v/>
      </c>
      <c r="AL106" s="434" t="s">
        <v>965</v>
      </c>
      <c r="AM106" s="432" t="str">
        <f>IF(LEN(VLOOKUP(AA100,suvaha!$D$8:$H$158,3,FALSE))&lt;7,"",LEFT(RIGHT(VLOOKUP(AA100,suvaha!$D$8:$H$158,3,FALSE),7),1))</f>
        <v/>
      </c>
      <c r="AN106" s="818"/>
      <c r="AO106" s="432" t="str">
        <f>IF(LEN(VLOOKUP(AA100,suvaha!$D$8:$H$158,3,FALSE))&lt;6,"",LEFT(RIGHT(VLOOKUP(AA100,suvaha!$D$8:$H$158,3,FALSE),6),1))</f>
        <v/>
      </c>
      <c r="AP106" s="434" t="s">
        <v>965</v>
      </c>
      <c r="AQ106" s="432" t="str">
        <f>IF(LEN(VLOOKUP(AA100,suvaha!$D$8:$H$158,3,FALSE))&lt;5,"",LEFT(RIGHT(VLOOKUP(AA100,suvaha!$D$8:$H$158,3,FALSE),5),1))</f>
        <v/>
      </c>
      <c r="AR106" s="434" t="s">
        <v>965</v>
      </c>
      <c r="AS106" s="432" t="str">
        <f>IF(LEN(VLOOKUP(AA100,suvaha!$D$8:$H$158,3,FALSE))&lt;4,"",LEFT(RIGHT(VLOOKUP(AA100,suvaha!$D$8:$H$158,3,FALSE),4),1))</f>
        <v/>
      </c>
      <c r="AT106" s="818"/>
      <c r="AU106" s="432" t="str">
        <f>IF(LEN(VLOOKUP(AA100,suvaha!$D$8:$H$158,3,FALSE))&lt;3,"",LEFT(RIGHT(VLOOKUP(AA100,suvaha!$D$8:$H$158,3,FALSE),3),1))</f>
        <v/>
      </c>
      <c r="AV106" s="434" t="s">
        <v>965</v>
      </c>
      <c r="AW106" s="432" t="str">
        <f>IF(LEN(VLOOKUP(AA100,suvaha!$D$8:$H$158,3,FALSE))&lt;2,"",LEFT(RIGHT(VLOOKUP(AA100,suvaha!$D$8:$H$158,3,FALSE),2),1))</f>
        <v/>
      </c>
      <c r="AX106" s="434" t="s">
        <v>965</v>
      </c>
      <c r="AY106" s="432" t="str">
        <f>IF(VLOOKUP(AA100,suvaha!$D$8:$H$85,3,FALSE)=0,"",IF(LEN(VLOOKUP(AA100,suvaha!$D$8:$H$158,3,FALSE))&lt;1,"",LEFT(RIGHT(VLOOKUP(AA100,suvaha!$D$8:$H$158,3,FALSE),1),1)))</f>
        <v/>
      </c>
      <c r="AZ106" s="827"/>
      <c r="BA106" s="875"/>
      <c r="BB106" s="875"/>
      <c r="BC106" s="875"/>
      <c r="BD106" s="875"/>
      <c r="BE106" s="875"/>
      <c r="BF106" s="875"/>
      <c r="BG106" s="875"/>
      <c r="BH106" s="875"/>
      <c r="BI106" s="875"/>
      <c r="BJ106" s="875"/>
      <c r="BK106" s="442"/>
      <c r="BL106" s="432" t="str">
        <f>IF(LEN(VLOOKUP(AA100,suvaha!$D$8:$H$158,5,FALSE))&lt;11,"",LEFT(RIGHT(VLOOKUP(AA100,suvaha!$D$8:$H$158,5,FALSE),11),1))</f>
        <v/>
      </c>
      <c r="BM106" s="255" t="s">
        <v>965</v>
      </c>
      <c r="BN106" s="432" t="str">
        <f>IF(LEN(VLOOKUP(AA100,suvaha!$D$8:$H$158,5,FALSE))&lt;10,"",LEFT(RIGHT(VLOOKUP(AA100,suvaha!$D$8:$H$158,5,FALSE),10),1))</f>
        <v/>
      </c>
      <c r="BO106" s="442" t="s">
        <v>965</v>
      </c>
      <c r="BP106" s="432" t="str">
        <f>IF(LEN(VLOOKUP(AA100,suvaha!$D$8:$H$158,5,FALSE))&lt;9,"",LEFT(RIGHT(VLOOKUP(AA100,suvaha!$D$8:$H$158,5,FALSE),9),1))</f>
        <v/>
      </c>
      <c r="BQ106" s="434" t="s">
        <v>965</v>
      </c>
      <c r="BR106" s="432" t="str">
        <f>IF(LEN(VLOOKUP(AA100,suvaha!$D$8:$H$158,5,FALSE))&lt;8,"",LEFT(RIGHT(VLOOKUP(AA100,suvaha!$D$8:$H$158,5,FALSE),8),1))</f>
        <v/>
      </c>
      <c r="BS106" s="434" t="s">
        <v>965</v>
      </c>
      <c r="BT106" s="432" t="str">
        <f>IF(LEN(VLOOKUP(AA100,suvaha!$D$8:$H$158,5,FALSE))&lt;7,"",LEFT(RIGHT(VLOOKUP(AA100,suvaha!$D$8:$H$158,5,FALSE),7),1))</f>
        <v/>
      </c>
      <c r="BU106" s="442" t="s">
        <v>965</v>
      </c>
      <c r="BV106" s="432" t="str">
        <f>IF(LEN(VLOOKUP(AA100,suvaha!$D$8:$H$158,5,FALSE))&lt;6,"",LEFT(RIGHT(VLOOKUP(AA100,suvaha!$D$8:$H$158,5,FALSE),6),1))</f>
        <v/>
      </c>
      <c r="BW106" s="434" t="s">
        <v>965</v>
      </c>
      <c r="BX106" s="432" t="str">
        <f>IF(LEN(VLOOKUP(AA100,suvaha!$D$8:$H$158,5,FALSE))&lt;5,"",LEFT(RIGHT(VLOOKUP(AA100,suvaha!$D$8:$H$158,5,FALSE),5),1))</f>
        <v/>
      </c>
      <c r="BY106" s="434" t="s">
        <v>965</v>
      </c>
      <c r="BZ106" s="432" t="str">
        <f>IF(LEN(VLOOKUP(AA100,suvaha!$D$8:$H$158,5,FALSE))&lt;4,"",LEFT(RIGHT(VLOOKUP(AA100,suvaha!$D$8:$H$158,5,FALSE),4),1))</f>
        <v/>
      </c>
      <c r="CA106" s="445" t="s">
        <v>965</v>
      </c>
      <c r="CB106" s="432" t="str">
        <f>IF(LEN(VLOOKUP(AA100,suvaha!$D$8:$H$158,5,FALSE))&lt;3,"",LEFT(RIGHT(VLOOKUP(AA100,suvaha!$D$8:$H$158,5,FALSE),3),1))</f>
        <v/>
      </c>
      <c r="CC106" s="434" t="s">
        <v>965</v>
      </c>
      <c r="CD106" s="432" t="str">
        <f>IF(LEN(VLOOKUP(AA100,suvaha!$D$8:$H$158,5,FALSE))&lt;2,"",LEFT(RIGHT(VLOOKUP(AA100,suvaha!$D$8:$H$158,5,FALSE),2),1))</f>
        <v/>
      </c>
      <c r="CE106" s="434" t="s">
        <v>1540</v>
      </c>
      <c r="CF106" s="432" t="str">
        <f>IF(VLOOKUP(AA100,suvaha!$D$8:$H$85,5,FALSE)=0,"",IF(LEN(VLOOKUP(AA100,suvaha!$D$8:$H$158,5,FALSE))&lt;1,"",LEFT(RIGHT(VLOOKUP(AA100,suvaha!$D$8:$H$158,5,FALSE),1),1)))</f>
        <v/>
      </c>
      <c r="CG106" s="287"/>
      <c r="CH106" s="220"/>
      <c r="CI106" s="220"/>
    </row>
    <row r="107" spans="1:87" ht="3.75" customHeight="1">
      <c r="B107" s="879"/>
      <c r="C107" s="879"/>
      <c r="D107" s="879"/>
      <c r="E107" s="877"/>
      <c r="F107" s="877"/>
      <c r="G107" s="862"/>
      <c r="H107" s="957"/>
      <c r="I107" s="957"/>
      <c r="J107" s="957"/>
      <c r="K107" s="957"/>
      <c r="L107" s="957"/>
      <c r="M107" s="957"/>
      <c r="N107" s="957"/>
      <c r="O107" s="957"/>
      <c r="P107" s="957"/>
      <c r="Q107" s="957"/>
      <c r="R107" s="957"/>
      <c r="S107" s="957"/>
      <c r="T107" s="957"/>
      <c r="U107" s="957"/>
      <c r="V107" s="957"/>
      <c r="W107" s="957"/>
      <c r="X107" s="957"/>
      <c r="Y107" s="957"/>
      <c r="Z107" s="957"/>
      <c r="AA107" s="866"/>
      <c r="AB107" s="866"/>
      <c r="AC107" s="866"/>
      <c r="AD107" s="845"/>
      <c r="AE107" s="845"/>
      <c r="AF107" s="845"/>
      <c r="AG107" s="845"/>
      <c r="AH107" s="845"/>
      <c r="AI107" s="845"/>
      <c r="AJ107" s="845"/>
      <c r="AK107" s="845"/>
      <c r="AL107" s="845"/>
      <c r="AM107" s="845"/>
      <c r="AN107" s="845"/>
      <c r="AO107" s="845"/>
      <c r="AP107" s="845"/>
      <c r="AQ107" s="845"/>
      <c r="AR107" s="845"/>
      <c r="AS107" s="845"/>
      <c r="AT107" s="845"/>
      <c r="AU107" s="845"/>
      <c r="AV107" s="845"/>
      <c r="AW107" s="845"/>
      <c r="AX107" s="845"/>
      <c r="AY107" s="845"/>
      <c r="AZ107" s="845"/>
      <c r="BA107" s="875"/>
      <c r="BB107" s="875"/>
      <c r="BC107" s="875"/>
      <c r="BD107" s="875"/>
      <c r="BE107" s="875"/>
      <c r="BF107" s="875"/>
      <c r="BG107" s="875"/>
      <c r="BH107" s="875"/>
      <c r="BI107" s="875"/>
      <c r="BJ107" s="875"/>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286"/>
      <c r="CH107" s="220"/>
      <c r="CI107" s="220"/>
    </row>
    <row r="108" spans="1:87" s="250" customFormat="1" ht="3" customHeight="1">
      <c r="A108" s="220"/>
      <c r="B108" s="879"/>
      <c r="C108" s="879"/>
      <c r="D108" s="879"/>
      <c r="E108" s="877" t="s">
        <v>1543</v>
      </c>
      <c r="F108" s="877"/>
      <c r="G108" s="862"/>
      <c r="H108" s="864" t="str">
        <f>Index!C120</f>
        <v>Vlastné akcie a vlastné obchodné podiely (252)</v>
      </c>
      <c r="I108" s="864"/>
      <c r="J108" s="864"/>
      <c r="K108" s="864"/>
      <c r="L108" s="864"/>
      <c r="M108" s="864"/>
      <c r="N108" s="864"/>
      <c r="O108" s="864"/>
      <c r="P108" s="864"/>
      <c r="Q108" s="864"/>
      <c r="R108" s="864"/>
      <c r="S108" s="864"/>
      <c r="T108" s="864"/>
      <c r="U108" s="864"/>
      <c r="V108" s="864"/>
      <c r="W108" s="864"/>
      <c r="X108" s="864"/>
      <c r="Y108" s="864"/>
      <c r="Z108" s="864"/>
      <c r="AA108" s="866" t="s">
        <v>1631</v>
      </c>
      <c r="AB108" s="866"/>
      <c r="AC108" s="866"/>
      <c r="AD108" s="843"/>
      <c r="AE108" s="843"/>
      <c r="AF108" s="843"/>
      <c r="AG108" s="843"/>
      <c r="AH108" s="843"/>
      <c r="AI108" s="843"/>
      <c r="AJ108" s="843"/>
      <c r="AK108" s="843"/>
      <c r="AL108" s="843"/>
      <c r="AM108" s="843"/>
      <c r="AN108" s="843"/>
      <c r="AO108" s="843"/>
      <c r="AP108" s="843"/>
      <c r="AQ108" s="843"/>
      <c r="AR108" s="843"/>
      <c r="AS108" s="843"/>
      <c r="AT108" s="843"/>
      <c r="AU108" s="843"/>
      <c r="AV108" s="843"/>
      <c r="AW108" s="843"/>
      <c r="AX108" s="843"/>
      <c r="AY108" s="843"/>
      <c r="AZ108" s="843"/>
      <c r="BA108" s="844"/>
      <c r="BB108" s="844"/>
      <c r="BC108" s="844"/>
      <c r="BD108" s="844"/>
      <c r="BE108" s="844"/>
      <c r="BF108" s="844"/>
      <c r="BG108" s="844"/>
      <c r="BH108" s="844"/>
      <c r="BI108" s="844"/>
      <c r="BJ108" s="844"/>
      <c r="BK108" s="844"/>
      <c r="BL108" s="844"/>
      <c r="BM108" s="844"/>
      <c r="BN108" s="844"/>
      <c r="BO108" s="844"/>
      <c r="BP108" s="844"/>
      <c r="BQ108" s="844"/>
      <c r="BR108" s="251"/>
      <c r="BS108" s="251"/>
      <c r="BT108" s="251"/>
      <c r="BU108" s="251"/>
      <c r="BV108" s="251"/>
      <c r="BW108" s="252"/>
      <c r="BX108" s="251"/>
      <c r="BY108" s="251"/>
      <c r="BZ108" s="251"/>
      <c r="CA108" s="251"/>
      <c r="CB108" s="251"/>
      <c r="CC108" s="251"/>
      <c r="CD108" s="251"/>
      <c r="CE108" s="251"/>
      <c r="CF108" s="251"/>
      <c r="CG108" s="284"/>
      <c r="CH108" s="220"/>
      <c r="CI108" s="288"/>
    </row>
    <row r="109" spans="1:87" s="250" customFormat="1" ht="3" customHeight="1">
      <c r="A109" s="220"/>
      <c r="B109" s="879"/>
      <c r="C109" s="879"/>
      <c r="D109" s="879"/>
      <c r="E109" s="877"/>
      <c r="F109" s="877"/>
      <c r="G109" s="862"/>
      <c r="H109" s="864"/>
      <c r="I109" s="864"/>
      <c r="J109" s="864"/>
      <c r="K109" s="864"/>
      <c r="L109" s="864"/>
      <c r="M109" s="864"/>
      <c r="N109" s="864"/>
      <c r="O109" s="864"/>
      <c r="P109" s="864"/>
      <c r="Q109" s="864"/>
      <c r="R109" s="864"/>
      <c r="S109" s="864"/>
      <c r="T109" s="864"/>
      <c r="U109" s="864"/>
      <c r="V109" s="864"/>
      <c r="W109" s="864"/>
      <c r="X109" s="864"/>
      <c r="Y109" s="864"/>
      <c r="Z109" s="864"/>
      <c r="AA109" s="866"/>
      <c r="AB109" s="866"/>
      <c r="AC109" s="866"/>
      <c r="AD109" s="826"/>
      <c r="AE109" s="820"/>
      <c r="AF109" s="820"/>
      <c r="AG109" s="820"/>
      <c r="AH109" s="435"/>
      <c r="AI109" s="821"/>
      <c r="AJ109" s="821"/>
      <c r="AK109" s="821"/>
      <c r="AL109" s="821"/>
      <c r="AM109" s="821"/>
      <c r="AN109" s="818"/>
      <c r="AO109" s="822"/>
      <c r="AP109" s="822"/>
      <c r="AQ109" s="822"/>
      <c r="AR109" s="822"/>
      <c r="AS109" s="822"/>
      <c r="AT109" s="818"/>
      <c r="AU109" s="822"/>
      <c r="AV109" s="822"/>
      <c r="AW109" s="822"/>
      <c r="AX109" s="822"/>
      <c r="AY109" s="822"/>
      <c r="AZ109" s="827"/>
      <c r="BA109" s="826"/>
      <c r="BB109" s="820"/>
      <c r="BC109" s="820"/>
      <c r="BD109" s="820"/>
      <c r="BE109" s="435"/>
      <c r="BF109" s="821"/>
      <c r="BG109" s="821"/>
      <c r="BH109" s="821"/>
      <c r="BI109" s="821"/>
      <c r="BJ109" s="821"/>
      <c r="BK109" s="818"/>
      <c r="BL109" s="822"/>
      <c r="BM109" s="822"/>
      <c r="BN109" s="822"/>
      <c r="BO109" s="822"/>
      <c r="BP109" s="822"/>
      <c r="BQ109" s="819"/>
      <c r="BR109" s="822"/>
      <c r="BS109" s="822"/>
      <c r="BT109" s="822"/>
      <c r="BU109" s="822"/>
      <c r="BV109" s="822"/>
      <c r="BW109" s="441"/>
      <c r="BX109" s="442"/>
      <c r="BY109" s="442"/>
      <c r="BZ109" s="442"/>
      <c r="CA109" s="442"/>
      <c r="CB109" s="442"/>
      <c r="CC109" s="442"/>
      <c r="CD109" s="442"/>
      <c r="CE109" s="442"/>
      <c r="CF109" s="442"/>
      <c r="CG109" s="285"/>
      <c r="CH109" s="220"/>
      <c r="CI109" s="288"/>
    </row>
    <row r="110" spans="1:87" ht="15" customHeight="1">
      <c r="B110" s="879"/>
      <c r="C110" s="879"/>
      <c r="D110" s="879"/>
      <c r="E110" s="877"/>
      <c r="F110" s="877"/>
      <c r="G110" s="862"/>
      <c r="H110" s="864"/>
      <c r="I110" s="864"/>
      <c r="J110" s="864"/>
      <c r="K110" s="864"/>
      <c r="L110" s="864"/>
      <c r="M110" s="864"/>
      <c r="N110" s="864"/>
      <c r="O110" s="864"/>
      <c r="P110" s="864"/>
      <c r="Q110" s="864"/>
      <c r="R110" s="864"/>
      <c r="S110" s="864"/>
      <c r="T110" s="864"/>
      <c r="U110" s="864"/>
      <c r="V110" s="864"/>
      <c r="W110" s="864"/>
      <c r="X110" s="864"/>
      <c r="Y110" s="864"/>
      <c r="Z110" s="864"/>
      <c r="AA110" s="866"/>
      <c r="AB110" s="866"/>
      <c r="AC110" s="866"/>
      <c r="AD110" s="826"/>
      <c r="AE110" s="432" t="str">
        <f>IF(LEN(VLOOKUP(AA108,suvaha!$D$8:$H$158,2,FALSE))&lt;11,"",LEFT(RIGHT(VLOOKUP(AA108,suvaha!$D$8:$H$158,2,FALSE),11),1))</f>
        <v/>
      </c>
      <c r="AF110" s="255"/>
      <c r="AG110" s="432" t="str">
        <f>IF(LEN(VLOOKUP(AA108,suvaha!$D$8:$H$158,2,FALSE))&lt;10,"",LEFT(RIGHT(VLOOKUP(AA108,suvaha!$D$8:$H$158,2,FALSE),10),1))</f>
        <v/>
      </c>
      <c r="AH110" s="434"/>
      <c r="AI110" s="432" t="str">
        <f>IF(LEN(VLOOKUP(AA108,suvaha!$D$8:$H$158,2,FALSE))&lt;9,"",LEFT(RIGHT(VLOOKUP(AA108,suvaha!$D$8:$H$158,2,FALSE),9),1))</f>
        <v/>
      </c>
      <c r="AJ110" s="255"/>
      <c r="AK110" s="432" t="str">
        <f>IF(LEN(VLOOKUP(AA108,suvaha!$D$8:$H$158,2,FALSE))&lt;8,"",LEFT(RIGHT(VLOOKUP(AA108,suvaha!$D$8:$H$158,2,FALSE),8),1))</f>
        <v/>
      </c>
      <c r="AL110" s="434"/>
      <c r="AM110" s="432" t="str">
        <f>IF(LEN(VLOOKUP(AA108,suvaha!$D$8:$H$158,2,FALSE))&lt;7,"",LEFT(RIGHT(VLOOKUP(AA108,suvaha!$D$8:$H$158,2,FALSE),7),1))</f>
        <v/>
      </c>
      <c r="AN110" s="818"/>
      <c r="AO110" s="432" t="str">
        <f>IF(LEN(VLOOKUP(AA108,suvaha!$D$8:$H$158,2,FALSE))&lt;6,"",LEFT(RIGHT(VLOOKUP(AA108,suvaha!$D$8:$H$158,2,FALSE),6),1))</f>
        <v/>
      </c>
      <c r="AP110" s="434"/>
      <c r="AQ110" s="432" t="str">
        <f>IF(LEN(VLOOKUP(AA108,suvaha!$D$8:$H$158,2,FALSE))&lt;5,"",LEFT(RIGHT(VLOOKUP(AA108,suvaha!$D$8:$H$158,2,FALSE),5),1))</f>
        <v/>
      </c>
      <c r="AR110" s="434"/>
      <c r="AS110" s="432" t="str">
        <f>IF(LEN(VLOOKUP(AA108,suvaha!$D$8:$H$158,2,FALSE))&lt;4,"",LEFT(RIGHT(VLOOKUP(AA108,suvaha!$D$8:$H$158,2,FALSE),4),1))</f>
        <v/>
      </c>
      <c r="AT110" s="818"/>
      <c r="AU110" s="432" t="str">
        <f>IF(LEN(VLOOKUP(AA108,suvaha!$D$8:$H$158,2,FALSE))&lt;3,"",LEFT(RIGHT(VLOOKUP(AA108,suvaha!$D$8:$H$158,2,FALSE),3),1))</f>
        <v/>
      </c>
      <c r="AV110" s="434"/>
      <c r="AW110" s="432" t="str">
        <f>IF(LEN(VLOOKUP(AA108,suvaha!$D$8:$H$158,2,FALSE))&lt;2,"",LEFT(RIGHT(VLOOKUP(AA108,suvaha!$D$8:$H$158,2,FALSE),2),1))</f>
        <v/>
      </c>
      <c r="AX110" s="434"/>
      <c r="AY110" s="432" t="str">
        <f>IF(VLOOKUP(AA108,suvaha!$D$8:$H$85,2,FALSE)=0,"",IF(LEN(VLOOKUP(AA108,suvaha!$D$8:$H$158,2,FALSE))&lt;1,"",LEFT(RIGHT(VLOOKUP(AA108,suvaha!$D$8:$H$158,2,FALSE),1),1)))</f>
        <v/>
      </c>
      <c r="AZ110" s="827"/>
      <c r="BA110" s="826"/>
      <c r="BB110" s="432" t="str">
        <f>IF(LEN(VLOOKUP(AA108,suvaha!$D$8:$H$158,4,FALSE))&lt;11,"",LEFT(RIGHT(VLOOKUP(AA108,suvaha!$D$8:$H$158,4,FALSE),11),1))</f>
        <v/>
      </c>
      <c r="BC110" s="255"/>
      <c r="BD110" s="432" t="str">
        <f>IF(LEN(VLOOKUP(AA108,suvaha!$D$8:$H$158,4,FALSE))&lt;10,"",LEFT(RIGHT(VLOOKUP(AA108,suvaha!$D$8:$H$158,4,FALSE),10),1))</f>
        <v/>
      </c>
      <c r="BE110" s="434"/>
      <c r="BF110" s="432" t="str">
        <f>IF(LEN(VLOOKUP(AA108,suvaha!$D$8:$H$158,4,FALSE))&lt;9,"",LEFT(RIGHT(VLOOKUP(AA108,suvaha!$D$8:$H$158,4,FALSE),9),1))</f>
        <v/>
      </c>
      <c r="BG110" s="255"/>
      <c r="BH110" s="432" t="str">
        <f>IF(LEN(VLOOKUP(AA108,suvaha!$D$8:$H$158,4,FALSE))&lt;8,"",LEFT(RIGHT(VLOOKUP(AA108,suvaha!$D$8:$H$158,4,FALSE),8),1))</f>
        <v/>
      </c>
      <c r="BI110" s="434"/>
      <c r="BJ110" s="432" t="str">
        <f>IF(LEN(VLOOKUP(AA108,suvaha!$D$8:$H$158,4,FALSE))&lt;7,"",LEFT(RIGHT(VLOOKUP(AA108,suvaha!$D$8:$H$158,4,FALSE),7),1))</f>
        <v/>
      </c>
      <c r="BK110" s="818"/>
      <c r="BL110" s="432" t="str">
        <f>IF(LEN(VLOOKUP(AA108,suvaha!$D$8:$H$158,4,FALSE))&lt;6,"",LEFT(RIGHT(VLOOKUP(AA108,suvaha!$D$8:$H$158,4,FALSE),6),1))</f>
        <v/>
      </c>
      <c r="BM110" s="434"/>
      <c r="BN110" s="432" t="str">
        <f>IF(LEN(VLOOKUP(AA108,suvaha!$D$8:$H$158,4,FALSE))&lt;5,"",LEFT(RIGHT(VLOOKUP(AA108,suvaha!$D$8:$H$158,4,FALSE),5),1))</f>
        <v/>
      </c>
      <c r="BO110" s="434"/>
      <c r="BP110" s="432" t="str">
        <f>IF(LEN(VLOOKUP(AA108,suvaha!$D$8:$H$158,4,FALSE))&lt;4,"",LEFT(RIGHT(VLOOKUP(AA108,suvaha!$D$8:$H$158,4,FALSE),4),1))</f>
        <v/>
      </c>
      <c r="BQ110" s="819"/>
      <c r="BR110" s="432" t="str">
        <f>IF(LEN(VLOOKUP(AA108,suvaha!$D$8:$H$158,4,FALSE))&lt;3,"",LEFT(RIGHT(VLOOKUP(AA108,suvaha!$D$8:$H$158,4,FALSE),3),1))</f>
        <v/>
      </c>
      <c r="BS110" s="434"/>
      <c r="BT110" s="432" t="str">
        <f>IF(LEN(VLOOKUP(AA108,suvaha!$D$8:$H$158,4,FALSE))&lt;2,"",LEFT(RIGHT(VLOOKUP(AA108,suvaha!$D$8:$H$158,4,FALSE),2),1))</f>
        <v/>
      </c>
      <c r="BU110" s="434"/>
      <c r="BV110" s="432" t="str">
        <f>IF(VLOOKUP(AA108,suvaha!$D$8:$H$85,4,FALSE)=0,"",IF(LEN(VLOOKUP(AA108,suvaha!$D$8:$H$158,4,FALSE))&lt;1,"",LEFT(RIGHT(VLOOKUP(AA108,suvaha!$D$8:$H$158,4,FALSE),1),1)))</f>
        <v/>
      </c>
      <c r="BW110" s="441"/>
      <c r="BX110" s="442"/>
      <c r="BY110" s="442"/>
      <c r="BZ110" s="442"/>
      <c r="CA110" s="442"/>
      <c r="CB110" s="442"/>
      <c r="CC110" s="442"/>
      <c r="CD110" s="442"/>
      <c r="CE110" s="442"/>
      <c r="CF110" s="442"/>
      <c r="CG110" s="285"/>
      <c r="CH110" s="220"/>
      <c r="CI110" s="220"/>
    </row>
    <row r="111" spans="1:87" ht="3" customHeight="1">
      <c r="B111" s="879"/>
      <c r="C111" s="879"/>
      <c r="D111" s="879"/>
      <c r="E111" s="877"/>
      <c r="F111" s="877"/>
      <c r="G111" s="862"/>
      <c r="H111" s="864"/>
      <c r="I111" s="864"/>
      <c r="J111" s="864"/>
      <c r="K111" s="864"/>
      <c r="L111" s="864"/>
      <c r="M111" s="864"/>
      <c r="N111" s="864"/>
      <c r="O111" s="864"/>
      <c r="P111" s="864"/>
      <c r="Q111" s="864"/>
      <c r="R111" s="864"/>
      <c r="S111" s="864"/>
      <c r="T111" s="864"/>
      <c r="U111" s="864"/>
      <c r="V111" s="864"/>
      <c r="W111" s="864"/>
      <c r="X111" s="864"/>
      <c r="Y111" s="864"/>
      <c r="Z111" s="864"/>
      <c r="AA111" s="866"/>
      <c r="AB111" s="866"/>
      <c r="AC111" s="866"/>
      <c r="AD111" s="845"/>
      <c r="AE111" s="845"/>
      <c r="AF111" s="845"/>
      <c r="AG111" s="845"/>
      <c r="AH111" s="845"/>
      <c r="AI111" s="845"/>
      <c r="AJ111" s="845"/>
      <c r="AK111" s="845"/>
      <c r="AL111" s="845"/>
      <c r="AM111" s="845"/>
      <c r="AN111" s="845"/>
      <c r="AO111" s="845"/>
      <c r="AP111" s="845"/>
      <c r="AQ111" s="845"/>
      <c r="AR111" s="845"/>
      <c r="AS111" s="845"/>
      <c r="AT111" s="845"/>
      <c r="AU111" s="845"/>
      <c r="AV111" s="845"/>
      <c r="AW111" s="845"/>
      <c r="AX111" s="845"/>
      <c r="AY111" s="845"/>
      <c r="AZ111" s="845"/>
      <c r="BA111" s="846"/>
      <c r="BB111" s="846"/>
      <c r="BC111" s="846"/>
      <c r="BD111" s="846"/>
      <c r="BE111" s="846"/>
      <c r="BF111" s="846"/>
      <c r="BG111" s="846"/>
      <c r="BH111" s="846"/>
      <c r="BI111" s="846"/>
      <c r="BJ111" s="846"/>
      <c r="BK111" s="846"/>
      <c r="BL111" s="846"/>
      <c r="BM111" s="846"/>
      <c r="BN111" s="846"/>
      <c r="BO111" s="846"/>
      <c r="BP111" s="846"/>
      <c r="BQ111" s="846"/>
      <c r="BR111" s="310"/>
      <c r="BS111" s="310"/>
      <c r="BT111" s="310"/>
      <c r="BU111" s="310"/>
      <c r="BV111" s="310"/>
      <c r="BW111" s="443"/>
      <c r="BX111" s="310"/>
      <c r="BY111" s="310"/>
      <c r="BZ111" s="310"/>
      <c r="CA111" s="310"/>
      <c r="CB111" s="310"/>
      <c r="CC111" s="310"/>
      <c r="CD111" s="310"/>
      <c r="CE111" s="310"/>
      <c r="CF111" s="310"/>
      <c r="CG111" s="286"/>
      <c r="CH111" s="220"/>
      <c r="CI111" s="220"/>
    </row>
    <row r="112" spans="1:87" ht="3" customHeight="1">
      <c r="B112" s="879"/>
      <c r="C112" s="879"/>
      <c r="D112" s="879"/>
      <c r="E112" s="877"/>
      <c r="F112" s="877"/>
      <c r="G112" s="862"/>
      <c r="H112" s="864"/>
      <c r="I112" s="864"/>
      <c r="J112" s="864"/>
      <c r="K112" s="864"/>
      <c r="L112" s="864"/>
      <c r="M112" s="864"/>
      <c r="N112" s="864"/>
      <c r="O112" s="864"/>
      <c r="P112" s="864"/>
      <c r="Q112" s="864"/>
      <c r="R112" s="864"/>
      <c r="S112" s="864"/>
      <c r="T112" s="864"/>
      <c r="U112" s="864"/>
      <c r="V112" s="864"/>
      <c r="W112" s="864"/>
      <c r="X112" s="864"/>
      <c r="Y112" s="864"/>
      <c r="Z112" s="864"/>
      <c r="AA112" s="866"/>
      <c r="AB112" s="866"/>
      <c r="AC112" s="866"/>
      <c r="AD112" s="825"/>
      <c r="AE112" s="825"/>
      <c r="AF112" s="825"/>
      <c r="AG112" s="825"/>
      <c r="AH112" s="825"/>
      <c r="AI112" s="825"/>
      <c r="AJ112" s="825"/>
      <c r="AK112" s="825"/>
      <c r="AL112" s="825"/>
      <c r="AM112" s="825"/>
      <c r="AN112" s="825"/>
      <c r="AO112" s="825"/>
      <c r="AP112" s="825"/>
      <c r="AQ112" s="825"/>
      <c r="AR112" s="825"/>
      <c r="AS112" s="825"/>
      <c r="AT112" s="825"/>
      <c r="AU112" s="825"/>
      <c r="AV112" s="825"/>
      <c r="AW112" s="825"/>
      <c r="AX112" s="825"/>
      <c r="AY112" s="825"/>
      <c r="AZ112" s="825"/>
      <c r="BA112" s="875"/>
      <c r="BB112" s="875"/>
      <c r="BC112" s="875"/>
      <c r="BD112" s="875"/>
      <c r="BE112" s="875"/>
      <c r="BF112" s="875"/>
      <c r="BG112" s="875"/>
      <c r="BH112" s="875"/>
      <c r="BI112" s="875"/>
      <c r="BJ112" s="875"/>
      <c r="BK112" s="304"/>
      <c r="BL112" s="304"/>
      <c r="BM112" s="304"/>
      <c r="BN112" s="304"/>
      <c r="BO112" s="304"/>
      <c r="BP112" s="304"/>
      <c r="BQ112" s="304"/>
      <c r="BR112" s="304"/>
      <c r="BS112" s="304"/>
      <c r="BT112" s="304"/>
      <c r="BU112" s="304"/>
      <c r="BV112" s="304"/>
      <c r="BW112" s="304"/>
      <c r="BX112" s="304"/>
      <c r="BY112" s="304"/>
      <c r="BZ112" s="304"/>
      <c r="CA112" s="304"/>
      <c r="CB112" s="304"/>
      <c r="CC112" s="304"/>
      <c r="CD112" s="304"/>
      <c r="CE112" s="304"/>
      <c r="CF112" s="304"/>
      <c r="CG112" s="284"/>
      <c r="CH112" s="220"/>
      <c r="CI112" s="220"/>
    </row>
    <row r="113" spans="1:87" ht="3" customHeight="1">
      <c r="B113" s="879"/>
      <c r="C113" s="879"/>
      <c r="D113" s="879"/>
      <c r="E113" s="877"/>
      <c r="F113" s="877"/>
      <c r="G113" s="862"/>
      <c r="H113" s="864"/>
      <c r="I113" s="864"/>
      <c r="J113" s="864"/>
      <c r="K113" s="864"/>
      <c r="L113" s="864"/>
      <c r="M113" s="864"/>
      <c r="N113" s="864"/>
      <c r="O113" s="864"/>
      <c r="P113" s="864"/>
      <c r="Q113" s="864"/>
      <c r="R113" s="864"/>
      <c r="S113" s="864"/>
      <c r="T113" s="864"/>
      <c r="U113" s="864"/>
      <c r="V113" s="864"/>
      <c r="W113" s="864"/>
      <c r="X113" s="864"/>
      <c r="Y113" s="864"/>
      <c r="Z113" s="864"/>
      <c r="AA113" s="866"/>
      <c r="AB113" s="866"/>
      <c r="AC113" s="866"/>
      <c r="AD113" s="826"/>
      <c r="AE113" s="820"/>
      <c r="AF113" s="820"/>
      <c r="AG113" s="820"/>
      <c r="AH113" s="435"/>
      <c r="AI113" s="821"/>
      <c r="AJ113" s="821"/>
      <c r="AK113" s="821"/>
      <c r="AL113" s="821"/>
      <c r="AM113" s="821"/>
      <c r="AN113" s="818" t="s">
        <v>965</v>
      </c>
      <c r="AO113" s="822"/>
      <c r="AP113" s="822"/>
      <c r="AQ113" s="822"/>
      <c r="AR113" s="822"/>
      <c r="AS113" s="822"/>
      <c r="AT113" s="818" t="s">
        <v>965</v>
      </c>
      <c r="AU113" s="822"/>
      <c r="AV113" s="822"/>
      <c r="AW113" s="822"/>
      <c r="AX113" s="822"/>
      <c r="AY113" s="822"/>
      <c r="AZ113" s="827"/>
      <c r="BA113" s="875"/>
      <c r="BB113" s="875"/>
      <c r="BC113" s="875"/>
      <c r="BD113" s="875"/>
      <c r="BE113" s="875"/>
      <c r="BF113" s="875"/>
      <c r="BG113" s="875"/>
      <c r="BH113" s="875"/>
      <c r="BI113" s="875"/>
      <c r="BJ113" s="875"/>
      <c r="BK113" s="442"/>
      <c r="BL113" s="820"/>
      <c r="BM113" s="820"/>
      <c r="BN113" s="820"/>
      <c r="BO113" s="442"/>
      <c r="BP113" s="444"/>
      <c r="BQ113" s="444"/>
      <c r="BR113" s="444"/>
      <c r="BS113" s="444"/>
      <c r="BT113" s="444"/>
      <c r="BU113" s="442"/>
      <c r="BV113" s="444"/>
      <c r="BW113" s="444"/>
      <c r="BX113" s="444"/>
      <c r="BY113" s="444"/>
      <c r="BZ113" s="444"/>
      <c r="CA113" s="445"/>
      <c r="CB113" s="444"/>
      <c r="CC113" s="444"/>
      <c r="CD113" s="444"/>
      <c r="CE113" s="444"/>
      <c r="CF113" s="444"/>
      <c r="CG113" s="287"/>
      <c r="CH113" s="220"/>
      <c r="CI113" s="220"/>
    </row>
    <row r="114" spans="1:87" ht="15" customHeight="1">
      <c r="B114" s="879"/>
      <c r="C114" s="879"/>
      <c r="D114" s="879"/>
      <c r="E114" s="877"/>
      <c r="F114" s="877"/>
      <c r="G114" s="862"/>
      <c r="H114" s="864"/>
      <c r="I114" s="864"/>
      <c r="J114" s="864"/>
      <c r="K114" s="864"/>
      <c r="L114" s="864"/>
      <c r="M114" s="864"/>
      <c r="N114" s="864"/>
      <c r="O114" s="864"/>
      <c r="P114" s="864"/>
      <c r="Q114" s="864"/>
      <c r="R114" s="864"/>
      <c r="S114" s="864"/>
      <c r="T114" s="864"/>
      <c r="U114" s="864"/>
      <c r="V114" s="864"/>
      <c r="W114" s="864"/>
      <c r="X114" s="864"/>
      <c r="Y114" s="864"/>
      <c r="Z114" s="864"/>
      <c r="AA114" s="866"/>
      <c r="AB114" s="866"/>
      <c r="AC114" s="866"/>
      <c r="AD114" s="826"/>
      <c r="AE114" s="432" t="str">
        <f>IF(LEN(VLOOKUP(AA108,suvaha!$D$8:$H$158,3,FALSE))&lt;11,"",LEFT(RIGHT(VLOOKUP(AA108,suvaha!$D$8:$H$158,3,FALSE),11),1))</f>
        <v/>
      </c>
      <c r="AF114" s="255" t="s">
        <v>965</v>
      </c>
      <c r="AG114" s="432" t="str">
        <f>IF(LEN(VLOOKUP(AA108,suvaha!$D$8:$H$158,3,FALSE))&lt;10,"",LEFT(RIGHT(VLOOKUP(AA108,suvaha!$D$8:$H$158,3,FALSE),10),1))</f>
        <v/>
      </c>
      <c r="AH114" s="434" t="s">
        <v>965</v>
      </c>
      <c r="AI114" s="432" t="str">
        <f>IF(LEN(VLOOKUP(AA108,suvaha!$D$8:$H$158,3,FALSE))&lt;9,"",LEFT(RIGHT(VLOOKUP(AA108,suvaha!$D$8:$H$158,3,FALSE),9),1))</f>
        <v/>
      </c>
      <c r="AJ114" s="255" t="s">
        <v>965</v>
      </c>
      <c r="AK114" s="432" t="str">
        <f>IF(LEN(VLOOKUP(AA108,suvaha!$D$8:$H$158,3,FALSE))&lt;8,"",LEFT(RIGHT(VLOOKUP(AA108,suvaha!$D$8:$H$158,3,FALSE),8),1))</f>
        <v/>
      </c>
      <c r="AL114" s="434" t="s">
        <v>965</v>
      </c>
      <c r="AM114" s="432" t="str">
        <f>IF(LEN(VLOOKUP(AA108,suvaha!$D$8:$H$158,3,FALSE))&lt;7,"",LEFT(RIGHT(VLOOKUP(AA108,suvaha!$D$8:$H$158,3,FALSE),7),1))</f>
        <v/>
      </c>
      <c r="AN114" s="818"/>
      <c r="AO114" s="432" t="str">
        <f>IF(LEN(VLOOKUP(AA108,suvaha!$D$8:$H$158,3,FALSE))&lt;6,"",LEFT(RIGHT(VLOOKUP(AA108,suvaha!$D$8:$H$158,3,FALSE),6),1))</f>
        <v/>
      </c>
      <c r="AP114" s="434" t="s">
        <v>965</v>
      </c>
      <c r="AQ114" s="432" t="str">
        <f>IF(LEN(VLOOKUP(AA108,suvaha!$D$8:$H$158,3,FALSE))&lt;5,"",LEFT(RIGHT(VLOOKUP(AA108,suvaha!$D$8:$H$158,3,FALSE),5),1))</f>
        <v/>
      </c>
      <c r="AR114" s="434" t="s">
        <v>965</v>
      </c>
      <c r="AS114" s="432" t="str">
        <f>IF(LEN(VLOOKUP(AA108,suvaha!$D$8:$H$158,3,FALSE))&lt;4,"",LEFT(RIGHT(VLOOKUP(AA108,suvaha!$D$8:$H$158,3,FALSE),4),1))</f>
        <v/>
      </c>
      <c r="AT114" s="818"/>
      <c r="AU114" s="432" t="str">
        <f>IF(LEN(VLOOKUP(AA108,suvaha!$D$8:$H$158,3,FALSE))&lt;3,"",LEFT(RIGHT(VLOOKUP(AA108,suvaha!$D$8:$H$158,3,FALSE),3),1))</f>
        <v/>
      </c>
      <c r="AV114" s="434" t="s">
        <v>965</v>
      </c>
      <c r="AW114" s="432" t="str">
        <f>IF(LEN(VLOOKUP(AA108,suvaha!$D$8:$H$158,3,FALSE))&lt;2,"",LEFT(RIGHT(VLOOKUP(AA108,suvaha!$D$8:$H$158,3,FALSE),2),1))</f>
        <v/>
      </c>
      <c r="AX114" s="434" t="s">
        <v>965</v>
      </c>
      <c r="AY114" s="432" t="str">
        <f>IF(VLOOKUP(AA108,suvaha!$D$8:$H$85,3,FALSE)=0,"",IF(LEN(VLOOKUP(AA108,suvaha!$D$8:$H$158,3,FALSE))&lt;1,"",LEFT(RIGHT(VLOOKUP(AA108,suvaha!$D$8:$H$158,3,FALSE),1),1)))</f>
        <v/>
      </c>
      <c r="AZ114" s="827"/>
      <c r="BA114" s="875"/>
      <c r="BB114" s="875"/>
      <c r="BC114" s="875"/>
      <c r="BD114" s="875"/>
      <c r="BE114" s="875"/>
      <c r="BF114" s="875"/>
      <c r="BG114" s="875"/>
      <c r="BH114" s="875"/>
      <c r="BI114" s="875"/>
      <c r="BJ114" s="875"/>
      <c r="BK114" s="442"/>
      <c r="BL114" s="432" t="str">
        <f>IF(LEN(VLOOKUP(AA108,suvaha!$D$8:$H$158,5,FALSE))&lt;11,"",LEFT(RIGHT(VLOOKUP(AA108,suvaha!$D$8:$H$158,5,FALSE),11),1))</f>
        <v/>
      </c>
      <c r="BM114" s="255" t="s">
        <v>965</v>
      </c>
      <c r="BN114" s="432" t="str">
        <f>IF(LEN(VLOOKUP(AA108,suvaha!$D$8:$H$158,5,FALSE))&lt;10,"",LEFT(RIGHT(VLOOKUP(AA108,suvaha!$D$8:$H$158,5,FALSE),10),1))</f>
        <v/>
      </c>
      <c r="BO114" s="442" t="s">
        <v>965</v>
      </c>
      <c r="BP114" s="432" t="str">
        <f>IF(LEN(VLOOKUP(AA108,suvaha!$D$8:$H$158,5,FALSE))&lt;9,"",LEFT(RIGHT(VLOOKUP(AA108,suvaha!$D$8:$H$158,5,FALSE),9),1))</f>
        <v/>
      </c>
      <c r="BQ114" s="434" t="s">
        <v>965</v>
      </c>
      <c r="BR114" s="432" t="str">
        <f>IF(LEN(VLOOKUP(AA108,suvaha!$D$8:$H$158,5,FALSE))&lt;8,"",LEFT(RIGHT(VLOOKUP(AA108,suvaha!$D$8:$H$158,5,FALSE),8),1))</f>
        <v/>
      </c>
      <c r="BS114" s="434" t="s">
        <v>965</v>
      </c>
      <c r="BT114" s="432" t="str">
        <f>IF(LEN(VLOOKUP(AA108,suvaha!$D$8:$H$158,5,FALSE))&lt;7,"",LEFT(RIGHT(VLOOKUP(AA108,suvaha!$D$8:$H$158,5,FALSE),7),1))</f>
        <v/>
      </c>
      <c r="BU114" s="442" t="s">
        <v>965</v>
      </c>
      <c r="BV114" s="432" t="str">
        <f>IF(LEN(VLOOKUP(AA108,suvaha!$D$8:$H$158,5,FALSE))&lt;6,"",LEFT(RIGHT(VLOOKUP(AA108,suvaha!$D$8:$H$158,5,FALSE),6),1))</f>
        <v/>
      </c>
      <c r="BW114" s="434" t="s">
        <v>965</v>
      </c>
      <c r="BX114" s="432" t="str">
        <f>IF(LEN(VLOOKUP(AA108,suvaha!$D$8:$H$158,5,FALSE))&lt;5,"",LEFT(RIGHT(VLOOKUP(AA108,suvaha!$D$8:$H$158,5,FALSE),5),1))</f>
        <v/>
      </c>
      <c r="BY114" s="434" t="s">
        <v>965</v>
      </c>
      <c r="BZ114" s="432" t="str">
        <f>IF(LEN(VLOOKUP(AA108,suvaha!$D$8:$H$158,5,FALSE))&lt;4,"",LEFT(RIGHT(VLOOKUP(AA108,suvaha!$D$8:$H$158,5,FALSE),4),1))</f>
        <v/>
      </c>
      <c r="CA114" s="445" t="s">
        <v>965</v>
      </c>
      <c r="CB114" s="432" t="str">
        <f>IF(LEN(VLOOKUP(AA108,suvaha!$D$8:$H$158,5,FALSE))&lt;3,"",LEFT(RIGHT(VLOOKUP(AA108,suvaha!$D$8:$H$158,5,FALSE),3),1))</f>
        <v/>
      </c>
      <c r="CC114" s="434" t="s">
        <v>965</v>
      </c>
      <c r="CD114" s="432" t="str">
        <f>IF(LEN(VLOOKUP(AA108,suvaha!$D$8:$H$158,5,FALSE))&lt;2,"",LEFT(RIGHT(VLOOKUP(AA108,suvaha!$D$8:$H$158,5,FALSE),2),1))</f>
        <v/>
      </c>
      <c r="CE114" s="434" t="s">
        <v>1540</v>
      </c>
      <c r="CF114" s="432" t="str">
        <f>IF(VLOOKUP(AA108,suvaha!$D$8:$H$85,5,FALSE)=0,"",IF(LEN(VLOOKUP(AA108,suvaha!$D$8:$H$158,5,FALSE))&lt;1,"",LEFT(RIGHT(VLOOKUP(AA108,suvaha!$D$8:$H$158,5,FALSE),1),1)))</f>
        <v/>
      </c>
      <c r="CG114" s="287"/>
      <c r="CH114" s="220"/>
      <c r="CI114" s="220"/>
    </row>
    <row r="115" spans="1:87" ht="3" customHeight="1">
      <c r="B115" s="879"/>
      <c r="C115" s="879"/>
      <c r="D115" s="879"/>
      <c r="E115" s="877"/>
      <c r="F115" s="877"/>
      <c r="G115" s="862"/>
      <c r="H115" s="864"/>
      <c r="I115" s="864"/>
      <c r="J115" s="864"/>
      <c r="K115" s="864"/>
      <c r="L115" s="864"/>
      <c r="M115" s="864"/>
      <c r="N115" s="864"/>
      <c r="O115" s="864"/>
      <c r="P115" s="864"/>
      <c r="Q115" s="864"/>
      <c r="R115" s="864"/>
      <c r="S115" s="864"/>
      <c r="T115" s="864"/>
      <c r="U115" s="864"/>
      <c r="V115" s="864"/>
      <c r="W115" s="864"/>
      <c r="X115" s="864"/>
      <c r="Y115" s="864"/>
      <c r="Z115" s="864"/>
      <c r="AA115" s="866"/>
      <c r="AB115" s="866"/>
      <c r="AC115" s="866"/>
      <c r="AD115" s="845"/>
      <c r="AE115" s="845"/>
      <c r="AF115" s="845"/>
      <c r="AG115" s="845"/>
      <c r="AH115" s="845"/>
      <c r="AI115" s="845"/>
      <c r="AJ115" s="845"/>
      <c r="AK115" s="845"/>
      <c r="AL115" s="845"/>
      <c r="AM115" s="845"/>
      <c r="AN115" s="845"/>
      <c r="AO115" s="845"/>
      <c r="AP115" s="845"/>
      <c r="AQ115" s="845"/>
      <c r="AR115" s="845"/>
      <c r="AS115" s="845"/>
      <c r="AT115" s="845"/>
      <c r="AU115" s="845"/>
      <c r="AV115" s="845"/>
      <c r="AW115" s="845"/>
      <c r="AX115" s="845"/>
      <c r="AY115" s="845"/>
      <c r="AZ115" s="845"/>
      <c r="BA115" s="875"/>
      <c r="BB115" s="875"/>
      <c r="BC115" s="875"/>
      <c r="BD115" s="875"/>
      <c r="BE115" s="875"/>
      <c r="BF115" s="875"/>
      <c r="BG115" s="875"/>
      <c r="BH115" s="875"/>
      <c r="BI115" s="875"/>
      <c r="BJ115" s="875"/>
      <c r="BK115" s="310"/>
      <c r="BL115" s="310"/>
      <c r="BM115" s="310"/>
      <c r="BN115" s="310"/>
      <c r="BO115" s="310"/>
      <c r="BP115" s="310"/>
      <c r="BQ115" s="310"/>
      <c r="BR115" s="310"/>
      <c r="BS115" s="310"/>
      <c r="BT115" s="310"/>
      <c r="BU115" s="310"/>
      <c r="BV115" s="310"/>
      <c r="BW115" s="310"/>
      <c r="BX115" s="310"/>
      <c r="BY115" s="310"/>
      <c r="BZ115" s="310"/>
      <c r="CA115" s="310"/>
      <c r="CB115" s="310"/>
      <c r="CC115" s="310"/>
      <c r="CD115" s="310"/>
      <c r="CE115" s="310"/>
      <c r="CF115" s="310"/>
      <c r="CG115" s="286"/>
      <c r="CH115" s="220"/>
      <c r="CI115" s="220"/>
    </row>
    <row r="116" spans="1:87" s="250" customFormat="1" ht="3" customHeight="1">
      <c r="A116" s="220"/>
      <c r="B116" s="879"/>
      <c r="C116" s="879"/>
      <c r="D116" s="879"/>
      <c r="E116" s="877" t="s">
        <v>1544</v>
      </c>
      <c r="F116" s="877"/>
      <c r="G116" s="862"/>
      <c r="H116" s="864" t="str">
        <f>Index!C121</f>
        <v>Obstarávaný krátkodobý finančný majetok (259, 314A) - 291A</v>
      </c>
      <c r="I116" s="864"/>
      <c r="J116" s="864"/>
      <c r="K116" s="864"/>
      <c r="L116" s="864"/>
      <c r="M116" s="864"/>
      <c r="N116" s="864"/>
      <c r="O116" s="864"/>
      <c r="P116" s="864"/>
      <c r="Q116" s="864"/>
      <c r="R116" s="864"/>
      <c r="S116" s="864"/>
      <c r="T116" s="864"/>
      <c r="U116" s="864"/>
      <c r="V116" s="864"/>
      <c r="W116" s="864"/>
      <c r="X116" s="864"/>
      <c r="Y116" s="864"/>
      <c r="Z116" s="864"/>
      <c r="AA116" s="866" t="s">
        <v>1632</v>
      </c>
      <c r="AB116" s="866"/>
      <c r="AC116" s="866"/>
      <c r="AD116" s="825"/>
      <c r="AE116" s="825"/>
      <c r="AF116" s="825"/>
      <c r="AG116" s="825"/>
      <c r="AH116" s="825"/>
      <c r="AI116" s="825"/>
      <c r="AJ116" s="825"/>
      <c r="AK116" s="825"/>
      <c r="AL116" s="825"/>
      <c r="AM116" s="825"/>
      <c r="AN116" s="825"/>
      <c r="AO116" s="825"/>
      <c r="AP116" s="825"/>
      <c r="AQ116" s="825"/>
      <c r="AR116" s="825"/>
      <c r="AS116" s="825"/>
      <c r="AT116" s="825"/>
      <c r="AU116" s="825"/>
      <c r="AV116" s="825"/>
      <c r="AW116" s="825"/>
      <c r="AX116" s="825"/>
      <c r="AY116" s="825"/>
      <c r="AZ116" s="825"/>
      <c r="BA116" s="867"/>
      <c r="BB116" s="867"/>
      <c r="BC116" s="867"/>
      <c r="BD116" s="867"/>
      <c r="BE116" s="867"/>
      <c r="BF116" s="867"/>
      <c r="BG116" s="867"/>
      <c r="BH116" s="867"/>
      <c r="BI116" s="867"/>
      <c r="BJ116" s="867"/>
      <c r="BK116" s="867"/>
      <c r="BL116" s="867"/>
      <c r="BM116" s="867"/>
      <c r="BN116" s="867"/>
      <c r="BO116" s="867"/>
      <c r="BP116" s="867"/>
      <c r="BQ116" s="867"/>
      <c r="BR116" s="304"/>
      <c r="BS116" s="304"/>
      <c r="BT116" s="304"/>
      <c r="BU116" s="304"/>
      <c r="BV116" s="304"/>
      <c r="BW116" s="446"/>
      <c r="BX116" s="304"/>
      <c r="BY116" s="304"/>
      <c r="BZ116" s="304"/>
      <c r="CA116" s="304"/>
      <c r="CB116" s="304"/>
      <c r="CC116" s="304"/>
      <c r="CD116" s="304"/>
      <c r="CE116" s="304"/>
      <c r="CF116" s="304"/>
      <c r="CG116" s="284"/>
      <c r="CH116" s="220"/>
      <c r="CI116" s="288"/>
    </row>
    <row r="117" spans="1:87" s="250" customFormat="1" ht="3" customHeight="1">
      <c r="A117" s="220"/>
      <c r="B117" s="879"/>
      <c r="C117" s="879"/>
      <c r="D117" s="879"/>
      <c r="E117" s="877"/>
      <c r="F117" s="877"/>
      <c r="G117" s="862"/>
      <c r="H117" s="864"/>
      <c r="I117" s="864"/>
      <c r="J117" s="864"/>
      <c r="K117" s="864"/>
      <c r="L117" s="864"/>
      <c r="M117" s="864"/>
      <c r="N117" s="864"/>
      <c r="O117" s="864"/>
      <c r="P117" s="864"/>
      <c r="Q117" s="864"/>
      <c r="R117" s="864"/>
      <c r="S117" s="864"/>
      <c r="T117" s="864"/>
      <c r="U117" s="864"/>
      <c r="V117" s="864"/>
      <c r="W117" s="864"/>
      <c r="X117" s="864"/>
      <c r="Y117" s="864"/>
      <c r="Z117" s="864"/>
      <c r="AA117" s="866"/>
      <c r="AB117" s="866"/>
      <c r="AC117" s="866"/>
      <c r="AD117" s="826"/>
      <c r="AE117" s="820"/>
      <c r="AF117" s="820"/>
      <c r="AG117" s="820"/>
      <c r="AH117" s="435"/>
      <c r="AI117" s="821"/>
      <c r="AJ117" s="821"/>
      <c r="AK117" s="821"/>
      <c r="AL117" s="821"/>
      <c r="AM117" s="821"/>
      <c r="AN117" s="818"/>
      <c r="AO117" s="822"/>
      <c r="AP117" s="822"/>
      <c r="AQ117" s="822"/>
      <c r="AR117" s="822"/>
      <c r="AS117" s="822"/>
      <c r="AT117" s="818"/>
      <c r="AU117" s="822"/>
      <c r="AV117" s="822"/>
      <c r="AW117" s="822"/>
      <c r="AX117" s="822"/>
      <c r="AY117" s="822"/>
      <c r="AZ117" s="827"/>
      <c r="BA117" s="826"/>
      <c r="BB117" s="820"/>
      <c r="BC117" s="820"/>
      <c r="BD117" s="820"/>
      <c r="BE117" s="435"/>
      <c r="BF117" s="821"/>
      <c r="BG117" s="821"/>
      <c r="BH117" s="821"/>
      <c r="BI117" s="821"/>
      <c r="BJ117" s="821"/>
      <c r="BK117" s="818"/>
      <c r="BL117" s="822"/>
      <c r="BM117" s="822"/>
      <c r="BN117" s="822"/>
      <c r="BO117" s="822"/>
      <c r="BP117" s="822"/>
      <c r="BQ117" s="819"/>
      <c r="BR117" s="822"/>
      <c r="BS117" s="822"/>
      <c r="BT117" s="822"/>
      <c r="BU117" s="822"/>
      <c r="BV117" s="822"/>
      <c r="BW117" s="441"/>
      <c r="BX117" s="442"/>
      <c r="BY117" s="442"/>
      <c r="BZ117" s="442"/>
      <c r="CA117" s="442"/>
      <c r="CB117" s="442"/>
      <c r="CC117" s="442"/>
      <c r="CD117" s="442"/>
      <c r="CE117" s="442"/>
      <c r="CF117" s="442"/>
      <c r="CG117" s="285"/>
      <c r="CH117" s="220"/>
      <c r="CI117" s="288"/>
    </row>
    <row r="118" spans="1:87" ht="15" customHeight="1">
      <c r="B118" s="879"/>
      <c r="C118" s="879"/>
      <c r="D118" s="879"/>
      <c r="E118" s="877"/>
      <c r="F118" s="877"/>
      <c r="G118" s="862"/>
      <c r="H118" s="864"/>
      <c r="I118" s="864"/>
      <c r="J118" s="864"/>
      <c r="K118" s="864"/>
      <c r="L118" s="864"/>
      <c r="M118" s="864"/>
      <c r="N118" s="864"/>
      <c r="O118" s="864"/>
      <c r="P118" s="864"/>
      <c r="Q118" s="864"/>
      <c r="R118" s="864"/>
      <c r="S118" s="864"/>
      <c r="T118" s="864"/>
      <c r="U118" s="864"/>
      <c r="V118" s="864"/>
      <c r="W118" s="864"/>
      <c r="X118" s="864"/>
      <c r="Y118" s="864"/>
      <c r="Z118" s="864"/>
      <c r="AA118" s="866"/>
      <c r="AB118" s="866"/>
      <c r="AC118" s="866"/>
      <c r="AD118" s="826"/>
      <c r="AE118" s="432" t="str">
        <f>IF(LEN(VLOOKUP(AA116,suvaha!$D$8:$H$158,2,FALSE))&lt;11,"",LEFT(RIGHT(VLOOKUP(AA116,suvaha!$D$8:$H$158,2,FALSE),11),1))</f>
        <v/>
      </c>
      <c r="AF118" s="255"/>
      <c r="AG118" s="432" t="str">
        <f>IF(LEN(VLOOKUP(AA116,suvaha!$D$8:$H$158,2,FALSE))&lt;10,"",LEFT(RIGHT(VLOOKUP(AA116,suvaha!$D$8:$H$158,2,FALSE),10),1))</f>
        <v/>
      </c>
      <c r="AH118" s="434"/>
      <c r="AI118" s="432" t="str">
        <f>IF(LEN(VLOOKUP(AA116,suvaha!$D$8:$H$158,2,FALSE))&lt;9,"",LEFT(RIGHT(VLOOKUP(AA116,suvaha!$D$8:$H$158,2,FALSE),9),1))</f>
        <v/>
      </c>
      <c r="AJ118" s="255"/>
      <c r="AK118" s="432" t="str">
        <f>IF(LEN(VLOOKUP(AA116,suvaha!$D$8:$H$158,2,FALSE))&lt;8,"",LEFT(RIGHT(VLOOKUP(AA116,suvaha!$D$8:$H$158,2,FALSE),8),1))</f>
        <v/>
      </c>
      <c r="AL118" s="434"/>
      <c r="AM118" s="432" t="str">
        <f>IF(LEN(VLOOKUP(AA116,suvaha!$D$8:$H$158,2,FALSE))&lt;7,"",LEFT(RIGHT(VLOOKUP(AA116,suvaha!$D$8:$H$158,2,FALSE),7),1))</f>
        <v/>
      </c>
      <c r="AN118" s="818"/>
      <c r="AO118" s="432" t="str">
        <f>IF(LEN(VLOOKUP(AA116,suvaha!$D$8:$H$158,2,FALSE))&lt;6,"",LEFT(RIGHT(VLOOKUP(AA116,suvaha!$D$8:$H$158,2,FALSE),6),1))</f>
        <v/>
      </c>
      <c r="AP118" s="434"/>
      <c r="AQ118" s="432" t="str">
        <f>IF(LEN(VLOOKUP(AA116,suvaha!$D$8:$H$158,2,FALSE))&lt;5,"",LEFT(RIGHT(VLOOKUP(AA116,suvaha!$D$8:$H$158,2,FALSE),5),1))</f>
        <v/>
      </c>
      <c r="AR118" s="434"/>
      <c r="AS118" s="432" t="str">
        <f>IF(LEN(VLOOKUP(AA116,suvaha!$D$8:$H$158,2,FALSE))&lt;4,"",LEFT(RIGHT(VLOOKUP(AA116,suvaha!$D$8:$H$158,2,FALSE),4),1))</f>
        <v/>
      </c>
      <c r="AT118" s="818"/>
      <c r="AU118" s="432" t="str">
        <f>IF(LEN(VLOOKUP(AA116,suvaha!$D$8:$H$158,2,FALSE))&lt;3,"",LEFT(RIGHT(VLOOKUP(AA116,suvaha!$D$8:$H$158,2,FALSE),3),1))</f>
        <v/>
      </c>
      <c r="AV118" s="434"/>
      <c r="AW118" s="432" t="str">
        <f>IF(LEN(VLOOKUP(AA116,suvaha!$D$8:$H$158,2,FALSE))&lt;2,"",LEFT(RIGHT(VLOOKUP(AA116,suvaha!$D$8:$H$158,2,FALSE),2),1))</f>
        <v/>
      </c>
      <c r="AX118" s="434"/>
      <c r="AY118" s="432" t="str">
        <f>IF(VLOOKUP(AA116,suvaha!$D$8:$H$85,2,FALSE)=0,"",IF(LEN(VLOOKUP(AA116,suvaha!$D$8:$H$158,2,FALSE))&lt;1,"",LEFT(RIGHT(VLOOKUP(AA116,suvaha!$D$8:$H$158,2,FALSE),1),1)))</f>
        <v/>
      </c>
      <c r="AZ118" s="827"/>
      <c r="BA118" s="826"/>
      <c r="BB118" s="432" t="str">
        <f>IF(LEN(VLOOKUP(AA116,suvaha!$D$8:$H$158,4,FALSE))&lt;11,"",LEFT(RIGHT(VLOOKUP(AA116,suvaha!$D$8:$H$158,4,FALSE),11),1))</f>
        <v/>
      </c>
      <c r="BC118" s="255"/>
      <c r="BD118" s="432" t="str">
        <f>IF(LEN(VLOOKUP(AA116,suvaha!$D$8:$H$158,4,FALSE))&lt;10,"",LEFT(RIGHT(VLOOKUP(AA116,suvaha!$D$8:$H$158,4,FALSE),10),1))</f>
        <v/>
      </c>
      <c r="BE118" s="434"/>
      <c r="BF118" s="432" t="str">
        <f>IF(LEN(VLOOKUP(AA116,suvaha!$D$8:$H$158,4,FALSE))&lt;9,"",LEFT(RIGHT(VLOOKUP(AA116,suvaha!$D$8:$H$158,4,FALSE),9),1))</f>
        <v/>
      </c>
      <c r="BG118" s="255"/>
      <c r="BH118" s="432" t="str">
        <f>IF(LEN(VLOOKUP(AA116,suvaha!$D$8:$H$158,4,FALSE))&lt;8,"",LEFT(RIGHT(VLOOKUP(AA116,suvaha!$D$8:$H$158,4,FALSE),8),1))</f>
        <v/>
      </c>
      <c r="BI118" s="434"/>
      <c r="BJ118" s="432" t="str">
        <f>IF(LEN(VLOOKUP(AA116,suvaha!$D$8:$H$158,4,FALSE))&lt;7,"",LEFT(RIGHT(VLOOKUP(AA116,suvaha!$D$8:$H$158,4,FALSE),7),1))</f>
        <v/>
      </c>
      <c r="BK118" s="818"/>
      <c r="BL118" s="432" t="str">
        <f>IF(LEN(VLOOKUP(AA116,suvaha!$D$8:$H$158,4,FALSE))&lt;6,"",LEFT(RIGHT(VLOOKUP(AA116,suvaha!$D$8:$H$158,4,FALSE),6),1))</f>
        <v/>
      </c>
      <c r="BM118" s="434"/>
      <c r="BN118" s="432" t="str">
        <f>IF(LEN(VLOOKUP(AA116,suvaha!$D$8:$H$158,4,FALSE))&lt;5,"",LEFT(RIGHT(VLOOKUP(AA116,suvaha!$D$8:$H$158,4,FALSE),5),1))</f>
        <v/>
      </c>
      <c r="BO118" s="434"/>
      <c r="BP118" s="432" t="str">
        <f>IF(LEN(VLOOKUP(AA116,suvaha!$D$8:$H$158,4,FALSE))&lt;4,"",LEFT(RIGHT(VLOOKUP(AA116,suvaha!$D$8:$H$158,4,FALSE),4),1))</f>
        <v/>
      </c>
      <c r="BQ118" s="819"/>
      <c r="BR118" s="432" t="str">
        <f>IF(LEN(VLOOKUP(AA116,suvaha!$D$8:$H$158,4,FALSE))&lt;3,"",LEFT(RIGHT(VLOOKUP(AA116,suvaha!$D$8:$H$158,4,FALSE),3),1))</f>
        <v/>
      </c>
      <c r="BS118" s="434"/>
      <c r="BT118" s="432" t="str">
        <f>IF(LEN(VLOOKUP(AA116,suvaha!$D$8:$H$158,4,FALSE))&lt;2,"",LEFT(RIGHT(VLOOKUP(AA116,suvaha!$D$8:$H$158,4,FALSE),2),1))</f>
        <v/>
      </c>
      <c r="BU118" s="434"/>
      <c r="BV118" s="432" t="str">
        <f>IF(VLOOKUP(AA116,suvaha!$D$8:$H$85,4,FALSE)=0,"",IF(LEN(VLOOKUP(AA116,suvaha!$D$8:$H$158,4,FALSE))&lt;1,"",LEFT(RIGHT(VLOOKUP(AA116,suvaha!$D$8:$H$158,4,FALSE),1),1)))</f>
        <v/>
      </c>
      <c r="BW118" s="441"/>
      <c r="BX118" s="442"/>
      <c r="BY118" s="442"/>
      <c r="BZ118" s="442"/>
      <c r="CA118" s="442"/>
      <c r="CB118" s="442"/>
      <c r="CC118" s="442"/>
      <c r="CD118" s="442"/>
      <c r="CE118" s="442"/>
      <c r="CF118" s="442"/>
      <c r="CG118" s="285"/>
      <c r="CH118" s="220"/>
      <c r="CI118" s="220"/>
    </row>
    <row r="119" spans="1:87" ht="3" customHeight="1">
      <c r="B119" s="879"/>
      <c r="C119" s="879"/>
      <c r="D119" s="879"/>
      <c r="E119" s="877"/>
      <c r="F119" s="877"/>
      <c r="G119" s="862"/>
      <c r="H119" s="864"/>
      <c r="I119" s="864"/>
      <c r="J119" s="864"/>
      <c r="K119" s="864"/>
      <c r="L119" s="864"/>
      <c r="M119" s="864"/>
      <c r="N119" s="864"/>
      <c r="O119" s="864"/>
      <c r="P119" s="864"/>
      <c r="Q119" s="864"/>
      <c r="R119" s="864"/>
      <c r="S119" s="864"/>
      <c r="T119" s="864"/>
      <c r="U119" s="864"/>
      <c r="V119" s="864"/>
      <c r="W119" s="864"/>
      <c r="X119" s="864"/>
      <c r="Y119" s="864"/>
      <c r="Z119" s="864"/>
      <c r="AA119" s="866"/>
      <c r="AB119" s="866"/>
      <c r="AC119" s="866"/>
      <c r="AD119" s="845"/>
      <c r="AE119" s="845"/>
      <c r="AF119" s="845"/>
      <c r="AG119" s="845"/>
      <c r="AH119" s="845"/>
      <c r="AI119" s="845"/>
      <c r="AJ119" s="845"/>
      <c r="AK119" s="845"/>
      <c r="AL119" s="845"/>
      <c r="AM119" s="845"/>
      <c r="AN119" s="845"/>
      <c r="AO119" s="845"/>
      <c r="AP119" s="845"/>
      <c r="AQ119" s="845"/>
      <c r="AR119" s="845"/>
      <c r="AS119" s="845"/>
      <c r="AT119" s="845"/>
      <c r="AU119" s="845"/>
      <c r="AV119" s="845"/>
      <c r="AW119" s="845"/>
      <c r="AX119" s="845"/>
      <c r="AY119" s="845"/>
      <c r="AZ119" s="845"/>
      <c r="BA119" s="846"/>
      <c r="BB119" s="846"/>
      <c r="BC119" s="846"/>
      <c r="BD119" s="846"/>
      <c r="BE119" s="846"/>
      <c r="BF119" s="846"/>
      <c r="BG119" s="846"/>
      <c r="BH119" s="846"/>
      <c r="BI119" s="846"/>
      <c r="BJ119" s="846"/>
      <c r="BK119" s="846"/>
      <c r="BL119" s="846"/>
      <c r="BM119" s="846"/>
      <c r="BN119" s="846"/>
      <c r="BO119" s="846"/>
      <c r="BP119" s="846"/>
      <c r="BQ119" s="846"/>
      <c r="BR119" s="310"/>
      <c r="BS119" s="310"/>
      <c r="BT119" s="310"/>
      <c r="BU119" s="310"/>
      <c r="BV119" s="310"/>
      <c r="BW119" s="443"/>
      <c r="BX119" s="310"/>
      <c r="BY119" s="310"/>
      <c r="BZ119" s="310"/>
      <c r="CA119" s="310"/>
      <c r="CB119" s="310"/>
      <c r="CC119" s="310"/>
      <c r="CD119" s="310"/>
      <c r="CE119" s="310"/>
      <c r="CF119" s="310"/>
      <c r="CG119" s="286"/>
      <c r="CH119" s="220"/>
      <c r="CI119" s="220"/>
    </row>
    <row r="120" spans="1:87" ht="3" customHeight="1">
      <c r="B120" s="879"/>
      <c r="C120" s="879"/>
      <c r="D120" s="879"/>
      <c r="E120" s="877"/>
      <c r="F120" s="877"/>
      <c r="G120" s="862"/>
      <c r="H120" s="864"/>
      <c r="I120" s="864"/>
      <c r="J120" s="864"/>
      <c r="K120" s="864"/>
      <c r="L120" s="864"/>
      <c r="M120" s="864"/>
      <c r="N120" s="864"/>
      <c r="O120" s="864"/>
      <c r="P120" s="864"/>
      <c r="Q120" s="864"/>
      <c r="R120" s="864"/>
      <c r="S120" s="864"/>
      <c r="T120" s="864"/>
      <c r="U120" s="864"/>
      <c r="V120" s="864"/>
      <c r="W120" s="864"/>
      <c r="X120" s="864"/>
      <c r="Y120" s="864"/>
      <c r="Z120" s="864"/>
      <c r="AA120" s="866"/>
      <c r="AB120" s="866"/>
      <c r="AC120" s="866"/>
      <c r="AD120" s="825"/>
      <c r="AE120" s="825"/>
      <c r="AF120" s="825"/>
      <c r="AG120" s="825"/>
      <c r="AH120" s="825"/>
      <c r="AI120" s="825"/>
      <c r="AJ120" s="825"/>
      <c r="AK120" s="825"/>
      <c r="AL120" s="825"/>
      <c r="AM120" s="825"/>
      <c r="AN120" s="825"/>
      <c r="AO120" s="825"/>
      <c r="AP120" s="825"/>
      <c r="AQ120" s="825"/>
      <c r="AR120" s="825"/>
      <c r="AS120" s="825"/>
      <c r="AT120" s="825"/>
      <c r="AU120" s="825"/>
      <c r="AV120" s="825"/>
      <c r="AW120" s="825"/>
      <c r="AX120" s="825"/>
      <c r="AY120" s="825"/>
      <c r="AZ120" s="825"/>
      <c r="BA120" s="875"/>
      <c r="BB120" s="875"/>
      <c r="BC120" s="875"/>
      <c r="BD120" s="875"/>
      <c r="BE120" s="875"/>
      <c r="BF120" s="875"/>
      <c r="BG120" s="875"/>
      <c r="BH120" s="875"/>
      <c r="BI120" s="875"/>
      <c r="BJ120" s="875"/>
      <c r="BK120" s="304"/>
      <c r="BL120" s="304"/>
      <c r="BM120" s="304"/>
      <c r="BN120" s="304"/>
      <c r="BO120" s="304"/>
      <c r="BP120" s="304"/>
      <c r="BQ120" s="304"/>
      <c r="BR120" s="304"/>
      <c r="BS120" s="304"/>
      <c r="BT120" s="304"/>
      <c r="BU120" s="304"/>
      <c r="BV120" s="304"/>
      <c r="BW120" s="304"/>
      <c r="BX120" s="304"/>
      <c r="BY120" s="304"/>
      <c r="BZ120" s="304"/>
      <c r="CA120" s="304"/>
      <c r="CB120" s="304"/>
      <c r="CC120" s="304"/>
      <c r="CD120" s="304"/>
      <c r="CE120" s="304"/>
      <c r="CF120" s="304"/>
      <c r="CG120" s="284"/>
      <c r="CH120" s="220"/>
      <c r="CI120" s="220"/>
    </row>
    <row r="121" spans="1:87" ht="3" customHeight="1">
      <c r="B121" s="879"/>
      <c r="C121" s="879"/>
      <c r="D121" s="879"/>
      <c r="E121" s="877"/>
      <c r="F121" s="877"/>
      <c r="G121" s="862"/>
      <c r="H121" s="864"/>
      <c r="I121" s="864"/>
      <c r="J121" s="864"/>
      <c r="K121" s="864"/>
      <c r="L121" s="864"/>
      <c r="M121" s="864"/>
      <c r="N121" s="864"/>
      <c r="O121" s="864"/>
      <c r="P121" s="864"/>
      <c r="Q121" s="864"/>
      <c r="R121" s="864"/>
      <c r="S121" s="864"/>
      <c r="T121" s="864"/>
      <c r="U121" s="864"/>
      <c r="V121" s="864"/>
      <c r="W121" s="864"/>
      <c r="X121" s="864"/>
      <c r="Y121" s="864"/>
      <c r="Z121" s="864"/>
      <c r="AA121" s="866"/>
      <c r="AB121" s="866"/>
      <c r="AC121" s="866"/>
      <c r="AD121" s="826"/>
      <c r="AE121" s="820"/>
      <c r="AF121" s="820"/>
      <c r="AG121" s="820"/>
      <c r="AH121" s="435"/>
      <c r="AI121" s="821"/>
      <c r="AJ121" s="821"/>
      <c r="AK121" s="821"/>
      <c r="AL121" s="821"/>
      <c r="AM121" s="821"/>
      <c r="AN121" s="818" t="s">
        <v>965</v>
      </c>
      <c r="AO121" s="822"/>
      <c r="AP121" s="822"/>
      <c r="AQ121" s="822"/>
      <c r="AR121" s="822"/>
      <c r="AS121" s="822"/>
      <c r="AT121" s="818" t="s">
        <v>965</v>
      </c>
      <c r="AU121" s="822"/>
      <c r="AV121" s="822"/>
      <c r="AW121" s="822"/>
      <c r="AX121" s="822"/>
      <c r="AY121" s="822"/>
      <c r="AZ121" s="827"/>
      <c r="BA121" s="875"/>
      <c r="BB121" s="875"/>
      <c r="BC121" s="875"/>
      <c r="BD121" s="875"/>
      <c r="BE121" s="875"/>
      <c r="BF121" s="875"/>
      <c r="BG121" s="875"/>
      <c r="BH121" s="875"/>
      <c r="BI121" s="875"/>
      <c r="BJ121" s="875"/>
      <c r="BK121" s="442"/>
      <c r="BL121" s="820"/>
      <c r="BM121" s="820"/>
      <c r="BN121" s="820"/>
      <c r="BO121" s="442"/>
      <c r="BP121" s="444"/>
      <c r="BQ121" s="444"/>
      <c r="BR121" s="444"/>
      <c r="BS121" s="444"/>
      <c r="BT121" s="444"/>
      <c r="BU121" s="442"/>
      <c r="BV121" s="444"/>
      <c r="BW121" s="444"/>
      <c r="BX121" s="444"/>
      <c r="BY121" s="444"/>
      <c r="BZ121" s="444"/>
      <c r="CA121" s="445"/>
      <c r="CB121" s="444"/>
      <c r="CC121" s="444"/>
      <c r="CD121" s="444"/>
      <c r="CE121" s="444"/>
      <c r="CF121" s="444"/>
      <c r="CG121" s="287"/>
      <c r="CH121" s="220"/>
      <c r="CI121" s="220"/>
    </row>
    <row r="122" spans="1:87" ht="15" customHeight="1">
      <c r="B122" s="879"/>
      <c r="C122" s="879"/>
      <c r="D122" s="879"/>
      <c r="E122" s="877"/>
      <c r="F122" s="877"/>
      <c r="G122" s="862"/>
      <c r="H122" s="864"/>
      <c r="I122" s="864"/>
      <c r="J122" s="864"/>
      <c r="K122" s="864"/>
      <c r="L122" s="864"/>
      <c r="M122" s="864"/>
      <c r="N122" s="864"/>
      <c r="O122" s="864"/>
      <c r="P122" s="864"/>
      <c r="Q122" s="864"/>
      <c r="R122" s="864"/>
      <c r="S122" s="864"/>
      <c r="T122" s="864"/>
      <c r="U122" s="864"/>
      <c r="V122" s="864"/>
      <c r="W122" s="864"/>
      <c r="X122" s="864"/>
      <c r="Y122" s="864"/>
      <c r="Z122" s="864"/>
      <c r="AA122" s="866"/>
      <c r="AB122" s="866"/>
      <c r="AC122" s="866"/>
      <c r="AD122" s="826"/>
      <c r="AE122" s="432" t="str">
        <f>IF(LEN(VLOOKUP(AA116,suvaha!$D$8:$H$158,3,FALSE))&lt;11,"",LEFT(RIGHT(VLOOKUP(AA116,suvaha!$D$8:$H$158,3,FALSE),11),1))</f>
        <v/>
      </c>
      <c r="AF122" s="255" t="s">
        <v>965</v>
      </c>
      <c r="AG122" s="432" t="str">
        <f>IF(LEN(VLOOKUP(AA116,suvaha!$D$8:$H$158,3,FALSE))&lt;10,"",LEFT(RIGHT(VLOOKUP(AA116,suvaha!$D$8:$H$158,3,FALSE),10),1))</f>
        <v/>
      </c>
      <c r="AH122" s="434" t="s">
        <v>965</v>
      </c>
      <c r="AI122" s="432" t="str">
        <f>IF(LEN(VLOOKUP(AA116,suvaha!$D$8:$H$158,3,FALSE))&lt;9,"",LEFT(RIGHT(VLOOKUP(AA116,suvaha!$D$8:$H$158,3,FALSE),9),1))</f>
        <v/>
      </c>
      <c r="AJ122" s="255" t="s">
        <v>965</v>
      </c>
      <c r="AK122" s="432" t="str">
        <f>IF(LEN(VLOOKUP(AA116,suvaha!$D$8:$H$158,3,FALSE))&lt;8,"",LEFT(RIGHT(VLOOKUP(AA116,suvaha!$D$8:$H$158,3,FALSE),8),1))</f>
        <v/>
      </c>
      <c r="AL122" s="434" t="s">
        <v>965</v>
      </c>
      <c r="AM122" s="432" t="str">
        <f>IF(LEN(VLOOKUP(AA116,suvaha!$D$8:$H$158,3,FALSE))&lt;7,"",LEFT(RIGHT(VLOOKUP(AA116,suvaha!$D$8:$H$158,3,FALSE),7),1))</f>
        <v/>
      </c>
      <c r="AN122" s="818"/>
      <c r="AO122" s="432" t="str">
        <f>IF(LEN(VLOOKUP(AA116,suvaha!$D$8:$H$158,3,FALSE))&lt;6,"",LEFT(RIGHT(VLOOKUP(AA116,suvaha!$D$8:$H$158,3,FALSE),6),1))</f>
        <v/>
      </c>
      <c r="AP122" s="434" t="s">
        <v>965</v>
      </c>
      <c r="AQ122" s="432" t="str">
        <f>IF(LEN(VLOOKUP(AA116,suvaha!$D$8:$H$158,3,FALSE))&lt;5,"",LEFT(RIGHT(VLOOKUP(AA116,suvaha!$D$8:$H$158,3,FALSE),5),1))</f>
        <v/>
      </c>
      <c r="AR122" s="434" t="s">
        <v>965</v>
      </c>
      <c r="AS122" s="432" t="str">
        <f>IF(LEN(VLOOKUP(AA116,suvaha!$D$8:$H$158,3,FALSE))&lt;4,"",LEFT(RIGHT(VLOOKUP(AA116,suvaha!$D$8:$H$158,3,FALSE),4),1))</f>
        <v/>
      </c>
      <c r="AT122" s="818"/>
      <c r="AU122" s="432" t="str">
        <f>IF(LEN(VLOOKUP(AA116,suvaha!$D$8:$H$158,3,FALSE))&lt;3,"",LEFT(RIGHT(VLOOKUP(AA116,suvaha!$D$8:$H$158,3,FALSE),3),1))</f>
        <v/>
      </c>
      <c r="AV122" s="434" t="s">
        <v>965</v>
      </c>
      <c r="AW122" s="432" t="str">
        <f>IF(LEN(VLOOKUP(AA116,suvaha!$D$8:$H$158,3,FALSE))&lt;2,"",LEFT(RIGHT(VLOOKUP(AA116,suvaha!$D$8:$H$158,3,FALSE),2),1))</f>
        <v/>
      </c>
      <c r="AX122" s="434" t="s">
        <v>965</v>
      </c>
      <c r="AY122" s="432" t="str">
        <f>IF(VLOOKUP(AA116,suvaha!$D$8:$H$85,3,FALSE)=0,"",IF(LEN(VLOOKUP(AA116,suvaha!$D$8:$H$158,3,FALSE))&lt;1,"",LEFT(RIGHT(VLOOKUP(AA116,suvaha!$D$8:$H$158,3,FALSE),1),1)))</f>
        <v/>
      </c>
      <c r="AZ122" s="827"/>
      <c r="BA122" s="875"/>
      <c r="BB122" s="875"/>
      <c r="BC122" s="875"/>
      <c r="BD122" s="875"/>
      <c r="BE122" s="875"/>
      <c r="BF122" s="875"/>
      <c r="BG122" s="875"/>
      <c r="BH122" s="875"/>
      <c r="BI122" s="875"/>
      <c r="BJ122" s="875"/>
      <c r="BK122" s="442"/>
      <c r="BL122" s="432" t="str">
        <f>IF(LEN(VLOOKUP(AA116,suvaha!$D$8:$H$158,5,FALSE))&lt;11,"",LEFT(RIGHT(VLOOKUP(AA116,suvaha!$D$8:$H$158,5,FALSE),11),1))</f>
        <v/>
      </c>
      <c r="BM122" s="255" t="s">
        <v>965</v>
      </c>
      <c r="BN122" s="432" t="str">
        <f>IF(LEN(VLOOKUP(AA116,suvaha!$D$8:$H$158,5,FALSE))&lt;10,"",LEFT(RIGHT(VLOOKUP(AA116,suvaha!$D$8:$H$158,5,FALSE),10),1))</f>
        <v/>
      </c>
      <c r="BO122" s="442" t="s">
        <v>965</v>
      </c>
      <c r="BP122" s="432" t="str">
        <f>IF(LEN(VLOOKUP(AA116,suvaha!$D$8:$H$158,5,FALSE))&lt;9,"",LEFT(RIGHT(VLOOKUP(AA116,suvaha!$D$8:$H$158,5,FALSE),9),1))</f>
        <v/>
      </c>
      <c r="BQ122" s="434" t="s">
        <v>965</v>
      </c>
      <c r="BR122" s="432" t="str">
        <f>IF(LEN(VLOOKUP(AA116,suvaha!$D$8:$H$158,5,FALSE))&lt;8,"",LEFT(RIGHT(VLOOKUP(AA116,suvaha!$D$8:$H$158,5,FALSE),8),1))</f>
        <v/>
      </c>
      <c r="BS122" s="434" t="s">
        <v>965</v>
      </c>
      <c r="BT122" s="432" t="str">
        <f>IF(LEN(VLOOKUP(AA116,suvaha!$D$8:$H$158,5,FALSE))&lt;7,"",LEFT(RIGHT(VLOOKUP(AA116,suvaha!$D$8:$H$158,5,FALSE),7),1))</f>
        <v/>
      </c>
      <c r="BU122" s="442" t="s">
        <v>965</v>
      </c>
      <c r="BV122" s="432" t="str">
        <f>IF(LEN(VLOOKUP(AA116,suvaha!$D$8:$H$158,5,FALSE))&lt;6,"",LEFT(RIGHT(VLOOKUP(AA116,suvaha!$D$8:$H$158,5,FALSE),6),1))</f>
        <v/>
      </c>
      <c r="BW122" s="434" t="s">
        <v>965</v>
      </c>
      <c r="BX122" s="432" t="str">
        <f>IF(LEN(VLOOKUP(AA116,suvaha!$D$8:$H$158,5,FALSE))&lt;5,"",LEFT(RIGHT(VLOOKUP(AA116,suvaha!$D$8:$H$158,5,FALSE),5),1))</f>
        <v/>
      </c>
      <c r="BY122" s="434" t="s">
        <v>965</v>
      </c>
      <c r="BZ122" s="432" t="str">
        <f>IF(LEN(VLOOKUP(AA116,suvaha!$D$8:$H$158,5,FALSE))&lt;4,"",LEFT(RIGHT(VLOOKUP(AA116,suvaha!$D$8:$H$158,5,FALSE),4),1))</f>
        <v/>
      </c>
      <c r="CA122" s="445" t="s">
        <v>965</v>
      </c>
      <c r="CB122" s="432" t="str">
        <f>IF(LEN(VLOOKUP(AA116,suvaha!$D$8:$H$158,5,FALSE))&lt;3,"",LEFT(RIGHT(VLOOKUP(AA116,suvaha!$D$8:$H$158,5,FALSE),3),1))</f>
        <v/>
      </c>
      <c r="CC122" s="434" t="s">
        <v>965</v>
      </c>
      <c r="CD122" s="432" t="str">
        <f>IF(LEN(VLOOKUP(AA116,suvaha!$D$8:$H$158,5,FALSE))&lt;2,"",LEFT(RIGHT(VLOOKUP(AA116,suvaha!$D$8:$H$158,5,FALSE),2),1))</f>
        <v/>
      </c>
      <c r="CE122" s="434" t="s">
        <v>1540</v>
      </c>
      <c r="CF122" s="432" t="str">
        <f>IF(VLOOKUP(AA116,suvaha!$D$8:$H$85,5,FALSE)=0,"",IF(LEN(VLOOKUP(AA116,suvaha!$D$8:$H$158,5,FALSE))&lt;1,"",LEFT(RIGHT(VLOOKUP(AA116,suvaha!$D$8:$H$158,5,FALSE),1),1)))</f>
        <v/>
      </c>
      <c r="CG122" s="287"/>
      <c r="CH122" s="220"/>
      <c r="CI122" s="220"/>
    </row>
    <row r="123" spans="1:87" ht="3" customHeight="1">
      <c r="B123" s="879"/>
      <c r="C123" s="879"/>
      <c r="D123" s="879"/>
      <c r="E123" s="877"/>
      <c r="F123" s="877"/>
      <c r="G123" s="862"/>
      <c r="H123" s="864"/>
      <c r="I123" s="864"/>
      <c r="J123" s="864"/>
      <c r="K123" s="864"/>
      <c r="L123" s="864"/>
      <c r="M123" s="864"/>
      <c r="N123" s="864"/>
      <c r="O123" s="864"/>
      <c r="P123" s="864"/>
      <c r="Q123" s="864"/>
      <c r="R123" s="864"/>
      <c r="S123" s="864"/>
      <c r="T123" s="864"/>
      <c r="U123" s="864"/>
      <c r="V123" s="864"/>
      <c r="W123" s="864"/>
      <c r="X123" s="864"/>
      <c r="Y123" s="864"/>
      <c r="Z123" s="864"/>
      <c r="AA123" s="866"/>
      <c r="AB123" s="866"/>
      <c r="AC123" s="866"/>
      <c r="AD123" s="845"/>
      <c r="AE123" s="845"/>
      <c r="AF123" s="845"/>
      <c r="AG123" s="845"/>
      <c r="AH123" s="845"/>
      <c r="AI123" s="845"/>
      <c r="AJ123" s="845"/>
      <c r="AK123" s="845"/>
      <c r="AL123" s="845"/>
      <c r="AM123" s="845"/>
      <c r="AN123" s="845"/>
      <c r="AO123" s="845"/>
      <c r="AP123" s="845"/>
      <c r="AQ123" s="845"/>
      <c r="AR123" s="845"/>
      <c r="AS123" s="845"/>
      <c r="AT123" s="845"/>
      <c r="AU123" s="845"/>
      <c r="AV123" s="845"/>
      <c r="AW123" s="845"/>
      <c r="AX123" s="845"/>
      <c r="AY123" s="845"/>
      <c r="AZ123" s="845"/>
      <c r="BA123" s="875"/>
      <c r="BB123" s="875"/>
      <c r="BC123" s="875"/>
      <c r="BD123" s="875"/>
      <c r="BE123" s="875"/>
      <c r="BF123" s="875"/>
      <c r="BG123" s="875"/>
      <c r="BH123" s="875"/>
      <c r="BI123" s="875"/>
      <c r="BJ123" s="875"/>
      <c r="BK123" s="310"/>
      <c r="BL123" s="310"/>
      <c r="BM123" s="310"/>
      <c r="BN123" s="310"/>
      <c r="BO123" s="310"/>
      <c r="BP123" s="310"/>
      <c r="BQ123" s="310"/>
      <c r="BR123" s="310"/>
      <c r="BS123" s="310"/>
      <c r="BT123" s="310"/>
      <c r="BU123" s="310"/>
      <c r="BV123" s="310"/>
      <c r="BW123" s="310"/>
      <c r="BX123" s="310"/>
      <c r="BY123" s="310"/>
      <c r="BZ123" s="310"/>
      <c r="CA123" s="310"/>
      <c r="CB123" s="310"/>
      <c r="CC123" s="310"/>
      <c r="CD123" s="310"/>
      <c r="CE123" s="310"/>
      <c r="CF123" s="310"/>
      <c r="CG123" s="286"/>
      <c r="CH123" s="220"/>
      <c r="CI123" s="220"/>
    </row>
    <row r="124" spans="1:87" ht="6" customHeight="1">
      <c r="D124" s="220"/>
      <c r="E124" s="268"/>
      <c r="F124" s="268"/>
      <c r="G124" s="268"/>
      <c r="H124" s="240"/>
      <c r="I124" s="240"/>
      <c r="J124" s="240"/>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220"/>
      <c r="CI124" s="220"/>
    </row>
    <row r="125" spans="1:87" ht="13.5" thickBot="1">
      <c r="D125" s="220"/>
      <c r="E125" s="289"/>
      <c r="F125" s="268"/>
      <c r="G125" s="268"/>
      <c r="H125" s="98"/>
      <c r="I125" s="240"/>
      <c r="J125" s="240"/>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959"/>
      <c r="CG125" s="959"/>
      <c r="CH125" s="220"/>
      <c r="CI125" s="220"/>
    </row>
    <row r="126" spans="1:87" ht="8.25" customHeight="1" thickTop="1">
      <c r="D126" s="220"/>
      <c r="E126" s="268"/>
      <c r="F126" s="268"/>
      <c r="G126" s="268"/>
      <c r="H126" s="98" t="s">
        <v>1532</v>
      </c>
      <c r="I126" s="240"/>
      <c r="J126" s="240"/>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290"/>
      <c r="BY126" s="356"/>
      <c r="BZ126" s="415" t="str">
        <f>Index!C424</f>
        <v>Strana 6</v>
      </c>
      <c r="CA126" s="356"/>
      <c r="CB126" s="356"/>
      <c r="CC126" s="356"/>
      <c r="CD126" s="356"/>
      <c r="CE126" s="356"/>
      <c r="CF126" s="356"/>
      <c r="CG126" s="356"/>
    </row>
    <row r="127" spans="1:87" s="277" customFormat="1">
      <c r="A127" s="272"/>
      <c r="B127" s="272"/>
      <c r="C127" s="272"/>
      <c r="D127" s="272"/>
      <c r="E127" s="273"/>
      <c r="F127" s="273"/>
      <c r="G127" s="273"/>
      <c r="H127" s="274"/>
      <c r="I127" s="274"/>
      <c r="J127" s="274"/>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c r="CG127" s="275"/>
    </row>
    <row r="128" spans="1:87" s="277" customFormat="1">
      <c r="A128" s="272"/>
      <c r="B128" s="272"/>
      <c r="C128" s="272"/>
      <c r="D128" s="272"/>
      <c r="E128" s="273"/>
      <c r="F128" s="273"/>
      <c r="G128" s="273"/>
      <c r="H128" s="274"/>
      <c r="I128" s="274"/>
      <c r="J128" s="274"/>
      <c r="K128" s="275"/>
      <c r="L128" s="275"/>
      <c r="M128" s="275"/>
      <c r="N128" s="275"/>
      <c r="O128" s="275"/>
      <c r="P128" s="275"/>
      <c r="Q128" s="275"/>
      <c r="R128" s="275"/>
      <c r="S128" s="275"/>
      <c r="T128" s="275"/>
      <c r="U128" s="275"/>
      <c r="V128" s="275"/>
      <c r="W128" s="275"/>
      <c r="X128" s="275"/>
      <c r="Y128" s="275"/>
      <c r="Z128" s="275"/>
      <c r="AA128" s="275"/>
      <c r="AB128" s="275"/>
      <c r="AC128" s="275"/>
      <c r="AD128" s="275"/>
      <c r="AE128" s="276">
        <v>10</v>
      </c>
      <c r="AF128" s="275"/>
      <c r="AG128" s="276">
        <v>9</v>
      </c>
      <c r="AH128" s="275"/>
      <c r="AI128" s="276">
        <v>8</v>
      </c>
      <c r="AJ128" s="275"/>
      <c r="AK128" s="276">
        <v>7</v>
      </c>
      <c r="AL128" s="275"/>
      <c r="AM128" s="276">
        <v>6</v>
      </c>
      <c r="AN128" s="275"/>
      <c r="AO128" s="276">
        <v>5</v>
      </c>
      <c r="AP128" s="275"/>
      <c r="AQ128" s="276">
        <v>4</v>
      </c>
      <c r="AR128" s="275"/>
      <c r="AS128" s="276">
        <v>3</v>
      </c>
      <c r="AT128" s="275"/>
      <c r="AU128" s="276">
        <v>2</v>
      </c>
      <c r="AV128" s="275"/>
      <c r="AW128" s="276">
        <v>1</v>
      </c>
      <c r="AX128" s="275"/>
      <c r="AY128" s="276">
        <v>0</v>
      </c>
      <c r="AZ128" s="275"/>
      <c r="BA128" s="275"/>
      <c r="BB128" s="276">
        <v>10</v>
      </c>
      <c r="BC128" s="275"/>
      <c r="BD128" s="276">
        <v>9</v>
      </c>
      <c r="BE128" s="275"/>
      <c r="BF128" s="276">
        <v>8</v>
      </c>
      <c r="BG128" s="275"/>
      <c r="BH128" s="276">
        <v>7</v>
      </c>
      <c r="BI128" s="275"/>
      <c r="BJ128" s="276">
        <v>6</v>
      </c>
      <c r="BK128" s="276">
        <v>5</v>
      </c>
      <c r="BL128" s="276">
        <v>5</v>
      </c>
      <c r="BM128" s="276"/>
      <c r="BN128" s="276">
        <v>4</v>
      </c>
      <c r="BO128" s="276"/>
      <c r="BP128" s="276">
        <v>3</v>
      </c>
      <c r="BQ128" s="276">
        <v>2</v>
      </c>
      <c r="BR128" s="276">
        <v>2</v>
      </c>
      <c r="BS128" s="276">
        <v>1</v>
      </c>
      <c r="BT128" s="276">
        <v>1</v>
      </c>
      <c r="BU128" s="276"/>
      <c r="BV128" s="276">
        <v>0</v>
      </c>
      <c r="BW128" s="275"/>
      <c r="BX128" s="275"/>
      <c r="BY128" s="275"/>
      <c r="BZ128" s="275"/>
      <c r="CA128" s="275"/>
      <c r="CB128" s="275"/>
      <c r="CC128" s="275"/>
      <c r="CD128" s="275"/>
      <c r="CE128" s="275"/>
      <c r="CF128" s="275"/>
      <c r="CG128" s="272"/>
      <c r="CH128" s="272"/>
      <c r="CI128" s="272"/>
    </row>
    <row r="129" spans="1:87" s="277" customFormat="1">
      <c r="B129" s="272"/>
      <c r="C129" s="272"/>
      <c r="D129" s="272"/>
      <c r="E129" s="273"/>
      <c r="F129" s="273"/>
      <c r="G129" s="273"/>
      <c r="H129" s="274"/>
      <c r="I129" s="274"/>
      <c r="J129" s="274"/>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6">
        <v>10</v>
      </c>
      <c r="AP129" s="276"/>
      <c r="AQ129" s="276">
        <v>9</v>
      </c>
      <c r="AR129" s="276"/>
      <c r="AS129" s="276">
        <v>8</v>
      </c>
      <c r="AT129" s="276"/>
      <c r="AU129" s="276">
        <v>7</v>
      </c>
      <c r="AV129" s="276"/>
      <c r="AW129" s="276">
        <v>6</v>
      </c>
      <c r="AX129" s="276"/>
      <c r="AY129" s="276">
        <v>5</v>
      </c>
      <c r="AZ129" s="276"/>
      <c r="BA129" s="276"/>
      <c r="BB129" s="276">
        <v>4</v>
      </c>
      <c r="BC129" s="276"/>
      <c r="BD129" s="276">
        <v>3</v>
      </c>
      <c r="BE129" s="276"/>
      <c r="BF129" s="276">
        <v>2</v>
      </c>
      <c r="BG129" s="276"/>
      <c r="BH129" s="276">
        <v>1</v>
      </c>
      <c r="BI129" s="276"/>
      <c r="BJ129" s="276">
        <v>0</v>
      </c>
      <c r="BK129" s="276">
        <v>10</v>
      </c>
      <c r="BL129" s="276">
        <v>10</v>
      </c>
      <c r="BM129" s="276"/>
      <c r="BN129" s="276">
        <v>9</v>
      </c>
      <c r="BO129" s="276"/>
      <c r="BP129" s="276">
        <v>8</v>
      </c>
      <c r="BQ129" s="276"/>
      <c r="BR129" s="276">
        <v>7</v>
      </c>
      <c r="BS129" s="276"/>
      <c r="BT129" s="276">
        <v>6</v>
      </c>
      <c r="BU129" s="276"/>
      <c r="BV129" s="276">
        <v>5</v>
      </c>
      <c r="BW129" s="276"/>
      <c r="BX129" s="276">
        <v>4</v>
      </c>
      <c r="BY129" s="276"/>
      <c r="BZ129" s="276">
        <v>3</v>
      </c>
      <c r="CA129" s="276"/>
      <c r="CB129" s="276">
        <v>2</v>
      </c>
      <c r="CC129" s="276"/>
      <c r="CD129" s="276">
        <v>1</v>
      </c>
      <c r="CE129" s="276"/>
      <c r="CF129" s="276">
        <v>0</v>
      </c>
      <c r="CG129" s="272"/>
      <c r="CI129" s="272"/>
    </row>
    <row r="130" spans="1:87" s="293" customFormat="1">
      <c r="A130" s="292"/>
      <c r="B130" s="292"/>
      <c r="C130" s="292"/>
      <c r="E130" s="294"/>
      <c r="F130" s="294"/>
      <c r="G130" s="294"/>
      <c r="H130" s="295"/>
      <c r="I130" s="295"/>
      <c r="J130" s="295"/>
      <c r="K130" s="296"/>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c r="AG130" s="296"/>
      <c r="AH130" s="296"/>
      <c r="AI130" s="296"/>
      <c r="AJ130" s="296"/>
      <c r="AK130" s="296"/>
      <c r="AL130" s="296"/>
      <c r="AM130" s="296"/>
      <c r="AN130" s="296"/>
      <c r="AO130" s="296"/>
      <c r="AP130" s="296"/>
      <c r="AQ130" s="296"/>
      <c r="AR130" s="296"/>
      <c r="AS130" s="296"/>
      <c r="AT130" s="296"/>
      <c r="AU130" s="296"/>
      <c r="AV130" s="296"/>
      <c r="AW130" s="296"/>
      <c r="AX130" s="296"/>
      <c r="AY130" s="296"/>
      <c r="AZ130" s="296"/>
      <c r="BA130" s="296"/>
      <c r="BB130" s="296"/>
      <c r="BC130" s="296"/>
      <c r="BD130" s="296"/>
      <c r="BE130" s="296"/>
      <c r="BF130" s="296"/>
      <c r="BG130" s="296"/>
      <c r="BH130" s="296"/>
      <c r="BI130" s="296"/>
      <c r="BJ130" s="296"/>
      <c r="BK130" s="296"/>
      <c r="BL130" s="296"/>
      <c r="BM130" s="296"/>
      <c r="BN130" s="296"/>
      <c r="BO130" s="296"/>
      <c r="BP130" s="296"/>
      <c r="BQ130" s="296"/>
      <c r="BR130" s="296"/>
      <c r="BS130" s="296"/>
      <c r="BT130" s="296"/>
      <c r="BU130" s="296"/>
      <c r="BV130" s="296"/>
      <c r="BW130" s="296"/>
      <c r="BX130" s="296"/>
      <c r="BY130" s="296"/>
      <c r="BZ130" s="296"/>
      <c r="CA130" s="296"/>
      <c r="CB130" s="296"/>
      <c r="CC130" s="296"/>
      <c r="CD130" s="296"/>
      <c r="CE130" s="296"/>
      <c r="CF130" s="296"/>
      <c r="CG130" s="296"/>
    </row>
    <row r="131" spans="1:87">
      <c r="E131" s="268"/>
      <c r="F131" s="268"/>
      <c r="G131" s="268"/>
      <c r="H131" s="240"/>
      <c r="I131" s="240"/>
      <c r="J131" s="240"/>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row>
    <row r="132" spans="1:87">
      <c r="E132" s="268"/>
      <c r="F132" s="268"/>
      <c r="G132" s="268"/>
      <c r="H132" s="240"/>
      <c r="I132" s="240"/>
      <c r="J132" s="240"/>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row>
  </sheetData>
  <sheetProtection sheet="1" objects="1" scenarios="1"/>
  <mergeCells count="528">
    <mergeCell ref="AB4:AC5"/>
    <mergeCell ref="AD4:AD5"/>
    <mergeCell ref="AR4:AR5"/>
    <mergeCell ref="E7:F10"/>
    <mergeCell ref="AD7:BQ8"/>
    <mergeCell ref="BR7:CG10"/>
    <mergeCell ref="B8:D8"/>
    <mergeCell ref="G8:Z9"/>
    <mergeCell ref="B9:C37"/>
    <mergeCell ref="D9:D37"/>
    <mergeCell ref="AA9:AC9"/>
    <mergeCell ref="AD9:AF11"/>
    <mergeCell ref="AF4:AF5"/>
    <mergeCell ref="AH4:AH5"/>
    <mergeCell ref="AJ4:AJ5"/>
    <mergeCell ref="AL4:AL5"/>
    <mergeCell ref="AN4:AN5"/>
    <mergeCell ref="AP4:AP5"/>
    <mergeCell ref="H2:X4"/>
    <mergeCell ref="AB2:AX2"/>
    <mergeCell ref="AY2:AY5"/>
    <mergeCell ref="AZ2:BS2"/>
    <mergeCell ref="BT2:CD5"/>
    <mergeCell ref="AE3:AW3"/>
    <mergeCell ref="AZ3:BC4"/>
    <mergeCell ref="BD3:BR3"/>
    <mergeCell ref="AG9:AZ10"/>
    <mergeCell ref="BA9:BQ10"/>
    <mergeCell ref="CH9:CH94"/>
    <mergeCell ref="AA10:AC10"/>
    <mergeCell ref="E11:F11"/>
    <mergeCell ref="G11:Z11"/>
    <mergeCell ref="AA11:AC11"/>
    <mergeCell ref="AG11:AZ11"/>
    <mergeCell ref="BA11:BQ11"/>
    <mergeCell ref="BR11:CG11"/>
    <mergeCell ref="BF13:BJ13"/>
    <mergeCell ref="BK13:BK14"/>
    <mergeCell ref="BL13:BP13"/>
    <mergeCell ref="BQ13:BQ14"/>
    <mergeCell ref="BR13:BV13"/>
    <mergeCell ref="AD15:AZ15"/>
    <mergeCell ref="BA15:BQ15"/>
    <mergeCell ref="AO13:AS13"/>
    <mergeCell ref="AT13:AT14"/>
    <mergeCell ref="AU13:AY13"/>
    <mergeCell ref="AZ13:AZ14"/>
    <mergeCell ref="BA13:BA14"/>
    <mergeCell ref="AD16:AZ16"/>
    <mergeCell ref="BA16:BJ19"/>
    <mergeCell ref="AD17:AD18"/>
    <mergeCell ref="AE17:AG17"/>
    <mergeCell ref="AI17:AM17"/>
    <mergeCell ref="AN17:AN18"/>
    <mergeCell ref="AO17:AS17"/>
    <mergeCell ref="AT17:AT18"/>
    <mergeCell ref="AU17:AY17"/>
    <mergeCell ref="AZ17:AZ18"/>
    <mergeCell ref="BL17:BN17"/>
    <mergeCell ref="AD19:AZ19"/>
    <mergeCell ref="E20:F27"/>
    <mergeCell ref="G20:G27"/>
    <mergeCell ref="H20:Z27"/>
    <mergeCell ref="AA20:AC27"/>
    <mergeCell ref="AD20:AZ20"/>
    <mergeCell ref="BA20:BQ20"/>
    <mergeCell ref="AD21:AD22"/>
    <mergeCell ref="AE21:AG21"/>
    <mergeCell ref="E12:F19"/>
    <mergeCell ref="G12:G19"/>
    <mergeCell ref="H12:Z19"/>
    <mergeCell ref="AA12:AC19"/>
    <mergeCell ref="AD12:AZ12"/>
    <mergeCell ref="BA12:BQ12"/>
    <mergeCell ref="AZ25:AZ26"/>
    <mergeCell ref="BL25:BN25"/>
    <mergeCell ref="AD27:AZ27"/>
    <mergeCell ref="BB13:BD13"/>
    <mergeCell ref="AD13:AD14"/>
    <mergeCell ref="AE13:AG13"/>
    <mergeCell ref="AI13:AM13"/>
    <mergeCell ref="AN13:AN14"/>
    <mergeCell ref="BR21:BV21"/>
    <mergeCell ref="AD23:AZ23"/>
    <mergeCell ref="BA23:BQ23"/>
    <mergeCell ref="AD24:AZ24"/>
    <mergeCell ref="BA24:BJ27"/>
    <mergeCell ref="AD25:AD26"/>
    <mergeCell ref="AE25:AG25"/>
    <mergeCell ref="AI25:AM25"/>
    <mergeCell ref="AN25:AN26"/>
    <mergeCell ref="AO25:AS25"/>
    <mergeCell ref="BA21:BA22"/>
    <mergeCell ref="BB21:BD21"/>
    <mergeCell ref="BF21:BJ21"/>
    <mergeCell ref="BK21:BK22"/>
    <mergeCell ref="BL21:BP21"/>
    <mergeCell ref="BQ21:BQ22"/>
    <mergeCell ref="AI21:AM21"/>
    <mergeCell ref="AN21:AN22"/>
    <mergeCell ref="AO21:AS21"/>
    <mergeCell ref="AT21:AT22"/>
    <mergeCell ref="AU21:AY21"/>
    <mergeCell ref="AZ21:AZ22"/>
    <mergeCell ref="AT25:AT26"/>
    <mergeCell ref="AU25:AY25"/>
    <mergeCell ref="E28:F35"/>
    <mergeCell ref="G28:G35"/>
    <mergeCell ref="H28:Z35"/>
    <mergeCell ref="AA28:AC35"/>
    <mergeCell ref="AD28:AZ28"/>
    <mergeCell ref="BB29:BD29"/>
    <mergeCell ref="BF29:BJ29"/>
    <mergeCell ref="BK29:BK30"/>
    <mergeCell ref="BL29:BP29"/>
    <mergeCell ref="AD31:AZ31"/>
    <mergeCell ref="BA31:BQ31"/>
    <mergeCell ref="AD32:AZ32"/>
    <mergeCell ref="BA32:BJ35"/>
    <mergeCell ref="AD33:AD34"/>
    <mergeCell ref="AE33:AG33"/>
    <mergeCell ref="AI33:AM33"/>
    <mergeCell ref="AN33:AN34"/>
    <mergeCell ref="AO33:AS33"/>
    <mergeCell ref="AT33:AT34"/>
    <mergeCell ref="AU33:AY33"/>
    <mergeCell ref="AZ33:AZ34"/>
    <mergeCell ref="BL33:BN33"/>
    <mergeCell ref="AD35:AZ35"/>
    <mergeCell ref="BQ29:BQ30"/>
    <mergeCell ref="BR29:BV29"/>
    <mergeCell ref="BA28:BQ28"/>
    <mergeCell ref="AD29:AD30"/>
    <mergeCell ref="AE29:AG29"/>
    <mergeCell ref="AI29:AM29"/>
    <mergeCell ref="AN29:AN30"/>
    <mergeCell ref="AO29:AS29"/>
    <mergeCell ref="AT29:AT30"/>
    <mergeCell ref="AU29:AY29"/>
    <mergeCell ref="AZ29:AZ30"/>
    <mergeCell ref="BA29:BA30"/>
    <mergeCell ref="E36:F43"/>
    <mergeCell ref="G36:G43"/>
    <mergeCell ref="H36:Z43"/>
    <mergeCell ref="AA36:AC43"/>
    <mergeCell ref="AD36:AZ36"/>
    <mergeCell ref="BA36:BQ36"/>
    <mergeCell ref="BL37:BP37"/>
    <mergeCell ref="BQ37:BQ38"/>
    <mergeCell ref="BR37:BV37"/>
    <mergeCell ref="B38:D123"/>
    <mergeCell ref="AD39:AZ39"/>
    <mergeCell ref="BA39:BQ39"/>
    <mergeCell ref="AD40:AZ40"/>
    <mergeCell ref="BA40:BJ43"/>
    <mergeCell ref="AD41:AD42"/>
    <mergeCell ref="AE41:AG41"/>
    <mergeCell ref="AU37:AY37"/>
    <mergeCell ref="AZ37:AZ38"/>
    <mergeCell ref="BA37:BA38"/>
    <mergeCell ref="BB37:BD37"/>
    <mergeCell ref="BF37:BJ37"/>
    <mergeCell ref="BK37:BK38"/>
    <mergeCell ref="AD37:AD38"/>
    <mergeCell ref="AE37:AG37"/>
    <mergeCell ref="AI37:AM37"/>
    <mergeCell ref="AN37:AN38"/>
    <mergeCell ref="AO37:AS37"/>
    <mergeCell ref="AT37:AT38"/>
    <mergeCell ref="BL41:BN41"/>
    <mergeCell ref="AD43:AZ43"/>
    <mergeCell ref="E44:F51"/>
    <mergeCell ref="G44:G51"/>
    <mergeCell ref="H44:Z51"/>
    <mergeCell ref="AA44:AC51"/>
    <mergeCell ref="AD44:AZ44"/>
    <mergeCell ref="BA44:BQ44"/>
    <mergeCell ref="AD45:AD46"/>
    <mergeCell ref="AE45:AG45"/>
    <mergeCell ref="AI41:AM41"/>
    <mergeCell ref="AN41:AN42"/>
    <mergeCell ref="AO41:AS41"/>
    <mergeCell ref="AT41:AT42"/>
    <mergeCell ref="AU41:AY41"/>
    <mergeCell ref="AZ41:AZ42"/>
    <mergeCell ref="AZ49:AZ50"/>
    <mergeCell ref="BL49:BN49"/>
    <mergeCell ref="AD51:AZ51"/>
    <mergeCell ref="BR45:BV45"/>
    <mergeCell ref="AD47:AZ47"/>
    <mergeCell ref="BA47:BQ47"/>
    <mergeCell ref="AD48:AZ48"/>
    <mergeCell ref="BA48:BJ51"/>
    <mergeCell ref="AD49:AD50"/>
    <mergeCell ref="AE49:AG49"/>
    <mergeCell ref="AI49:AM49"/>
    <mergeCell ref="AN49:AN50"/>
    <mergeCell ref="AO49:AS49"/>
    <mergeCell ref="BA45:BA46"/>
    <mergeCell ref="BB45:BD45"/>
    <mergeCell ref="BF45:BJ45"/>
    <mergeCell ref="BK45:BK46"/>
    <mergeCell ref="BL45:BP45"/>
    <mergeCell ref="BQ45:BQ46"/>
    <mergeCell ref="AI45:AM45"/>
    <mergeCell ref="AN45:AN46"/>
    <mergeCell ref="AO45:AS45"/>
    <mergeCell ref="AT45:AT46"/>
    <mergeCell ref="AU45:AY45"/>
    <mergeCell ref="AZ45:AZ46"/>
    <mergeCell ref="AT49:AT50"/>
    <mergeCell ref="AU49:AY49"/>
    <mergeCell ref="E52:F59"/>
    <mergeCell ref="G52:G59"/>
    <mergeCell ref="H52:Z59"/>
    <mergeCell ref="AA52:AC59"/>
    <mergeCell ref="AD52:AZ52"/>
    <mergeCell ref="BB53:BD53"/>
    <mergeCell ref="BF53:BJ53"/>
    <mergeCell ref="BK53:BK54"/>
    <mergeCell ref="BL53:BP53"/>
    <mergeCell ref="AD55:AZ55"/>
    <mergeCell ref="BA55:BQ55"/>
    <mergeCell ref="AD56:AZ56"/>
    <mergeCell ref="BA56:BJ59"/>
    <mergeCell ref="AD57:AD58"/>
    <mergeCell ref="AE57:AG57"/>
    <mergeCell ref="AI57:AM57"/>
    <mergeCell ref="AN57:AN58"/>
    <mergeCell ref="AO57:AS57"/>
    <mergeCell ref="AT57:AT58"/>
    <mergeCell ref="AU57:AY57"/>
    <mergeCell ref="AZ57:AZ58"/>
    <mergeCell ref="BL57:BN57"/>
    <mergeCell ref="AD59:AZ59"/>
    <mergeCell ref="BA60:BQ60"/>
    <mergeCell ref="BL65:BN65"/>
    <mergeCell ref="BL61:BP61"/>
    <mergeCell ref="BQ61:BQ62"/>
    <mergeCell ref="BQ53:BQ54"/>
    <mergeCell ref="BR53:BV53"/>
    <mergeCell ref="BA52:BQ52"/>
    <mergeCell ref="AD53:AD54"/>
    <mergeCell ref="AE53:AG53"/>
    <mergeCell ref="AI53:AM53"/>
    <mergeCell ref="AN53:AN54"/>
    <mergeCell ref="AO53:AS53"/>
    <mergeCell ref="AT53:AT54"/>
    <mergeCell ref="AU53:AY53"/>
    <mergeCell ref="AZ53:AZ54"/>
    <mergeCell ref="BA53:BA54"/>
    <mergeCell ref="BR61:BV61"/>
    <mergeCell ref="AD63:AZ63"/>
    <mergeCell ref="BA63:BQ63"/>
    <mergeCell ref="AD64:AZ64"/>
    <mergeCell ref="BA64:BJ67"/>
    <mergeCell ref="AD65:AD66"/>
    <mergeCell ref="AE65:AG65"/>
    <mergeCell ref="AI65:AM65"/>
    <mergeCell ref="BA61:BA62"/>
    <mergeCell ref="BB61:BD61"/>
    <mergeCell ref="BF61:BJ61"/>
    <mergeCell ref="BK61:BK62"/>
    <mergeCell ref="AD61:AD62"/>
    <mergeCell ref="AE61:AG61"/>
    <mergeCell ref="AI61:AM61"/>
    <mergeCell ref="AN61:AN62"/>
    <mergeCell ref="AO61:AS61"/>
    <mergeCell ref="AT61:AT62"/>
    <mergeCell ref="AD67:AZ67"/>
    <mergeCell ref="E68:F75"/>
    <mergeCell ref="G68:G75"/>
    <mergeCell ref="H68:Z75"/>
    <mergeCell ref="AA68:AC75"/>
    <mergeCell ref="AD68:AZ68"/>
    <mergeCell ref="AD71:AZ71"/>
    <mergeCell ref="AZ73:AZ74"/>
    <mergeCell ref="AN65:AN66"/>
    <mergeCell ref="AO65:AS65"/>
    <mergeCell ref="AT65:AT66"/>
    <mergeCell ref="AU65:AY65"/>
    <mergeCell ref="AZ65:AZ66"/>
    <mergeCell ref="E60:F67"/>
    <mergeCell ref="G60:G67"/>
    <mergeCell ref="H60:Z67"/>
    <mergeCell ref="AA60:AC67"/>
    <mergeCell ref="AD60:AZ60"/>
    <mergeCell ref="AU61:AY61"/>
    <mergeCell ref="AZ61:AZ62"/>
    <mergeCell ref="BB69:BD69"/>
    <mergeCell ref="BF69:BJ69"/>
    <mergeCell ref="BK69:BK70"/>
    <mergeCell ref="BL69:BP69"/>
    <mergeCell ref="BQ69:BQ70"/>
    <mergeCell ref="BR69:BV69"/>
    <mergeCell ref="BA68:BQ68"/>
    <mergeCell ref="AD69:AD70"/>
    <mergeCell ref="AE69:AG69"/>
    <mergeCell ref="AI69:AM69"/>
    <mergeCell ref="AN69:AN70"/>
    <mergeCell ref="AO69:AS69"/>
    <mergeCell ref="AT69:AT70"/>
    <mergeCell ref="AU69:AY69"/>
    <mergeCell ref="AZ69:AZ70"/>
    <mergeCell ref="BA69:BA70"/>
    <mergeCell ref="BA71:BQ71"/>
    <mergeCell ref="AD72:AZ72"/>
    <mergeCell ref="BA72:BJ75"/>
    <mergeCell ref="AD73:AD74"/>
    <mergeCell ref="AE73:AG73"/>
    <mergeCell ref="AI73:AM73"/>
    <mergeCell ref="AN73:AN74"/>
    <mergeCell ref="AO73:AS73"/>
    <mergeCell ref="AT73:AT74"/>
    <mergeCell ref="AU73:AY73"/>
    <mergeCell ref="BL73:BN73"/>
    <mergeCell ref="AD75:AZ75"/>
    <mergeCell ref="E76:F83"/>
    <mergeCell ref="G76:G83"/>
    <mergeCell ref="H76:Z83"/>
    <mergeCell ref="AA76:AC83"/>
    <mergeCell ref="AD76:AZ76"/>
    <mergeCell ref="BA76:BQ76"/>
    <mergeCell ref="AD77:AD78"/>
    <mergeCell ref="AE77:AG77"/>
    <mergeCell ref="BR77:BV77"/>
    <mergeCell ref="AD79:AZ79"/>
    <mergeCell ref="BA79:BQ79"/>
    <mergeCell ref="AD80:AZ80"/>
    <mergeCell ref="BA80:BJ83"/>
    <mergeCell ref="AD81:AD82"/>
    <mergeCell ref="AE81:AG81"/>
    <mergeCell ref="AI81:AM81"/>
    <mergeCell ref="AN81:AN82"/>
    <mergeCell ref="AO81:AS81"/>
    <mergeCell ref="BA77:BA78"/>
    <mergeCell ref="BB77:BD77"/>
    <mergeCell ref="BF77:BJ77"/>
    <mergeCell ref="BK77:BK78"/>
    <mergeCell ref="BL77:BP77"/>
    <mergeCell ref="BQ77:BQ78"/>
    <mergeCell ref="AI77:AM77"/>
    <mergeCell ref="AN77:AN78"/>
    <mergeCell ref="AO77:AS77"/>
    <mergeCell ref="AT77:AT78"/>
    <mergeCell ref="AU77:AY77"/>
    <mergeCell ref="AZ77:AZ78"/>
    <mergeCell ref="AT81:AT82"/>
    <mergeCell ref="AU81:AY81"/>
    <mergeCell ref="AZ81:AZ82"/>
    <mergeCell ref="BL81:BN81"/>
    <mergeCell ref="AD83:AZ83"/>
    <mergeCell ref="E84:F91"/>
    <mergeCell ref="G84:G91"/>
    <mergeCell ref="H84:Z91"/>
    <mergeCell ref="AA84:AC91"/>
    <mergeCell ref="AD84:AZ84"/>
    <mergeCell ref="BB85:BD85"/>
    <mergeCell ref="BF85:BJ85"/>
    <mergeCell ref="BK85:BK86"/>
    <mergeCell ref="BL85:BP85"/>
    <mergeCell ref="AD87:AZ87"/>
    <mergeCell ref="BA87:BQ87"/>
    <mergeCell ref="AD88:AZ88"/>
    <mergeCell ref="BA88:BJ91"/>
    <mergeCell ref="AD89:AD90"/>
    <mergeCell ref="AE89:AG89"/>
    <mergeCell ref="AI89:AM89"/>
    <mergeCell ref="AN89:AN90"/>
    <mergeCell ref="AO89:AS89"/>
    <mergeCell ref="AT89:AT90"/>
    <mergeCell ref="AU89:AY89"/>
    <mergeCell ref="AZ89:AZ90"/>
    <mergeCell ref="BL89:BN89"/>
    <mergeCell ref="BQ85:BQ86"/>
    <mergeCell ref="BR85:BV85"/>
    <mergeCell ref="BA84:BQ84"/>
    <mergeCell ref="AD85:AD86"/>
    <mergeCell ref="AE85:AG85"/>
    <mergeCell ref="AI85:AM85"/>
    <mergeCell ref="AN85:AN86"/>
    <mergeCell ref="AO85:AS85"/>
    <mergeCell ref="AT85:AT86"/>
    <mergeCell ref="AU85:AY85"/>
    <mergeCell ref="AZ85:AZ86"/>
    <mergeCell ref="BA85:BA86"/>
    <mergeCell ref="AD91:AZ91"/>
    <mergeCell ref="E92:F99"/>
    <mergeCell ref="G92:G99"/>
    <mergeCell ref="H92:Z99"/>
    <mergeCell ref="AA92:AC99"/>
    <mergeCell ref="AD92:AZ92"/>
    <mergeCell ref="BA92:BQ92"/>
    <mergeCell ref="BL97:BN97"/>
    <mergeCell ref="BL93:BP93"/>
    <mergeCell ref="BQ93:BQ94"/>
    <mergeCell ref="BR93:BV93"/>
    <mergeCell ref="AD95:AZ95"/>
    <mergeCell ref="BA95:BQ95"/>
    <mergeCell ref="AD96:AZ96"/>
    <mergeCell ref="BA96:BJ99"/>
    <mergeCell ref="AD97:AD98"/>
    <mergeCell ref="AE97:AG97"/>
    <mergeCell ref="AI97:AM97"/>
    <mergeCell ref="AU93:AY93"/>
    <mergeCell ref="AZ93:AZ94"/>
    <mergeCell ref="BA93:BA94"/>
    <mergeCell ref="BB93:BD93"/>
    <mergeCell ref="BF93:BJ93"/>
    <mergeCell ref="BK93:BK94"/>
    <mergeCell ref="AD93:AD94"/>
    <mergeCell ref="AE93:AG93"/>
    <mergeCell ref="AI93:AM93"/>
    <mergeCell ref="AN93:AN94"/>
    <mergeCell ref="AO93:AS93"/>
    <mergeCell ref="AT93:AT94"/>
    <mergeCell ref="AD99:AZ99"/>
    <mergeCell ref="E100:F107"/>
    <mergeCell ref="G100:G107"/>
    <mergeCell ref="H100:Z107"/>
    <mergeCell ref="AA100:AC107"/>
    <mergeCell ref="AD100:AZ100"/>
    <mergeCell ref="AD103:AZ103"/>
    <mergeCell ref="AZ105:AZ106"/>
    <mergeCell ref="AN97:AN98"/>
    <mergeCell ref="AO97:AS97"/>
    <mergeCell ref="AT97:AT98"/>
    <mergeCell ref="AU97:AY97"/>
    <mergeCell ref="AZ97:AZ98"/>
    <mergeCell ref="BB101:BD101"/>
    <mergeCell ref="BF101:BJ101"/>
    <mergeCell ref="BK101:BK102"/>
    <mergeCell ref="BL101:BP101"/>
    <mergeCell ref="BQ101:BQ102"/>
    <mergeCell ref="BR101:BV101"/>
    <mergeCell ref="BA100:BQ100"/>
    <mergeCell ref="AD101:AD102"/>
    <mergeCell ref="AE101:AG101"/>
    <mergeCell ref="AI101:AM101"/>
    <mergeCell ref="AN101:AN102"/>
    <mergeCell ref="AO101:AS101"/>
    <mergeCell ref="AT101:AT102"/>
    <mergeCell ref="AU101:AY101"/>
    <mergeCell ref="AZ101:AZ102"/>
    <mergeCell ref="BA101:BA102"/>
    <mergeCell ref="BA103:BQ103"/>
    <mergeCell ref="AD104:AZ104"/>
    <mergeCell ref="BA104:BJ107"/>
    <mergeCell ref="AD105:AD106"/>
    <mergeCell ref="AE105:AG105"/>
    <mergeCell ref="AI105:AM105"/>
    <mergeCell ref="AN105:AN106"/>
    <mergeCell ref="AO105:AS105"/>
    <mergeCell ref="AT105:AT106"/>
    <mergeCell ref="AU105:AY105"/>
    <mergeCell ref="BL105:BN105"/>
    <mergeCell ref="AD107:AZ107"/>
    <mergeCell ref="BR109:BV109"/>
    <mergeCell ref="AD111:AZ111"/>
    <mergeCell ref="BA111:BQ111"/>
    <mergeCell ref="AD112:AZ112"/>
    <mergeCell ref="BA112:BJ115"/>
    <mergeCell ref="AD113:AD114"/>
    <mergeCell ref="AE113:AG113"/>
    <mergeCell ref="AI113:AM113"/>
    <mergeCell ref="AN113:AN114"/>
    <mergeCell ref="AO113:AS113"/>
    <mergeCell ref="BA109:BA110"/>
    <mergeCell ref="BB109:BD109"/>
    <mergeCell ref="BF109:BJ109"/>
    <mergeCell ref="BK109:BK110"/>
    <mergeCell ref="BL109:BP109"/>
    <mergeCell ref="BQ109:BQ110"/>
    <mergeCell ref="AI109:AM109"/>
    <mergeCell ref="AN109:AN110"/>
    <mergeCell ref="AO109:AS109"/>
    <mergeCell ref="AT109:AT110"/>
    <mergeCell ref="AU109:AY109"/>
    <mergeCell ref="AZ109:AZ110"/>
    <mergeCell ref="AT113:AT114"/>
    <mergeCell ref="AU113:AY113"/>
    <mergeCell ref="AZ113:AZ114"/>
    <mergeCell ref="BL113:BN113"/>
    <mergeCell ref="AD115:AZ115"/>
    <mergeCell ref="E116:F123"/>
    <mergeCell ref="G116:G123"/>
    <mergeCell ref="H116:Z123"/>
    <mergeCell ref="AA116:AC123"/>
    <mergeCell ref="AD116:AZ116"/>
    <mergeCell ref="BB117:BD117"/>
    <mergeCell ref="BF117:BJ117"/>
    <mergeCell ref="BK117:BK118"/>
    <mergeCell ref="BL117:BP117"/>
    <mergeCell ref="AU121:AY121"/>
    <mergeCell ref="AZ121:AZ122"/>
    <mergeCell ref="BL121:BN121"/>
    <mergeCell ref="AD123:AZ123"/>
    <mergeCell ref="E108:F115"/>
    <mergeCell ref="G108:G115"/>
    <mergeCell ref="H108:Z115"/>
    <mergeCell ref="AA108:AC115"/>
    <mergeCell ref="AD108:AZ108"/>
    <mergeCell ref="BA108:BQ108"/>
    <mergeCell ref="AD109:AD110"/>
    <mergeCell ref="AE109:AG109"/>
    <mergeCell ref="BQ117:BQ118"/>
    <mergeCell ref="BR117:BV117"/>
    <mergeCell ref="BA116:BQ116"/>
    <mergeCell ref="AD117:AD118"/>
    <mergeCell ref="AE117:AG117"/>
    <mergeCell ref="AI117:AM117"/>
    <mergeCell ref="AN117:AN118"/>
    <mergeCell ref="AO117:AS117"/>
    <mergeCell ref="AT117:AT118"/>
    <mergeCell ref="AU117:AY117"/>
    <mergeCell ref="AZ117:AZ118"/>
    <mergeCell ref="BA117:BA118"/>
    <mergeCell ref="CF125:CG125"/>
    <mergeCell ref="AD119:AZ119"/>
    <mergeCell ref="BA119:BQ119"/>
    <mergeCell ref="AD120:AZ120"/>
    <mergeCell ref="BA120:BJ123"/>
    <mergeCell ref="AD121:AD122"/>
    <mergeCell ref="AE121:AG121"/>
    <mergeCell ref="AI121:AM121"/>
    <mergeCell ref="AN121:AN122"/>
    <mergeCell ref="AO121:AS121"/>
    <mergeCell ref="AT121:AT122"/>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D00-000000000000}">
          <x14:formula1>
            <xm:f>0</xm:f>
          </x14:formula1>
          <x14:formula2>
            <xm:f>9</xm:f>
          </x14:formula2>
          <xm:sqref>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BN4:BN5 LJ4:LJ5 VF4:VF5 AFB4:AFB5 AOX4:AOX5 AYT4:AYT5 BIP4:BIP5 BSL4:BSL5 CCH4:CCH5 CMD4:CMD5 CVZ4:CVZ5 DFV4:DFV5 DPR4:DPR5 DZN4:DZN5 EJJ4:EJJ5 ETF4:ETF5 FDB4:FDB5 FMX4:FMX5 FWT4:FWT5 GGP4:GGP5 GQL4:GQL5 HAH4:HAH5 HKD4:HKD5 HTZ4:HTZ5 IDV4:IDV5 INR4:INR5 IXN4:IXN5 JHJ4:JHJ5 JRF4:JRF5 KBB4:KBB5 KKX4:KKX5 KUT4:KUT5 LEP4:LEP5 LOL4:LOL5 LYH4:LYH5 MID4:MID5 MRZ4:MRZ5 NBV4:NBV5 NLR4:NLR5 NVN4:NVN5 OFJ4:OFJ5 OPF4:OPF5 OZB4:OZB5 PIX4:PIX5 PST4:PST5 QCP4:QCP5 QML4:QML5 QWH4:QWH5 RGD4:RGD5 RPZ4:RPZ5 RZV4:RZV5 SJR4:SJR5 STN4:STN5 TDJ4:TDJ5 TNF4:TNF5 TXB4:TXB5 UGX4:UGX5 UQT4:UQT5 VAP4:VAP5 VKL4:VKL5 VUH4:VUH5 WED4:WED5 WNZ4:WNZ5 WXV4:WXV5 BN65540:BN65541 LJ65540:LJ65541 VF65540:VF65541 AFB65540:AFB65541 AOX65540:AOX65541 AYT65540:AYT65541 BIP65540:BIP65541 BSL65540:BSL65541 CCH65540:CCH65541 CMD65540:CMD65541 CVZ65540:CVZ65541 DFV65540:DFV65541 DPR65540:DPR65541 DZN65540:DZN65541 EJJ65540:EJJ65541 ETF65540:ETF65541 FDB65540:FDB65541 FMX65540:FMX65541 FWT65540:FWT65541 GGP65540:GGP65541 GQL65540:GQL65541 HAH65540:HAH65541 HKD65540:HKD65541 HTZ65540:HTZ65541 IDV65540:IDV65541 INR65540:INR65541 IXN65540:IXN65541 JHJ65540:JHJ65541 JRF65540:JRF65541 KBB65540:KBB65541 KKX65540:KKX65541 KUT65540:KUT65541 LEP65540:LEP65541 LOL65540:LOL65541 LYH65540:LYH65541 MID65540:MID65541 MRZ65540:MRZ65541 NBV65540:NBV65541 NLR65540:NLR65541 NVN65540:NVN65541 OFJ65540:OFJ65541 OPF65540:OPF65541 OZB65540:OZB65541 PIX65540:PIX65541 PST65540:PST65541 QCP65540:QCP65541 QML65540:QML65541 QWH65540:QWH65541 RGD65540:RGD65541 RPZ65540:RPZ65541 RZV65540:RZV65541 SJR65540:SJR65541 STN65540:STN65541 TDJ65540:TDJ65541 TNF65540:TNF65541 TXB65540:TXB65541 UGX65540:UGX65541 UQT65540:UQT65541 VAP65540:VAP65541 VKL65540:VKL65541 VUH65540:VUH65541 WED65540:WED65541 WNZ65540:WNZ65541 WXV65540:WXV65541 BN131076:BN131077 LJ131076:LJ131077 VF131076:VF131077 AFB131076:AFB131077 AOX131076:AOX131077 AYT131076:AYT131077 BIP131076:BIP131077 BSL131076:BSL131077 CCH131076:CCH131077 CMD131076:CMD131077 CVZ131076:CVZ131077 DFV131076:DFV131077 DPR131076:DPR131077 DZN131076:DZN131077 EJJ131076:EJJ131077 ETF131076:ETF131077 FDB131076:FDB131077 FMX131076:FMX131077 FWT131076:FWT131077 GGP131076:GGP131077 GQL131076:GQL131077 HAH131076:HAH131077 HKD131076:HKD131077 HTZ131076:HTZ131077 IDV131076:IDV131077 INR131076:INR131077 IXN131076:IXN131077 JHJ131076:JHJ131077 JRF131076:JRF131077 KBB131076:KBB131077 KKX131076:KKX131077 KUT131076:KUT131077 LEP131076:LEP131077 LOL131076:LOL131077 LYH131076:LYH131077 MID131076:MID131077 MRZ131076:MRZ131077 NBV131076:NBV131077 NLR131076:NLR131077 NVN131076:NVN131077 OFJ131076:OFJ131077 OPF131076:OPF131077 OZB131076:OZB131077 PIX131076:PIX131077 PST131076:PST131077 QCP131076:QCP131077 QML131076:QML131077 QWH131076:QWH131077 RGD131076:RGD131077 RPZ131076:RPZ131077 RZV131076:RZV131077 SJR131076:SJR131077 STN131076:STN131077 TDJ131076:TDJ131077 TNF131076:TNF131077 TXB131076:TXB131077 UGX131076:UGX131077 UQT131076:UQT131077 VAP131076:VAP131077 VKL131076:VKL131077 VUH131076:VUH131077 WED131076:WED131077 WNZ131076:WNZ131077 WXV131076:WXV131077 BN196612:BN196613 LJ196612:LJ196613 VF196612:VF196613 AFB196612:AFB196613 AOX196612:AOX196613 AYT196612:AYT196613 BIP196612:BIP196613 BSL196612:BSL196613 CCH196612:CCH196613 CMD196612:CMD196613 CVZ196612:CVZ196613 DFV196612:DFV196613 DPR196612:DPR196613 DZN196612:DZN196613 EJJ196612:EJJ196613 ETF196612:ETF196613 FDB196612:FDB196613 FMX196612:FMX196613 FWT196612:FWT196613 GGP196612:GGP196613 GQL196612:GQL196613 HAH196612:HAH196613 HKD196612:HKD196613 HTZ196612:HTZ196613 IDV196612:IDV196613 INR196612:INR196613 IXN196612:IXN196613 JHJ196612:JHJ196613 JRF196612:JRF196613 KBB196612:KBB196613 KKX196612:KKX196613 KUT196612:KUT196613 LEP196612:LEP196613 LOL196612:LOL196613 LYH196612:LYH196613 MID196612:MID196613 MRZ196612:MRZ196613 NBV196612:NBV196613 NLR196612:NLR196613 NVN196612:NVN196613 OFJ196612:OFJ196613 OPF196612:OPF196613 OZB196612:OZB196613 PIX196612:PIX196613 PST196612:PST196613 QCP196612:QCP196613 QML196612:QML196613 QWH196612:QWH196613 RGD196612:RGD196613 RPZ196612:RPZ196613 RZV196612:RZV196613 SJR196612:SJR196613 STN196612:STN196613 TDJ196612:TDJ196613 TNF196612:TNF196613 TXB196612:TXB196613 UGX196612:UGX196613 UQT196612:UQT196613 VAP196612:VAP196613 VKL196612:VKL196613 VUH196612:VUH196613 WED196612:WED196613 WNZ196612:WNZ196613 WXV196612:WXV196613 BN262148:BN262149 LJ262148:LJ262149 VF262148:VF262149 AFB262148:AFB262149 AOX262148:AOX262149 AYT262148:AYT262149 BIP262148:BIP262149 BSL262148:BSL262149 CCH262148:CCH262149 CMD262148:CMD262149 CVZ262148:CVZ262149 DFV262148:DFV262149 DPR262148:DPR262149 DZN262148:DZN262149 EJJ262148:EJJ262149 ETF262148:ETF262149 FDB262148:FDB262149 FMX262148:FMX262149 FWT262148:FWT262149 GGP262148:GGP262149 GQL262148:GQL262149 HAH262148:HAH262149 HKD262148:HKD262149 HTZ262148:HTZ262149 IDV262148:IDV262149 INR262148:INR262149 IXN262148:IXN262149 JHJ262148:JHJ262149 JRF262148:JRF262149 KBB262148:KBB262149 KKX262148:KKX262149 KUT262148:KUT262149 LEP262148:LEP262149 LOL262148:LOL262149 LYH262148:LYH262149 MID262148:MID262149 MRZ262148:MRZ262149 NBV262148:NBV262149 NLR262148:NLR262149 NVN262148:NVN262149 OFJ262148:OFJ262149 OPF262148:OPF262149 OZB262148:OZB262149 PIX262148:PIX262149 PST262148:PST262149 QCP262148:QCP262149 QML262148:QML262149 QWH262148:QWH262149 RGD262148:RGD262149 RPZ262148:RPZ262149 RZV262148:RZV262149 SJR262148:SJR262149 STN262148:STN262149 TDJ262148:TDJ262149 TNF262148:TNF262149 TXB262148:TXB262149 UGX262148:UGX262149 UQT262148:UQT262149 VAP262148:VAP262149 VKL262148:VKL262149 VUH262148:VUH262149 WED262148:WED262149 WNZ262148:WNZ262149 WXV262148:WXV262149 BN327684:BN327685 LJ327684:LJ327685 VF327684:VF327685 AFB327684:AFB327685 AOX327684:AOX327685 AYT327684:AYT327685 BIP327684:BIP327685 BSL327684:BSL327685 CCH327684:CCH327685 CMD327684:CMD327685 CVZ327684:CVZ327685 DFV327684:DFV327685 DPR327684:DPR327685 DZN327684:DZN327685 EJJ327684:EJJ327685 ETF327684:ETF327685 FDB327684:FDB327685 FMX327684:FMX327685 FWT327684:FWT327685 GGP327684:GGP327685 GQL327684:GQL327685 HAH327684:HAH327685 HKD327684:HKD327685 HTZ327684:HTZ327685 IDV327684:IDV327685 INR327684:INR327685 IXN327684:IXN327685 JHJ327684:JHJ327685 JRF327684:JRF327685 KBB327684:KBB327685 KKX327684:KKX327685 KUT327684:KUT327685 LEP327684:LEP327685 LOL327684:LOL327685 LYH327684:LYH327685 MID327684:MID327685 MRZ327684:MRZ327685 NBV327684:NBV327685 NLR327684:NLR327685 NVN327684:NVN327685 OFJ327684:OFJ327685 OPF327684:OPF327685 OZB327684:OZB327685 PIX327684:PIX327685 PST327684:PST327685 QCP327684:QCP327685 QML327684:QML327685 QWH327684:QWH327685 RGD327684:RGD327685 RPZ327684:RPZ327685 RZV327684:RZV327685 SJR327684:SJR327685 STN327684:STN327685 TDJ327684:TDJ327685 TNF327684:TNF327685 TXB327684:TXB327685 UGX327684:UGX327685 UQT327684:UQT327685 VAP327684:VAP327685 VKL327684:VKL327685 VUH327684:VUH327685 WED327684:WED327685 WNZ327684:WNZ327685 WXV327684:WXV327685 BN393220:BN393221 LJ393220:LJ393221 VF393220:VF393221 AFB393220:AFB393221 AOX393220:AOX393221 AYT393220:AYT393221 BIP393220:BIP393221 BSL393220:BSL393221 CCH393220:CCH393221 CMD393220:CMD393221 CVZ393220:CVZ393221 DFV393220:DFV393221 DPR393220:DPR393221 DZN393220:DZN393221 EJJ393220:EJJ393221 ETF393220:ETF393221 FDB393220:FDB393221 FMX393220:FMX393221 FWT393220:FWT393221 GGP393220:GGP393221 GQL393220:GQL393221 HAH393220:HAH393221 HKD393220:HKD393221 HTZ393220:HTZ393221 IDV393220:IDV393221 INR393220:INR393221 IXN393220:IXN393221 JHJ393220:JHJ393221 JRF393220:JRF393221 KBB393220:KBB393221 KKX393220:KKX393221 KUT393220:KUT393221 LEP393220:LEP393221 LOL393220:LOL393221 LYH393220:LYH393221 MID393220:MID393221 MRZ393220:MRZ393221 NBV393220:NBV393221 NLR393220:NLR393221 NVN393220:NVN393221 OFJ393220:OFJ393221 OPF393220:OPF393221 OZB393220:OZB393221 PIX393220:PIX393221 PST393220:PST393221 QCP393220:QCP393221 QML393220:QML393221 QWH393220:QWH393221 RGD393220:RGD393221 RPZ393220:RPZ393221 RZV393220:RZV393221 SJR393220:SJR393221 STN393220:STN393221 TDJ393220:TDJ393221 TNF393220:TNF393221 TXB393220:TXB393221 UGX393220:UGX393221 UQT393220:UQT393221 VAP393220:VAP393221 VKL393220:VKL393221 VUH393220:VUH393221 WED393220:WED393221 WNZ393220:WNZ393221 WXV393220:WXV393221 BN458756:BN458757 LJ458756:LJ458757 VF458756:VF458757 AFB458756:AFB458757 AOX458756:AOX458757 AYT458756:AYT458757 BIP458756:BIP458757 BSL458756:BSL458757 CCH458756:CCH458757 CMD458756:CMD458757 CVZ458756:CVZ458757 DFV458756:DFV458757 DPR458756:DPR458757 DZN458756:DZN458757 EJJ458756:EJJ458757 ETF458756:ETF458757 FDB458756:FDB458757 FMX458756:FMX458757 FWT458756:FWT458757 GGP458756:GGP458757 GQL458756:GQL458757 HAH458756:HAH458757 HKD458756:HKD458757 HTZ458756:HTZ458757 IDV458756:IDV458757 INR458756:INR458757 IXN458756:IXN458757 JHJ458756:JHJ458757 JRF458756:JRF458757 KBB458756:KBB458757 KKX458756:KKX458757 KUT458756:KUT458757 LEP458756:LEP458757 LOL458756:LOL458757 LYH458756:LYH458757 MID458756:MID458757 MRZ458756:MRZ458757 NBV458756:NBV458757 NLR458756:NLR458757 NVN458756:NVN458757 OFJ458756:OFJ458757 OPF458756:OPF458757 OZB458756:OZB458757 PIX458756:PIX458757 PST458756:PST458757 QCP458756:QCP458757 QML458756:QML458757 QWH458756:QWH458757 RGD458756:RGD458757 RPZ458756:RPZ458757 RZV458756:RZV458757 SJR458756:SJR458757 STN458756:STN458757 TDJ458756:TDJ458757 TNF458756:TNF458757 TXB458756:TXB458757 UGX458756:UGX458757 UQT458756:UQT458757 VAP458756:VAP458757 VKL458756:VKL458757 VUH458756:VUH458757 WED458756:WED458757 WNZ458756:WNZ458757 WXV458756:WXV458757 BN524292:BN524293 LJ524292:LJ524293 VF524292:VF524293 AFB524292:AFB524293 AOX524292:AOX524293 AYT524292:AYT524293 BIP524292:BIP524293 BSL524292:BSL524293 CCH524292:CCH524293 CMD524292:CMD524293 CVZ524292:CVZ524293 DFV524292:DFV524293 DPR524292:DPR524293 DZN524292:DZN524293 EJJ524292:EJJ524293 ETF524292:ETF524293 FDB524292:FDB524293 FMX524292:FMX524293 FWT524292:FWT524293 GGP524292:GGP524293 GQL524292:GQL524293 HAH524292:HAH524293 HKD524292:HKD524293 HTZ524292:HTZ524293 IDV524292:IDV524293 INR524292:INR524293 IXN524292:IXN524293 JHJ524292:JHJ524293 JRF524292:JRF524293 KBB524292:KBB524293 KKX524292:KKX524293 KUT524292:KUT524293 LEP524292:LEP524293 LOL524292:LOL524293 LYH524292:LYH524293 MID524292:MID524293 MRZ524292:MRZ524293 NBV524292:NBV524293 NLR524292:NLR524293 NVN524292:NVN524293 OFJ524292:OFJ524293 OPF524292:OPF524293 OZB524292:OZB524293 PIX524292:PIX524293 PST524292:PST524293 QCP524292:QCP524293 QML524292:QML524293 QWH524292:QWH524293 RGD524292:RGD524293 RPZ524292:RPZ524293 RZV524292:RZV524293 SJR524292:SJR524293 STN524292:STN524293 TDJ524292:TDJ524293 TNF524292:TNF524293 TXB524292:TXB524293 UGX524292:UGX524293 UQT524292:UQT524293 VAP524292:VAP524293 VKL524292:VKL524293 VUH524292:VUH524293 WED524292:WED524293 WNZ524292:WNZ524293 WXV524292:WXV524293 BN589828:BN589829 LJ589828:LJ589829 VF589828:VF589829 AFB589828:AFB589829 AOX589828:AOX589829 AYT589828:AYT589829 BIP589828:BIP589829 BSL589828:BSL589829 CCH589828:CCH589829 CMD589828:CMD589829 CVZ589828:CVZ589829 DFV589828:DFV589829 DPR589828:DPR589829 DZN589828:DZN589829 EJJ589828:EJJ589829 ETF589828:ETF589829 FDB589828:FDB589829 FMX589828:FMX589829 FWT589828:FWT589829 GGP589828:GGP589829 GQL589828:GQL589829 HAH589828:HAH589829 HKD589828:HKD589829 HTZ589828:HTZ589829 IDV589828:IDV589829 INR589828:INR589829 IXN589828:IXN589829 JHJ589828:JHJ589829 JRF589828:JRF589829 KBB589828:KBB589829 KKX589828:KKX589829 KUT589828:KUT589829 LEP589828:LEP589829 LOL589828:LOL589829 LYH589828:LYH589829 MID589828:MID589829 MRZ589828:MRZ589829 NBV589828:NBV589829 NLR589828:NLR589829 NVN589828:NVN589829 OFJ589828:OFJ589829 OPF589828:OPF589829 OZB589828:OZB589829 PIX589828:PIX589829 PST589828:PST589829 QCP589828:QCP589829 QML589828:QML589829 QWH589828:QWH589829 RGD589828:RGD589829 RPZ589828:RPZ589829 RZV589828:RZV589829 SJR589828:SJR589829 STN589828:STN589829 TDJ589828:TDJ589829 TNF589828:TNF589829 TXB589828:TXB589829 UGX589828:UGX589829 UQT589828:UQT589829 VAP589828:VAP589829 VKL589828:VKL589829 VUH589828:VUH589829 WED589828:WED589829 WNZ589828:WNZ589829 WXV589828:WXV589829 BN655364:BN655365 LJ655364:LJ655365 VF655364:VF655365 AFB655364:AFB655365 AOX655364:AOX655365 AYT655364:AYT655365 BIP655364:BIP655365 BSL655364:BSL655365 CCH655364:CCH655365 CMD655364:CMD655365 CVZ655364:CVZ655365 DFV655364:DFV655365 DPR655364:DPR655365 DZN655364:DZN655365 EJJ655364:EJJ655365 ETF655364:ETF655365 FDB655364:FDB655365 FMX655364:FMX655365 FWT655364:FWT655365 GGP655364:GGP655365 GQL655364:GQL655365 HAH655364:HAH655365 HKD655364:HKD655365 HTZ655364:HTZ655365 IDV655364:IDV655365 INR655364:INR655365 IXN655364:IXN655365 JHJ655364:JHJ655365 JRF655364:JRF655365 KBB655364:KBB655365 KKX655364:KKX655365 KUT655364:KUT655365 LEP655364:LEP655365 LOL655364:LOL655365 LYH655364:LYH655365 MID655364:MID655365 MRZ655364:MRZ655365 NBV655364:NBV655365 NLR655364:NLR655365 NVN655364:NVN655365 OFJ655364:OFJ655365 OPF655364:OPF655365 OZB655364:OZB655365 PIX655364:PIX655365 PST655364:PST655365 QCP655364:QCP655365 QML655364:QML655365 QWH655364:QWH655365 RGD655364:RGD655365 RPZ655364:RPZ655365 RZV655364:RZV655365 SJR655364:SJR655365 STN655364:STN655365 TDJ655364:TDJ655365 TNF655364:TNF655365 TXB655364:TXB655365 UGX655364:UGX655365 UQT655364:UQT655365 VAP655364:VAP655365 VKL655364:VKL655365 VUH655364:VUH655365 WED655364:WED655365 WNZ655364:WNZ655365 WXV655364:WXV655365 BN720900:BN720901 LJ720900:LJ720901 VF720900:VF720901 AFB720900:AFB720901 AOX720900:AOX720901 AYT720900:AYT720901 BIP720900:BIP720901 BSL720900:BSL720901 CCH720900:CCH720901 CMD720900:CMD720901 CVZ720900:CVZ720901 DFV720900:DFV720901 DPR720900:DPR720901 DZN720900:DZN720901 EJJ720900:EJJ720901 ETF720900:ETF720901 FDB720900:FDB720901 FMX720900:FMX720901 FWT720900:FWT720901 GGP720900:GGP720901 GQL720900:GQL720901 HAH720900:HAH720901 HKD720900:HKD720901 HTZ720900:HTZ720901 IDV720900:IDV720901 INR720900:INR720901 IXN720900:IXN720901 JHJ720900:JHJ720901 JRF720900:JRF720901 KBB720900:KBB720901 KKX720900:KKX720901 KUT720900:KUT720901 LEP720900:LEP720901 LOL720900:LOL720901 LYH720900:LYH720901 MID720900:MID720901 MRZ720900:MRZ720901 NBV720900:NBV720901 NLR720900:NLR720901 NVN720900:NVN720901 OFJ720900:OFJ720901 OPF720900:OPF720901 OZB720900:OZB720901 PIX720900:PIX720901 PST720900:PST720901 QCP720900:QCP720901 QML720900:QML720901 QWH720900:QWH720901 RGD720900:RGD720901 RPZ720900:RPZ720901 RZV720900:RZV720901 SJR720900:SJR720901 STN720900:STN720901 TDJ720900:TDJ720901 TNF720900:TNF720901 TXB720900:TXB720901 UGX720900:UGX720901 UQT720900:UQT720901 VAP720900:VAP720901 VKL720900:VKL720901 VUH720900:VUH720901 WED720900:WED720901 WNZ720900:WNZ720901 WXV720900:WXV720901 BN786436:BN786437 LJ786436:LJ786437 VF786436:VF786437 AFB786436:AFB786437 AOX786436:AOX786437 AYT786436:AYT786437 BIP786436:BIP786437 BSL786436:BSL786437 CCH786436:CCH786437 CMD786436:CMD786437 CVZ786436:CVZ786437 DFV786436:DFV786437 DPR786436:DPR786437 DZN786436:DZN786437 EJJ786436:EJJ786437 ETF786436:ETF786437 FDB786436:FDB786437 FMX786436:FMX786437 FWT786436:FWT786437 GGP786436:GGP786437 GQL786436:GQL786437 HAH786436:HAH786437 HKD786436:HKD786437 HTZ786436:HTZ786437 IDV786436:IDV786437 INR786436:INR786437 IXN786436:IXN786437 JHJ786436:JHJ786437 JRF786436:JRF786437 KBB786436:KBB786437 KKX786436:KKX786437 KUT786436:KUT786437 LEP786436:LEP786437 LOL786436:LOL786437 LYH786436:LYH786437 MID786436:MID786437 MRZ786436:MRZ786437 NBV786436:NBV786437 NLR786436:NLR786437 NVN786436:NVN786437 OFJ786436:OFJ786437 OPF786436:OPF786437 OZB786436:OZB786437 PIX786436:PIX786437 PST786436:PST786437 QCP786436:QCP786437 QML786436:QML786437 QWH786436:QWH786437 RGD786436:RGD786437 RPZ786436:RPZ786437 RZV786436:RZV786437 SJR786436:SJR786437 STN786436:STN786437 TDJ786436:TDJ786437 TNF786436:TNF786437 TXB786436:TXB786437 UGX786436:UGX786437 UQT786436:UQT786437 VAP786436:VAP786437 VKL786436:VKL786437 VUH786436:VUH786437 WED786436:WED786437 WNZ786436:WNZ786437 WXV786436:WXV786437 BN851972:BN851973 LJ851972:LJ851973 VF851972:VF851973 AFB851972:AFB851973 AOX851972:AOX851973 AYT851972:AYT851973 BIP851972:BIP851973 BSL851972:BSL851973 CCH851972:CCH851973 CMD851972:CMD851973 CVZ851972:CVZ851973 DFV851972:DFV851973 DPR851972:DPR851973 DZN851972:DZN851973 EJJ851972:EJJ851973 ETF851972:ETF851973 FDB851972:FDB851973 FMX851972:FMX851973 FWT851972:FWT851973 GGP851972:GGP851973 GQL851972:GQL851973 HAH851972:HAH851973 HKD851972:HKD851973 HTZ851972:HTZ851973 IDV851972:IDV851973 INR851972:INR851973 IXN851972:IXN851973 JHJ851972:JHJ851973 JRF851972:JRF851973 KBB851972:KBB851973 KKX851972:KKX851973 KUT851972:KUT851973 LEP851972:LEP851973 LOL851972:LOL851973 LYH851972:LYH851973 MID851972:MID851973 MRZ851972:MRZ851973 NBV851972:NBV851973 NLR851972:NLR851973 NVN851972:NVN851973 OFJ851972:OFJ851973 OPF851972:OPF851973 OZB851972:OZB851973 PIX851972:PIX851973 PST851972:PST851973 QCP851972:QCP851973 QML851972:QML851973 QWH851972:QWH851973 RGD851972:RGD851973 RPZ851972:RPZ851973 RZV851972:RZV851973 SJR851972:SJR851973 STN851972:STN851973 TDJ851972:TDJ851973 TNF851972:TNF851973 TXB851972:TXB851973 UGX851972:UGX851973 UQT851972:UQT851973 VAP851972:VAP851973 VKL851972:VKL851973 VUH851972:VUH851973 WED851972:WED851973 WNZ851972:WNZ851973 WXV851972:WXV851973 BN917508:BN917509 LJ917508:LJ917509 VF917508:VF917509 AFB917508:AFB917509 AOX917508:AOX917509 AYT917508:AYT917509 BIP917508:BIP917509 BSL917508:BSL917509 CCH917508:CCH917509 CMD917508:CMD917509 CVZ917508:CVZ917509 DFV917508:DFV917509 DPR917508:DPR917509 DZN917508:DZN917509 EJJ917508:EJJ917509 ETF917508:ETF917509 FDB917508:FDB917509 FMX917508:FMX917509 FWT917508:FWT917509 GGP917508:GGP917509 GQL917508:GQL917509 HAH917508:HAH917509 HKD917508:HKD917509 HTZ917508:HTZ917509 IDV917508:IDV917509 INR917508:INR917509 IXN917508:IXN917509 JHJ917508:JHJ917509 JRF917508:JRF917509 KBB917508:KBB917509 KKX917508:KKX917509 KUT917508:KUT917509 LEP917508:LEP917509 LOL917508:LOL917509 LYH917508:LYH917509 MID917508:MID917509 MRZ917508:MRZ917509 NBV917508:NBV917509 NLR917508:NLR917509 NVN917508:NVN917509 OFJ917508:OFJ917509 OPF917508:OPF917509 OZB917508:OZB917509 PIX917508:PIX917509 PST917508:PST917509 QCP917508:QCP917509 QML917508:QML917509 QWH917508:QWH917509 RGD917508:RGD917509 RPZ917508:RPZ917509 RZV917508:RZV917509 SJR917508:SJR917509 STN917508:STN917509 TDJ917508:TDJ917509 TNF917508:TNF917509 TXB917508:TXB917509 UGX917508:UGX917509 UQT917508:UQT917509 VAP917508:VAP917509 VKL917508:VKL917509 VUH917508:VUH917509 WED917508:WED917509 WNZ917508:WNZ917509 WXV917508:WXV917509 BN983044:BN983045 LJ983044:LJ983045 VF983044:VF983045 AFB983044:AFB983045 AOX983044:AOX983045 AYT983044:AYT983045 BIP983044:BIP983045 BSL983044:BSL983045 CCH983044:CCH983045 CMD983044:CMD983045 CVZ983044:CVZ983045 DFV983044:DFV983045 DPR983044:DPR983045 DZN983044:DZN983045 EJJ983044:EJJ983045 ETF983044:ETF983045 FDB983044:FDB983045 FMX983044:FMX983045 FWT983044:FWT983045 GGP983044:GGP983045 GQL983044:GQL983045 HAH983044:HAH983045 HKD983044:HKD983045 HTZ983044:HTZ983045 IDV983044:IDV983045 INR983044:INR983045 IXN983044:IXN983045 JHJ983044:JHJ983045 JRF983044:JRF983045 KBB983044:KBB983045 KKX983044:KKX983045 KUT983044:KUT983045 LEP983044:LEP983045 LOL983044:LOL983045 LYH983044:LYH983045 MID983044:MID983045 MRZ983044:MRZ983045 NBV983044:NBV983045 NLR983044:NLR983045 NVN983044:NVN983045 OFJ983044:OFJ983045 OPF983044:OPF983045 OZB983044:OZB983045 PIX983044:PIX983045 PST983044:PST983045 QCP983044:QCP983045 QML983044:QML983045 QWH983044:QWH983045 RGD983044:RGD983045 RPZ983044:RPZ983045 RZV983044:RZV983045 SJR983044:SJR983045 STN983044:STN983045 TDJ983044:TDJ983045 TNF983044:TNF983045 TXB983044:TXB983045 UGX983044:UGX983045 UQT983044:UQT983045 VAP983044:VAP983045 VKL983044:VKL983045 VUH983044:VUH983045 WED983044:WED983045 WNZ983044:WNZ983045 WXV983044:WXV983045 BL4:BL5 LH4:LH5 VD4:VD5 AEZ4:AEZ5 AOV4:AOV5 AYR4:AYR5 BIN4:BIN5 BSJ4:BSJ5 CCF4:CCF5 CMB4:CMB5 CVX4:CVX5 DFT4:DFT5 DPP4:DPP5 DZL4:DZL5 EJH4:EJH5 ETD4:ETD5 FCZ4:FCZ5 FMV4:FMV5 FWR4:FWR5 GGN4:GGN5 GQJ4:GQJ5 HAF4:HAF5 HKB4:HKB5 HTX4:HTX5 IDT4:IDT5 INP4:INP5 IXL4:IXL5 JHH4:JHH5 JRD4:JRD5 KAZ4:KAZ5 KKV4:KKV5 KUR4:KUR5 LEN4:LEN5 LOJ4:LOJ5 LYF4:LYF5 MIB4:MIB5 MRX4:MRX5 NBT4:NBT5 NLP4:NLP5 NVL4:NVL5 OFH4:OFH5 OPD4:OPD5 OYZ4:OYZ5 PIV4:PIV5 PSR4:PSR5 QCN4:QCN5 QMJ4:QMJ5 QWF4:QWF5 RGB4:RGB5 RPX4:RPX5 RZT4:RZT5 SJP4:SJP5 STL4:STL5 TDH4:TDH5 TND4:TND5 TWZ4:TWZ5 UGV4:UGV5 UQR4:UQR5 VAN4:VAN5 VKJ4:VKJ5 VUF4:VUF5 WEB4:WEB5 WNX4:WNX5 WXT4:WXT5 BL65540:BL65541 LH65540:LH65541 VD65540:VD65541 AEZ65540:AEZ65541 AOV65540:AOV65541 AYR65540:AYR65541 BIN65540:BIN65541 BSJ65540:BSJ65541 CCF65540:CCF65541 CMB65540:CMB65541 CVX65540:CVX65541 DFT65540:DFT65541 DPP65540:DPP65541 DZL65540:DZL65541 EJH65540:EJH65541 ETD65540:ETD65541 FCZ65540:FCZ65541 FMV65540:FMV65541 FWR65540:FWR65541 GGN65540:GGN65541 GQJ65540:GQJ65541 HAF65540:HAF65541 HKB65540:HKB65541 HTX65540:HTX65541 IDT65540:IDT65541 INP65540:INP65541 IXL65540:IXL65541 JHH65540:JHH65541 JRD65540:JRD65541 KAZ65540:KAZ65541 KKV65540:KKV65541 KUR65540:KUR65541 LEN65540:LEN65541 LOJ65540:LOJ65541 LYF65540:LYF65541 MIB65540:MIB65541 MRX65540:MRX65541 NBT65540:NBT65541 NLP65540:NLP65541 NVL65540:NVL65541 OFH65540:OFH65541 OPD65540:OPD65541 OYZ65540:OYZ65541 PIV65540:PIV65541 PSR65540:PSR65541 QCN65540:QCN65541 QMJ65540:QMJ65541 QWF65540:QWF65541 RGB65540:RGB65541 RPX65540:RPX65541 RZT65540:RZT65541 SJP65540:SJP65541 STL65540:STL65541 TDH65540:TDH65541 TND65540:TND65541 TWZ65540:TWZ65541 UGV65540:UGV65541 UQR65540:UQR65541 VAN65540:VAN65541 VKJ65540:VKJ65541 VUF65540:VUF65541 WEB65540:WEB65541 WNX65540:WNX65541 WXT65540:WXT65541 BL131076:BL131077 LH131076:LH131077 VD131076:VD131077 AEZ131076:AEZ131077 AOV131076:AOV131077 AYR131076:AYR131077 BIN131076:BIN131077 BSJ131076:BSJ131077 CCF131076:CCF131077 CMB131076:CMB131077 CVX131076:CVX131077 DFT131076:DFT131077 DPP131076:DPP131077 DZL131076:DZL131077 EJH131076:EJH131077 ETD131076:ETD131077 FCZ131076:FCZ131077 FMV131076:FMV131077 FWR131076:FWR131077 GGN131076:GGN131077 GQJ131076:GQJ131077 HAF131076:HAF131077 HKB131076:HKB131077 HTX131076:HTX131077 IDT131076:IDT131077 INP131076:INP131077 IXL131076:IXL131077 JHH131076:JHH131077 JRD131076:JRD131077 KAZ131076:KAZ131077 KKV131076:KKV131077 KUR131076:KUR131077 LEN131076:LEN131077 LOJ131076:LOJ131077 LYF131076:LYF131077 MIB131076:MIB131077 MRX131076:MRX131077 NBT131076:NBT131077 NLP131076:NLP131077 NVL131076:NVL131077 OFH131076:OFH131077 OPD131076:OPD131077 OYZ131076:OYZ131077 PIV131076:PIV131077 PSR131076:PSR131077 QCN131076:QCN131077 QMJ131076:QMJ131077 QWF131076:QWF131077 RGB131076:RGB131077 RPX131076:RPX131077 RZT131076:RZT131077 SJP131076:SJP131077 STL131076:STL131077 TDH131076:TDH131077 TND131076:TND131077 TWZ131076:TWZ131077 UGV131076:UGV131077 UQR131076:UQR131077 VAN131076:VAN131077 VKJ131076:VKJ131077 VUF131076:VUF131077 WEB131076:WEB131077 WNX131076:WNX131077 WXT131076:WXT131077 BL196612:BL196613 LH196612:LH196613 VD196612:VD196613 AEZ196612:AEZ196613 AOV196612:AOV196613 AYR196612:AYR196613 BIN196612:BIN196613 BSJ196612:BSJ196613 CCF196612:CCF196613 CMB196612:CMB196613 CVX196612:CVX196613 DFT196612:DFT196613 DPP196612:DPP196613 DZL196612:DZL196613 EJH196612:EJH196613 ETD196612:ETD196613 FCZ196612:FCZ196613 FMV196612:FMV196613 FWR196612:FWR196613 GGN196612:GGN196613 GQJ196612:GQJ196613 HAF196612:HAF196613 HKB196612:HKB196613 HTX196612:HTX196613 IDT196612:IDT196613 INP196612:INP196613 IXL196612:IXL196613 JHH196612:JHH196613 JRD196612:JRD196613 KAZ196612:KAZ196613 KKV196612:KKV196613 KUR196612:KUR196613 LEN196612:LEN196613 LOJ196612:LOJ196613 LYF196612:LYF196613 MIB196612:MIB196613 MRX196612:MRX196613 NBT196612:NBT196613 NLP196612:NLP196613 NVL196612:NVL196613 OFH196612:OFH196613 OPD196612:OPD196613 OYZ196612:OYZ196613 PIV196612:PIV196613 PSR196612:PSR196613 QCN196612:QCN196613 QMJ196612:QMJ196613 QWF196612:QWF196613 RGB196612:RGB196613 RPX196612:RPX196613 RZT196612:RZT196613 SJP196612:SJP196613 STL196612:STL196613 TDH196612:TDH196613 TND196612:TND196613 TWZ196612:TWZ196613 UGV196612:UGV196613 UQR196612:UQR196613 VAN196612:VAN196613 VKJ196612:VKJ196613 VUF196612:VUF196613 WEB196612:WEB196613 WNX196612:WNX196613 WXT196612:WXT196613 BL262148:BL262149 LH262148:LH262149 VD262148:VD262149 AEZ262148:AEZ262149 AOV262148:AOV262149 AYR262148:AYR262149 BIN262148:BIN262149 BSJ262148:BSJ262149 CCF262148:CCF262149 CMB262148:CMB262149 CVX262148:CVX262149 DFT262148:DFT262149 DPP262148:DPP262149 DZL262148:DZL262149 EJH262148:EJH262149 ETD262148:ETD262149 FCZ262148:FCZ262149 FMV262148:FMV262149 FWR262148:FWR262149 GGN262148:GGN262149 GQJ262148:GQJ262149 HAF262148:HAF262149 HKB262148:HKB262149 HTX262148:HTX262149 IDT262148:IDT262149 INP262148:INP262149 IXL262148:IXL262149 JHH262148:JHH262149 JRD262148:JRD262149 KAZ262148:KAZ262149 KKV262148:KKV262149 KUR262148:KUR262149 LEN262148:LEN262149 LOJ262148:LOJ262149 LYF262148:LYF262149 MIB262148:MIB262149 MRX262148:MRX262149 NBT262148:NBT262149 NLP262148:NLP262149 NVL262148:NVL262149 OFH262148:OFH262149 OPD262148:OPD262149 OYZ262148:OYZ262149 PIV262148:PIV262149 PSR262148:PSR262149 QCN262148:QCN262149 QMJ262148:QMJ262149 QWF262148:QWF262149 RGB262148:RGB262149 RPX262148:RPX262149 RZT262148:RZT262149 SJP262148:SJP262149 STL262148:STL262149 TDH262148:TDH262149 TND262148:TND262149 TWZ262148:TWZ262149 UGV262148:UGV262149 UQR262148:UQR262149 VAN262148:VAN262149 VKJ262148:VKJ262149 VUF262148:VUF262149 WEB262148:WEB262149 WNX262148:WNX262149 WXT262148:WXT262149 BL327684:BL327685 LH327684:LH327685 VD327684:VD327685 AEZ327684:AEZ327685 AOV327684:AOV327685 AYR327684:AYR327685 BIN327684:BIN327685 BSJ327684:BSJ327685 CCF327684:CCF327685 CMB327684:CMB327685 CVX327684:CVX327685 DFT327684:DFT327685 DPP327684:DPP327685 DZL327684:DZL327685 EJH327684:EJH327685 ETD327684:ETD327685 FCZ327684:FCZ327685 FMV327684:FMV327685 FWR327684:FWR327685 GGN327684:GGN327685 GQJ327684:GQJ327685 HAF327684:HAF327685 HKB327684:HKB327685 HTX327684:HTX327685 IDT327684:IDT327685 INP327684:INP327685 IXL327684:IXL327685 JHH327684:JHH327685 JRD327684:JRD327685 KAZ327684:KAZ327685 KKV327684:KKV327685 KUR327684:KUR327685 LEN327684:LEN327685 LOJ327684:LOJ327685 LYF327684:LYF327685 MIB327684:MIB327685 MRX327684:MRX327685 NBT327684:NBT327685 NLP327684:NLP327685 NVL327684:NVL327685 OFH327684:OFH327685 OPD327684:OPD327685 OYZ327684:OYZ327685 PIV327684:PIV327685 PSR327684:PSR327685 QCN327684:QCN327685 QMJ327684:QMJ327685 QWF327684:QWF327685 RGB327684:RGB327685 RPX327684:RPX327685 RZT327684:RZT327685 SJP327684:SJP327685 STL327684:STL327685 TDH327684:TDH327685 TND327684:TND327685 TWZ327684:TWZ327685 UGV327684:UGV327685 UQR327684:UQR327685 VAN327684:VAN327685 VKJ327684:VKJ327685 VUF327684:VUF327685 WEB327684:WEB327685 WNX327684:WNX327685 WXT327684:WXT327685 BL393220:BL393221 LH393220:LH393221 VD393220:VD393221 AEZ393220:AEZ393221 AOV393220:AOV393221 AYR393220:AYR393221 BIN393220:BIN393221 BSJ393220:BSJ393221 CCF393220:CCF393221 CMB393220:CMB393221 CVX393220:CVX393221 DFT393220:DFT393221 DPP393220:DPP393221 DZL393220:DZL393221 EJH393220:EJH393221 ETD393220:ETD393221 FCZ393220:FCZ393221 FMV393220:FMV393221 FWR393220:FWR393221 GGN393220:GGN393221 GQJ393220:GQJ393221 HAF393220:HAF393221 HKB393220:HKB393221 HTX393220:HTX393221 IDT393220:IDT393221 INP393220:INP393221 IXL393220:IXL393221 JHH393220:JHH393221 JRD393220:JRD393221 KAZ393220:KAZ393221 KKV393220:KKV393221 KUR393220:KUR393221 LEN393220:LEN393221 LOJ393220:LOJ393221 LYF393220:LYF393221 MIB393220:MIB393221 MRX393220:MRX393221 NBT393220:NBT393221 NLP393220:NLP393221 NVL393220:NVL393221 OFH393220:OFH393221 OPD393220:OPD393221 OYZ393220:OYZ393221 PIV393220:PIV393221 PSR393220:PSR393221 QCN393220:QCN393221 QMJ393220:QMJ393221 QWF393220:QWF393221 RGB393220:RGB393221 RPX393220:RPX393221 RZT393220:RZT393221 SJP393220:SJP393221 STL393220:STL393221 TDH393220:TDH393221 TND393220:TND393221 TWZ393220:TWZ393221 UGV393220:UGV393221 UQR393220:UQR393221 VAN393220:VAN393221 VKJ393220:VKJ393221 VUF393220:VUF393221 WEB393220:WEB393221 WNX393220:WNX393221 WXT393220:WXT393221 BL458756:BL458757 LH458756:LH458757 VD458756:VD458757 AEZ458756:AEZ458757 AOV458756:AOV458757 AYR458756:AYR458757 BIN458756:BIN458757 BSJ458756:BSJ458757 CCF458756:CCF458757 CMB458756:CMB458757 CVX458756:CVX458757 DFT458756:DFT458757 DPP458756:DPP458757 DZL458756:DZL458757 EJH458756:EJH458757 ETD458756:ETD458757 FCZ458756:FCZ458757 FMV458756:FMV458757 FWR458756:FWR458757 GGN458756:GGN458757 GQJ458756:GQJ458757 HAF458756:HAF458757 HKB458756:HKB458757 HTX458756:HTX458757 IDT458756:IDT458757 INP458756:INP458757 IXL458756:IXL458757 JHH458756:JHH458757 JRD458756:JRD458757 KAZ458756:KAZ458757 KKV458756:KKV458757 KUR458756:KUR458757 LEN458756:LEN458757 LOJ458756:LOJ458757 LYF458756:LYF458757 MIB458756:MIB458757 MRX458756:MRX458757 NBT458756:NBT458757 NLP458756:NLP458757 NVL458756:NVL458757 OFH458756:OFH458757 OPD458756:OPD458757 OYZ458756:OYZ458757 PIV458756:PIV458757 PSR458756:PSR458757 QCN458756:QCN458757 QMJ458756:QMJ458757 QWF458756:QWF458757 RGB458756:RGB458757 RPX458756:RPX458757 RZT458756:RZT458757 SJP458756:SJP458757 STL458756:STL458757 TDH458756:TDH458757 TND458756:TND458757 TWZ458756:TWZ458757 UGV458756:UGV458757 UQR458756:UQR458757 VAN458756:VAN458757 VKJ458756:VKJ458757 VUF458756:VUF458757 WEB458756:WEB458757 WNX458756:WNX458757 WXT458756:WXT458757 BL524292:BL524293 LH524292:LH524293 VD524292:VD524293 AEZ524292:AEZ524293 AOV524292:AOV524293 AYR524292:AYR524293 BIN524292:BIN524293 BSJ524292:BSJ524293 CCF524292:CCF524293 CMB524292:CMB524293 CVX524292:CVX524293 DFT524292:DFT524293 DPP524292:DPP524293 DZL524292:DZL524293 EJH524292:EJH524293 ETD524292:ETD524293 FCZ524292:FCZ524293 FMV524292:FMV524293 FWR524292:FWR524293 GGN524292:GGN524293 GQJ524292:GQJ524293 HAF524292:HAF524293 HKB524292:HKB524293 HTX524292:HTX524293 IDT524292:IDT524293 INP524292:INP524293 IXL524292:IXL524293 JHH524292:JHH524293 JRD524292:JRD524293 KAZ524292:KAZ524293 KKV524292:KKV524293 KUR524292:KUR524293 LEN524292:LEN524293 LOJ524292:LOJ524293 LYF524292:LYF524293 MIB524292:MIB524293 MRX524292:MRX524293 NBT524292:NBT524293 NLP524292:NLP524293 NVL524292:NVL524293 OFH524292:OFH524293 OPD524292:OPD524293 OYZ524292:OYZ524293 PIV524292:PIV524293 PSR524292:PSR524293 QCN524292:QCN524293 QMJ524292:QMJ524293 QWF524292:QWF524293 RGB524292:RGB524293 RPX524292:RPX524293 RZT524292:RZT524293 SJP524292:SJP524293 STL524292:STL524293 TDH524292:TDH524293 TND524292:TND524293 TWZ524292:TWZ524293 UGV524292:UGV524293 UQR524292:UQR524293 VAN524292:VAN524293 VKJ524292:VKJ524293 VUF524292:VUF524293 WEB524292:WEB524293 WNX524292:WNX524293 WXT524292:WXT524293 BL589828:BL589829 LH589828:LH589829 VD589828:VD589829 AEZ589828:AEZ589829 AOV589828:AOV589829 AYR589828:AYR589829 BIN589828:BIN589829 BSJ589828:BSJ589829 CCF589828:CCF589829 CMB589828:CMB589829 CVX589828:CVX589829 DFT589828:DFT589829 DPP589828:DPP589829 DZL589828:DZL589829 EJH589828:EJH589829 ETD589828:ETD589829 FCZ589828:FCZ589829 FMV589828:FMV589829 FWR589828:FWR589829 GGN589828:GGN589829 GQJ589828:GQJ589829 HAF589828:HAF589829 HKB589828:HKB589829 HTX589828:HTX589829 IDT589828:IDT589829 INP589828:INP589829 IXL589828:IXL589829 JHH589828:JHH589829 JRD589828:JRD589829 KAZ589828:KAZ589829 KKV589828:KKV589829 KUR589828:KUR589829 LEN589828:LEN589829 LOJ589828:LOJ589829 LYF589828:LYF589829 MIB589828:MIB589829 MRX589828:MRX589829 NBT589828:NBT589829 NLP589828:NLP589829 NVL589828:NVL589829 OFH589828:OFH589829 OPD589828:OPD589829 OYZ589828:OYZ589829 PIV589828:PIV589829 PSR589828:PSR589829 QCN589828:QCN589829 QMJ589828:QMJ589829 QWF589828:QWF589829 RGB589828:RGB589829 RPX589828:RPX589829 RZT589828:RZT589829 SJP589828:SJP589829 STL589828:STL589829 TDH589828:TDH589829 TND589828:TND589829 TWZ589828:TWZ589829 UGV589828:UGV589829 UQR589828:UQR589829 VAN589828:VAN589829 VKJ589828:VKJ589829 VUF589828:VUF589829 WEB589828:WEB589829 WNX589828:WNX589829 WXT589828:WXT589829 BL655364:BL655365 LH655364:LH655365 VD655364:VD655365 AEZ655364:AEZ655365 AOV655364:AOV655365 AYR655364:AYR655365 BIN655364:BIN655365 BSJ655364:BSJ655365 CCF655364:CCF655365 CMB655364:CMB655365 CVX655364:CVX655365 DFT655364:DFT655365 DPP655364:DPP655365 DZL655364:DZL655365 EJH655364:EJH655365 ETD655364:ETD655365 FCZ655364:FCZ655365 FMV655364:FMV655365 FWR655364:FWR655365 GGN655364:GGN655365 GQJ655364:GQJ655365 HAF655364:HAF655365 HKB655364:HKB655365 HTX655364:HTX655365 IDT655364:IDT655365 INP655364:INP655365 IXL655364:IXL655365 JHH655364:JHH655365 JRD655364:JRD655365 KAZ655364:KAZ655365 KKV655364:KKV655365 KUR655364:KUR655365 LEN655364:LEN655365 LOJ655364:LOJ655365 LYF655364:LYF655365 MIB655364:MIB655365 MRX655364:MRX655365 NBT655364:NBT655365 NLP655364:NLP655365 NVL655364:NVL655365 OFH655364:OFH655365 OPD655364:OPD655365 OYZ655364:OYZ655365 PIV655364:PIV655365 PSR655364:PSR655365 QCN655364:QCN655365 QMJ655364:QMJ655365 QWF655364:QWF655365 RGB655364:RGB655365 RPX655364:RPX655365 RZT655364:RZT655365 SJP655364:SJP655365 STL655364:STL655365 TDH655364:TDH655365 TND655364:TND655365 TWZ655364:TWZ655365 UGV655364:UGV655365 UQR655364:UQR655365 VAN655364:VAN655365 VKJ655364:VKJ655365 VUF655364:VUF655365 WEB655364:WEB655365 WNX655364:WNX655365 WXT655364:WXT655365 BL720900:BL720901 LH720900:LH720901 VD720900:VD720901 AEZ720900:AEZ720901 AOV720900:AOV720901 AYR720900:AYR720901 BIN720900:BIN720901 BSJ720900:BSJ720901 CCF720900:CCF720901 CMB720900:CMB720901 CVX720900:CVX720901 DFT720900:DFT720901 DPP720900:DPP720901 DZL720900:DZL720901 EJH720900:EJH720901 ETD720900:ETD720901 FCZ720900:FCZ720901 FMV720900:FMV720901 FWR720900:FWR720901 GGN720900:GGN720901 GQJ720900:GQJ720901 HAF720900:HAF720901 HKB720900:HKB720901 HTX720900:HTX720901 IDT720900:IDT720901 INP720900:INP720901 IXL720900:IXL720901 JHH720900:JHH720901 JRD720900:JRD720901 KAZ720900:KAZ720901 KKV720900:KKV720901 KUR720900:KUR720901 LEN720900:LEN720901 LOJ720900:LOJ720901 LYF720900:LYF720901 MIB720900:MIB720901 MRX720900:MRX720901 NBT720900:NBT720901 NLP720900:NLP720901 NVL720900:NVL720901 OFH720900:OFH720901 OPD720900:OPD720901 OYZ720900:OYZ720901 PIV720900:PIV720901 PSR720900:PSR720901 QCN720900:QCN720901 QMJ720900:QMJ720901 QWF720900:QWF720901 RGB720900:RGB720901 RPX720900:RPX720901 RZT720900:RZT720901 SJP720900:SJP720901 STL720900:STL720901 TDH720900:TDH720901 TND720900:TND720901 TWZ720900:TWZ720901 UGV720900:UGV720901 UQR720900:UQR720901 VAN720900:VAN720901 VKJ720900:VKJ720901 VUF720900:VUF720901 WEB720900:WEB720901 WNX720900:WNX720901 WXT720900:WXT720901 BL786436:BL786437 LH786436:LH786437 VD786436:VD786437 AEZ786436:AEZ786437 AOV786436:AOV786437 AYR786436:AYR786437 BIN786436:BIN786437 BSJ786436:BSJ786437 CCF786436:CCF786437 CMB786436:CMB786437 CVX786436:CVX786437 DFT786436:DFT786437 DPP786436:DPP786437 DZL786436:DZL786437 EJH786436:EJH786437 ETD786436:ETD786437 FCZ786436:FCZ786437 FMV786436:FMV786437 FWR786436:FWR786437 GGN786436:GGN786437 GQJ786436:GQJ786437 HAF786436:HAF786437 HKB786436:HKB786437 HTX786436:HTX786437 IDT786436:IDT786437 INP786436:INP786437 IXL786436:IXL786437 JHH786436:JHH786437 JRD786436:JRD786437 KAZ786436:KAZ786437 KKV786436:KKV786437 KUR786436:KUR786437 LEN786436:LEN786437 LOJ786436:LOJ786437 LYF786436:LYF786437 MIB786436:MIB786437 MRX786436:MRX786437 NBT786436:NBT786437 NLP786436:NLP786437 NVL786436:NVL786437 OFH786436:OFH786437 OPD786436:OPD786437 OYZ786436:OYZ786437 PIV786436:PIV786437 PSR786436:PSR786437 QCN786436:QCN786437 QMJ786436:QMJ786437 QWF786436:QWF786437 RGB786436:RGB786437 RPX786436:RPX786437 RZT786436:RZT786437 SJP786436:SJP786437 STL786436:STL786437 TDH786436:TDH786437 TND786436:TND786437 TWZ786436:TWZ786437 UGV786436:UGV786437 UQR786436:UQR786437 VAN786436:VAN786437 VKJ786436:VKJ786437 VUF786436:VUF786437 WEB786436:WEB786437 WNX786436:WNX786437 WXT786436:WXT786437 BL851972:BL851973 LH851972:LH851973 VD851972:VD851973 AEZ851972:AEZ851973 AOV851972:AOV851973 AYR851972:AYR851973 BIN851972:BIN851973 BSJ851972:BSJ851973 CCF851972:CCF851973 CMB851972:CMB851973 CVX851972:CVX851973 DFT851972:DFT851973 DPP851972:DPP851973 DZL851972:DZL851973 EJH851972:EJH851973 ETD851972:ETD851973 FCZ851972:FCZ851973 FMV851972:FMV851973 FWR851972:FWR851973 GGN851972:GGN851973 GQJ851972:GQJ851973 HAF851972:HAF851973 HKB851972:HKB851973 HTX851972:HTX851973 IDT851972:IDT851973 INP851972:INP851973 IXL851972:IXL851973 JHH851972:JHH851973 JRD851972:JRD851973 KAZ851972:KAZ851973 KKV851972:KKV851973 KUR851972:KUR851973 LEN851972:LEN851973 LOJ851972:LOJ851973 LYF851972:LYF851973 MIB851972:MIB851973 MRX851972:MRX851973 NBT851972:NBT851973 NLP851972:NLP851973 NVL851972:NVL851973 OFH851972:OFH851973 OPD851972:OPD851973 OYZ851972:OYZ851973 PIV851972:PIV851973 PSR851972:PSR851973 QCN851972:QCN851973 QMJ851972:QMJ851973 QWF851972:QWF851973 RGB851972:RGB851973 RPX851972:RPX851973 RZT851972:RZT851973 SJP851972:SJP851973 STL851972:STL851973 TDH851972:TDH851973 TND851972:TND851973 TWZ851972:TWZ851973 UGV851972:UGV851973 UQR851972:UQR851973 VAN851972:VAN851973 VKJ851972:VKJ851973 VUF851972:VUF851973 WEB851972:WEB851973 WNX851972:WNX851973 WXT851972:WXT851973 BL917508:BL917509 LH917508:LH917509 VD917508:VD917509 AEZ917508:AEZ917509 AOV917508:AOV917509 AYR917508:AYR917509 BIN917508:BIN917509 BSJ917508:BSJ917509 CCF917508:CCF917509 CMB917508:CMB917509 CVX917508:CVX917509 DFT917508:DFT917509 DPP917508:DPP917509 DZL917508:DZL917509 EJH917508:EJH917509 ETD917508:ETD917509 FCZ917508:FCZ917509 FMV917508:FMV917509 FWR917508:FWR917509 GGN917508:GGN917509 GQJ917508:GQJ917509 HAF917508:HAF917509 HKB917508:HKB917509 HTX917508:HTX917509 IDT917508:IDT917509 INP917508:INP917509 IXL917508:IXL917509 JHH917508:JHH917509 JRD917508:JRD917509 KAZ917508:KAZ917509 KKV917508:KKV917509 KUR917508:KUR917509 LEN917508:LEN917509 LOJ917508:LOJ917509 LYF917508:LYF917509 MIB917508:MIB917509 MRX917508:MRX917509 NBT917508:NBT917509 NLP917508:NLP917509 NVL917508:NVL917509 OFH917508:OFH917509 OPD917508:OPD917509 OYZ917508:OYZ917509 PIV917508:PIV917509 PSR917508:PSR917509 QCN917508:QCN917509 QMJ917508:QMJ917509 QWF917508:QWF917509 RGB917508:RGB917509 RPX917508:RPX917509 RZT917508:RZT917509 SJP917508:SJP917509 STL917508:STL917509 TDH917508:TDH917509 TND917508:TND917509 TWZ917508:TWZ917509 UGV917508:UGV917509 UQR917508:UQR917509 VAN917508:VAN917509 VKJ917508:VKJ917509 VUF917508:VUF917509 WEB917508:WEB917509 WNX917508:WNX917509 WXT917508:WXT917509 BL983044:BL983045 LH983044:LH983045 VD983044:VD983045 AEZ983044:AEZ983045 AOV983044:AOV983045 AYR983044:AYR983045 BIN983044:BIN983045 BSJ983044:BSJ983045 CCF983044:CCF983045 CMB983044:CMB983045 CVX983044:CVX983045 DFT983044:DFT983045 DPP983044:DPP983045 DZL983044:DZL983045 EJH983044:EJH983045 ETD983044:ETD983045 FCZ983044:FCZ983045 FMV983044:FMV983045 FWR983044:FWR983045 GGN983044:GGN983045 GQJ983044:GQJ983045 HAF983044:HAF983045 HKB983044:HKB983045 HTX983044:HTX983045 IDT983044:IDT983045 INP983044:INP983045 IXL983044:IXL983045 JHH983044:JHH983045 JRD983044:JRD983045 KAZ983044:KAZ983045 KKV983044:KKV983045 KUR983044:KUR983045 LEN983044:LEN983045 LOJ983044:LOJ983045 LYF983044:LYF983045 MIB983044:MIB983045 MRX983044:MRX983045 NBT983044:NBT983045 NLP983044:NLP983045 NVL983044:NVL983045 OFH983044:OFH983045 OPD983044:OPD983045 OYZ983044:OYZ983045 PIV983044:PIV983045 PSR983044:PSR983045 QCN983044:QCN983045 QMJ983044:QMJ983045 QWF983044:QWF983045 RGB983044:RGB983045 RPX983044:RPX983045 RZT983044:RZT983045 SJP983044:SJP983045 STL983044:STL983045 TDH983044:TDH983045 TND983044:TND983045 TWZ983044:TWZ983045 UGV983044:UGV983045 UQR983044:UQR983045 VAN983044:VAN983045 VKJ983044:VKJ983045 VUF983044:VUF983045 WEB983044:WEB983045 WNX983044:WNX983045 WXT983044:WXT983045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7"/>
  <dimension ref="A1:CK132"/>
  <sheetViews>
    <sheetView zoomScaleNormal="100" workbookViewId="0">
      <selection activeCell="C31" sqref="C31"/>
    </sheetView>
  </sheetViews>
  <sheetFormatPr defaultRowHeight="12.75"/>
  <cols>
    <col min="1" max="1" width="0.7109375" style="220" customWidth="1"/>
    <col min="2" max="2" width="0.42578125" style="220" customWidth="1"/>
    <col min="3" max="3" width="0.5703125" style="220" customWidth="1"/>
    <col min="4" max="4" width="0.28515625" style="221" customWidth="1"/>
    <col min="5" max="5" width="3.7109375" style="278" customWidth="1"/>
    <col min="6" max="6" width="1.140625" style="278" customWidth="1"/>
    <col min="7" max="7" width="0.7109375" style="278" customWidth="1"/>
    <col min="8" max="10" width="0.7109375" style="279" customWidth="1"/>
    <col min="11" max="11" width="0.7109375" style="280" customWidth="1"/>
    <col min="12" max="12" width="0.5703125" style="280" customWidth="1"/>
    <col min="13" max="25" width="0.7109375" style="280" customWidth="1"/>
    <col min="26" max="26" width="1.4257812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 style="280" customWidth="1"/>
    <col min="63" max="64" width="0.5703125" style="280" customWidth="1"/>
    <col min="65" max="65" width="2.140625" style="280" customWidth="1"/>
    <col min="66" max="66" width="0.5703125" style="280" customWidth="1"/>
    <col min="67" max="67" width="2.140625" style="280" customWidth="1"/>
    <col min="68" max="68" width="0.5703125" style="280" customWidth="1"/>
    <col min="69" max="69" width="2.140625" style="280" customWidth="1"/>
    <col min="70" max="70" width="0.5703125" style="280" customWidth="1"/>
    <col min="71" max="71" width="2.140625" style="280" customWidth="1"/>
    <col min="72" max="72" width="0.5703125" style="280" customWidth="1"/>
    <col min="73" max="73" width="2.140625" style="280" customWidth="1"/>
    <col min="74" max="74" width="0.5703125" style="280" customWidth="1"/>
    <col min="75" max="75" width="2.140625" style="280" customWidth="1"/>
    <col min="76" max="76" width="0.5703125" style="280" customWidth="1"/>
    <col min="77" max="77" width="2.140625" style="280" customWidth="1"/>
    <col min="78" max="78" width="0.5703125" style="280" customWidth="1"/>
    <col min="79" max="79" width="2.140625" style="280" customWidth="1"/>
    <col min="80" max="80" width="0.5703125" style="280" customWidth="1"/>
    <col min="81" max="81" width="2.140625" style="280" customWidth="1"/>
    <col min="82" max="82" width="0.5703125" style="280" customWidth="1"/>
    <col min="83" max="83" width="2.140625" style="280" customWidth="1"/>
    <col min="84" max="84" width="0.5703125" style="280" customWidth="1"/>
    <col min="85" max="85" width="2.140625" style="280" customWidth="1"/>
    <col min="86" max="86" width="0.5703125" style="280" customWidth="1"/>
    <col min="87" max="88" width="2.5703125" style="221" customWidth="1"/>
    <col min="89" max="256" width="9.140625" style="221"/>
    <col min="257" max="257" width="0.7109375" style="221" customWidth="1"/>
    <col min="258" max="258" width="0.42578125" style="221" customWidth="1"/>
    <col min="259" max="259" width="0.5703125" style="221" customWidth="1"/>
    <col min="260" max="260" width="0.28515625" style="221" customWidth="1"/>
    <col min="261" max="261" width="3.7109375" style="221" customWidth="1"/>
    <col min="262" max="262" width="1.140625" style="221" customWidth="1"/>
    <col min="263" max="267" width="0.7109375" style="221" customWidth="1"/>
    <col min="268" max="268" width="0.5703125" style="221" customWidth="1"/>
    <col min="269" max="281" width="0.7109375" style="221" customWidth="1"/>
    <col min="282" max="282" width="1.4257812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 style="221" customWidth="1"/>
    <col min="319" max="320" width="0.5703125" style="221" customWidth="1"/>
    <col min="321" max="321" width="2.140625" style="221" customWidth="1"/>
    <col min="322" max="322" width="0.5703125" style="221" customWidth="1"/>
    <col min="323" max="323" width="2.140625" style="221" customWidth="1"/>
    <col min="324" max="324" width="0.5703125" style="221" customWidth="1"/>
    <col min="325" max="325" width="2.140625" style="221" customWidth="1"/>
    <col min="326" max="326" width="0.5703125" style="221" customWidth="1"/>
    <col min="327" max="327" width="2.140625" style="221" customWidth="1"/>
    <col min="328" max="328" width="0.5703125" style="221" customWidth="1"/>
    <col min="329" max="329" width="2.140625" style="221" customWidth="1"/>
    <col min="330" max="330" width="0.5703125" style="221" customWidth="1"/>
    <col min="331" max="331" width="2.140625" style="221" customWidth="1"/>
    <col min="332" max="332" width="0.5703125" style="221" customWidth="1"/>
    <col min="333" max="333" width="2.140625" style="221" customWidth="1"/>
    <col min="334" max="334" width="0.5703125" style="221" customWidth="1"/>
    <col min="335" max="335" width="2.140625" style="221" customWidth="1"/>
    <col min="336" max="336" width="0.5703125" style="221" customWidth="1"/>
    <col min="337" max="337" width="2.140625" style="221" customWidth="1"/>
    <col min="338" max="338" width="0.5703125" style="221" customWidth="1"/>
    <col min="339" max="339" width="2.140625" style="221" customWidth="1"/>
    <col min="340" max="340" width="0.5703125" style="221" customWidth="1"/>
    <col min="341" max="341" width="2.140625" style="221" customWidth="1"/>
    <col min="342" max="342" width="0.5703125" style="221" customWidth="1"/>
    <col min="343" max="344" width="2.5703125" style="221" customWidth="1"/>
    <col min="345" max="512" width="9.140625" style="221"/>
    <col min="513" max="513" width="0.7109375" style="221" customWidth="1"/>
    <col min="514" max="514" width="0.42578125" style="221" customWidth="1"/>
    <col min="515" max="515" width="0.5703125" style="221" customWidth="1"/>
    <col min="516" max="516" width="0.28515625" style="221" customWidth="1"/>
    <col min="517" max="517" width="3.7109375" style="221" customWidth="1"/>
    <col min="518" max="518" width="1.140625" style="221" customWidth="1"/>
    <col min="519" max="523" width="0.7109375" style="221" customWidth="1"/>
    <col min="524" max="524" width="0.5703125" style="221" customWidth="1"/>
    <col min="525" max="537" width="0.7109375" style="221" customWidth="1"/>
    <col min="538" max="538" width="1.4257812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 style="221" customWidth="1"/>
    <col min="575" max="576" width="0.5703125" style="221" customWidth="1"/>
    <col min="577" max="577" width="2.140625" style="221" customWidth="1"/>
    <col min="578" max="578" width="0.5703125" style="221" customWidth="1"/>
    <col min="579" max="579" width="2.140625" style="221" customWidth="1"/>
    <col min="580" max="580" width="0.5703125" style="221" customWidth="1"/>
    <col min="581" max="581" width="2.140625" style="221" customWidth="1"/>
    <col min="582" max="582" width="0.5703125" style="221" customWidth="1"/>
    <col min="583" max="583" width="2.140625" style="221" customWidth="1"/>
    <col min="584" max="584" width="0.5703125" style="221" customWidth="1"/>
    <col min="585" max="585" width="2.140625" style="221" customWidth="1"/>
    <col min="586" max="586" width="0.5703125" style="221" customWidth="1"/>
    <col min="587" max="587" width="2.140625" style="221" customWidth="1"/>
    <col min="588" max="588" width="0.5703125" style="221" customWidth="1"/>
    <col min="589" max="589" width="2.140625" style="221" customWidth="1"/>
    <col min="590" max="590" width="0.5703125" style="221" customWidth="1"/>
    <col min="591" max="591" width="2.140625" style="221" customWidth="1"/>
    <col min="592" max="592" width="0.5703125" style="221" customWidth="1"/>
    <col min="593" max="593" width="2.140625" style="221" customWidth="1"/>
    <col min="594" max="594" width="0.5703125" style="221" customWidth="1"/>
    <col min="595" max="595" width="2.140625" style="221" customWidth="1"/>
    <col min="596" max="596" width="0.5703125" style="221" customWidth="1"/>
    <col min="597" max="597" width="2.140625" style="221" customWidth="1"/>
    <col min="598" max="598" width="0.5703125" style="221" customWidth="1"/>
    <col min="599" max="600" width="2.5703125" style="221" customWidth="1"/>
    <col min="601" max="768" width="9.140625" style="221"/>
    <col min="769" max="769" width="0.7109375" style="221" customWidth="1"/>
    <col min="770" max="770" width="0.42578125" style="221" customWidth="1"/>
    <col min="771" max="771" width="0.5703125" style="221" customWidth="1"/>
    <col min="772" max="772" width="0.28515625" style="221" customWidth="1"/>
    <col min="773" max="773" width="3.7109375" style="221" customWidth="1"/>
    <col min="774" max="774" width="1.140625" style="221" customWidth="1"/>
    <col min="775" max="779" width="0.7109375" style="221" customWidth="1"/>
    <col min="780" max="780" width="0.5703125" style="221" customWidth="1"/>
    <col min="781" max="793" width="0.7109375" style="221" customWidth="1"/>
    <col min="794" max="794" width="1.4257812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 style="221" customWidth="1"/>
    <col min="831" max="832" width="0.5703125" style="221" customWidth="1"/>
    <col min="833" max="833" width="2.140625" style="221" customWidth="1"/>
    <col min="834" max="834" width="0.5703125" style="221" customWidth="1"/>
    <col min="835" max="835" width="2.140625" style="221" customWidth="1"/>
    <col min="836" max="836" width="0.5703125" style="221" customWidth="1"/>
    <col min="837" max="837" width="2.140625" style="221" customWidth="1"/>
    <col min="838" max="838" width="0.5703125" style="221" customWidth="1"/>
    <col min="839" max="839" width="2.140625" style="221" customWidth="1"/>
    <col min="840" max="840" width="0.5703125" style="221" customWidth="1"/>
    <col min="841" max="841" width="2.140625" style="221" customWidth="1"/>
    <col min="842" max="842" width="0.5703125" style="221" customWidth="1"/>
    <col min="843" max="843" width="2.140625" style="221" customWidth="1"/>
    <col min="844" max="844" width="0.5703125" style="221" customWidth="1"/>
    <col min="845" max="845" width="2.140625" style="221" customWidth="1"/>
    <col min="846" max="846" width="0.5703125" style="221" customWidth="1"/>
    <col min="847" max="847" width="2.140625" style="221" customWidth="1"/>
    <col min="848" max="848" width="0.5703125" style="221" customWidth="1"/>
    <col min="849" max="849" width="2.140625" style="221" customWidth="1"/>
    <col min="850" max="850" width="0.5703125" style="221" customWidth="1"/>
    <col min="851" max="851" width="2.140625" style="221" customWidth="1"/>
    <col min="852" max="852" width="0.5703125" style="221" customWidth="1"/>
    <col min="853" max="853" width="2.140625" style="221" customWidth="1"/>
    <col min="854" max="854" width="0.5703125" style="221" customWidth="1"/>
    <col min="855" max="856" width="2.5703125" style="221" customWidth="1"/>
    <col min="857"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7109375" style="221" customWidth="1"/>
    <col min="1030" max="1030" width="1.140625" style="221" customWidth="1"/>
    <col min="1031" max="1035" width="0.7109375" style="221" customWidth="1"/>
    <col min="1036" max="1036" width="0.5703125" style="221" customWidth="1"/>
    <col min="1037" max="1049" width="0.7109375" style="221" customWidth="1"/>
    <col min="1050" max="1050" width="1.4257812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 style="221" customWidth="1"/>
    <col min="1087" max="1088" width="0.5703125" style="221" customWidth="1"/>
    <col min="1089" max="1089" width="2.140625" style="221" customWidth="1"/>
    <col min="1090" max="1090" width="0.5703125" style="221" customWidth="1"/>
    <col min="1091" max="1091" width="2.140625" style="221" customWidth="1"/>
    <col min="1092" max="1092" width="0.5703125" style="221" customWidth="1"/>
    <col min="1093" max="1093" width="2.140625" style="221" customWidth="1"/>
    <col min="1094" max="1094" width="0.5703125" style="221" customWidth="1"/>
    <col min="1095" max="1095" width="2.140625" style="221" customWidth="1"/>
    <col min="1096" max="1096" width="0.5703125" style="221" customWidth="1"/>
    <col min="1097" max="1097" width="2.140625" style="221" customWidth="1"/>
    <col min="1098" max="1098" width="0.5703125" style="221" customWidth="1"/>
    <col min="1099" max="1099" width="2.140625" style="221" customWidth="1"/>
    <col min="1100" max="1100" width="0.5703125" style="221" customWidth="1"/>
    <col min="1101" max="1101" width="2.140625" style="221" customWidth="1"/>
    <col min="1102" max="1102" width="0.5703125" style="221" customWidth="1"/>
    <col min="1103" max="1103" width="2.140625" style="221" customWidth="1"/>
    <col min="1104" max="1104" width="0.5703125" style="221" customWidth="1"/>
    <col min="1105" max="1105" width="2.140625" style="221" customWidth="1"/>
    <col min="1106" max="1106" width="0.5703125" style="221" customWidth="1"/>
    <col min="1107" max="1107" width="2.140625" style="221" customWidth="1"/>
    <col min="1108" max="1108" width="0.5703125" style="221" customWidth="1"/>
    <col min="1109" max="1109" width="2.140625" style="221" customWidth="1"/>
    <col min="1110" max="1110" width="0.5703125" style="221" customWidth="1"/>
    <col min="1111" max="1112" width="2.5703125" style="221" customWidth="1"/>
    <col min="1113"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7109375" style="221" customWidth="1"/>
    <col min="1286" max="1286" width="1.140625" style="221" customWidth="1"/>
    <col min="1287" max="1291" width="0.7109375" style="221" customWidth="1"/>
    <col min="1292" max="1292" width="0.5703125" style="221" customWidth="1"/>
    <col min="1293" max="1305" width="0.7109375" style="221" customWidth="1"/>
    <col min="1306" max="1306" width="1.4257812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 style="221" customWidth="1"/>
    <col min="1343" max="1344" width="0.5703125" style="221" customWidth="1"/>
    <col min="1345" max="1345" width="2.140625" style="221" customWidth="1"/>
    <col min="1346" max="1346" width="0.5703125" style="221" customWidth="1"/>
    <col min="1347" max="1347" width="2.140625" style="221" customWidth="1"/>
    <col min="1348" max="1348" width="0.5703125" style="221" customWidth="1"/>
    <col min="1349" max="1349" width="2.140625" style="221" customWidth="1"/>
    <col min="1350" max="1350" width="0.5703125" style="221" customWidth="1"/>
    <col min="1351" max="1351" width="2.140625" style="221" customWidth="1"/>
    <col min="1352" max="1352" width="0.5703125" style="221" customWidth="1"/>
    <col min="1353" max="1353" width="2.140625" style="221" customWidth="1"/>
    <col min="1354" max="1354" width="0.5703125" style="221" customWidth="1"/>
    <col min="1355" max="1355" width="2.140625" style="221" customWidth="1"/>
    <col min="1356" max="1356" width="0.5703125" style="221" customWidth="1"/>
    <col min="1357" max="1357" width="2.140625" style="221" customWidth="1"/>
    <col min="1358" max="1358" width="0.5703125" style="221" customWidth="1"/>
    <col min="1359" max="1359" width="2.140625" style="221" customWidth="1"/>
    <col min="1360" max="1360" width="0.5703125" style="221" customWidth="1"/>
    <col min="1361" max="1361" width="2.140625" style="221" customWidth="1"/>
    <col min="1362" max="1362" width="0.5703125" style="221" customWidth="1"/>
    <col min="1363" max="1363" width="2.140625" style="221" customWidth="1"/>
    <col min="1364" max="1364" width="0.5703125" style="221" customWidth="1"/>
    <col min="1365" max="1365" width="2.140625" style="221" customWidth="1"/>
    <col min="1366" max="1366" width="0.5703125" style="221" customWidth="1"/>
    <col min="1367" max="1368" width="2.5703125" style="221" customWidth="1"/>
    <col min="1369"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7109375" style="221" customWidth="1"/>
    <col min="1542" max="1542" width="1.140625" style="221" customWidth="1"/>
    <col min="1543" max="1547" width="0.7109375" style="221" customWidth="1"/>
    <col min="1548" max="1548" width="0.5703125" style="221" customWidth="1"/>
    <col min="1549" max="1561" width="0.7109375" style="221" customWidth="1"/>
    <col min="1562" max="1562" width="1.4257812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 style="221" customWidth="1"/>
    <col min="1599" max="1600" width="0.5703125" style="221" customWidth="1"/>
    <col min="1601" max="1601" width="2.140625" style="221" customWidth="1"/>
    <col min="1602" max="1602" width="0.5703125" style="221" customWidth="1"/>
    <col min="1603" max="1603" width="2.140625" style="221" customWidth="1"/>
    <col min="1604" max="1604" width="0.5703125" style="221" customWidth="1"/>
    <col min="1605" max="1605" width="2.140625" style="221" customWidth="1"/>
    <col min="1606" max="1606" width="0.5703125" style="221" customWidth="1"/>
    <col min="1607" max="1607" width="2.140625" style="221" customWidth="1"/>
    <col min="1608" max="1608" width="0.5703125" style="221" customWidth="1"/>
    <col min="1609" max="1609" width="2.140625" style="221" customWidth="1"/>
    <col min="1610" max="1610" width="0.5703125" style="221" customWidth="1"/>
    <col min="1611" max="1611" width="2.140625" style="221" customWidth="1"/>
    <col min="1612" max="1612" width="0.5703125" style="221" customWidth="1"/>
    <col min="1613" max="1613" width="2.140625" style="221" customWidth="1"/>
    <col min="1614" max="1614" width="0.5703125" style="221" customWidth="1"/>
    <col min="1615" max="1615" width="2.140625" style="221" customWidth="1"/>
    <col min="1616" max="1616" width="0.5703125" style="221" customWidth="1"/>
    <col min="1617" max="1617" width="2.140625" style="221" customWidth="1"/>
    <col min="1618" max="1618" width="0.5703125" style="221" customWidth="1"/>
    <col min="1619" max="1619" width="2.140625" style="221" customWidth="1"/>
    <col min="1620" max="1620" width="0.5703125" style="221" customWidth="1"/>
    <col min="1621" max="1621" width="2.140625" style="221" customWidth="1"/>
    <col min="1622" max="1622" width="0.5703125" style="221" customWidth="1"/>
    <col min="1623" max="1624" width="2.5703125" style="221" customWidth="1"/>
    <col min="1625"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7109375" style="221" customWidth="1"/>
    <col min="1798" max="1798" width="1.140625" style="221" customWidth="1"/>
    <col min="1799" max="1803" width="0.7109375" style="221" customWidth="1"/>
    <col min="1804" max="1804" width="0.5703125" style="221" customWidth="1"/>
    <col min="1805" max="1817" width="0.7109375" style="221" customWidth="1"/>
    <col min="1818" max="1818" width="1.4257812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 style="221" customWidth="1"/>
    <col min="1855" max="1856" width="0.5703125" style="221" customWidth="1"/>
    <col min="1857" max="1857" width="2.140625" style="221" customWidth="1"/>
    <col min="1858" max="1858" width="0.5703125" style="221" customWidth="1"/>
    <col min="1859" max="1859" width="2.140625" style="221" customWidth="1"/>
    <col min="1860" max="1860" width="0.5703125" style="221" customWidth="1"/>
    <col min="1861" max="1861" width="2.140625" style="221" customWidth="1"/>
    <col min="1862" max="1862" width="0.5703125" style="221" customWidth="1"/>
    <col min="1863" max="1863" width="2.140625" style="221" customWidth="1"/>
    <col min="1864" max="1864" width="0.5703125" style="221" customWidth="1"/>
    <col min="1865" max="1865" width="2.140625" style="221" customWidth="1"/>
    <col min="1866" max="1866" width="0.5703125" style="221" customWidth="1"/>
    <col min="1867" max="1867" width="2.140625" style="221" customWidth="1"/>
    <col min="1868" max="1868" width="0.5703125" style="221" customWidth="1"/>
    <col min="1869" max="1869" width="2.140625" style="221" customWidth="1"/>
    <col min="1870" max="1870" width="0.5703125" style="221" customWidth="1"/>
    <col min="1871" max="1871" width="2.140625" style="221" customWidth="1"/>
    <col min="1872" max="1872" width="0.5703125" style="221" customWidth="1"/>
    <col min="1873" max="1873" width="2.140625" style="221" customWidth="1"/>
    <col min="1874" max="1874" width="0.5703125" style="221" customWidth="1"/>
    <col min="1875" max="1875" width="2.140625" style="221" customWidth="1"/>
    <col min="1876" max="1876" width="0.5703125" style="221" customWidth="1"/>
    <col min="1877" max="1877" width="2.140625" style="221" customWidth="1"/>
    <col min="1878" max="1878" width="0.5703125" style="221" customWidth="1"/>
    <col min="1879" max="1880" width="2.5703125" style="221" customWidth="1"/>
    <col min="1881"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7109375" style="221" customWidth="1"/>
    <col min="2054" max="2054" width="1.140625" style="221" customWidth="1"/>
    <col min="2055" max="2059" width="0.7109375" style="221" customWidth="1"/>
    <col min="2060" max="2060" width="0.5703125" style="221" customWidth="1"/>
    <col min="2061" max="2073" width="0.7109375" style="221" customWidth="1"/>
    <col min="2074" max="2074" width="1.4257812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 style="221" customWidth="1"/>
    <col min="2111" max="2112" width="0.5703125" style="221" customWidth="1"/>
    <col min="2113" max="2113" width="2.140625" style="221" customWidth="1"/>
    <col min="2114" max="2114" width="0.5703125" style="221" customWidth="1"/>
    <col min="2115" max="2115" width="2.140625" style="221" customWidth="1"/>
    <col min="2116" max="2116" width="0.5703125" style="221" customWidth="1"/>
    <col min="2117" max="2117" width="2.140625" style="221" customWidth="1"/>
    <col min="2118" max="2118" width="0.5703125" style="221" customWidth="1"/>
    <col min="2119" max="2119" width="2.140625" style="221" customWidth="1"/>
    <col min="2120" max="2120" width="0.5703125" style="221" customWidth="1"/>
    <col min="2121" max="2121" width="2.140625" style="221" customWidth="1"/>
    <col min="2122" max="2122" width="0.5703125" style="221" customWidth="1"/>
    <col min="2123" max="2123" width="2.140625" style="221" customWidth="1"/>
    <col min="2124" max="2124" width="0.5703125" style="221" customWidth="1"/>
    <col min="2125" max="2125" width="2.140625" style="221" customWidth="1"/>
    <col min="2126" max="2126" width="0.5703125" style="221" customWidth="1"/>
    <col min="2127" max="2127" width="2.140625" style="221" customWidth="1"/>
    <col min="2128" max="2128" width="0.5703125" style="221" customWidth="1"/>
    <col min="2129" max="2129" width="2.140625" style="221" customWidth="1"/>
    <col min="2130" max="2130" width="0.5703125" style="221" customWidth="1"/>
    <col min="2131" max="2131" width="2.140625" style="221" customWidth="1"/>
    <col min="2132" max="2132" width="0.5703125" style="221" customWidth="1"/>
    <col min="2133" max="2133" width="2.140625" style="221" customWidth="1"/>
    <col min="2134" max="2134" width="0.5703125" style="221" customWidth="1"/>
    <col min="2135" max="2136" width="2.5703125" style="221" customWidth="1"/>
    <col min="2137"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7109375" style="221" customWidth="1"/>
    <col min="2310" max="2310" width="1.140625" style="221" customWidth="1"/>
    <col min="2311" max="2315" width="0.7109375" style="221" customWidth="1"/>
    <col min="2316" max="2316" width="0.5703125" style="221" customWidth="1"/>
    <col min="2317" max="2329" width="0.7109375" style="221" customWidth="1"/>
    <col min="2330" max="2330" width="1.4257812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 style="221" customWidth="1"/>
    <col min="2367" max="2368" width="0.5703125" style="221" customWidth="1"/>
    <col min="2369" max="2369" width="2.140625" style="221" customWidth="1"/>
    <col min="2370" max="2370" width="0.5703125" style="221" customWidth="1"/>
    <col min="2371" max="2371" width="2.140625" style="221" customWidth="1"/>
    <col min="2372" max="2372" width="0.5703125" style="221" customWidth="1"/>
    <col min="2373" max="2373" width="2.140625" style="221" customWidth="1"/>
    <col min="2374" max="2374" width="0.5703125" style="221" customWidth="1"/>
    <col min="2375" max="2375" width="2.140625" style="221" customWidth="1"/>
    <col min="2376" max="2376" width="0.5703125" style="221" customWidth="1"/>
    <col min="2377" max="2377" width="2.140625" style="221" customWidth="1"/>
    <col min="2378" max="2378" width="0.5703125" style="221" customWidth="1"/>
    <col min="2379" max="2379" width="2.140625" style="221" customWidth="1"/>
    <col min="2380" max="2380" width="0.5703125" style="221" customWidth="1"/>
    <col min="2381" max="2381" width="2.140625" style="221" customWidth="1"/>
    <col min="2382" max="2382" width="0.5703125" style="221" customWidth="1"/>
    <col min="2383" max="2383" width="2.140625" style="221" customWidth="1"/>
    <col min="2384" max="2384" width="0.5703125" style="221" customWidth="1"/>
    <col min="2385" max="2385" width="2.140625" style="221" customWidth="1"/>
    <col min="2386" max="2386" width="0.5703125" style="221" customWidth="1"/>
    <col min="2387" max="2387" width="2.140625" style="221" customWidth="1"/>
    <col min="2388" max="2388" width="0.5703125" style="221" customWidth="1"/>
    <col min="2389" max="2389" width="2.140625" style="221" customWidth="1"/>
    <col min="2390" max="2390" width="0.5703125" style="221" customWidth="1"/>
    <col min="2391" max="2392" width="2.5703125" style="221" customWidth="1"/>
    <col min="2393"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7109375" style="221" customWidth="1"/>
    <col min="2566" max="2566" width="1.140625" style="221" customWidth="1"/>
    <col min="2567" max="2571" width="0.7109375" style="221" customWidth="1"/>
    <col min="2572" max="2572" width="0.5703125" style="221" customWidth="1"/>
    <col min="2573" max="2585" width="0.7109375" style="221" customWidth="1"/>
    <col min="2586" max="2586" width="1.4257812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 style="221" customWidth="1"/>
    <col min="2623" max="2624" width="0.5703125" style="221" customWidth="1"/>
    <col min="2625" max="2625" width="2.140625" style="221" customWidth="1"/>
    <col min="2626" max="2626" width="0.5703125" style="221" customWidth="1"/>
    <col min="2627" max="2627" width="2.140625" style="221" customWidth="1"/>
    <col min="2628" max="2628" width="0.5703125" style="221" customWidth="1"/>
    <col min="2629" max="2629" width="2.140625" style="221" customWidth="1"/>
    <col min="2630" max="2630" width="0.5703125" style="221" customWidth="1"/>
    <col min="2631" max="2631" width="2.140625" style="221" customWidth="1"/>
    <col min="2632" max="2632" width="0.5703125" style="221" customWidth="1"/>
    <col min="2633" max="2633" width="2.140625" style="221" customWidth="1"/>
    <col min="2634" max="2634" width="0.5703125" style="221" customWidth="1"/>
    <col min="2635" max="2635" width="2.140625" style="221" customWidth="1"/>
    <col min="2636" max="2636" width="0.5703125" style="221" customWidth="1"/>
    <col min="2637" max="2637" width="2.140625" style="221" customWidth="1"/>
    <col min="2638" max="2638" width="0.5703125" style="221" customWidth="1"/>
    <col min="2639" max="2639" width="2.140625" style="221" customWidth="1"/>
    <col min="2640" max="2640" width="0.5703125" style="221" customWidth="1"/>
    <col min="2641" max="2641" width="2.140625" style="221" customWidth="1"/>
    <col min="2642" max="2642" width="0.5703125" style="221" customWidth="1"/>
    <col min="2643" max="2643" width="2.140625" style="221" customWidth="1"/>
    <col min="2644" max="2644" width="0.5703125" style="221" customWidth="1"/>
    <col min="2645" max="2645" width="2.140625" style="221" customWidth="1"/>
    <col min="2646" max="2646" width="0.5703125" style="221" customWidth="1"/>
    <col min="2647" max="2648" width="2.5703125" style="221" customWidth="1"/>
    <col min="2649"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7109375" style="221" customWidth="1"/>
    <col min="2822" max="2822" width="1.140625" style="221" customWidth="1"/>
    <col min="2823" max="2827" width="0.7109375" style="221" customWidth="1"/>
    <col min="2828" max="2828" width="0.5703125" style="221" customWidth="1"/>
    <col min="2829" max="2841" width="0.7109375" style="221" customWidth="1"/>
    <col min="2842" max="2842" width="1.4257812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 style="221" customWidth="1"/>
    <col min="2879" max="2880" width="0.5703125" style="221" customWidth="1"/>
    <col min="2881" max="2881" width="2.140625" style="221" customWidth="1"/>
    <col min="2882" max="2882" width="0.5703125" style="221" customWidth="1"/>
    <col min="2883" max="2883" width="2.140625" style="221" customWidth="1"/>
    <col min="2884" max="2884" width="0.5703125" style="221" customWidth="1"/>
    <col min="2885" max="2885" width="2.140625" style="221" customWidth="1"/>
    <col min="2886" max="2886" width="0.5703125" style="221" customWidth="1"/>
    <col min="2887" max="2887" width="2.140625" style="221" customWidth="1"/>
    <col min="2888" max="2888" width="0.5703125" style="221" customWidth="1"/>
    <col min="2889" max="2889" width="2.140625" style="221" customWidth="1"/>
    <col min="2890" max="2890" width="0.5703125" style="221" customWidth="1"/>
    <col min="2891" max="2891" width="2.140625" style="221" customWidth="1"/>
    <col min="2892" max="2892" width="0.5703125" style="221" customWidth="1"/>
    <col min="2893" max="2893" width="2.140625" style="221" customWidth="1"/>
    <col min="2894" max="2894" width="0.5703125" style="221" customWidth="1"/>
    <col min="2895" max="2895" width="2.140625" style="221" customWidth="1"/>
    <col min="2896" max="2896" width="0.5703125" style="221" customWidth="1"/>
    <col min="2897" max="2897" width="2.140625" style="221" customWidth="1"/>
    <col min="2898" max="2898" width="0.5703125" style="221" customWidth="1"/>
    <col min="2899" max="2899" width="2.140625" style="221" customWidth="1"/>
    <col min="2900" max="2900" width="0.5703125" style="221" customWidth="1"/>
    <col min="2901" max="2901" width="2.140625" style="221" customWidth="1"/>
    <col min="2902" max="2902" width="0.5703125" style="221" customWidth="1"/>
    <col min="2903" max="2904" width="2.5703125" style="221" customWidth="1"/>
    <col min="2905"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7109375" style="221" customWidth="1"/>
    <col min="3078" max="3078" width="1.140625" style="221" customWidth="1"/>
    <col min="3079" max="3083" width="0.7109375" style="221" customWidth="1"/>
    <col min="3084" max="3084" width="0.5703125" style="221" customWidth="1"/>
    <col min="3085" max="3097" width="0.7109375" style="221" customWidth="1"/>
    <col min="3098" max="3098" width="1.4257812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 style="221" customWidth="1"/>
    <col min="3135" max="3136" width="0.5703125" style="221" customWidth="1"/>
    <col min="3137" max="3137" width="2.140625" style="221" customWidth="1"/>
    <col min="3138" max="3138" width="0.5703125" style="221" customWidth="1"/>
    <col min="3139" max="3139" width="2.140625" style="221" customWidth="1"/>
    <col min="3140" max="3140" width="0.5703125" style="221" customWidth="1"/>
    <col min="3141" max="3141" width="2.140625" style="221" customWidth="1"/>
    <col min="3142" max="3142" width="0.5703125" style="221" customWidth="1"/>
    <col min="3143" max="3143" width="2.140625" style="221" customWidth="1"/>
    <col min="3144" max="3144" width="0.5703125" style="221" customWidth="1"/>
    <col min="3145" max="3145" width="2.140625" style="221" customWidth="1"/>
    <col min="3146" max="3146" width="0.5703125" style="221" customWidth="1"/>
    <col min="3147" max="3147" width="2.140625" style="221" customWidth="1"/>
    <col min="3148" max="3148" width="0.5703125" style="221" customWidth="1"/>
    <col min="3149" max="3149" width="2.140625" style="221" customWidth="1"/>
    <col min="3150" max="3150" width="0.5703125" style="221" customWidth="1"/>
    <col min="3151" max="3151" width="2.140625" style="221" customWidth="1"/>
    <col min="3152" max="3152" width="0.5703125" style="221" customWidth="1"/>
    <col min="3153" max="3153" width="2.140625" style="221" customWidth="1"/>
    <col min="3154" max="3154" width="0.5703125" style="221" customWidth="1"/>
    <col min="3155" max="3155" width="2.140625" style="221" customWidth="1"/>
    <col min="3156" max="3156" width="0.5703125" style="221" customWidth="1"/>
    <col min="3157" max="3157" width="2.140625" style="221" customWidth="1"/>
    <col min="3158" max="3158" width="0.5703125" style="221" customWidth="1"/>
    <col min="3159" max="3160" width="2.5703125" style="221" customWidth="1"/>
    <col min="3161"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7109375" style="221" customWidth="1"/>
    <col min="3334" max="3334" width="1.140625" style="221" customWidth="1"/>
    <col min="3335" max="3339" width="0.7109375" style="221" customWidth="1"/>
    <col min="3340" max="3340" width="0.5703125" style="221" customWidth="1"/>
    <col min="3341" max="3353" width="0.7109375" style="221" customWidth="1"/>
    <col min="3354" max="3354" width="1.4257812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 style="221" customWidth="1"/>
    <col min="3391" max="3392" width="0.5703125" style="221" customWidth="1"/>
    <col min="3393" max="3393" width="2.140625" style="221" customWidth="1"/>
    <col min="3394" max="3394" width="0.5703125" style="221" customWidth="1"/>
    <col min="3395" max="3395" width="2.140625" style="221" customWidth="1"/>
    <col min="3396" max="3396" width="0.5703125" style="221" customWidth="1"/>
    <col min="3397" max="3397" width="2.140625" style="221" customWidth="1"/>
    <col min="3398" max="3398" width="0.5703125" style="221" customWidth="1"/>
    <col min="3399" max="3399" width="2.140625" style="221" customWidth="1"/>
    <col min="3400" max="3400" width="0.5703125" style="221" customWidth="1"/>
    <col min="3401" max="3401" width="2.140625" style="221" customWidth="1"/>
    <col min="3402" max="3402" width="0.5703125" style="221" customWidth="1"/>
    <col min="3403" max="3403" width="2.140625" style="221" customWidth="1"/>
    <col min="3404" max="3404" width="0.5703125" style="221" customWidth="1"/>
    <col min="3405" max="3405" width="2.140625" style="221" customWidth="1"/>
    <col min="3406" max="3406" width="0.5703125" style="221" customWidth="1"/>
    <col min="3407" max="3407" width="2.140625" style="221" customWidth="1"/>
    <col min="3408" max="3408" width="0.5703125" style="221" customWidth="1"/>
    <col min="3409" max="3409" width="2.140625" style="221" customWidth="1"/>
    <col min="3410" max="3410" width="0.5703125" style="221" customWidth="1"/>
    <col min="3411" max="3411" width="2.140625" style="221" customWidth="1"/>
    <col min="3412" max="3412" width="0.5703125" style="221" customWidth="1"/>
    <col min="3413" max="3413" width="2.140625" style="221" customWidth="1"/>
    <col min="3414" max="3414" width="0.5703125" style="221" customWidth="1"/>
    <col min="3415" max="3416" width="2.5703125" style="221" customWidth="1"/>
    <col min="3417"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7109375" style="221" customWidth="1"/>
    <col min="3590" max="3590" width="1.140625" style="221" customWidth="1"/>
    <col min="3591" max="3595" width="0.7109375" style="221" customWidth="1"/>
    <col min="3596" max="3596" width="0.5703125" style="221" customWidth="1"/>
    <col min="3597" max="3609" width="0.7109375" style="221" customWidth="1"/>
    <col min="3610" max="3610" width="1.4257812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 style="221" customWidth="1"/>
    <col min="3647" max="3648" width="0.5703125" style="221" customWidth="1"/>
    <col min="3649" max="3649" width="2.140625" style="221" customWidth="1"/>
    <col min="3650" max="3650" width="0.5703125" style="221" customWidth="1"/>
    <col min="3651" max="3651" width="2.140625" style="221" customWidth="1"/>
    <col min="3652" max="3652" width="0.5703125" style="221" customWidth="1"/>
    <col min="3653" max="3653" width="2.140625" style="221" customWidth="1"/>
    <col min="3654" max="3654" width="0.5703125" style="221" customWidth="1"/>
    <col min="3655" max="3655" width="2.140625" style="221" customWidth="1"/>
    <col min="3656" max="3656" width="0.5703125" style="221" customWidth="1"/>
    <col min="3657" max="3657" width="2.140625" style="221" customWidth="1"/>
    <col min="3658" max="3658" width="0.5703125" style="221" customWidth="1"/>
    <col min="3659" max="3659" width="2.140625" style="221" customWidth="1"/>
    <col min="3660" max="3660" width="0.5703125" style="221" customWidth="1"/>
    <col min="3661" max="3661" width="2.140625" style="221" customWidth="1"/>
    <col min="3662" max="3662" width="0.5703125" style="221" customWidth="1"/>
    <col min="3663" max="3663" width="2.140625" style="221" customWidth="1"/>
    <col min="3664" max="3664" width="0.5703125" style="221" customWidth="1"/>
    <col min="3665" max="3665" width="2.140625" style="221" customWidth="1"/>
    <col min="3666" max="3666" width="0.5703125" style="221" customWidth="1"/>
    <col min="3667" max="3667" width="2.140625" style="221" customWidth="1"/>
    <col min="3668" max="3668" width="0.5703125" style="221" customWidth="1"/>
    <col min="3669" max="3669" width="2.140625" style="221" customWidth="1"/>
    <col min="3670" max="3670" width="0.5703125" style="221" customWidth="1"/>
    <col min="3671" max="3672" width="2.5703125" style="221" customWidth="1"/>
    <col min="3673"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7109375" style="221" customWidth="1"/>
    <col min="3846" max="3846" width="1.140625" style="221" customWidth="1"/>
    <col min="3847" max="3851" width="0.7109375" style="221" customWidth="1"/>
    <col min="3852" max="3852" width="0.5703125" style="221" customWidth="1"/>
    <col min="3853" max="3865" width="0.7109375" style="221" customWidth="1"/>
    <col min="3866" max="3866" width="1.4257812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 style="221" customWidth="1"/>
    <col min="3903" max="3904" width="0.5703125" style="221" customWidth="1"/>
    <col min="3905" max="3905" width="2.140625" style="221" customWidth="1"/>
    <col min="3906" max="3906" width="0.5703125" style="221" customWidth="1"/>
    <col min="3907" max="3907" width="2.140625" style="221" customWidth="1"/>
    <col min="3908" max="3908" width="0.5703125" style="221" customWidth="1"/>
    <col min="3909" max="3909" width="2.140625" style="221" customWidth="1"/>
    <col min="3910" max="3910" width="0.5703125" style="221" customWidth="1"/>
    <col min="3911" max="3911" width="2.140625" style="221" customWidth="1"/>
    <col min="3912" max="3912" width="0.5703125" style="221" customWidth="1"/>
    <col min="3913" max="3913" width="2.140625" style="221" customWidth="1"/>
    <col min="3914" max="3914" width="0.5703125" style="221" customWidth="1"/>
    <col min="3915" max="3915" width="2.140625" style="221" customWidth="1"/>
    <col min="3916" max="3916" width="0.5703125" style="221" customWidth="1"/>
    <col min="3917" max="3917" width="2.140625" style="221" customWidth="1"/>
    <col min="3918" max="3918" width="0.5703125" style="221" customWidth="1"/>
    <col min="3919" max="3919" width="2.140625" style="221" customWidth="1"/>
    <col min="3920" max="3920" width="0.5703125" style="221" customWidth="1"/>
    <col min="3921" max="3921" width="2.140625" style="221" customWidth="1"/>
    <col min="3922" max="3922" width="0.5703125" style="221" customWidth="1"/>
    <col min="3923" max="3923" width="2.140625" style="221" customWidth="1"/>
    <col min="3924" max="3924" width="0.5703125" style="221" customWidth="1"/>
    <col min="3925" max="3925" width="2.140625" style="221" customWidth="1"/>
    <col min="3926" max="3926" width="0.5703125" style="221" customWidth="1"/>
    <col min="3927" max="3928" width="2.5703125" style="221" customWidth="1"/>
    <col min="3929"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7109375" style="221" customWidth="1"/>
    <col min="4102" max="4102" width="1.140625" style="221" customWidth="1"/>
    <col min="4103" max="4107" width="0.7109375" style="221" customWidth="1"/>
    <col min="4108" max="4108" width="0.5703125" style="221" customWidth="1"/>
    <col min="4109" max="4121" width="0.7109375" style="221" customWidth="1"/>
    <col min="4122" max="4122" width="1.4257812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 style="221" customWidth="1"/>
    <col min="4159" max="4160" width="0.5703125" style="221" customWidth="1"/>
    <col min="4161" max="4161" width="2.140625" style="221" customWidth="1"/>
    <col min="4162" max="4162" width="0.5703125" style="221" customWidth="1"/>
    <col min="4163" max="4163" width="2.140625" style="221" customWidth="1"/>
    <col min="4164" max="4164" width="0.5703125" style="221" customWidth="1"/>
    <col min="4165" max="4165" width="2.140625" style="221" customWidth="1"/>
    <col min="4166" max="4166" width="0.5703125" style="221" customWidth="1"/>
    <col min="4167" max="4167" width="2.140625" style="221" customWidth="1"/>
    <col min="4168" max="4168" width="0.5703125" style="221" customWidth="1"/>
    <col min="4169" max="4169" width="2.140625" style="221" customWidth="1"/>
    <col min="4170" max="4170" width="0.5703125" style="221" customWidth="1"/>
    <col min="4171" max="4171" width="2.140625" style="221" customWidth="1"/>
    <col min="4172" max="4172" width="0.5703125" style="221" customWidth="1"/>
    <col min="4173" max="4173" width="2.140625" style="221" customWidth="1"/>
    <col min="4174" max="4174" width="0.5703125" style="221" customWidth="1"/>
    <col min="4175" max="4175" width="2.140625" style="221" customWidth="1"/>
    <col min="4176" max="4176" width="0.5703125" style="221" customWidth="1"/>
    <col min="4177" max="4177" width="2.140625" style="221" customWidth="1"/>
    <col min="4178" max="4178" width="0.5703125" style="221" customWidth="1"/>
    <col min="4179" max="4179" width="2.140625" style="221" customWidth="1"/>
    <col min="4180" max="4180" width="0.5703125" style="221" customWidth="1"/>
    <col min="4181" max="4181" width="2.140625" style="221" customWidth="1"/>
    <col min="4182" max="4182" width="0.5703125" style="221" customWidth="1"/>
    <col min="4183" max="4184" width="2.5703125" style="221" customWidth="1"/>
    <col min="4185"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7109375" style="221" customWidth="1"/>
    <col min="4358" max="4358" width="1.140625" style="221" customWidth="1"/>
    <col min="4359" max="4363" width="0.7109375" style="221" customWidth="1"/>
    <col min="4364" max="4364" width="0.5703125" style="221" customWidth="1"/>
    <col min="4365" max="4377" width="0.7109375" style="221" customWidth="1"/>
    <col min="4378" max="4378" width="1.4257812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 style="221" customWidth="1"/>
    <col min="4415" max="4416" width="0.5703125" style="221" customWidth="1"/>
    <col min="4417" max="4417" width="2.140625" style="221" customWidth="1"/>
    <col min="4418" max="4418" width="0.5703125" style="221" customWidth="1"/>
    <col min="4419" max="4419" width="2.140625" style="221" customWidth="1"/>
    <col min="4420" max="4420" width="0.5703125" style="221" customWidth="1"/>
    <col min="4421" max="4421" width="2.140625" style="221" customWidth="1"/>
    <col min="4422" max="4422" width="0.5703125" style="221" customWidth="1"/>
    <col min="4423" max="4423" width="2.140625" style="221" customWidth="1"/>
    <col min="4424" max="4424" width="0.5703125" style="221" customWidth="1"/>
    <col min="4425" max="4425" width="2.140625" style="221" customWidth="1"/>
    <col min="4426" max="4426" width="0.5703125" style="221" customWidth="1"/>
    <col min="4427" max="4427" width="2.140625" style="221" customWidth="1"/>
    <col min="4428" max="4428" width="0.5703125" style="221" customWidth="1"/>
    <col min="4429" max="4429" width="2.140625" style="221" customWidth="1"/>
    <col min="4430" max="4430" width="0.5703125" style="221" customWidth="1"/>
    <col min="4431" max="4431" width="2.140625" style="221" customWidth="1"/>
    <col min="4432" max="4432" width="0.5703125" style="221" customWidth="1"/>
    <col min="4433" max="4433" width="2.140625" style="221" customWidth="1"/>
    <col min="4434" max="4434" width="0.5703125" style="221" customWidth="1"/>
    <col min="4435" max="4435" width="2.140625" style="221" customWidth="1"/>
    <col min="4436" max="4436" width="0.5703125" style="221" customWidth="1"/>
    <col min="4437" max="4437" width="2.140625" style="221" customWidth="1"/>
    <col min="4438" max="4438" width="0.5703125" style="221" customWidth="1"/>
    <col min="4439" max="4440" width="2.5703125" style="221" customWidth="1"/>
    <col min="4441"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7109375" style="221" customWidth="1"/>
    <col min="4614" max="4614" width="1.140625" style="221" customWidth="1"/>
    <col min="4615" max="4619" width="0.7109375" style="221" customWidth="1"/>
    <col min="4620" max="4620" width="0.5703125" style="221" customWidth="1"/>
    <col min="4621" max="4633" width="0.7109375" style="221" customWidth="1"/>
    <col min="4634" max="4634" width="1.4257812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 style="221" customWidth="1"/>
    <col min="4671" max="4672" width="0.5703125" style="221" customWidth="1"/>
    <col min="4673" max="4673" width="2.140625" style="221" customWidth="1"/>
    <col min="4674" max="4674" width="0.5703125" style="221" customWidth="1"/>
    <col min="4675" max="4675" width="2.140625" style="221" customWidth="1"/>
    <col min="4676" max="4676" width="0.5703125" style="221" customWidth="1"/>
    <col min="4677" max="4677" width="2.140625" style="221" customWidth="1"/>
    <col min="4678" max="4678" width="0.5703125" style="221" customWidth="1"/>
    <col min="4679" max="4679" width="2.140625" style="221" customWidth="1"/>
    <col min="4680" max="4680" width="0.5703125" style="221" customWidth="1"/>
    <col min="4681" max="4681" width="2.140625" style="221" customWidth="1"/>
    <col min="4682" max="4682" width="0.5703125" style="221" customWidth="1"/>
    <col min="4683" max="4683" width="2.140625" style="221" customWidth="1"/>
    <col min="4684" max="4684" width="0.5703125" style="221" customWidth="1"/>
    <col min="4685" max="4685" width="2.140625" style="221" customWidth="1"/>
    <col min="4686" max="4686" width="0.5703125" style="221" customWidth="1"/>
    <col min="4687" max="4687" width="2.140625" style="221" customWidth="1"/>
    <col min="4688" max="4688" width="0.5703125" style="221" customWidth="1"/>
    <col min="4689" max="4689" width="2.140625" style="221" customWidth="1"/>
    <col min="4690" max="4690" width="0.5703125" style="221" customWidth="1"/>
    <col min="4691" max="4691" width="2.140625" style="221" customWidth="1"/>
    <col min="4692" max="4692" width="0.5703125" style="221" customWidth="1"/>
    <col min="4693" max="4693" width="2.140625" style="221" customWidth="1"/>
    <col min="4694" max="4694" width="0.5703125" style="221" customWidth="1"/>
    <col min="4695" max="4696" width="2.5703125" style="221" customWidth="1"/>
    <col min="4697"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7109375" style="221" customWidth="1"/>
    <col min="4870" max="4870" width="1.140625" style="221" customWidth="1"/>
    <col min="4871" max="4875" width="0.7109375" style="221" customWidth="1"/>
    <col min="4876" max="4876" width="0.5703125" style="221" customWidth="1"/>
    <col min="4877" max="4889" width="0.7109375" style="221" customWidth="1"/>
    <col min="4890" max="4890" width="1.4257812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 style="221" customWidth="1"/>
    <col min="4927" max="4928" width="0.5703125" style="221" customWidth="1"/>
    <col min="4929" max="4929" width="2.140625" style="221" customWidth="1"/>
    <col min="4930" max="4930" width="0.5703125" style="221" customWidth="1"/>
    <col min="4931" max="4931" width="2.140625" style="221" customWidth="1"/>
    <col min="4932" max="4932" width="0.5703125" style="221" customWidth="1"/>
    <col min="4933" max="4933" width="2.140625" style="221" customWidth="1"/>
    <col min="4934" max="4934" width="0.5703125" style="221" customWidth="1"/>
    <col min="4935" max="4935" width="2.140625" style="221" customWidth="1"/>
    <col min="4936" max="4936" width="0.5703125" style="221" customWidth="1"/>
    <col min="4937" max="4937" width="2.140625" style="221" customWidth="1"/>
    <col min="4938" max="4938" width="0.5703125" style="221" customWidth="1"/>
    <col min="4939" max="4939" width="2.140625" style="221" customWidth="1"/>
    <col min="4940" max="4940" width="0.5703125" style="221" customWidth="1"/>
    <col min="4941" max="4941" width="2.140625" style="221" customWidth="1"/>
    <col min="4942" max="4942" width="0.5703125" style="221" customWidth="1"/>
    <col min="4943" max="4943" width="2.140625" style="221" customWidth="1"/>
    <col min="4944" max="4944" width="0.5703125" style="221" customWidth="1"/>
    <col min="4945" max="4945" width="2.140625" style="221" customWidth="1"/>
    <col min="4946" max="4946" width="0.5703125" style="221" customWidth="1"/>
    <col min="4947" max="4947" width="2.140625" style="221" customWidth="1"/>
    <col min="4948" max="4948" width="0.5703125" style="221" customWidth="1"/>
    <col min="4949" max="4949" width="2.140625" style="221" customWidth="1"/>
    <col min="4950" max="4950" width="0.5703125" style="221" customWidth="1"/>
    <col min="4951" max="4952" width="2.5703125" style="221" customWidth="1"/>
    <col min="4953"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7109375" style="221" customWidth="1"/>
    <col min="5126" max="5126" width="1.140625" style="221" customWidth="1"/>
    <col min="5127" max="5131" width="0.7109375" style="221" customWidth="1"/>
    <col min="5132" max="5132" width="0.5703125" style="221" customWidth="1"/>
    <col min="5133" max="5145" width="0.7109375" style="221" customWidth="1"/>
    <col min="5146" max="5146" width="1.4257812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 style="221" customWidth="1"/>
    <col min="5183" max="5184" width="0.5703125" style="221" customWidth="1"/>
    <col min="5185" max="5185" width="2.140625" style="221" customWidth="1"/>
    <col min="5186" max="5186" width="0.5703125" style="221" customWidth="1"/>
    <col min="5187" max="5187" width="2.140625" style="221" customWidth="1"/>
    <col min="5188" max="5188" width="0.5703125" style="221" customWidth="1"/>
    <col min="5189" max="5189" width="2.140625" style="221" customWidth="1"/>
    <col min="5190" max="5190" width="0.5703125" style="221" customWidth="1"/>
    <col min="5191" max="5191" width="2.140625" style="221" customWidth="1"/>
    <col min="5192" max="5192" width="0.5703125" style="221" customWidth="1"/>
    <col min="5193" max="5193" width="2.140625" style="221" customWidth="1"/>
    <col min="5194" max="5194" width="0.5703125" style="221" customWidth="1"/>
    <col min="5195" max="5195" width="2.140625" style="221" customWidth="1"/>
    <col min="5196" max="5196" width="0.5703125" style="221" customWidth="1"/>
    <col min="5197" max="5197" width="2.140625" style="221" customWidth="1"/>
    <col min="5198" max="5198" width="0.5703125" style="221" customWidth="1"/>
    <col min="5199" max="5199" width="2.140625" style="221" customWidth="1"/>
    <col min="5200" max="5200" width="0.5703125" style="221" customWidth="1"/>
    <col min="5201" max="5201" width="2.140625" style="221" customWidth="1"/>
    <col min="5202" max="5202" width="0.5703125" style="221" customWidth="1"/>
    <col min="5203" max="5203" width="2.140625" style="221" customWidth="1"/>
    <col min="5204" max="5204" width="0.5703125" style="221" customWidth="1"/>
    <col min="5205" max="5205" width="2.140625" style="221" customWidth="1"/>
    <col min="5206" max="5206" width="0.5703125" style="221" customWidth="1"/>
    <col min="5207" max="5208" width="2.5703125" style="221" customWidth="1"/>
    <col min="5209"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7109375" style="221" customWidth="1"/>
    <col min="5382" max="5382" width="1.140625" style="221" customWidth="1"/>
    <col min="5383" max="5387" width="0.7109375" style="221" customWidth="1"/>
    <col min="5388" max="5388" width="0.5703125" style="221" customWidth="1"/>
    <col min="5389" max="5401" width="0.7109375" style="221" customWidth="1"/>
    <col min="5402" max="5402" width="1.4257812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 style="221" customWidth="1"/>
    <col min="5439" max="5440" width="0.5703125" style="221" customWidth="1"/>
    <col min="5441" max="5441" width="2.140625" style="221" customWidth="1"/>
    <col min="5442" max="5442" width="0.5703125" style="221" customWidth="1"/>
    <col min="5443" max="5443" width="2.140625" style="221" customWidth="1"/>
    <col min="5444" max="5444" width="0.5703125" style="221" customWidth="1"/>
    <col min="5445" max="5445" width="2.140625" style="221" customWidth="1"/>
    <col min="5446" max="5446" width="0.5703125" style="221" customWidth="1"/>
    <col min="5447" max="5447" width="2.140625" style="221" customWidth="1"/>
    <col min="5448" max="5448" width="0.5703125" style="221" customWidth="1"/>
    <col min="5449" max="5449" width="2.140625" style="221" customWidth="1"/>
    <col min="5450" max="5450" width="0.5703125" style="221" customWidth="1"/>
    <col min="5451" max="5451" width="2.140625" style="221" customWidth="1"/>
    <col min="5452" max="5452" width="0.5703125" style="221" customWidth="1"/>
    <col min="5453" max="5453" width="2.140625" style="221" customWidth="1"/>
    <col min="5454" max="5454" width="0.5703125" style="221" customWidth="1"/>
    <col min="5455" max="5455" width="2.140625" style="221" customWidth="1"/>
    <col min="5456" max="5456" width="0.5703125" style="221" customWidth="1"/>
    <col min="5457" max="5457" width="2.140625" style="221" customWidth="1"/>
    <col min="5458" max="5458" width="0.5703125" style="221" customWidth="1"/>
    <col min="5459" max="5459" width="2.140625" style="221" customWidth="1"/>
    <col min="5460" max="5460" width="0.5703125" style="221" customWidth="1"/>
    <col min="5461" max="5461" width="2.140625" style="221" customWidth="1"/>
    <col min="5462" max="5462" width="0.5703125" style="221" customWidth="1"/>
    <col min="5463" max="5464" width="2.5703125" style="221" customWidth="1"/>
    <col min="5465"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7109375" style="221" customWidth="1"/>
    <col min="5638" max="5638" width="1.140625" style="221" customWidth="1"/>
    <col min="5639" max="5643" width="0.7109375" style="221" customWidth="1"/>
    <col min="5644" max="5644" width="0.5703125" style="221" customWidth="1"/>
    <col min="5645" max="5657" width="0.7109375" style="221" customWidth="1"/>
    <col min="5658" max="5658" width="1.4257812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 style="221" customWidth="1"/>
    <col min="5695" max="5696" width="0.5703125" style="221" customWidth="1"/>
    <col min="5697" max="5697" width="2.140625" style="221" customWidth="1"/>
    <col min="5698" max="5698" width="0.5703125" style="221" customWidth="1"/>
    <col min="5699" max="5699" width="2.140625" style="221" customWidth="1"/>
    <col min="5700" max="5700" width="0.5703125" style="221" customWidth="1"/>
    <col min="5701" max="5701" width="2.140625" style="221" customWidth="1"/>
    <col min="5702" max="5702" width="0.5703125" style="221" customWidth="1"/>
    <col min="5703" max="5703" width="2.140625" style="221" customWidth="1"/>
    <col min="5704" max="5704" width="0.5703125" style="221" customWidth="1"/>
    <col min="5705" max="5705" width="2.140625" style="221" customWidth="1"/>
    <col min="5706" max="5706" width="0.5703125" style="221" customWidth="1"/>
    <col min="5707" max="5707" width="2.140625" style="221" customWidth="1"/>
    <col min="5708" max="5708" width="0.5703125" style="221" customWidth="1"/>
    <col min="5709" max="5709" width="2.140625" style="221" customWidth="1"/>
    <col min="5710" max="5710" width="0.5703125" style="221" customWidth="1"/>
    <col min="5711" max="5711" width="2.140625" style="221" customWidth="1"/>
    <col min="5712" max="5712" width="0.5703125" style="221" customWidth="1"/>
    <col min="5713" max="5713" width="2.140625" style="221" customWidth="1"/>
    <col min="5714" max="5714" width="0.5703125" style="221" customWidth="1"/>
    <col min="5715" max="5715" width="2.140625" style="221" customWidth="1"/>
    <col min="5716" max="5716" width="0.5703125" style="221" customWidth="1"/>
    <col min="5717" max="5717" width="2.140625" style="221" customWidth="1"/>
    <col min="5718" max="5718" width="0.5703125" style="221" customWidth="1"/>
    <col min="5719" max="5720" width="2.5703125" style="221" customWidth="1"/>
    <col min="5721"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7109375" style="221" customWidth="1"/>
    <col min="5894" max="5894" width="1.140625" style="221" customWidth="1"/>
    <col min="5895" max="5899" width="0.7109375" style="221" customWidth="1"/>
    <col min="5900" max="5900" width="0.5703125" style="221" customWidth="1"/>
    <col min="5901" max="5913" width="0.7109375" style="221" customWidth="1"/>
    <col min="5914" max="5914" width="1.4257812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 style="221" customWidth="1"/>
    <col min="5951" max="5952" width="0.5703125" style="221" customWidth="1"/>
    <col min="5953" max="5953" width="2.140625" style="221" customWidth="1"/>
    <col min="5954" max="5954" width="0.5703125" style="221" customWidth="1"/>
    <col min="5955" max="5955" width="2.140625" style="221" customWidth="1"/>
    <col min="5956" max="5956" width="0.5703125" style="221" customWidth="1"/>
    <col min="5957" max="5957" width="2.140625" style="221" customWidth="1"/>
    <col min="5958" max="5958" width="0.5703125" style="221" customWidth="1"/>
    <col min="5959" max="5959" width="2.140625" style="221" customWidth="1"/>
    <col min="5960" max="5960" width="0.5703125" style="221" customWidth="1"/>
    <col min="5961" max="5961" width="2.140625" style="221" customWidth="1"/>
    <col min="5962" max="5962" width="0.5703125" style="221" customWidth="1"/>
    <col min="5963" max="5963" width="2.140625" style="221" customWidth="1"/>
    <col min="5964" max="5964" width="0.5703125" style="221" customWidth="1"/>
    <col min="5965" max="5965" width="2.140625" style="221" customWidth="1"/>
    <col min="5966" max="5966" width="0.5703125" style="221" customWidth="1"/>
    <col min="5967" max="5967" width="2.140625" style="221" customWidth="1"/>
    <col min="5968" max="5968" width="0.5703125" style="221" customWidth="1"/>
    <col min="5969" max="5969" width="2.140625" style="221" customWidth="1"/>
    <col min="5970" max="5970" width="0.5703125" style="221" customWidth="1"/>
    <col min="5971" max="5971" width="2.140625" style="221" customWidth="1"/>
    <col min="5972" max="5972" width="0.5703125" style="221" customWidth="1"/>
    <col min="5973" max="5973" width="2.140625" style="221" customWidth="1"/>
    <col min="5974" max="5974" width="0.5703125" style="221" customWidth="1"/>
    <col min="5975" max="5976" width="2.5703125" style="221" customWidth="1"/>
    <col min="5977"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7109375" style="221" customWidth="1"/>
    <col min="6150" max="6150" width="1.140625" style="221" customWidth="1"/>
    <col min="6151" max="6155" width="0.7109375" style="221" customWidth="1"/>
    <col min="6156" max="6156" width="0.5703125" style="221" customWidth="1"/>
    <col min="6157" max="6169" width="0.7109375" style="221" customWidth="1"/>
    <col min="6170" max="6170" width="1.4257812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 style="221" customWidth="1"/>
    <col min="6207" max="6208" width="0.5703125" style="221" customWidth="1"/>
    <col min="6209" max="6209" width="2.140625" style="221" customWidth="1"/>
    <col min="6210" max="6210" width="0.5703125" style="221" customWidth="1"/>
    <col min="6211" max="6211" width="2.140625" style="221" customWidth="1"/>
    <col min="6212" max="6212" width="0.5703125" style="221" customWidth="1"/>
    <col min="6213" max="6213" width="2.140625" style="221" customWidth="1"/>
    <col min="6214" max="6214" width="0.5703125" style="221" customWidth="1"/>
    <col min="6215" max="6215" width="2.140625" style="221" customWidth="1"/>
    <col min="6216" max="6216" width="0.5703125" style="221" customWidth="1"/>
    <col min="6217" max="6217" width="2.140625" style="221" customWidth="1"/>
    <col min="6218" max="6218" width="0.5703125" style="221" customWidth="1"/>
    <col min="6219" max="6219" width="2.140625" style="221" customWidth="1"/>
    <col min="6220" max="6220" width="0.5703125" style="221" customWidth="1"/>
    <col min="6221" max="6221" width="2.140625" style="221" customWidth="1"/>
    <col min="6222" max="6222" width="0.5703125" style="221" customWidth="1"/>
    <col min="6223" max="6223" width="2.140625" style="221" customWidth="1"/>
    <col min="6224" max="6224" width="0.5703125" style="221" customWidth="1"/>
    <col min="6225" max="6225" width="2.140625" style="221" customWidth="1"/>
    <col min="6226" max="6226" width="0.5703125" style="221" customWidth="1"/>
    <col min="6227" max="6227" width="2.140625" style="221" customWidth="1"/>
    <col min="6228" max="6228" width="0.5703125" style="221" customWidth="1"/>
    <col min="6229" max="6229" width="2.140625" style="221" customWidth="1"/>
    <col min="6230" max="6230" width="0.5703125" style="221" customWidth="1"/>
    <col min="6231" max="6232" width="2.5703125" style="221" customWidth="1"/>
    <col min="6233"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7109375" style="221" customWidth="1"/>
    <col min="6406" max="6406" width="1.140625" style="221" customWidth="1"/>
    <col min="6407" max="6411" width="0.7109375" style="221" customWidth="1"/>
    <col min="6412" max="6412" width="0.5703125" style="221" customWidth="1"/>
    <col min="6413" max="6425" width="0.7109375" style="221" customWidth="1"/>
    <col min="6426" max="6426" width="1.4257812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 style="221" customWidth="1"/>
    <col min="6463" max="6464" width="0.5703125" style="221" customWidth="1"/>
    <col min="6465" max="6465" width="2.140625" style="221" customWidth="1"/>
    <col min="6466" max="6466" width="0.5703125" style="221" customWidth="1"/>
    <col min="6467" max="6467" width="2.140625" style="221" customWidth="1"/>
    <col min="6468" max="6468" width="0.5703125" style="221" customWidth="1"/>
    <col min="6469" max="6469" width="2.140625" style="221" customWidth="1"/>
    <col min="6470" max="6470" width="0.5703125" style="221" customWidth="1"/>
    <col min="6471" max="6471" width="2.140625" style="221" customWidth="1"/>
    <col min="6472" max="6472" width="0.5703125" style="221" customWidth="1"/>
    <col min="6473" max="6473" width="2.140625" style="221" customWidth="1"/>
    <col min="6474" max="6474" width="0.5703125" style="221" customWidth="1"/>
    <col min="6475" max="6475" width="2.140625" style="221" customWidth="1"/>
    <col min="6476" max="6476" width="0.5703125" style="221" customWidth="1"/>
    <col min="6477" max="6477" width="2.140625" style="221" customWidth="1"/>
    <col min="6478" max="6478" width="0.5703125" style="221" customWidth="1"/>
    <col min="6479" max="6479" width="2.140625" style="221" customWidth="1"/>
    <col min="6480" max="6480" width="0.5703125" style="221" customWidth="1"/>
    <col min="6481" max="6481" width="2.140625" style="221" customWidth="1"/>
    <col min="6482" max="6482" width="0.5703125" style="221" customWidth="1"/>
    <col min="6483" max="6483" width="2.140625" style="221" customWidth="1"/>
    <col min="6484" max="6484" width="0.5703125" style="221" customWidth="1"/>
    <col min="6485" max="6485" width="2.140625" style="221" customWidth="1"/>
    <col min="6486" max="6486" width="0.5703125" style="221" customWidth="1"/>
    <col min="6487" max="6488" width="2.5703125" style="221" customWidth="1"/>
    <col min="6489"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7109375" style="221" customWidth="1"/>
    <col min="6662" max="6662" width="1.140625" style="221" customWidth="1"/>
    <col min="6663" max="6667" width="0.7109375" style="221" customWidth="1"/>
    <col min="6668" max="6668" width="0.5703125" style="221" customWidth="1"/>
    <col min="6669" max="6681" width="0.7109375" style="221" customWidth="1"/>
    <col min="6682" max="6682" width="1.4257812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 style="221" customWidth="1"/>
    <col min="6719" max="6720" width="0.5703125" style="221" customWidth="1"/>
    <col min="6721" max="6721" width="2.140625" style="221" customWidth="1"/>
    <col min="6722" max="6722" width="0.5703125" style="221" customWidth="1"/>
    <col min="6723" max="6723" width="2.140625" style="221" customWidth="1"/>
    <col min="6724" max="6724" width="0.5703125" style="221" customWidth="1"/>
    <col min="6725" max="6725" width="2.140625" style="221" customWidth="1"/>
    <col min="6726" max="6726" width="0.5703125" style="221" customWidth="1"/>
    <col min="6727" max="6727" width="2.140625" style="221" customWidth="1"/>
    <col min="6728" max="6728" width="0.5703125" style="221" customWidth="1"/>
    <col min="6729" max="6729" width="2.140625" style="221" customWidth="1"/>
    <col min="6730" max="6730" width="0.5703125" style="221" customWidth="1"/>
    <col min="6731" max="6731" width="2.140625" style="221" customWidth="1"/>
    <col min="6732" max="6732" width="0.5703125" style="221" customWidth="1"/>
    <col min="6733" max="6733" width="2.140625" style="221" customWidth="1"/>
    <col min="6734" max="6734" width="0.5703125" style="221" customWidth="1"/>
    <col min="6735" max="6735" width="2.140625" style="221" customWidth="1"/>
    <col min="6736" max="6736" width="0.5703125" style="221" customWidth="1"/>
    <col min="6737" max="6737" width="2.140625" style="221" customWidth="1"/>
    <col min="6738" max="6738" width="0.5703125" style="221" customWidth="1"/>
    <col min="6739" max="6739" width="2.140625" style="221" customWidth="1"/>
    <col min="6740" max="6740" width="0.5703125" style="221" customWidth="1"/>
    <col min="6741" max="6741" width="2.140625" style="221" customWidth="1"/>
    <col min="6742" max="6742" width="0.5703125" style="221" customWidth="1"/>
    <col min="6743" max="6744" width="2.5703125" style="221" customWidth="1"/>
    <col min="6745"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7109375" style="221" customWidth="1"/>
    <col min="6918" max="6918" width="1.140625" style="221" customWidth="1"/>
    <col min="6919" max="6923" width="0.7109375" style="221" customWidth="1"/>
    <col min="6924" max="6924" width="0.5703125" style="221" customWidth="1"/>
    <col min="6925" max="6937" width="0.7109375" style="221" customWidth="1"/>
    <col min="6938" max="6938" width="1.4257812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 style="221" customWidth="1"/>
    <col min="6975" max="6976" width="0.5703125" style="221" customWidth="1"/>
    <col min="6977" max="6977" width="2.140625" style="221" customWidth="1"/>
    <col min="6978" max="6978" width="0.5703125" style="221" customWidth="1"/>
    <col min="6979" max="6979" width="2.140625" style="221" customWidth="1"/>
    <col min="6980" max="6980" width="0.5703125" style="221" customWidth="1"/>
    <col min="6981" max="6981" width="2.140625" style="221" customWidth="1"/>
    <col min="6982" max="6982" width="0.5703125" style="221" customWidth="1"/>
    <col min="6983" max="6983" width="2.140625" style="221" customWidth="1"/>
    <col min="6984" max="6984" width="0.5703125" style="221" customWidth="1"/>
    <col min="6985" max="6985" width="2.140625" style="221" customWidth="1"/>
    <col min="6986" max="6986" width="0.5703125" style="221" customWidth="1"/>
    <col min="6987" max="6987" width="2.140625" style="221" customWidth="1"/>
    <col min="6988" max="6988" width="0.5703125" style="221" customWidth="1"/>
    <col min="6989" max="6989" width="2.140625" style="221" customWidth="1"/>
    <col min="6990" max="6990" width="0.5703125" style="221" customWidth="1"/>
    <col min="6991" max="6991" width="2.140625" style="221" customWidth="1"/>
    <col min="6992" max="6992" width="0.5703125" style="221" customWidth="1"/>
    <col min="6993" max="6993" width="2.140625" style="221" customWidth="1"/>
    <col min="6994" max="6994" width="0.5703125" style="221" customWidth="1"/>
    <col min="6995" max="6995" width="2.140625" style="221" customWidth="1"/>
    <col min="6996" max="6996" width="0.5703125" style="221" customWidth="1"/>
    <col min="6997" max="6997" width="2.140625" style="221" customWidth="1"/>
    <col min="6998" max="6998" width="0.5703125" style="221" customWidth="1"/>
    <col min="6999" max="7000" width="2.5703125" style="221" customWidth="1"/>
    <col min="7001"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7109375" style="221" customWidth="1"/>
    <col min="7174" max="7174" width="1.140625" style="221" customWidth="1"/>
    <col min="7175" max="7179" width="0.7109375" style="221" customWidth="1"/>
    <col min="7180" max="7180" width="0.5703125" style="221" customWidth="1"/>
    <col min="7181" max="7193" width="0.7109375" style="221" customWidth="1"/>
    <col min="7194" max="7194" width="1.4257812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 style="221" customWidth="1"/>
    <col min="7231" max="7232" width="0.5703125" style="221" customWidth="1"/>
    <col min="7233" max="7233" width="2.140625" style="221" customWidth="1"/>
    <col min="7234" max="7234" width="0.5703125" style="221" customWidth="1"/>
    <col min="7235" max="7235" width="2.140625" style="221" customWidth="1"/>
    <col min="7236" max="7236" width="0.5703125" style="221" customWidth="1"/>
    <col min="7237" max="7237" width="2.140625" style="221" customWidth="1"/>
    <col min="7238" max="7238" width="0.5703125" style="221" customWidth="1"/>
    <col min="7239" max="7239" width="2.140625" style="221" customWidth="1"/>
    <col min="7240" max="7240" width="0.5703125" style="221" customWidth="1"/>
    <col min="7241" max="7241" width="2.140625" style="221" customWidth="1"/>
    <col min="7242" max="7242" width="0.5703125" style="221" customWidth="1"/>
    <col min="7243" max="7243" width="2.140625" style="221" customWidth="1"/>
    <col min="7244" max="7244" width="0.5703125" style="221" customWidth="1"/>
    <col min="7245" max="7245" width="2.140625" style="221" customWidth="1"/>
    <col min="7246" max="7246" width="0.5703125" style="221" customWidth="1"/>
    <col min="7247" max="7247" width="2.140625" style="221" customWidth="1"/>
    <col min="7248" max="7248" width="0.5703125" style="221" customWidth="1"/>
    <col min="7249" max="7249" width="2.140625" style="221" customWidth="1"/>
    <col min="7250" max="7250" width="0.5703125" style="221" customWidth="1"/>
    <col min="7251" max="7251" width="2.140625" style="221" customWidth="1"/>
    <col min="7252" max="7252" width="0.5703125" style="221" customWidth="1"/>
    <col min="7253" max="7253" width="2.140625" style="221" customWidth="1"/>
    <col min="7254" max="7254" width="0.5703125" style="221" customWidth="1"/>
    <col min="7255" max="7256" width="2.5703125" style="221" customWidth="1"/>
    <col min="7257"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7109375" style="221" customWidth="1"/>
    <col min="7430" max="7430" width="1.140625" style="221" customWidth="1"/>
    <col min="7431" max="7435" width="0.7109375" style="221" customWidth="1"/>
    <col min="7436" max="7436" width="0.5703125" style="221" customWidth="1"/>
    <col min="7437" max="7449" width="0.7109375" style="221" customWidth="1"/>
    <col min="7450" max="7450" width="1.4257812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 style="221" customWidth="1"/>
    <col min="7487" max="7488" width="0.5703125" style="221" customWidth="1"/>
    <col min="7489" max="7489" width="2.140625" style="221" customWidth="1"/>
    <col min="7490" max="7490" width="0.5703125" style="221" customWidth="1"/>
    <col min="7491" max="7491" width="2.140625" style="221" customWidth="1"/>
    <col min="7492" max="7492" width="0.5703125" style="221" customWidth="1"/>
    <col min="7493" max="7493" width="2.140625" style="221" customWidth="1"/>
    <col min="7494" max="7494" width="0.5703125" style="221" customWidth="1"/>
    <col min="7495" max="7495" width="2.140625" style="221" customWidth="1"/>
    <col min="7496" max="7496" width="0.5703125" style="221" customWidth="1"/>
    <col min="7497" max="7497" width="2.140625" style="221" customWidth="1"/>
    <col min="7498" max="7498" width="0.5703125" style="221" customWidth="1"/>
    <col min="7499" max="7499" width="2.140625" style="221" customWidth="1"/>
    <col min="7500" max="7500" width="0.5703125" style="221" customWidth="1"/>
    <col min="7501" max="7501" width="2.140625" style="221" customWidth="1"/>
    <col min="7502" max="7502" width="0.5703125" style="221" customWidth="1"/>
    <col min="7503" max="7503" width="2.140625" style="221" customWidth="1"/>
    <col min="7504" max="7504" width="0.5703125" style="221" customWidth="1"/>
    <col min="7505" max="7505" width="2.140625" style="221" customWidth="1"/>
    <col min="7506" max="7506" width="0.5703125" style="221" customWidth="1"/>
    <col min="7507" max="7507" width="2.140625" style="221" customWidth="1"/>
    <col min="7508" max="7508" width="0.5703125" style="221" customWidth="1"/>
    <col min="7509" max="7509" width="2.140625" style="221" customWidth="1"/>
    <col min="7510" max="7510" width="0.5703125" style="221" customWidth="1"/>
    <col min="7511" max="7512" width="2.5703125" style="221" customWidth="1"/>
    <col min="7513"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7109375" style="221" customWidth="1"/>
    <col min="7686" max="7686" width="1.140625" style="221" customWidth="1"/>
    <col min="7687" max="7691" width="0.7109375" style="221" customWidth="1"/>
    <col min="7692" max="7692" width="0.5703125" style="221" customWidth="1"/>
    <col min="7693" max="7705" width="0.7109375" style="221" customWidth="1"/>
    <col min="7706" max="7706" width="1.4257812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 style="221" customWidth="1"/>
    <col min="7743" max="7744" width="0.5703125" style="221" customWidth="1"/>
    <col min="7745" max="7745" width="2.140625" style="221" customWidth="1"/>
    <col min="7746" max="7746" width="0.5703125" style="221" customWidth="1"/>
    <col min="7747" max="7747" width="2.140625" style="221" customWidth="1"/>
    <col min="7748" max="7748" width="0.5703125" style="221" customWidth="1"/>
    <col min="7749" max="7749" width="2.140625" style="221" customWidth="1"/>
    <col min="7750" max="7750" width="0.5703125" style="221" customWidth="1"/>
    <col min="7751" max="7751" width="2.140625" style="221" customWidth="1"/>
    <col min="7752" max="7752" width="0.5703125" style="221" customWidth="1"/>
    <col min="7753" max="7753" width="2.140625" style="221" customWidth="1"/>
    <col min="7754" max="7754" width="0.5703125" style="221" customWidth="1"/>
    <col min="7755" max="7755" width="2.140625" style="221" customWidth="1"/>
    <col min="7756" max="7756" width="0.5703125" style="221" customWidth="1"/>
    <col min="7757" max="7757" width="2.140625" style="221" customWidth="1"/>
    <col min="7758" max="7758" width="0.5703125" style="221" customWidth="1"/>
    <col min="7759" max="7759" width="2.140625" style="221" customWidth="1"/>
    <col min="7760" max="7760" width="0.5703125" style="221" customWidth="1"/>
    <col min="7761" max="7761" width="2.140625" style="221" customWidth="1"/>
    <col min="7762" max="7762" width="0.5703125" style="221" customWidth="1"/>
    <col min="7763" max="7763" width="2.140625" style="221" customWidth="1"/>
    <col min="7764" max="7764" width="0.5703125" style="221" customWidth="1"/>
    <col min="7765" max="7765" width="2.140625" style="221" customWidth="1"/>
    <col min="7766" max="7766" width="0.5703125" style="221" customWidth="1"/>
    <col min="7767" max="7768" width="2.5703125" style="221" customWidth="1"/>
    <col min="7769"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7109375" style="221" customWidth="1"/>
    <col min="7942" max="7942" width="1.140625" style="221" customWidth="1"/>
    <col min="7943" max="7947" width="0.7109375" style="221" customWidth="1"/>
    <col min="7948" max="7948" width="0.5703125" style="221" customWidth="1"/>
    <col min="7949" max="7961" width="0.7109375" style="221" customWidth="1"/>
    <col min="7962" max="7962" width="1.4257812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 style="221" customWidth="1"/>
    <col min="7999" max="8000" width="0.5703125" style="221" customWidth="1"/>
    <col min="8001" max="8001" width="2.140625" style="221" customWidth="1"/>
    <col min="8002" max="8002" width="0.5703125" style="221" customWidth="1"/>
    <col min="8003" max="8003" width="2.140625" style="221" customWidth="1"/>
    <col min="8004" max="8004" width="0.5703125" style="221" customWidth="1"/>
    <col min="8005" max="8005" width="2.140625" style="221" customWidth="1"/>
    <col min="8006" max="8006" width="0.5703125" style="221" customWidth="1"/>
    <col min="8007" max="8007" width="2.140625" style="221" customWidth="1"/>
    <col min="8008" max="8008" width="0.5703125" style="221" customWidth="1"/>
    <col min="8009" max="8009" width="2.140625" style="221" customWidth="1"/>
    <col min="8010" max="8010" width="0.5703125" style="221" customWidth="1"/>
    <col min="8011" max="8011" width="2.140625" style="221" customWidth="1"/>
    <col min="8012" max="8012" width="0.5703125" style="221" customWidth="1"/>
    <col min="8013" max="8013" width="2.140625" style="221" customWidth="1"/>
    <col min="8014" max="8014" width="0.5703125" style="221" customWidth="1"/>
    <col min="8015" max="8015" width="2.140625" style="221" customWidth="1"/>
    <col min="8016" max="8016" width="0.5703125" style="221" customWidth="1"/>
    <col min="8017" max="8017" width="2.140625" style="221" customWidth="1"/>
    <col min="8018" max="8018" width="0.5703125" style="221" customWidth="1"/>
    <col min="8019" max="8019" width="2.140625" style="221" customWidth="1"/>
    <col min="8020" max="8020" width="0.5703125" style="221" customWidth="1"/>
    <col min="8021" max="8021" width="2.140625" style="221" customWidth="1"/>
    <col min="8022" max="8022" width="0.5703125" style="221" customWidth="1"/>
    <col min="8023" max="8024" width="2.5703125" style="221" customWidth="1"/>
    <col min="8025"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7109375" style="221" customWidth="1"/>
    <col min="8198" max="8198" width="1.140625" style="221" customWidth="1"/>
    <col min="8199" max="8203" width="0.7109375" style="221" customWidth="1"/>
    <col min="8204" max="8204" width="0.5703125" style="221" customWidth="1"/>
    <col min="8205" max="8217" width="0.7109375" style="221" customWidth="1"/>
    <col min="8218" max="8218" width="1.4257812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 style="221" customWidth="1"/>
    <col min="8255" max="8256" width="0.5703125" style="221" customWidth="1"/>
    <col min="8257" max="8257" width="2.140625" style="221" customWidth="1"/>
    <col min="8258" max="8258" width="0.5703125" style="221" customWidth="1"/>
    <col min="8259" max="8259" width="2.140625" style="221" customWidth="1"/>
    <col min="8260" max="8260" width="0.5703125" style="221" customWidth="1"/>
    <col min="8261" max="8261" width="2.140625" style="221" customWidth="1"/>
    <col min="8262" max="8262" width="0.5703125" style="221" customWidth="1"/>
    <col min="8263" max="8263" width="2.140625" style="221" customWidth="1"/>
    <col min="8264" max="8264" width="0.5703125" style="221" customWidth="1"/>
    <col min="8265" max="8265" width="2.140625" style="221" customWidth="1"/>
    <col min="8266" max="8266" width="0.5703125" style="221" customWidth="1"/>
    <col min="8267" max="8267" width="2.140625" style="221" customWidth="1"/>
    <col min="8268" max="8268" width="0.5703125" style="221" customWidth="1"/>
    <col min="8269" max="8269" width="2.140625" style="221" customWidth="1"/>
    <col min="8270" max="8270" width="0.5703125" style="221" customWidth="1"/>
    <col min="8271" max="8271" width="2.140625" style="221" customWidth="1"/>
    <col min="8272" max="8272" width="0.5703125" style="221" customWidth="1"/>
    <col min="8273" max="8273" width="2.140625" style="221" customWidth="1"/>
    <col min="8274" max="8274" width="0.5703125" style="221" customWidth="1"/>
    <col min="8275" max="8275" width="2.140625" style="221" customWidth="1"/>
    <col min="8276" max="8276" width="0.5703125" style="221" customWidth="1"/>
    <col min="8277" max="8277" width="2.140625" style="221" customWidth="1"/>
    <col min="8278" max="8278" width="0.5703125" style="221" customWidth="1"/>
    <col min="8279" max="8280" width="2.5703125" style="221" customWidth="1"/>
    <col min="8281"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7109375" style="221" customWidth="1"/>
    <col min="8454" max="8454" width="1.140625" style="221" customWidth="1"/>
    <col min="8455" max="8459" width="0.7109375" style="221" customWidth="1"/>
    <col min="8460" max="8460" width="0.5703125" style="221" customWidth="1"/>
    <col min="8461" max="8473" width="0.7109375" style="221" customWidth="1"/>
    <col min="8474" max="8474" width="1.4257812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 style="221" customWidth="1"/>
    <col min="8511" max="8512" width="0.5703125" style="221" customWidth="1"/>
    <col min="8513" max="8513" width="2.140625" style="221" customWidth="1"/>
    <col min="8514" max="8514" width="0.5703125" style="221" customWidth="1"/>
    <col min="8515" max="8515" width="2.140625" style="221" customWidth="1"/>
    <col min="8516" max="8516" width="0.5703125" style="221" customWidth="1"/>
    <col min="8517" max="8517" width="2.140625" style="221" customWidth="1"/>
    <col min="8518" max="8518" width="0.5703125" style="221" customWidth="1"/>
    <col min="8519" max="8519" width="2.140625" style="221" customWidth="1"/>
    <col min="8520" max="8520" width="0.5703125" style="221" customWidth="1"/>
    <col min="8521" max="8521" width="2.140625" style="221" customWidth="1"/>
    <col min="8522" max="8522" width="0.5703125" style="221" customWidth="1"/>
    <col min="8523" max="8523" width="2.140625" style="221" customWidth="1"/>
    <col min="8524" max="8524" width="0.5703125" style="221" customWidth="1"/>
    <col min="8525" max="8525" width="2.140625" style="221" customWidth="1"/>
    <col min="8526" max="8526" width="0.5703125" style="221" customWidth="1"/>
    <col min="8527" max="8527" width="2.140625" style="221" customWidth="1"/>
    <col min="8528" max="8528" width="0.5703125" style="221" customWidth="1"/>
    <col min="8529" max="8529" width="2.140625" style="221" customWidth="1"/>
    <col min="8530" max="8530" width="0.5703125" style="221" customWidth="1"/>
    <col min="8531" max="8531" width="2.140625" style="221" customWidth="1"/>
    <col min="8532" max="8532" width="0.5703125" style="221" customWidth="1"/>
    <col min="8533" max="8533" width="2.140625" style="221" customWidth="1"/>
    <col min="8534" max="8534" width="0.5703125" style="221" customWidth="1"/>
    <col min="8535" max="8536" width="2.5703125" style="221" customWidth="1"/>
    <col min="8537"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7109375" style="221" customWidth="1"/>
    <col min="8710" max="8710" width="1.140625" style="221" customWidth="1"/>
    <col min="8711" max="8715" width="0.7109375" style="221" customWidth="1"/>
    <col min="8716" max="8716" width="0.5703125" style="221" customWidth="1"/>
    <col min="8717" max="8729" width="0.7109375" style="221" customWidth="1"/>
    <col min="8730" max="8730" width="1.4257812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 style="221" customWidth="1"/>
    <col min="8767" max="8768" width="0.5703125" style="221" customWidth="1"/>
    <col min="8769" max="8769" width="2.140625" style="221" customWidth="1"/>
    <col min="8770" max="8770" width="0.5703125" style="221" customWidth="1"/>
    <col min="8771" max="8771" width="2.140625" style="221" customWidth="1"/>
    <col min="8772" max="8772" width="0.5703125" style="221" customWidth="1"/>
    <col min="8773" max="8773" width="2.140625" style="221" customWidth="1"/>
    <col min="8774" max="8774" width="0.5703125" style="221" customWidth="1"/>
    <col min="8775" max="8775" width="2.140625" style="221" customWidth="1"/>
    <col min="8776" max="8776" width="0.5703125" style="221" customWidth="1"/>
    <col min="8777" max="8777" width="2.140625" style="221" customWidth="1"/>
    <col min="8778" max="8778" width="0.5703125" style="221" customWidth="1"/>
    <col min="8779" max="8779" width="2.140625" style="221" customWidth="1"/>
    <col min="8780" max="8780" width="0.5703125" style="221" customWidth="1"/>
    <col min="8781" max="8781" width="2.140625" style="221" customWidth="1"/>
    <col min="8782" max="8782" width="0.5703125" style="221" customWidth="1"/>
    <col min="8783" max="8783" width="2.140625" style="221" customWidth="1"/>
    <col min="8784" max="8784" width="0.5703125" style="221" customWidth="1"/>
    <col min="8785" max="8785" width="2.140625" style="221" customWidth="1"/>
    <col min="8786" max="8786" width="0.5703125" style="221" customWidth="1"/>
    <col min="8787" max="8787" width="2.140625" style="221" customWidth="1"/>
    <col min="8788" max="8788" width="0.5703125" style="221" customWidth="1"/>
    <col min="8789" max="8789" width="2.140625" style="221" customWidth="1"/>
    <col min="8790" max="8790" width="0.5703125" style="221" customWidth="1"/>
    <col min="8791" max="8792" width="2.5703125" style="221" customWidth="1"/>
    <col min="8793"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7109375" style="221" customWidth="1"/>
    <col min="8966" max="8966" width="1.140625" style="221" customWidth="1"/>
    <col min="8967" max="8971" width="0.7109375" style="221" customWidth="1"/>
    <col min="8972" max="8972" width="0.5703125" style="221" customWidth="1"/>
    <col min="8973" max="8985" width="0.7109375" style="221" customWidth="1"/>
    <col min="8986" max="8986" width="1.4257812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 style="221" customWidth="1"/>
    <col min="9023" max="9024" width="0.5703125" style="221" customWidth="1"/>
    <col min="9025" max="9025" width="2.140625" style="221" customWidth="1"/>
    <col min="9026" max="9026" width="0.5703125" style="221" customWidth="1"/>
    <col min="9027" max="9027" width="2.140625" style="221" customWidth="1"/>
    <col min="9028" max="9028" width="0.5703125" style="221" customWidth="1"/>
    <col min="9029" max="9029" width="2.140625" style="221" customWidth="1"/>
    <col min="9030" max="9030" width="0.5703125" style="221" customWidth="1"/>
    <col min="9031" max="9031" width="2.140625" style="221" customWidth="1"/>
    <col min="9032" max="9032" width="0.5703125" style="221" customWidth="1"/>
    <col min="9033" max="9033" width="2.140625" style="221" customWidth="1"/>
    <col min="9034" max="9034" width="0.5703125" style="221" customWidth="1"/>
    <col min="9035" max="9035" width="2.140625" style="221" customWidth="1"/>
    <col min="9036" max="9036" width="0.5703125" style="221" customWidth="1"/>
    <col min="9037" max="9037" width="2.140625" style="221" customWidth="1"/>
    <col min="9038" max="9038" width="0.5703125" style="221" customWidth="1"/>
    <col min="9039" max="9039" width="2.140625" style="221" customWidth="1"/>
    <col min="9040" max="9040" width="0.5703125" style="221" customWidth="1"/>
    <col min="9041" max="9041" width="2.140625" style="221" customWidth="1"/>
    <col min="9042" max="9042" width="0.5703125" style="221" customWidth="1"/>
    <col min="9043" max="9043" width="2.140625" style="221" customWidth="1"/>
    <col min="9044" max="9044" width="0.5703125" style="221" customWidth="1"/>
    <col min="9045" max="9045" width="2.140625" style="221" customWidth="1"/>
    <col min="9046" max="9046" width="0.5703125" style="221" customWidth="1"/>
    <col min="9047" max="9048" width="2.5703125" style="221" customWidth="1"/>
    <col min="9049"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7109375" style="221" customWidth="1"/>
    <col min="9222" max="9222" width="1.140625" style="221" customWidth="1"/>
    <col min="9223" max="9227" width="0.7109375" style="221" customWidth="1"/>
    <col min="9228" max="9228" width="0.5703125" style="221" customWidth="1"/>
    <col min="9229" max="9241" width="0.7109375" style="221" customWidth="1"/>
    <col min="9242" max="9242" width="1.4257812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 style="221" customWidth="1"/>
    <col min="9279" max="9280" width="0.5703125" style="221" customWidth="1"/>
    <col min="9281" max="9281" width="2.140625" style="221" customWidth="1"/>
    <col min="9282" max="9282" width="0.5703125" style="221" customWidth="1"/>
    <col min="9283" max="9283" width="2.140625" style="221" customWidth="1"/>
    <col min="9284" max="9284" width="0.5703125" style="221" customWidth="1"/>
    <col min="9285" max="9285" width="2.140625" style="221" customWidth="1"/>
    <col min="9286" max="9286" width="0.5703125" style="221" customWidth="1"/>
    <col min="9287" max="9287" width="2.140625" style="221" customWidth="1"/>
    <col min="9288" max="9288" width="0.5703125" style="221" customWidth="1"/>
    <col min="9289" max="9289" width="2.140625" style="221" customWidth="1"/>
    <col min="9290" max="9290" width="0.5703125" style="221" customWidth="1"/>
    <col min="9291" max="9291" width="2.140625" style="221" customWidth="1"/>
    <col min="9292" max="9292" width="0.5703125" style="221" customWidth="1"/>
    <col min="9293" max="9293" width="2.140625" style="221" customWidth="1"/>
    <col min="9294" max="9294" width="0.5703125" style="221" customWidth="1"/>
    <col min="9295" max="9295" width="2.140625" style="221" customWidth="1"/>
    <col min="9296" max="9296" width="0.5703125" style="221" customWidth="1"/>
    <col min="9297" max="9297" width="2.140625" style="221" customWidth="1"/>
    <col min="9298" max="9298" width="0.5703125" style="221" customWidth="1"/>
    <col min="9299" max="9299" width="2.140625" style="221" customWidth="1"/>
    <col min="9300" max="9300" width="0.5703125" style="221" customWidth="1"/>
    <col min="9301" max="9301" width="2.140625" style="221" customWidth="1"/>
    <col min="9302" max="9302" width="0.5703125" style="221" customWidth="1"/>
    <col min="9303" max="9304" width="2.5703125" style="221" customWidth="1"/>
    <col min="9305"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7109375" style="221" customWidth="1"/>
    <col min="9478" max="9478" width="1.140625" style="221" customWidth="1"/>
    <col min="9479" max="9483" width="0.7109375" style="221" customWidth="1"/>
    <col min="9484" max="9484" width="0.5703125" style="221" customWidth="1"/>
    <col min="9485" max="9497" width="0.7109375" style="221" customWidth="1"/>
    <col min="9498" max="9498" width="1.4257812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 style="221" customWidth="1"/>
    <col min="9535" max="9536" width="0.5703125" style="221" customWidth="1"/>
    <col min="9537" max="9537" width="2.140625" style="221" customWidth="1"/>
    <col min="9538" max="9538" width="0.5703125" style="221" customWidth="1"/>
    <col min="9539" max="9539" width="2.140625" style="221" customWidth="1"/>
    <col min="9540" max="9540" width="0.5703125" style="221" customWidth="1"/>
    <col min="9541" max="9541" width="2.140625" style="221" customWidth="1"/>
    <col min="9542" max="9542" width="0.5703125" style="221" customWidth="1"/>
    <col min="9543" max="9543" width="2.140625" style="221" customWidth="1"/>
    <col min="9544" max="9544" width="0.5703125" style="221" customWidth="1"/>
    <col min="9545" max="9545" width="2.140625" style="221" customWidth="1"/>
    <col min="9546" max="9546" width="0.5703125" style="221" customWidth="1"/>
    <col min="9547" max="9547" width="2.140625" style="221" customWidth="1"/>
    <col min="9548" max="9548" width="0.5703125" style="221" customWidth="1"/>
    <col min="9549" max="9549" width="2.140625" style="221" customWidth="1"/>
    <col min="9550" max="9550" width="0.5703125" style="221" customWidth="1"/>
    <col min="9551" max="9551" width="2.140625" style="221" customWidth="1"/>
    <col min="9552" max="9552" width="0.5703125" style="221" customWidth="1"/>
    <col min="9553" max="9553" width="2.140625" style="221" customWidth="1"/>
    <col min="9554" max="9554" width="0.5703125" style="221" customWidth="1"/>
    <col min="9555" max="9555" width="2.140625" style="221" customWidth="1"/>
    <col min="9556" max="9556" width="0.5703125" style="221" customWidth="1"/>
    <col min="9557" max="9557" width="2.140625" style="221" customWidth="1"/>
    <col min="9558" max="9558" width="0.5703125" style="221" customWidth="1"/>
    <col min="9559" max="9560" width="2.5703125" style="221" customWidth="1"/>
    <col min="9561"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7109375" style="221" customWidth="1"/>
    <col min="9734" max="9734" width="1.140625" style="221" customWidth="1"/>
    <col min="9735" max="9739" width="0.7109375" style="221" customWidth="1"/>
    <col min="9740" max="9740" width="0.5703125" style="221" customWidth="1"/>
    <col min="9741" max="9753" width="0.7109375" style="221" customWidth="1"/>
    <col min="9754" max="9754" width="1.4257812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 style="221" customWidth="1"/>
    <col min="9791" max="9792" width="0.5703125" style="221" customWidth="1"/>
    <col min="9793" max="9793" width="2.140625" style="221" customWidth="1"/>
    <col min="9794" max="9794" width="0.5703125" style="221" customWidth="1"/>
    <col min="9795" max="9795" width="2.140625" style="221" customWidth="1"/>
    <col min="9796" max="9796" width="0.5703125" style="221" customWidth="1"/>
    <col min="9797" max="9797" width="2.140625" style="221" customWidth="1"/>
    <col min="9798" max="9798" width="0.5703125" style="221" customWidth="1"/>
    <col min="9799" max="9799" width="2.140625" style="221" customWidth="1"/>
    <col min="9800" max="9800" width="0.5703125" style="221" customWidth="1"/>
    <col min="9801" max="9801" width="2.140625" style="221" customWidth="1"/>
    <col min="9802" max="9802" width="0.5703125" style="221" customWidth="1"/>
    <col min="9803" max="9803" width="2.140625" style="221" customWidth="1"/>
    <col min="9804" max="9804" width="0.5703125" style="221" customWidth="1"/>
    <col min="9805" max="9805" width="2.140625" style="221" customWidth="1"/>
    <col min="9806" max="9806" width="0.5703125" style="221" customWidth="1"/>
    <col min="9807" max="9807" width="2.140625" style="221" customWidth="1"/>
    <col min="9808" max="9808" width="0.5703125" style="221" customWidth="1"/>
    <col min="9809" max="9809" width="2.140625" style="221" customWidth="1"/>
    <col min="9810" max="9810" width="0.5703125" style="221" customWidth="1"/>
    <col min="9811" max="9811" width="2.140625" style="221" customWidth="1"/>
    <col min="9812" max="9812" width="0.5703125" style="221" customWidth="1"/>
    <col min="9813" max="9813" width="2.140625" style="221" customWidth="1"/>
    <col min="9814" max="9814" width="0.5703125" style="221" customWidth="1"/>
    <col min="9815" max="9816" width="2.5703125" style="221" customWidth="1"/>
    <col min="9817"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7109375" style="221" customWidth="1"/>
    <col min="9990" max="9990" width="1.140625" style="221" customWidth="1"/>
    <col min="9991" max="9995" width="0.7109375" style="221" customWidth="1"/>
    <col min="9996" max="9996" width="0.5703125" style="221" customWidth="1"/>
    <col min="9997" max="10009" width="0.7109375" style="221" customWidth="1"/>
    <col min="10010" max="10010" width="1.4257812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 style="221" customWidth="1"/>
    <col min="10047" max="10048" width="0.5703125" style="221" customWidth="1"/>
    <col min="10049" max="10049" width="2.140625" style="221" customWidth="1"/>
    <col min="10050" max="10050" width="0.5703125" style="221" customWidth="1"/>
    <col min="10051" max="10051" width="2.140625" style="221" customWidth="1"/>
    <col min="10052" max="10052" width="0.5703125" style="221" customWidth="1"/>
    <col min="10053" max="10053" width="2.140625" style="221" customWidth="1"/>
    <col min="10054" max="10054" width="0.5703125" style="221" customWidth="1"/>
    <col min="10055" max="10055" width="2.140625" style="221" customWidth="1"/>
    <col min="10056" max="10056" width="0.5703125" style="221" customWidth="1"/>
    <col min="10057" max="10057" width="2.140625" style="221" customWidth="1"/>
    <col min="10058" max="10058" width="0.5703125" style="221" customWidth="1"/>
    <col min="10059" max="10059" width="2.140625" style="221" customWidth="1"/>
    <col min="10060" max="10060" width="0.5703125" style="221" customWidth="1"/>
    <col min="10061" max="10061" width="2.140625" style="221" customWidth="1"/>
    <col min="10062" max="10062" width="0.5703125" style="221" customWidth="1"/>
    <col min="10063" max="10063" width="2.140625" style="221" customWidth="1"/>
    <col min="10064" max="10064" width="0.5703125" style="221" customWidth="1"/>
    <col min="10065" max="10065" width="2.140625" style="221" customWidth="1"/>
    <col min="10066" max="10066" width="0.5703125" style="221" customWidth="1"/>
    <col min="10067" max="10067" width="2.140625" style="221" customWidth="1"/>
    <col min="10068" max="10068" width="0.5703125" style="221" customWidth="1"/>
    <col min="10069" max="10069" width="2.140625" style="221" customWidth="1"/>
    <col min="10070" max="10070" width="0.5703125" style="221" customWidth="1"/>
    <col min="10071" max="10072" width="2.5703125" style="221" customWidth="1"/>
    <col min="10073"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7109375" style="221" customWidth="1"/>
    <col min="10246" max="10246" width="1.140625" style="221" customWidth="1"/>
    <col min="10247" max="10251" width="0.7109375" style="221" customWidth="1"/>
    <col min="10252" max="10252" width="0.5703125" style="221" customWidth="1"/>
    <col min="10253" max="10265" width="0.7109375" style="221" customWidth="1"/>
    <col min="10266" max="10266" width="1.4257812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 style="221" customWidth="1"/>
    <col min="10303" max="10304" width="0.5703125" style="221" customWidth="1"/>
    <col min="10305" max="10305" width="2.140625" style="221" customWidth="1"/>
    <col min="10306" max="10306" width="0.5703125" style="221" customWidth="1"/>
    <col min="10307" max="10307" width="2.140625" style="221" customWidth="1"/>
    <col min="10308" max="10308" width="0.5703125" style="221" customWidth="1"/>
    <col min="10309" max="10309" width="2.140625" style="221" customWidth="1"/>
    <col min="10310" max="10310" width="0.5703125" style="221" customWidth="1"/>
    <col min="10311" max="10311" width="2.140625" style="221" customWidth="1"/>
    <col min="10312" max="10312" width="0.5703125" style="221" customWidth="1"/>
    <col min="10313" max="10313" width="2.140625" style="221" customWidth="1"/>
    <col min="10314" max="10314" width="0.5703125" style="221" customWidth="1"/>
    <col min="10315" max="10315" width="2.140625" style="221" customWidth="1"/>
    <col min="10316" max="10316" width="0.5703125" style="221" customWidth="1"/>
    <col min="10317" max="10317" width="2.140625" style="221" customWidth="1"/>
    <col min="10318" max="10318" width="0.5703125" style="221" customWidth="1"/>
    <col min="10319" max="10319" width="2.140625" style="221" customWidth="1"/>
    <col min="10320" max="10320" width="0.5703125" style="221" customWidth="1"/>
    <col min="10321" max="10321" width="2.140625" style="221" customWidth="1"/>
    <col min="10322" max="10322" width="0.5703125" style="221" customWidth="1"/>
    <col min="10323" max="10323" width="2.140625" style="221" customWidth="1"/>
    <col min="10324" max="10324" width="0.5703125" style="221" customWidth="1"/>
    <col min="10325" max="10325" width="2.140625" style="221" customWidth="1"/>
    <col min="10326" max="10326" width="0.5703125" style="221" customWidth="1"/>
    <col min="10327" max="10328" width="2.5703125" style="221" customWidth="1"/>
    <col min="10329"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7109375" style="221" customWidth="1"/>
    <col min="10502" max="10502" width="1.140625" style="221" customWidth="1"/>
    <col min="10503" max="10507" width="0.7109375" style="221" customWidth="1"/>
    <col min="10508" max="10508" width="0.5703125" style="221" customWidth="1"/>
    <col min="10509" max="10521" width="0.7109375" style="221" customWidth="1"/>
    <col min="10522" max="10522" width="1.4257812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 style="221" customWidth="1"/>
    <col min="10559" max="10560" width="0.5703125" style="221" customWidth="1"/>
    <col min="10561" max="10561" width="2.140625" style="221" customWidth="1"/>
    <col min="10562" max="10562" width="0.5703125" style="221" customWidth="1"/>
    <col min="10563" max="10563" width="2.140625" style="221" customWidth="1"/>
    <col min="10564" max="10564" width="0.5703125" style="221" customWidth="1"/>
    <col min="10565" max="10565" width="2.140625" style="221" customWidth="1"/>
    <col min="10566" max="10566" width="0.5703125" style="221" customWidth="1"/>
    <col min="10567" max="10567" width="2.140625" style="221" customWidth="1"/>
    <col min="10568" max="10568" width="0.5703125" style="221" customWidth="1"/>
    <col min="10569" max="10569" width="2.140625" style="221" customWidth="1"/>
    <col min="10570" max="10570" width="0.5703125" style="221" customWidth="1"/>
    <col min="10571" max="10571" width="2.140625" style="221" customWidth="1"/>
    <col min="10572" max="10572" width="0.5703125" style="221" customWidth="1"/>
    <col min="10573" max="10573" width="2.140625" style="221" customWidth="1"/>
    <col min="10574" max="10574" width="0.5703125" style="221" customWidth="1"/>
    <col min="10575" max="10575" width="2.140625" style="221" customWidth="1"/>
    <col min="10576" max="10576" width="0.5703125" style="221" customWidth="1"/>
    <col min="10577" max="10577" width="2.140625" style="221" customWidth="1"/>
    <col min="10578" max="10578" width="0.5703125" style="221" customWidth="1"/>
    <col min="10579" max="10579" width="2.140625" style="221" customWidth="1"/>
    <col min="10580" max="10580" width="0.5703125" style="221" customWidth="1"/>
    <col min="10581" max="10581" width="2.140625" style="221" customWidth="1"/>
    <col min="10582" max="10582" width="0.5703125" style="221" customWidth="1"/>
    <col min="10583" max="10584" width="2.5703125" style="221" customWidth="1"/>
    <col min="10585"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7109375" style="221" customWidth="1"/>
    <col min="10758" max="10758" width="1.140625" style="221" customWidth="1"/>
    <col min="10759" max="10763" width="0.7109375" style="221" customWidth="1"/>
    <col min="10764" max="10764" width="0.5703125" style="221" customWidth="1"/>
    <col min="10765" max="10777" width="0.7109375" style="221" customWidth="1"/>
    <col min="10778" max="10778" width="1.4257812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 style="221" customWidth="1"/>
    <col min="10815" max="10816" width="0.5703125" style="221" customWidth="1"/>
    <col min="10817" max="10817" width="2.140625" style="221" customWidth="1"/>
    <col min="10818" max="10818" width="0.5703125" style="221" customWidth="1"/>
    <col min="10819" max="10819" width="2.140625" style="221" customWidth="1"/>
    <col min="10820" max="10820" width="0.5703125" style="221" customWidth="1"/>
    <col min="10821" max="10821" width="2.140625" style="221" customWidth="1"/>
    <col min="10822" max="10822" width="0.5703125" style="221" customWidth="1"/>
    <col min="10823" max="10823" width="2.140625" style="221" customWidth="1"/>
    <col min="10824" max="10824" width="0.5703125" style="221" customWidth="1"/>
    <col min="10825" max="10825" width="2.140625" style="221" customWidth="1"/>
    <col min="10826" max="10826" width="0.5703125" style="221" customWidth="1"/>
    <col min="10827" max="10827" width="2.140625" style="221" customWidth="1"/>
    <col min="10828" max="10828" width="0.5703125" style="221" customWidth="1"/>
    <col min="10829" max="10829" width="2.140625" style="221" customWidth="1"/>
    <col min="10830" max="10830" width="0.5703125" style="221" customWidth="1"/>
    <col min="10831" max="10831" width="2.140625" style="221" customWidth="1"/>
    <col min="10832" max="10832" width="0.5703125" style="221" customWidth="1"/>
    <col min="10833" max="10833" width="2.140625" style="221" customWidth="1"/>
    <col min="10834" max="10834" width="0.5703125" style="221" customWidth="1"/>
    <col min="10835" max="10835" width="2.140625" style="221" customWidth="1"/>
    <col min="10836" max="10836" width="0.5703125" style="221" customWidth="1"/>
    <col min="10837" max="10837" width="2.140625" style="221" customWidth="1"/>
    <col min="10838" max="10838" width="0.5703125" style="221" customWidth="1"/>
    <col min="10839" max="10840" width="2.5703125" style="221" customWidth="1"/>
    <col min="10841"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7109375" style="221" customWidth="1"/>
    <col min="11014" max="11014" width="1.140625" style="221" customWidth="1"/>
    <col min="11015" max="11019" width="0.7109375" style="221" customWidth="1"/>
    <col min="11020" max="11020" width="0.5703125" style="221" customWidth="1"/>
    <col min="11021" max="11033" width="0.7109375" style="221" customWidth="1"/>
    <col min="11034" max="11034" width="1.4257812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 style="221" customWidth="1"/>
    <col min="11071" max="11072" width="0.5703125" style="221" customWidth="1"/>
    <col min="11073" max="11073" width="2.140625" style="221" customWidth="1"/>
    <col min="11074" max="11074" width="0.5703125" style="221" customWidth="1"/>
    <col min="11075" max="11075" width="2.140625" style="221" customWidth="1"/>
    <col min="11076" max="11076" width="0.5703125" style="221" customWidth="1"/>
    <col min="11077" max="11077" width="2.140625" style="221" customWidth="1"/>
    <col min="11078" max="11078" width="0.5703125" style="221" customWidth="1"/>
    <col min="11079" max="11079" width="2.140625" style="221" customWidth="1"/>
    <col min="11080" max="11080" width="0.5703125" style="221" customWidth="1"/>
    <col min="11081" max="11081" width="2.140625" style="221" customWidth="1"/>
    <col min="11082" max="11082" width="0.5703125" style="221" customWidth="1"/>
    <col min="11083" max="11083" width="2.140625" style="221" customWidth="1"/>
    <col min="11084" max="11084" width="0.5703125" style="221" customWidth="1"/>
    <col min="11085" max="11085" width="2.140625" style="221" customWidth="1"/>
    <col min="11086" max="11086" width="0.5703125" style="221" customWidth="1"/>
    <col min="11087" max="11087" width="2.140625" style="221" customWidth="1"/>
    <col min="11088" max="11088" width="0.5703125" style="221" customWidth="1"/>
    <col min="11089" max="11089" width="2.140625" style="221" customWidth="1"/>
    <col min="11090" max="11090" width="0.5703125" style="221" customWidth="1"/>
    <col min="11091" max="11091" width="2.140625" style="221" customWidth="1"/>
    <col min="11092" max="11092" width="0.5703125" style="221" customWidth="1"/>
    <col min="11093" max="11093" width="2.140625" style="221" customWidth="1"/>
    <col min="11094" max="11094" width="0.5703125" style="221" customWidth="1"/>
    <col min="11095" max="11096" width="2.5703125" style="221" customWidth="1"/>
    <col min="11097"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7109375" style="221" customWidth="1"/>
    <col min="11270" max="11270" width="1.140625" style="221" customWidth="1"/>
    <col min="11271" max="11275" width="0.7109375" style="221" customWidth="1"/>
    <col min="11276" max="11276" width="0.5703125" style="221" customWidth="1"/>
    <col min="11277" max="11289" width="0.7109375" style="221" customWidth="1"/>
    <col min="11290" max="11290" width="1.4257812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 style="221" customWidth="1"/>
    <col min="11327" max="11328" width="0.5703125" style="221" customWidth="1"/>
    <col min="11329" max="11329" width="2.140625" style="221" customWidth="1"/>
    <col min="11330" max="11330" width="0.5703125" style="221" customWidth="1"/>
    <col min="11331" max="11331" width="2.140625" style="221" customWidth="1"/>
    <col min="11332" max="11332" width="0.5703125" style="221" customWidth="1"/>
    <col min="11333" max="11333" width="2.140625" style="221" customWidth="1"/>
    <col min="11334" max="11334" width="0.5703125" style="221" customWidth="1"/>
    <col min="11335" max="11335" width="2.140625" style="221" customWidth="1"/>
    <col min="11336" max="11336" width="0.5703125" style="221" customWidth="1"/>
    <col min="11337" max="11337" width="2.140625" style="221" customWidth="1"/>
    <col min="11338" max="11338" width="0.5703125" style="221" customWidth="1"/>
    <col min="11339" max="11339" width="2.140625" style="221" customWidth="1"/>
    <col min="11340" max="11340" width="0.5703125" style="221" customWidth="1"/>
    <col min="11341" max="11341" width="2.140625" style="221" customWidth="1"/>
    <col min="11342" max="11342" width="0.5703125" style="221" customWidth="1"/>
    <col min="11343" max="11343" width="2.140625" style="221" customWidth="1"/>
    <col min="11344" max="11344" width="0.5703125" style="221" customWidth="1"/>
    <col min="11345" max="11345" width="2.140625" style="221" customWidth="1"/>
    <col min="11346" max="11346" width="0.5703125" style="221" customWidth="1"/>
    <col min="11347" max="11347" width="2.140625" style="221" customWidth="1"/>
    <col min="11348" max="11348" width="0.5703125" style="221" customWidth="1"/>
    <col min="11349" max="11349" width="2.140625" style="221" customWidth="1"/>
    <col min="11350" max="11350" width="0.5703125" style="221" customWidth="1"/>
    <col min="11351" max="11352" width="2.5703125" style="221" customWidth="1"/>
    <col min="11353"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7109375" style="221" customWidth="1"/>
    <col min="11526" max="11526" width="1.140625" style="221" customWidth="1"/>
    <col min="11527" max="11531" width="0.7109375" style="221" customWidth="1"/>
    <col min="11532" max="11532" width="0.5703125" style="221" customWidth="1"/>
    <col min="11533" max="11545" width="0.7109375" style="221" customWidth="1"/>
    <col min="11546" max="11546" width="1.4257812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 style="221" customWidth="1"/>
    <col min="11583" max="11584" width="0.5703125" style="221" customWidth="1"/>
    <col min="11585" max="11585" width="2.140625" style="221" customWidth="1"/>
    <col min="11586" max="11586" width="0.5703125" style="221" customWidth="1"/>
    <col min="11587" max="11587" width="2.140625" style="221" customWidth="1"/>
    <col min="11588" max="11588" width="0.5703125" style="221" customWidth="1"/>
    <col min="11589" max="11589" width="2.140625" style="221" customWidth="1"/>
    <col min="11590" max="11590" width="0.5703125" style="221" customWidth="1"/>
    <col min="11591" max="11591" width="2.140625" style="221" customWidth="1"/>
    <col min="11592" max="11592" width="0.5703125" style="221" customWidth="1"/>
    <col min="11593" max="11593" width="2.140625" style="221" customWidth="1"/>
    <col min="11594" max="11594" width="0.5703125" style="221" customWidth="1"/>
    <col min="11595" max="11595" width="2.140625" style="221" customWidth="1"/>
    <col min="11596" max="11596" width="0.5703125" style="221" customWidth="1"/>
    <col min="11597" max="11597" width="2.140625" style="221" customWidth="1"/>
    <col min="11598" max="11598" width="0.5703125" style="221" customWidth="1"/>
    <col min="11599" max="11599" width="2.140625" style="221" customWidth="1"/>
    <col min="11600" max="11600" width="0.5703125" style="221" customWidth="1"/>
    <col min="11601" max="11601" width="2.140625" style="221" customWidth="1"/>
    <col min="11602" max="11602" width="0.5703125" style="221" customWidth="1"/>
    <col min="11603" max="11603" width="2.140625" style="221" customWidth="1"/>
    <col min="11604" max="11604" width="0.5703125" style="221" customWidth="1"/>
    <col min="11605" max="11605" width="2.140625" style="221" customWidth="1"/>
    <col min="11606" max="11606" width="0.5703125" style="221" customWidth="1"/>
    <col min="11607" max="11608" width="2.5703125" style="221" customWidth="1"/>
    <col min="11609"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7109375" style="221" customWidth="1"/>
    <col min="11782" max="11782" width="1.140625" style="221" customWidth="1"/>
    <col min="11783" max="11787" width="0.7109375" style="221" customWidth="1"/>
    <col min="11788" max="11788" width="0.5703125" style="221" customWidth="1"/>
    <col min="11789" max="11801" width="0.7109375" style="221" customWidth="1"/>
    <col min="11802" max="11802" width="1.4257812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 style="221" customWidth="1"/>
    <col min="11839" max="11840" width="0.5703125" style="221" customWidth="1"/>
    <col min="11841" max="11841" width="2.140625" style="221" customWidth="1"/>
    <col min="11842" max="11842" width="0.5703125" style="221" customWidth="1"/>
    <col min="11843" max="11843" width="2.140625" style="221" customWidth="1"/>
    <col min="11844" max="11844" width="0.5703125" style="221" customWidth="1"/>
    <col min="11845" max="11845" width="2.140625" style="221" customWidth="1"/>
    <col min="11846" max="11846" width="0.5703125" style="221" customWidth="1"/>
    <col min="11847" max="11847" width="2.140625" style="221" customWidth="1"/>
    <col min="11848" max="11848" width="0.5703125" style="221" customWidth="1"/>
    <col min="11849" max="11849" width="2.140625" style="221" customWidth="1"/>
    <col min="11850" max="11850" width="0.5703125" style="221" customWidth="1"/>
    <col min="11851" max="11851" width="2.140625" style="221" customWidth="1"/>
    <col min="11852" max="11852" width="0.5703125" style="221" customWidth="1"/>
    <col min="11853" max="11853" width="2.140625" style="221" customWidth="1"/>
    <col min="11854" max="11854" width="0.5703125" style="221" customWidth="1"/>
    <col min="11855" max="11855" width="2.140625" style="221" customWidth="1"/>
    <col min="11856" max="11856" width="0.5703125" style="221" customWidth="1"/>
    <col min="11857" max="11857" width="2.140625" style="221" customWidth="1"/>
    <col min="11858" max="11858" width="0.5703125" style="221" customWidth="1"/>
    <col min="11859" max="11859" width="2.140625" style="221" customWidth="1"/>
    <col min="11860" max="11860" width="0.5703125" style="221" customWidth="1"/>
    <col min="11861" max="11861" width="2.140625" style="221" customWidth="1"/>
    <col min="11862" max="11862" width="0.5703125" style="221" customWidth="1"/>
    <col min="11863" max="11864" width="2.5703125" style="221" customWidth="1"/>
    <col min="11865"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7109375" style="221" customWidth="1"/>
    <col min="12038" max="12038" width="1.140625" style="221" customWidth="1"/>
    <col min="12039" max="12043" width="0.7109375" style="221" customWidth="1"/>
    <col min="12044" max="12044" width="0.5703125" style="221" customWidth="1"/>
    <col min="12045" max="12057" width="0.7109375" style="221" customWidth="1"/>
    <col min="12058" max="12058" width="1.4257812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 style="221" customWidth="1"/>
    <col min="12095" max="12096" width="0.5703125" style="221" customWidth="1"/>
    <col min="12097" max="12097" width="2.140625" style="221" customWidth="1"/>
    <col min="12098" max="12098" width="0.5703125" style="221" customWidth="1"/>
    <col min="12099" max="12099" width="2.140625" style="221" customWidth="1"/>
    <col min="12100" max="12100" width="0.5703125" style="221" customWidth="1"/>
    <col min="12101" max="12101" width="2.140625" style="221" customWidth="1"/>
    <col min="12102" max="12102" width="0.5703125" style="221" customWidth="1"/>
    <col min="12103" max="12103" width="2.140625" style="221" customWidth="1"/>
    <col min="12104" max="12104" width="0.5703125" style="221" customWidth="1"/>
    <col min="12105" max="12105" width="2.140625" style="221" customWidth="1"/>
    <col min="12106" max="12106" width="0.5703125" style="221" customWidth="1"/>
    <col min="12107" max="12107" width="2.140625" style="221" customWidth="1"/>
    <col min="12108" max="12108" width="0.5703125" style="221" customWidth="1"/>
    <col min="12109" max="12109" width="2.140625" style="221" customWidth="1"/>
    <col min="12110" max="12110" width="0.5703125" style="221" customWidth="1"/>
    <col min="12111" max="12111" width="2.140625" style="221" customWidth="1"/>
    <col min="12112" max="12112" width="0.5703125" style="221" customWidth="1"/>
    <col min="12113" max="12113" width="2.140625" style="221" customWidth="1"/>
    <col min="12114" max="12114" width="0.5703125" style="221" customWidth="1"/>
    <col min="12115" max="12115" width="2.140625" style="221" customWidth="1"/>
    <col min="12116" max="12116" width="0.5703125" style="221" customWidth="1"/>
    <col min="12117" max="12117" width="2.140625" style="221" customWidth="1"/>
    <col min="12118" max="12118" width="0.5703125" style="221" customWidth="1"/>
    <col min="12119" max="12120" width="2.5703125" style="221" customWidth="1"/>
    <col min="12121"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7109375" style="221" customWidth="1"/>
    <col min="12294" max="12294" width="1.140625" style="221" customWidth="1"/>
    <col min="12295" max="12299" width="0.7109375" style="221" customWidth="1"/>
    <col min="12300" max="12300" width="0.5703125" style="221" customWidth="1"/>
    <col min="12301" max="12313" width="0.7109375" style="221" customWidth="1"/>
    <col min="12314" max="12314" width="1.4257812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 style="221" customWidth="1"/>
    <col min="12351" max="12352" width="0.5703125" style="221" customWidth="1"/>
    <col min="12353" max="12353" width="2.140625" style="221" customWidth="1"/>
    <col min="12354" max="12354" width="0.5703125" style="221" customWidth="1"/>
    <col min="12355" max="12355" width="2.140625" style="221" customWidth="1"/>
    <col min="12356" max="12356" width="0.5703125" style="221" customWidth="1"/>
    <col min="12357" max="12357" width="2.140625" style="221" customWidth="1"/>
    <col min="12358" max="12358" width="0.5703125" style="221" customWidth="1"/>
    <col min="12359" max="12359" width="2.140625" style="221" customWidth="1"/>
    <col min="12360" max="12360" width="0.5703125" style="221" customWidth="1"/>
    <col min="12361" max="12361" width="2.140625" style="221" customWidth="1"/>
    <col min="12362" max="12362" width="0.5703125" style="221" customWidth="1"/>
    <col min="12363" max="12363" width="2.140625" style="221" customWidth="1"/>
    <col min="12364" max="12364" width="0.5703125" style="221" customWidth="1"/>
    <col min="12365" max="12365" width="2.140625" style="221" customWidth="1"/>
    <col min="12366" max="12366" width="0.5703125" style="221" customWidth="1"/>
    <col min="12367" max="12367" width="2.140625" style="221" customWidth="1"/>
    <col min="12368" max="12368" width="0.5703125" style="221" customWidth="1"/>
    <col min="12369" max="12369" width="2.140625" style="221" customWidth="1"/>
    <col min="12370" max="12370" width="0.5703125" style="221" customWidth="1"/>
    <col min="12371" max="12371" width="2.140625" style="221" customWidth="1"/>
    <col min="12372" max="12372" width="0.5703125" style="221" customWidth="1"/>
    <col min="12373" max="12373" width="2.140625" style="221" customWidth="1"/>
    <col min="12374" max="12374" width="0.5703125" style="221" customWidth="1"/>
    <col min="12375" max="12376" width="2.5703125" style="221" customWidth="1"/>
    <col min="12377"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7109375" style="221" customWidth="1"/>
    <col min="12550" max="12550" width="1.140625" style="221" customWidth="1"/>
    <col min="12551" max="12555" width="0.7109375" style="221" customWidth="1"/>
    <col min="12556" max="12556" width="0.5703125" style="221" customWidth="1"/>
    <col min="12557" max="12569" width="0.7109375" style="221" customWidth="1"/>
    <col min="12570" max="12570" width="1.4257812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 style="221" customWidth="1"/>
    <col min="12607" max="12608" width="0.5703125" style="221" customWidth="1"/>
    <col min="12609" max="12609" width="2.140625" style="221" customWidth="1"/>
    <col min="12610" max="12610" width="0.5703125" style="221" customWidth="1"/>
    <col min="12611" max="12611" width="2.140625" style="221" customWidth="1"/>
    <col min="12612" max="12612" width="0.5703125" style="221" customWidth="1"/>
    <col min="12613" max="12613" width="2.140625" style="221" customWidth="1"/>
    <col min="12614" max="12614" width="0.5703125" style="221" customWidth="1"/>
    <col min="12615" max="12615" width="2.140625" style="221" customWidth="1"/>
    <col min="12616" max="12616" width="0.5703125" style="221" customWidth="1"/>
    <col min="12617" max="12617" width="2.140625" style="221" customWidth="1"/>
    <col min="12618" max="12618" width="0.5703125" style="221" customWidth="1"/>
    <col min="12619" max="12619" width="2.140625" style="221" customWidth="1"/>
    <col min="12620" max="12620" width="0.5703125" style="221" customWidth="1"/>
    <col min="12621" max="12621" width="2.140625" style="221" customWidth="1"/>
    <col min="12622" max="12622" width="0.5703125" style="221" customWidth="1"/>
    <col min="12623" max="12623" width="2.140625" style="221" customWidth="1"/>
    <col min="12624" max="12624" width="0.5703125" style="221" customWidth="1"/>
    <col min="12625" max="12625" width="2.140625" style="221" customWidth="1"/>
    <col min="12626" max="12626" width="0.5703125" style="221" customWidth="1"/>
    <col min="12627" max="12627" width="2.140625" style="221" customWidth="1"/>
    <col min="12628" max="12628" width="0.5703125" style="221" customWidth="1"/>
    <col min="12629" max="12629" width="2.140625" style="221" customWidth="1"/>
    <col min="12630" max="12630" width="0.5703125" style="221" customWidth="1"/>
    <col min="12631" max="12632" width="2.5703125" style="221" customWidth="1"/>
    <col min="12633"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7109375" style="221" customWidth="1"/>
    <col min="12806" max="12806" width="1.140625" style="221" customWidth="1"/>
    <col min="12807" max="12811" width="0.7109375" style="221" customWidth="1"/>
    <col min="12812" max="12812" width="0.5703125" style="221" customWidth="1"/>
    <col min="12813" max="12825" width="0.7109375" style="221" customWidth="1"/>
    <col min="12826" max="12826" width="1.4257812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 style="221" customWidth="1"/>
    <col min="12863" max="12864" width="0.5703125" style="221" customWidth="1"/>
    <col min="12865" max="12865" width="2.140625" style="221" customWidth="1"/>
    <col min="12866" max="12866" width="0.5703125" style="221" customWidth="1"/>
    <col min="12867" max="12867" width="2.140625" style="221" customWidth="1"/>
    <col min="12868" max="12868" width="0.5703125" style="221" customWidth="1"/>
    <col min="12869" max="12869" width="2.140625" style="221" customWidth="1"/>
    <col min="12870" max="12870" width="0.5703125" style="221" customWidth="1"/>
    <col min="12871" max="12871" width="2.140625" style="221" customWidth="1"/>
    <col min="12872" max="12872" width="0.5703125" style="221" customWidth="1"/>
    <col min="12873" max="12873" width="2.140625" style="221" customWidth="1"/>
    <col min="12874" max="12874" width="0.5703125" style="221" customWidth="1"/>
    <col min="12875" max="12875" width="2.140625" style="221" customWidth="1"/>
    <col min="12876" max="12876" width="0.5703125" style="221" customWidth="1"/>
    <col min="12877" max="12877" width="2.140625" style="221" customWidth="1"/>
    <col min="12878" max="12878" width="0.5703125" style="221" customWidth="1"/>
    <col min="12879" max="12879" width="2.140625" style="221" customWidth="1"/>
    <col min="12880" max="12880" width="0.5703125" style="221" customWidth="1"/>
    <col min="12881" max="12881" width="2.140625" style="221" customWidth="1"/>
    <col min="12882" max="12882" width="0.5703125" style="221" customWidth="1"/>
    <col min="12883" max="12883" width="2.140625" style="221" customWidth="1"/>
    <col min="12884" max="12884" width="0.5703125" style="221" customWidth="1"/>
    <col min="12885" max="12885" width="2.140625" style="221" customWidth="1"/>
    <col min="12886" max="12886" width="0.5703125" style="221" customWidth="1"/>
    <col min="12887" max="12888" width="2.5703125" style="221" customWidth="1"/>
    <col min="12889"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7109375" style="221" customWidth="1"/>
    <col min="13062" max="13062" width="1.140625" style="221" customWidth="1"/>
    <col min="13063" max="13067" width="0.7109375" style="221" customWidth="1"/>
    <col min="13068" max="13068" width="0.5703125" style="221" customWidth="1"/>
    <col min="13069" max="13081" width="0.7109375" style="221" customWidth="1"/>
    <col min="13082" max="13082" width="1.4257812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 style="221" customWidth="1"/>
    <col min="13119" max="13120" width="0.5703125" style="221" customWidth="1"/>
    <col min="13121" max="13121" width="2.140625" style="221" customWidth="1"/>
    <col min="13122" max="13122" width="0.5703125" style="221" customWidth="1"/>
    <col min="13123" max="13123" width="2.140625" style="221" customWidth="1"/>
    <col min="13124" max="13124" width="0.5703125" style="221" customWidth="1"/>
    <col min="13125" max="13125" width="2.140625" style="221" customWidth="1"/>
    <col min="13126" max="13126" width="0.5703125" style="221" customWidth="1"/>
    <col min="13127" max="13127" width="2.140625" style="221" customWidth="1"/>
    <col min="13128" max="13128" width="0.5703125" style="221" customWidth="1"/>
    <col min="13129" max="13129" width="2.140625" style="221" customWidth="1"/>
    <col min="13130" max="13130" width="0.5703125" style="221" customWidth="1"/>
    <col min="13131" max="13131" width="2.140625" style="221" customWidth="1"/>
    <col min="13132" max="13132" width="0.5703125" style="221" customWidth="1"/>
    <col min="13133" max="13133" width="2.140625" style="221" customWidth="1"/>
    <col min="13134" max="13134" width="0.5703125" style="221" customWidth="1"/>
    <col min="13135" max="13135" width="2.140625" style="221" customWidth="1"/>
    <col min="13136" max="13136" width="0.5703125" style="221" customWidth="1"/>
    <col min="13137" max="13137" width="2.140625" style="221" customWidth="1"/>
    <col min="13138" max="13138" width="0.5703125" style="221" customWidth="1"/>
    <col min="13139" max="13139" width="2.140625" style="221" customWidth="1"/>
    <col min="13140" max="13140" width="0.5703125" style="221" customWidth="1"/>
    <col min="13141" max="13141" width="2.140625" style="221" customWidth="1"/>
    <col min="13142" max="13142" width="0.5703125" style="221" customWidth="1"/>
    <col min="13143" max="13144" width="2.5703125" style="221" customWidth="1"/>
    <col min="13145"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7109375" style="221" customWidth="1"/>
    <col min="13318" max="13318" width="1.140625" style="221" customWidth="1"/>
    <col min="13319" max="13323" width="0.7109375" style="221" customWidth="1"/>
    <col min="13324" max="13324" width="0.5703125" style="221" customWidth="1"/>
    <col min="13325" max="13337" width="0.7109375" style="221" customWidth="1"/>
    <col min="13338" max="13338" width="1.4257812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 style="221" customWidth="1"/>
    <col min="13375" max="13376" width="0.5703125" style="221" customWidth="1"/>
    <col min="13377" max="13377" width="2.140625" style="221" customWidth="1"/>
    <col min="13378" max="13378" width="0.5703125" style="221" customWidth="1"/>
    <col min="13379" max="13379" width="2.140625" style="221" customWidth="1"/>
    <col min="13380" max="13380" width="0.5703125" style="221" customWidth="1"/>
    <col min="13381" max="13381" width="2.140625" style="221" customWidth="1"/>
    <col min="13382" max="13382" width="0.5703125" style="221" customWidth="1"/>
    <col min="13383" max="13383" width="2.140625" style="221" customWidth="1"/>
    <col min="13384" max="13384" width="0.5703125" style="221" customWidth="1"/>
    <col min="13385" max="13385" width="2.140625" style="221" customWidth="1"/>
    <col min="13386" max="13386" width="0.5703125" style="221" customWidth="1"/>
    <col min="13387" max="13387" width="2.140625" style="221" customWidth="1"/>
    <col min="13388" max="13388" width="0.5703125" style="221" customWidth="1"/>
    <col min="13389" max="13389" width="2.140625" style="221" customWidth="1"/>
    <col min="13390" max="13390" width="0.5703125" style="221" customWidth="1"/>
    <col min="13391" max="13391" width="2.140625" style="221" customWidth="1"/>
    <col min="13392" max="13392" width="0.5703125" style="221" customWidth="1"/>
    <col min="13393" max="13393" width="2.140625" style="221" customWidth="1"/>
    <col min="13394" max="13394" width="0.5703125" style="221" customWidth="1"/>
    <col min="13395" max="13395" width="2.140625" style="221" customWidth="1"/>
    <col min="13396" max="13396" width="0.5703125" style="221" customWidth="1"/>
    <col min="13397" max="13397" width="2.140625" style="221" customWidth="1"/>
    <col min="13398" max="13398" width="0.5703125" style="221" customWidth="1"/>
    <col min="13399" max="13400" width="2.5703125" style="221" customWidth="1"/>
    <col min="13401"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7109375" style="221" customWidth="1"/>
    <col min="13574" max="13574" width="1.140625" style="221" customWidth="1"/>
    <col min="13575" max="13579" width="0.7109375" style="221" customWidth="1"/>
    <col min="13580" max="13580" width="0.5703125" style="221" customWidth="1"/>
    <col min="13581" max="13593" width="0.7109375" style="221" customWidth="1"/>
    <col min="13594" max="13594" width="1.4257812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 style="221" customWidth="1"/>
    <col min="13631" max="13632" width="0.5703125" style="221" customWidth="1"/>
    <col min="13633" max="13633" width="2.140625" style="221" customWidth="1"/>
    <col min="13634" max="13634" width="0.5703125" style="221" customWidth="1"/>
    <col min="13635" max="13635" width="2.140625" style="221" customWidth="1"/>
    <col min="13636" max="13636" width="0.5703125" style="221" customWidth="1"/>
    <col min="13637" max="13637" width="2.140625" style="221" customWidth="1"/>
    <col min="13638" max="13638" width="0.5703125" style="221" customWidth="1"/>
    <col min="13639" max="13639" width="2.140625" style="221" customWidth="1"/>
    <col min="13640" max="13640" width="0.5703125" style="221" customWidth="1"/>
    <col min="13641" max="13641" width="2.140625" style="221" customWidth="1"/>
    <col min="13642" max="13642" width="0.5703125" style="221" customWidth="1"/>
    <col min="13643" max="13643" width="2.140625" style="221" customWidth="1"/>
    <col min="13644" max="13644" width="0.5703125" style="221" customWidth="1"/>
    <col min="13645" max="13645" width="2.140625" style="221" customWidth="1"/>
    <col min="13646" max="13646" width="0.5703125" style="221" customWidth="1"/>
    <col min="13647" max="13647" width="2.140625" style="221" customWidth="1"/>
    <col min="13648" max="13648" width="0.5703125" style="221" customWidth="1"/>
    <col min="13649" max="13649" width="2.140625" style="221" customWidth="1"/>
    <col min="13650" max="13650" width="0.5703125" style="221" customWidth="1"/>
    <col min="13651" max="13651" width="2.140625" style="221" customWidth="1"/>
    <col min="13652" max="13652" width="0.5703125" style="221" customWidth="1"/>
    <col min="13653" max="13653" width="2.140625" style="221" customWidth="1"/>
    <col min="13654" max="13654" width="0.5703125" style="221" customWidth="1"/>
    <col min="13655" max="13656" width="2.5703125" style="221" customWidth="1"/>
    <col min="13657"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7109375" style="221" customWidth="1"/>
    <col min="13830" max="13830" width="1.140625" style="221" customWidth="1"/>
    <col min="13831" max="13835" width="0.7109375" style="221" customWidth="1"/>
    <col min="13836" max="13836" width="0.5703125" style="221" customWidth="1"/>
    <col min="13837" max="13849" width="0.7109375" style="221" customWidth="1"/>
    <col min="13850" max="13850" width="1.4257812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 style="221" customWidth="1"/>
    <col min="13887" max="13888" width="0.5703125" style="221" customWidth="1"/>
    <col min="13889" max="13889" width="2.140625" style="221" customWidth="1"/>
    <col min="13890" max="13890" width="0.5703125" style="221" customWidth="1"/>
    <col min="13891" max="13891" width="2.140625" style="221" customWidth="1"/>
    <col min="13892" max="13892" width="0.5703125" style="221" customWidth="1"/>
    <col min="13893" max="13893" width="2.140625" style="221" customWidth="1"/>
    <col min="13894" max="13894" width="0.5703125" style="221" customWidth="1"/>
    <col min="13895" max="13895" width="2.140625" style="221" customWidth="1"/>
    <col min="13896" max="13896" width="0.5703125" style="221" customWidth="1"/>
    <col min="13897" max="13897" width="2.140625" style="221" customWidth="1"/>
    <col min="13898" max="13898" width="0.5703125" style="221" customWidth="1"/>
    <col min="13899" max="13899" width="2.140625" style="221" customWidth="1"/>
    <col min="13900" max="13900" width="0.5703125" style="221" customWidth="1"/>
    <col min="13901" max="13901" width="2.140625" style="221" customWidth="1"/>
    <col min="13902" max="13902" width="0.5703125" style="221" customWidth="1"/>
    <col min="13903" max="13903" width="2.140625" style="221" customWidth="1"/>
    <col min="13904" max="13904" width="0.5703125" style="221" customWidth="1"/>
    <col min="13905" max="13905" width="2.140625" style="221" customWidth="1"/>
    <col min="13906" max="13906" width="0.5703125" style="221" customWidth="1"/>
    <col min="13907" max="13907" width="2.140625" style="221" customWidth="1"/>
    <col min="13908" max="13908" width="0.5703125" style="221" customWidth="1"/>
    <col min="13909" max="13909" width="2.140625" style="221" customWidth="1"/>
    <col min="13910" max="13910" width="0.5703125" style="221" customWidth="1"/>
    <col min="13911" max="13912" width="2.5703125" style="221" customWidth="1"/>
    <col min="13913"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7109375" style="221" customWidth="1"/>
    <col min="14086" max="14086" width="1.140625" style="221" customWidth="1"/>
    <col min="14087" max="14091" width="0.7109375" style="221" customWidth="1"/>
    <col min="14092" max="14092" width="0.5703125" style="221" customWidth="1"/>
    <col min="14093" max="14105" width="0.7109375" style="221" customWidth="1"/>
    <col min="14106" max="14106" width="1.4257812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 style="221" customWidth="1"/>
    <col min="14143" max="14144" width="0.5703125" style="221" customWidth="1"/>
    <col min="14145" max="14145" width="2.140625" style="221" customWidth="1"/>
    <col min="14146" max="14146" width="0.5703125" style="221" customWidth="1"/>
    <col min="14147" max="14147" width="2.140625" style="221" customWidth="1"/>
    <col min="14148" max="14148" width="0.5703125" style="221" customWidth="1"/>
    <col min="14149" max="14149" width="2.140625" style="221" customWidth="1"/>
    <col min="14150" max="14150" width="0.5703125" style="221" customWidth="1"/>
    <col min="14151" max="14151" width="2.140625" style="221" customWidth="1"/>
    <col min="14152" max="14152" width="0.5703125" style="221" customWidth="1"/>
    <col min="14153" max="14153" width="2.140625" style="221" customWidth="1"/>
    <col min="14154" max="14154" width="0.5703125" style="221" customWidth="1"/>
    <col min="14155" max="14155" width="2.140625" style="221" customWidth="1"/>
    <col min="14156" max="14156" width="0.5703125" style="221" customWidth="1"/>
    <col min="14157" max="14157" width="2.140625" style="221" customWidth="1"/>
    <col min="14158" max="14158" width="0.5703125" style="221" customWidth="1"/>
    <col min="14159" max="14159" width="2.140625" style="221" customWidth="1"/>
    <col min="14160" max="14160" width="0.5703125" style="221" customWidth="1"/>
    <col min="14161" max="14161" width="2.140625" style="221" customWidth="1"/>
    <col min="14162" max="14162" width="0.5703125" style="221" customWidth="1"/>
    <col min="14163" max="14163" width="2.140625" style="221" customWidth="1"/>
    <col min="14164" max="14164" width="0.5703125" style="221" customWidth="1"/>
    <col min="14165" max="14165" width="2.140625" style="221" customWidth="1"/>
    <col min="14166" max="14166" width="0.5703125" style="221" customWidth="1"/>
    <col min="14167" max="14168" width="2.5703125" style="221" customWidth="1"/>
    <col min="14169"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7109375" style="221" customWidth="1"/>
    <col min="14342" max="14342" width="1.140625" style="221" customWidth="1"/>
    <col min="14343" max="14347" width="0.7109375" style="221" customWidth="1"/>
    <col min="14348" max="14348" width="0.5703125" style="221" customWidth="1"/>
    <col min="14349" max="14361" width="0.7109375" style="221" customWidth="1"/>
    <col min="14362" max="14362" width="1.4257812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 style="221" customWidth="1"/>
    <col min="14399" max="14400" width="0.5703125" style="221" customWidth="1"/>
    <col min="14401" max="14401" width="2.140625" style="221" customWidth="1"/>
    <col min="14402" max="14402" width="0.5703125" style="221" customWidth="1"/>
    <col min="14403" max="14403" width="2.140625" style="221" customWidth="1"/>
    <col min="14404" max="14404" width="0.5703125" style="221" customWidth="1"/>
    <col min="14405" max="14405" width="2.140625" style="221" customWidth="1"/>
    <col min="14406" max="14406" width="0.5703125" style="221" customWidth="1"/>
    <col min="14407" max="14407" width="2.140625" style="221" customWidth="1"/>
    <col min="14408" max="14408" width="0.5703125" style="221" customWidth="1"/>
    <col min="14409" max="14409" width="2.140625" style="221" customWidth="1"/>
    <col min="14410" max="14410" width="0.5703125" style="221" customWidth="1"/>
    <col min="14411" max="14411" width="2.140625" style="221" customWidth="1"/>
    <col min="14412" max="14412" width="0.5703125" style="221" customWidth="1"/>
    <col min="14413" max="14413" width="2.140625" style="221" customWidth="1"/>
    <col min="14414" max="14414" width="0.5703125" style="221" customWidth="1"/>
    <col min="14415" max="14415" width="2.140625" style="221" customWidth="1"/>
    <col min="14416" max="14416" width="0.5703125" style="221" customWidth="1"/>
    <col min="14417" max="14417" width="2.140625" style="221" customWidth="1"/>
    <col min="14418" max="14418" width="0.5703125" style="221" customWidth="1"/>
    <col min="14419" max="14419" width="2.140625" style="221" customWidth="1"/>
    <col min="14420" max="14420" width="0.5703125" style="221" customWidth="1"/>
    <col min="14421" max="14421" width="2.140625" style="221" customWidth="1"/>
    <col min="14422" max="14422" width="0.5703125" style="221" customWidth="1"/>
    <col min="14423" max="14424" width="2.5703125" style="221" customWidth="1"/>
    <col min="14425"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7109375" style="221" customWidth="1"/>
    <col min="14598" max="14598" width="1.140625" style="221" customWidth="1"/>
    <col min="14599" max="14603" width="0.7109375" style="221" customWidth="1"/>
    <col min="14604" max="14604" width="0.5703125" style="221" customWidth="1"/>
    <col min="14605" max="14617" width="0.7109375" style="221" customWidth="1"/>
    <col min="14618" max="14618" width="1.4257812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 style="221" customWidth="1"/>
    <col min="14655" max="14656" width="0.5703125" style="221" customWidth="1"/>
    <col min="14657" max="14657" width="2.140625" style="221" customWidth="1"/>
    <col min="14658" max="14658" width="0.5703125" style="221" customWidth="1"/>
    <col min="14659" max="14659" width="2.140625" style="221" customWidth="1"/>
    <col min="14660" max="14660" width="0.5703125" style="221" customWidth="1"/>
    <col min="14661" max="14661" width="2.140625" style="221" customWidth="1"/>
    <col min="14662" max="14662" width="0.5703125" style="221" customWidth="1"/>
    <col min="14663" max="14663" width="2.140625" style="221" customWidth="1"/>
    <col min="14664" max="14664" width="0.5703125" style="221" customWidth="1"/>
    <col min="14665" max="14665" width="2.140625" style="221" customWidth="1"/>
    <col min="14666" max="14666" width="0.5703125" style="221" customWidth="1"/>
    <col min="14667" max="14667" width="2.140625" style="221" customWidth="1"/>
    <col min="14668" max="14668" width="0.5703125" style="221" customWidth="1"/>
    <col min="14669" max="14669" width="2.140625" style="221" customWidth="1"/>
    <col min="14670" max="14670" width="0.5703125" style="221" customWidth="1"/>
    <col min="14671" max="14671" width="2.140625" style="221" customWidth="1"/>
    <col min="14672" max="14672" width="0.5703125" style="221" customWidth="1"/>
    <col min="14673" max="14673" width="2.140625" style="221" customWidth="1"/>
    <col min="14674" max="14674" width="0.5703125" style="221" customWidth="1"/>
    <col min="14675" max="14675" width="2.140625" style="221" customWidth="1"/>
    <col min="14676" max="14676" width="0.5703125" style="221" customWidth="1"/>
    <col min="14677" max="14677" width="2.140625" style="221" customWidth="1"/>
    <col min="14678" max="14678" width="0.5703125" style="221" customWidth="1"/>
    <col min="14679" max="14680" width="2.5703125" style="221" customWidth="1"/>
    <col min="14681"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7109375" style="221" customWidth="1"/>
    <col min="14854" max="14854" width="1.140625" style="221" customWidth="1"/>
    <col min="14855" max="14859" width="0.7109375" style="221" customWidth="1"/>
    <col min="14860" max="14860" width="0.5703125" style="221" customWidth="1"/>
    <col min="14861" max="14873" width="0.7109375" style="221" customWidth="1"/>
    <col min="14874" max="14874" width="1.4257812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 style="221" customWidth="1"/>
    <col min="14911" max="14912" width="0.5703125" style="221" customWidth="1"/>
    <col min="14913" max="14913" width="2.140625" style="221" customWidth="1"/>
    <col min="14914" max="14914" width="0.5703125" style="221" customWidth="1"/>
    <col min="14915" max="14915" width="2.140625" style="221" customWidth="1"/>
    <col min="14916" max="14916" width="0.5703125" style="221" customWidth="1"/>
    <col min="14917" max="14917" width="2.140625" style="221" customWidth="1"/>
    <col min="14918" max="14918" width="0.5703125" style="221" customWidth="1"/>
    <col min="14919" max="14919" width="2.140625" style="221" customWidth="1"/>
    <col min="14920" max="14920" width="0.5703125" style="221" customWidth="1"/>
    <col min="14921" max="14921" width="2.140625" style="221" customWidth="1"/>
    <col min="14922" max="14922" width="0.5703125" style="221" customWidth="1"/>
    <col min="14923" max="14923" width="2.140625" style="221" customWidth="1"/>
    <col min="14924" max="14924" width="0.5703125" style="221" customWidth="1"/>
    <col min="14925" max="14925" width="2.140625" style="221" customWidth="1"/>
    <col min="14926" max="14926" width="0.5703125" style="221" customWidth="1"/>
    <col min="14927" max="14927" width="2.140625" style="221" customWidth="1"/>
    <col min="14928" max="14928" width="0.5703125" style="221" customWidth="1"/>
    <col min="14929" max="14929" width="2.140625" style="221" customWidth="1"/>
    <col min="14930" max="14930" width="0.5703125" style="221" customWidth="1"/>
    <col min="14931" max="14931" width="2.140625" style="221" customWidth="1"/>
    <col min="14932" max="14932" width="0.5703125" style="221" customWidth="1"/>
    <col min="14933" max="14933" width="2.140625" style="221" customWidth="1"/>
    <col min="14934" max="14934" width="0.5703125" style="221" customWidth="1"/>
    <col min="14935" max="14936" width="2.5703125" style="221" customWidth="1"/>
    <col min="14937"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7109375" style="221" customWidth="1"/>
    <col min="15110" max="15110" width="1.140625" style="221" customWidth="1"/>
    <col min="15111" max="15115" width="0.7109375" style="221" customWidth="1"/>
    <col min="15116" max="15116" width="0.5703125" style="221" customWidth="1"/>
    <col min="15117" max="15129" width="0.7109375" style="221" customWidth="1"/>
    <col min="15130" max="15130" width="1.4257812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 style="221" customWidth="1"/>
    <col min="15167" max="15168" width="0.5703125" style="221" customWidth="1"/>
    <col min="15169" max="15169" width="2.140625" style="221" customWidth="1"/>
    <col min="15170" max="15170" width="0.5703125" style="221" customWidth="1"/>
    <col min="15171" max="15171" width="2.140625" style="221" customWidth="1"/>
    <col min="15172" max="15172" width="0.5703125" style="221" customWidth="1"/>
    <col min="15173" max="15173" width="2.140625" style="221" customWidth="1"/>
    <col min="15174" max="15174" width="0.5703125" style="221" customWidth="1"/>
    <col min="15175" max="15175" width="2.140625" style="221" customWidth="1"/>
    <col min="15176" max="15176" width="0.5703125" style="221" customWidth="1"/>
    <col min="15177" max="15177" width="2.140625" style="221" customWidth="1"/>
    <col min="15178" max="15178" width="0.5703125" style="221" customWidth="1"/>
    <col min="15179" max="15179" width="2.140625" style="221" customWidth="1"/>
    <col min="15180" max="15180" width="0.5703125" style="221" customWidth="1"/>
    <col min="15181" max="15181" width="2.140625" style="221" customWidth="1"/>
    <col min="15182" max="15182" width="0.5703125" style="221" customWidth="1"/>
    <col min="15183" max="15183" width="2.140625" style="221" customWidth="1"/>
    <col min="15184" max="15184" width="0.5703125" style="221" customWidth="1"/>
    <col min="15185" max="15185" width="2.140625" style="221" customWidth="1"/>
    <col min="15186" max="15186" width="0.5703125" style="221" customWidth="1"/>
    <col min="15187" max="15187" width="2.140625" style="221" customWidth="1"/>
    <col min="15188" max="15188" width="0.5703125" style="221" customWidth="1"/>
    <col min="15189" max="15189" width="2.140625" style="221" customWidth="1"/>
    <col min="15190" max="15190" width="0.5703125" style="221" customWidth="1"/>
    <col min="15191" max="15192" width="2.5703125" style="221" customWidth="1"/>
    <col min="15193"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7109375" style="221" customWidth="1"/>
    <col min="15366" max="15366" width="1.140625" style="221" customWidth="1"/>
    <col min="15367" max="15371" width="0.7109375" style="221" customWidth="1"/>
    <col min="15372" max="15372" width="0.5703125" style="221" customWidth="1"/>
    <col min="15373" max="15385" width="0.7109375" style="221" customWidth="1"/>
    <col min="15386" max="15386" width="1.4257812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 style="221" customWidth="1"/>
    <col min="15423" max="15424" width="0.5703125" style="221" customWidth="1"/>
    <col min="15425" max="15425" width="2.140625" style="221" customWidth="1"/>
    <col min="15426" max="15426" width="0.5703125" style="221" customWidth="1"/>
    <col min="15427" max="15427" width="2.140625" style="221" customWidth="1"/>
    <col min="15428" max="15428" width="0.5703125" style="221" customWidth="1"/>
    <col min="15429" max="15429" width="2.140625" style="221" customWidth="1"/>
    <col min="15430" max="15430" width="0.5703125" style="221" customWidth="1"/>
    <col min="15431" max="15431" width="2.140625" style="221" customWidth="1"/>
    <col min="15432" max="15432" width="0.5703125" style="221" customWidth="1"/>
    <col min="15433" max="15433" width="2.140625" style="221" customWidth="1"/>
    <col min="15434" max="15434" width="0.5703125" style="221" customWidth="1"/>
    <col min="15435" max="15435" width="2.140625" style="221" customWidth="1"/>
    <col min="15436" max="15436" width="0.5703125" style="221" customWidth="1"/>
    <col min="15437" max="15437" width="2.140625" style="221" customWidth="1"/>
    <col min="15438" max="15438" width="0.5703125" style="221" customWidth="1"/>
    <col min="15439" max="15439" width="2.140625" style="221" customWidth="1"/>
    <col min="15440" max="15440" width="0.5703125" style="221" customWidth="1"/>
    <col min="15441" max="15441" width="2.140625" style="221" customWidth="1"/>
    <col min="15442" max="15442" width="0.5703125" style="221" customWidth="1"/>
    <col min="15443" max="15443" width="2.140625" style="221" customWidth="1"/>
    <col min="15444" max="15444" width="0.5703125" style="221" customWidth="1"/>
    <col min="15445" max="15445" width="2.140625" style="221" customWidth="1"/>
    <col min="15446" max="15446" width="0.5703125" style="221" customWidth="1"/>
    <col min="15447" max="15448" width="2.5703125" style="221" customWidth="1"/>
    <col min="15449"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7109375" style="221" customWidth="1"/>
    <col min="15622" max="15622" width="1.140625" style="221" customWidth="1"/>
    <col min="15623" max="15627" width="0.7109375" style="221" customWidth="1"/>
    <col min="15628" max="15628" width="0.5703125" style="221" customWidth="1"/>
    <col min="15629" max="15641" width="0.7109375" style="221" customWidth="1"/>
    <col min="15642" max="15642" width="1.4257812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 style="221" customWidth="1"/>
    <col min="15679" max="15680" width="0.5703125" style="221" customWidth="1"/>
    <col min="15681" max="15681" width="2.140625" style="221" customWidth="1"/>
    <col min="15682" max="15682" width="0.5703125" style="221" customWidth="1"/>
    <col min="15683" max="15683" width="2.140625" style="221" customWidth="1"/>
    <col min="15684" max="15684" width="0.5703125" style="221" customWidth="1"/>
    <col min="15685" max="15685" width="2.140625" style="221" customWidth="1"/>
    <col min="15686" max="15686" width="0.5703125" style="221" customWidth="1"/>
    <col min="15687" max="15687" width="2.140625" style="221" customWidth="1"/>
    <col min="15688" max="15688" width="0.5703125" style="221" customWidth="1"/>
    <col min="15689" max="15689" width="2.140625" style="221" customWidth="1"/>
    <col min="15690" max="15690" width="0.5703125" style="221" customWidth="1"/>
    <col min="15691" max="15691" width="2.140625" style="221" customWidth="1"/>
    <col min="15692" max="15692" width="0.5703125" style="221" customWidth="1"/>
    <col min="15693" max="15693" width="2.140625" style="221" customWidth="1"/>
    <col min="15694" max="15694" width="0.5703125" style="221" customWidth="1"/>
    <col min="15695" max="15695" width="2.140625" style="221" customWidth="1"/>
    <col min="15696" max="15696" width="0.5703125" style="221" customWidth="1"/>
    <col min="15697" max="15697" width="2.140625" style="221" customWidth="1"/>
    <col min="15698" max="15698" width="0.5703125" style="221" customWidth="1"/>
    <col min="15699" max="15699" width="2.140625" style="221" customWidth="1"/>
    <col min="15700" max="15700" width="0.5703125" style="221" customWidth="1"/>
    <col min="15701" max="15701" width="2.140625" style="221" customWidth="1"/>
    <col min="15702" max="15702" width="0.5703125" style="221" customWidth="1"/>
    <col min="15703" max="15704" width="2.5703125" style="221" customWidth="1"/>
    <col min="15705"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7109375" style="221" customWidth="1"/>
    <col min="15878" max="15878" width="1.140625" style="221" customWidth="1"/>
    <col min="15879" max="15883" width="0.7109375" style="221" customWidth="1"/>
    <col min="15884" max="15884" width="0.5703125" style="221" customWidth="1"/>
    <col min="15885" max="15897" width="0.7109375" style="221" customWidth="1"/>
    <col min="15898" max="15898" width="1.4257812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 style="221" customWidth="1"/>
    <col min="15935" max="15936" width="0.5703125" style="221" customWidth="1"/>
    <col min="15937" max="15937" width="2.140625" style="221" customWidth="1"/>
    <col min="15938" max="15938" width="0.5703125" style="221" customWidth="1"/>
    <col min="15939" max="15939" width="2.140625" style="221" customWidth="1"/>
    <col min="15940" max="15940" width="0.5703125" style="221" customWidth="1"/>
    <col min="15941" max="15941" width="2.140625" style="221" customWidth="1"/>
    <col min="15942" max="15942" width="0.5703125" style="221" customWidth="1"/>
    <col min="15943" max="15943" width="2.140625" style="221" customWidth="1"/>
    <col min="15944" max="15944" width="0.5703125" style="221" customWidth="1"/>
    <col min="15945" max="15945" width="2.140625" style="221" customWidth="1"/>
    <col min="15946" max="15946" width="0.5703125" style="221" customWidth="1"/>
    <col min="15947" max="15947" width="2.140625" style="221" customWidth="1"/>
    <col min="15948" max="15948" width="0.5703125" style="221" customWidth="1"/>
    <col min="15949" max="15949" width="2.140625" style="221" customWidth="1"/>
    <col min="15950" max="15950" width="0.5703125" style="221" customWidth="1"/>
    <col min="15951" max="15951" width="2.140625" style="221" customWidth="1"/>
    <col min="15952" max="15952" width="0.5703125" style="221" customWidth="1"/>
    <col min="15953" max="15953" width="2.140625" style="221" customWidth="1"/>
    <col min="15954" max="15954" width="0.5703125" style="221" customWidth="1"/>
    <col min="15955" max="15955" width="2.140625" style="221" customWidth="1"/>
    <col min="15956" max="15956" width="0.5703125" style="221" customWidth="1"/>
    <col min="15957" max="15957" width="2.140625" style="221" customWidth="1"/>
    <col min="15958" max="15958" width="0.5703125" style="221" customWidth="1"/>
    <col min="15959" max="15960" width="2.5703125" style="221" customWidth="1"/>
    <col min="15961"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7109375" style="221" customWidth="1"/>
    <col min="16134" max="16134" width="1.140625" style="221" customWidth="1"/>
    <col min="16135" max="16139" width="0.7109375" style="221" customWidth="1"/>
    <col min="16140" max="16140" width="0.5703125" style="221" customWidth="1"/>
    <col min="16141" max="16153" width="0.7109375" style="221" customWidth="1"/>
    <col min="16154" max="16154" width="1.4257812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 style="221" customWidth="1"/>
    <col min="16191" max="16192" width="0.5703125" style="221" customWidth="1"/>
    <col min="16193" max="16193" width="2.140625" style="221" customWidth="1"/>
    <col min="16194" max="16194" width="0.5703125" style="221" customWidth="1"/>
    <col min="16195" max="16195" width="2.140625" style="221" customWidth="1"/>
    <col min="16196" max="16196" width="0.5703125" style="221" customWidth="1"/>
    <col min="16197" max="16197" width="2.140625" style="221" customWidth="1"/>
    <col min="16198" max="16198" width="0.5703125" style="221" customWidth="1"/>
    <col min="16199" max="16199" width="2.140625" style="221" customWidth="1"/>
    <col min="16200" max="16200" width="0.5703125" style="221" customWidth="1"/>
    <col min="16201" max="16201" width="2.140625" style="221" customWidth="1"/>
    <col min="16202" max="16202" width="0.5703125" style="221" customWidth="1"/>
    <col min="16203" max="16203" width="2.140625" style="221" customWidth="1"/>
    <col min="16204" max="16204" width="0.5703125" style="221" customWidth="1"/>
    <col min="16205" max="16205" width="2.140625" style="221" customWidth="1"/>
    <col min="16206" max="16206" width="0.5703125" style="221" customWidth="1"/>
    <col min="16207" max="16207" width="2.140625" style="221" customWidth="1"/>
    <col min="16208" max="16208" width="0.5703125" style="221" customWidth="1"/>
    <col min="16209" max="16209" width="2.140625" style="221" customWidth="1"/>
    <col min="16210" max="16210" width="0.5703125" style="221" customWidth="1"/>
    <col min="16211" max="16211" width="2.140625" style="221" customWidth="1"/>
    <col min="16212" max="16212" width="0.5703125" style="221" customWidth="1"/>
    <col min="16213" max="16213" width="2.140625" style="221" customWidth="1"/>
    <col min="16214" max="16214" width="0.5703125" style="221" customWidth="1"/>
    <col min="16215" max="16216" width="2.5703125" style="221" customWidth="1"/>
    <col min="16217" max="16384" width="9.140625" style="221"/>
  </cols>
  <sheetData>
    <row r="1" spans="1:89" s="97" customFormat="1" ht="14.25" customHeight="1" thickBot="1">
      <c r="F1" s="98" t="s">
        <v>1634</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CK1" s="221"/>
    </row>
    <row r="2" spans="1:89" ht="7.5" customHeight="1" thickTop="1">
      <c r="C2" s="221"/>
      <c r="D2" s="220"/>
      <c r="E2" s="222"/>
      <c r="F2" s="220"/>
      <c r="G2" s="223"/>
      <c r="H2" s="912" t="str">
        <f>Index!C409</f>
        <v>Súvaha Úč POD 1 - 01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6"/>
      <c r="BT2" s="927"/>
      <c r="BU2" s="928"/>
      <c r="BV2" s="928"/>
      <c r="BW2" s="928"/>
      <c r="BX2" s="928"/>
      <c r="BY2" s="928"/>
      <c r="BZ2" s="928"/>
      <c r="CA2" s="928"/>
      <c r="CB2" s="928"/>
      <c r="CC2" s="928"/>
      <c r="CD2" s="928"/>
      <c r="CE2" s="928"/>
      <c r="CF2" s="220"/>
      <c r="CG2" s="220"/>
      <c r="CH2" s="220"/>
      <c r="CI2" s="220"/>
      <c r="CJ2" s="220"/>
    </row>
    <row r="3" spans="1:89" ht="3.75" customHeight="1" thickBot="1">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928"/>
      <c r="BT3" s="227"/>
      <c r="BU3" s="928"/>
      <c r="BV3" s="928"/>
      <c r="BW3" s="928"/>
      <c r="BX3" s="928"/>
      <c r="BY3" s="928"/>
      <c r="BZ3" s="928"/>
      <c r="CA3" s="928"/>
      <c r="CB3" s="928"/>
      <c r="CC3" s="928"/>
      <c r="CD3" s="928"/>
      <c r="CE3" s="928"/>
      <c r="CF3" s="220"/>
      <c r="CG3" s="220"/>
      <c r="CH3" s="220"/>
      <c r="CI3" s="220"/>
      <c r="CJ3" s="220"/>
    </row>
    <row r="4" spans="1:89" ht="16.5" customHeight="1" thickTop="1">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231"/>
      <c r="BM4" s="139" t="str">
        <f>'Závierka titulka'!K27</f>
        <v>2</v>
      </c>
      <c r="BN4" s="231"/>
      <c r="BO4" s="139" t="str">
        <f>'Závierka titulka'!M27</f>
        <v>9</v>
      </c>
      <c r="BP4" s="136"/>
      <c r="BQ4" s="139" t="str">
        <f>'Závierka titulka'!O27</f>
        <v>9</v>
      </c>
      <c r="BR4" s="136"/>
      <c r="BS4" s="139" t="str">
        <f>'Závierka titulka'!Q27</f>
        <v>1</v>
      </c>
      <c r="BT4" s="230"/>
      <c r="BU4" s="928"/>
      <c r="BV4" s="928"/>
      <c r="BW4" s="928"/>
      <c r="BX4" s="928"/>
      <c r="BY4" s="928"/>
      <c r="BZ4" s="928"/>
      <c r="CA4" s="928"/>
      <c r="CB4" s="928"/>
      <c r="CC4" s="928"/>
      <c r="CD4" s="928"/>
      <c r="CE4" s="928"/>
      <c r="CF4" s="220"/>
      <c r="CG4" s="232"/>
      <c r="CH4" s="233"/>
      <c r="CI4" s="220"/>
      <c r="CJ4" s="220"/>
    </row>
    <row r="5" spans="1:89" ht="3" customHeight="1">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7"/>
      <c r="BM5" s="234"/>
      <c r="BN5" s="237"/>
      <c r="BO5" s="234"/>
      <c r="BP5" s="234"/>
      <c r="BQ5" s="234"/>
      <c r="BR5" s="234"/>
      <c r="BS5" s="234"/>
      <c r="BT5" s="235"/>
      <c r="BU5" s="928"/>
      <c r="BV5" s="928"/>
      <c r="BW5" s="928"/>
      <c r="BX5" s="928"/>
      <c r="BY5" s="928"/>
      <c r="BZ5" s="928"/>
      <c r="CA5" s="928"/>
      <c r="CB5" s="928"/>
      <c r="CC5" s="928"/>
      <c r="CD5" s="928"/>
      <c r="CE5" s="928"/>
      <c r="CF5" s="220"/>
      <c r="CG5" s="220"/>
      <c r="CH5" s="238"/>
      <c r="CI5" s="220"/>
      <c r="CJ5" s="220"/>
    </row>
    <row r="6" spans="1:89" ht="4.5" customHeight="1" thickBot="1">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2"/>
      <c r="BY6" s="242"/>
      <c r="BZ6" s="242"/>
      <c r="CA6" s="242"/>
      <c r="CB6" s="242"/>
      <c r="CC6" s="242"/>
      <c r="CD6" s="242"/>
      <c r="CE6" s="242"/>
      <c r="CF6" s="242"/>
      <c r="CG6" s="242"/>
      <c r="CH6" s="242"/>
      <c r="CI6" s="220"/>
      <c r="CJ6" s="220"/>
    </row>
    <row r="7" spans="1:89" ht="12.75" customHeight="1" thickBot="1">
      <c r="C7" s="224"/>
      <c r="D7" s="224"/>
      <c r="E7" s="941" t="str">
        <f>Index!C410</f>
        <v>Ozna-čenie</v>
      </c>
      <c r="F7" s="942"/>
      <c r="G7" s="362"/>
      <c r="H7" s="368"/>
      <c r="I7" s="368"/>
      <c r="J7" s="368"/>
      <c r="K7" s="368"/>
      <c r="L7" s="368"/>
      <c r="M7" s="368"/>
      <c r="N7" s="368"/>
      <c r="O7" s="368"/>
      <c r="P7" s="368"/>
      <c r="Q7" s="368"/>
      <c r="R7" s="368"/>
      <c r="S7" s="368"/>
      <c r="T7" s="368"/>
      <c r="U7" s="368"/>
      <c r="V7" s="368"/>
      <c r="W7" s="281"/>
      <c r="X7" s="281"/>
      <c r="Y7" s="281"/>
      <c r="Z7" s="282"/>
      <c r="AA7" s="281"/>
      <c r="AB7" s="281"/>
      <c r="AC7" s="282"/>
      <c r="AD7" s="944" t="str">
        <f>Index!C414</f>
        <v>Bežné účtovné obdobie</v>
      </c>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896" t="str">
        <f>Index!C415</f>
        <v>Bezprostredne predchádzajúce účtovné obdobie</v>
      </c>
      <c r="BT7" s="896"/>
      <c r="BU7" s="896"/>
      <c r="BV7" s="896"/>
      <c r="BW7" s="896"/>
      <c r="BX7" s="896"/>
      <c r="BY7" s="896"/>
      <c r="BZ7" s="896"/>
      <c r="CA7" s="896"/>
      <c r="CB7" s="896"/>
      <c r="CC7" s="896"/>
      <c r="CD7" s="896"/>
      <c r="CE7" s="896"/>
      <c r="CF7" s="896"/>
      <c r="CG7" s="896"/>
      <c r="CH7" s="896"/>
      <c r="CI7" s="220"/>
      <c r="CJ7" s="220"/>
    </row>
    <row r="8" spans="1:89" ht="5.0999999999999996" customHeight="1" thickBot="1">
      <c r="B8" s="878"/>
      <c r="C8" s="878"/>
      <c r="D8" s="878"/>
      <c r="E8" s="943"/>
      <c r="F8" s="885"/>
      <c r="G8" s="898" t="str">
        <f>Index!C411</f>
        <v>STRANA AKTÍV</v>
      </c>
      <c r="H8" s="898"/>
      <c r="I8" s="898"/>
      <c r="J8" s="898"/>
      <c r="K8" s="898"/>
      <c r="L8" s="898"/>
      <c r="M8" s="898"/>
      <c r="N8" s="898"/>
      <c r="O8" s="898"/>
      <c r="P8" s="898"/>
      <c r="Q8" s="898"/>
      <c r="R8" s="898"/>
      <c r="S8" s="898"/>
      <c r="T8" s="898"/>
      <c r="U8" s="898"/>
      <c r="V8" s="898"/>
      <c r="W8" s="898"/>
      <c r="X8" s="898"/>
      <c r="Y8" s="898"/>
      <c r="Z8" s="898"/>
      <c r="AA8" s="354"/>
      <c r="AB8" s="354"/>
      <c r="AC8" s="283"/>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896"/>
      <c r="BT8" s="896"/>
      <c r="BU8" s="896"/>
      <c r="BV8" s="896"/>
      <c r="BW8" s="896"/>
      <c r="BX8" s="896"/>
      <c r="BY8" s="896"/>
      <c r="BZ8" s="896"/>
      <c r="CA8" s="896"/>
      <c r="CB8" s="896"/>
      <c r="CC8" s="896"/>
      <c r="CD8" s="896"/>
      <c r="CE8" s="896"/>
      <c r="CF8" s="896"/>
      <c r="CG8" s="896"/>
      <c r="CH8" s="896"/>
      <c r="CI8" s="220"/>
      <c r="CJ8" s="220"/>
    </row>
    <row r="9" spans="1:89" ht="6.95" customHeight="1" thickBot="1">
      <c r="B9" s="900"/>
      <c r="C9" s="900"/>
      <c r="D9" s="878"/>
      <c r="E9" s="943"/>
      <c r="F9" s="885"/>
      <c r="G9" s="898"/>
      <c r="H9" s="898"/>
      <c r="I9" s="898"/>
      <c r="J9" s="898"/>
      <c r="K9" s="898"/>
      <c r="L9" s="898"/>
      <c r="M9" s="898"/>
      <c r="N9" s="898"/>
      <c r="O9" s="898"/>
      <c r="P9" s="898"/>
      <c r="Q9" s="898"/>
      <c r="R9" s="898"/>
      <c r="S9" s="898"/>
      <c r="T9" s="898"/>
      <c r="U9" s="898"/>
      <c r="V9" s="898"/>
      <c r="W9" s="898"/>
      <c r="X9" s="898"/>
      <c r="Y9" s="898"/>
      <c r="Z9" s="898"/>
      <c r="AA9" s="945" t="str">
        <f>Index!C412</f>
        <v>Číslo</v>
      </c>
      <c r="AB9" s="945"/>
      <c r="AC9" s="945"/>
      <c r="AD9" s="903" t="s">
        <v>1536</v>
      </c>
      <c r="AE9" s="903"/>
      <c r="AF9" s="903"/>
      <c r="AG9" s="905" t="str">
        <f>Index!C416</f>
        <v>Brutto - časť 1</v>
      </c>
      <c r="AH9" s="905"/>
      <c r="AI9" s="905"/>
      <c r="AJ9" s="905"/>
      <c r="AK9" s="905"/>
      <c r="AL9" s="905"/>
      <c r="AM9" s="905"/>
      <c r="AN9" s="905"/>
      <c r="AO9" s="905"/>
      <c r="AP9" s="905"/>
      <c r="AQ9" s="905"/>
      <c r="AR9" s="905"/>
      <c r="AS9" s="905"/>
      <c r="AT9" s="905"/>
      <c r="AU9" s="905"/>
      <c r="AV9" s="905"/>
      <c r="AW9" s="905"/>
      <c r="AX9" s="905"/>
      <c r="AY9" s="905"/>
      <c r="AZ9" s="905"/>
      <c r="BA9" s="905" t="str">
        <f>Index!C419</f>
        <v>Netto   3</v>
      </c>
      <c r="BB9" s="905"/>
      <c r="BC9" s="905"/>
      <c r="BD9" s="905"/>
      <c r="BE9" s="905"/>
      <c r="BF9" s="905"/>
      <c r="BG9" s="905"/>
      <c r="BH9" s="905"/>
      <c r="BI9" s="905"/>
      <c r="BJ9" s="905"/>
      <c r="BK9" s="905"/>
      <c r="BL9" s="905"/>
      <c r="BM9" s="905"/>
      <c r="BN9" s="905"/>
      <c r="BO9" s="905"/>
      <c r="BP9" s="905"/>
      <c r="BQ9" s="905"/>
      <c r="BR9" s="905"/>
      <c r="BS9" s="896"/>
      <c r="BT9" s="896"/>
      <c r="BU9" s="896"/>
      <c r="BV9" s="896"/>
      <c r="BW9" s="896"/>
      <c r="BX9" s="896"/>
      <c r="BY9" s="896"/>
      <c r="BZ9" s="896"/>
      <c r="CA9" s="896"/>
      <c r="CB9" s="896"/>
      <c r="CC9" s="896"/>
      <c r="CD9" s="896"/>
      <c r="CE9" s="896"/>
      <c r="CF9" s="896"/>
      <c r="CG9" s="896"/>
      <c r="CH9" s="896"/>
      <c r="CI9" s="878"/>
      <c r="CJ9" s="220"/>
    </row>
    <row r="10" spans="1:89" ht="6.95" customHeight="1">
      <c r="B10" s="900"/>
      <c r="C10" s="900"/>
      <c r="D10" s="878"/>
      <c r="E10" s="943"/>
      <c r="F10" s="885"/>
      <c r="G10" s="248"/>
      <c r="H10" s="229"/>
      <c r="I10" s="229"/>
      <c r="J10" s="229"/>
      <c r="K10" s="229"/>
      <c r="L10" s="229"/>
      <c r="M10" s="229"/>
      <c r="N10" s="229"/>
      <c r="O10" s="229"/>
      <c r="P10" s="229"/>
      <c r="Q10" s="229"/>
      <c r="R10" s="229"/>
      <c r="S10" s="229"/>
      <c r="T10" s="229"/>
      <c r="U10" s="229"/>
      <c r="V10" s="229"/>
      <c r="W10" s="229"/>
      <c r="X10" s="229"/>
      <c r="Y10" s="229"/>
      <c r="Z10" s="249"/>
      <c r="AA10" s="940" t="str">
        <f>Index!C413</f>
        <v xml:space="preserve"> riadku</v>
      </c>
      <c r="AB10" s="940"/>
      <c r="AC10" s="940"/>
      <c r="AD10" s="903"/>
      <c r="AE10" s="903"/>
      <c r="AF10" s="903"/>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896"/>
      <c r="BT10" s="896"/>
      <c r="BU10" s="896"/>
      <c r="BV10" s="896"/>
      <c r="BW10" s="896"/>
      <c r="BX10" s="896"/>
      <c r="BY10" s="896"/>
      <c r="BZ10" s="896"/>
      <c r="CA10" s="896"/>
      <c r="CB10" s="896"/>
      <c r="CC10" s="896"/>
      <c r="CD10" s="896"/>
      <c r="CE10" s="896"/>
      <c r="CF10" s="896"/>
      <c r="CG10" s="896"/>
      <c r="CH10" s="896"/>
      <c r="CI10" s="878"/>
      <c r="CJ10" s="220"/>
    </row>
    <row r="11" spans="1:89" s="250" customFormat="1" ht="15" customHeight="1">
      <c r="A11" s="220"/>
      <c r="B11" s="900"/>
      <c r="C11" s="900"/>
      <c r="D11" s="878"/>
      <c r="E11" s="908" t="s">
        <v>491</v>
      </c>
      <c r="F11" s="908"/>
      <c r="G11" s="909" t="s">
        <v>492</v>
      </c>
      <c r="H11" s="909"/>
      <c r="I11" s="909"/>
      <c r="J11" s="909"/>
      <c r="K11" s="909"/>
      <c r="L11" s="909"/>
      <c r="M11" s="909"/>
      <c r="N11" s="909"/>
      <c r="O11" s="909"/>
      <c r="P11" s="909"/>
      <c r="Q11" s="909"/>
      <c r="R11" s="909"/>
      <c r="S11" s="909"/>
      <c r="T11" s="909"/>
      <c r="U11" s="909"/>
      <c r="V11" s="909"/>
      <c r="W11" s="909"/>
      <c r="X11" s="909"/>
      <c r="Y11" s="909"/>
      <c r="Z11" s="909"/>
      <c r="AA11" s="845" t="s">
        <v>493</v>
      </c>
      <c r="AB11" s="845"/>
      <c r="AC11" s="845"/>
      <c r="AD11" s="903"/>
      <c r="AE11" s="903"/>
      <c r="AF11" s="903"/>
      <c r="AG11" s="905" t="str">
        <f>Index!C418</f>
        <v>Korekcia - časť 2</v>
      </c>
      <c r="AH11" s="905"/>
      <c r="AI11" s="905"/>
      <c r="AJ11" s="905"/>
      <c r="AK11" s="905"/>
      <c r="AL11" s="905"/>
      <c r="AM11" s="905"/>
      <c r="AN11" s="905"/>
      <c r="AO11" s="905"/>
      <c r="AP11" s="905"/>
      <c r="AQ11" s="905"/>
      <c r="AR11" s="905"/>
      <c r="AS11" s="905"/>
      <c r="AT11" s="905"/>
      <c r="AU11" s="905"/>
      <c r="AV11" s="905"/>
      <c r="AW11" s="905"/>
      <c r="AX11" s="905"/>
      <c r="AY11" s="905"/>
      <c r="AZ11" s="905"/>
      <c r="BA11" s="902"/>
      <c r="BB11" s="902"/>
      <c r="BC11" s="902"/>
      <c r="BD11" s="902"/>
      <c r="BE11" s="902"/>
      <c r="BF11" s="902"/>
      <c r="BG11" s="902"/>
      <c r="BH11" s="902"/>
      <c r="BI11" s="902"/>
      <c r="BJ11" s="902"/>
      <c r="BK11" s="902"/>
      <c r="BL11" s="902"/>
      <c r="BM11" s="902"/>
      <c r="BN11" s="902"/>
      <c r="BO11" s="902"/>
      <c r="BP11" s="902"/>
      <c r="BQ11" s="902"/>
      <c r="BR11" s="902"/>
      <c r="BS11" s="910" t="str">
        <f>Index!C419</f>
        <v>Netto   3</v>
      </c>
      <c r="BT11" s="910"/>
      <c r="BU11" s="910"/>
      <c r="BV11" s="910"/>
      <c r="BW11" s="910"/>
      <c r="BX11" s="910"/>
      <c r="BY11" s="910"/>
      <c r="BZ11" s="910"/>
      <c r="CA11" s="910"/>
      <c r="CB11" s="910"/>
      <c r="CC11" s="910"/>
      <c r="CD11" s="910"/>
      <c r="CE11" s="910"/>
      <c r="CF11" s="910"/>
      <c r="CG11" s="910"/>
      <c r="CH11" s="910"/>
      <c r="CI11" s="878"/>
      <c r="CJ11" s="288"/>
    </row>
    <row r="12" spans="1:89" s="250" customFormat="1" ht="3" customHeight="1">
      <c r="A12" s="220"/>
      <c r="B12" s="879"/>
      <c r="C12" s="879"/>
      <c r="D12" s="879"/>
      <c r="E12" s="939" t="s">
        <v>631</v>
      </c>
      <c r="F12" s="939"/>
      <c r="G12" s="946"/>
      <c r="H12" s="874" t="str">
        <f>Index!C122</f>
        <v>Finančné účty súčet r. 72 až r. 73</v>
      </c>
      <c r="I12" s="874"/>
      <c r="J12" s="874"/>
      <c r="K12" s="874"/>
      <c r="L12" s="874"/>
      <c r="M12" s="874"/>
      <c r="N12" s="874"/>
      <c r="O12" s="874"/>
      <c r="P12" s="874"/>
      <c r="Q12" s="874"/>
      <c r="R12" s="874"/>
      <c r="S12" s="874"/>
      <c r="T12" s="874"/>
      <c r="U12" s="874"/>
      <c r="V12" s="874"/>
      <c r="W12" s="874"/>
      <c r="X12" s="874"/>
      <c r="Y12" s="874"/>
      <c r="Z12" s="874"/>
      <c r="AA12" s="875" t="s">
        <v>1635</v>
      </c>
      <c r="AB12" s="875"/>
      <c r="AC12" s="875"/>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4"/>
      <c r="BB12" s="844"/>
      <c r="BC12" s="844"/>
      <c r="BD12" s="844"/>
      <c r="BE12" s="844"/>
      <c r="BF12" s="844"/>
      <c r="BG12" s="844"/>
      <c r="BH12" s="844"/>
      <c r="BI12" s="844"/>
      <c r="BJ12" s="844"/>
      <c r="BK12" s="844"/>
      <c r="BL12" s="844"/>
      <c r="BM12" s="844"/>
      <c r="BN12" s="844"/>
      <c r="BO12" s="844"/>
      <c r="BP12" s="844"/>
      <c r="BQ12" s="844"/>
      <c r="BR12" s="844"/>
      <c r="BS12" s="251"/>
      <c r="BT12" s="251"/>
      <c r="BU12" s="251"/>
      <c r="BV12" s="251"/>
      <c r="BW12" s="251"/>
      <c r="BX12" s="252"/>
      <c r="BY12" s="251"/>
      <c r="BZ12" s="251"/>
      <c r="CA12" s="251"/>
      <c r="CB12" s="251"/>
      <c r="CC12" s="251"/>
      <c r="CD12" s="251"/>
      <c r="CE12" s="251"/>
      <c r="CF12" s="251"/>
      <c r="CG12" s="251"/>
      <c r="CH12" s="284"/>
      <c r="CI12" s="878"/>
      <c r="CJ12" s="288"/>
    </row>
    <row r="13" spans="1:89" s="250" customFormat="1" ht="3" customHeight="1">
      <c r="A13" s="220"/>
      <c r="B13" s="879"/>
      <c r="C13" s="879"/>
      <c r="D13" s="879"/>
      <c r="E13" s="939"/>
      <c r="F13" s="939"/>
      <c r="G13" s="946"/>
      <c r="H13" s="874"/>
      <c r="I13" s="874"/>
      <c r="J13" s="874"/>
      <c r="K13" s="874"/>
      <c r="L13" s="874"/>
      <c r="M13" s="874"/>
      <c r="N13" s="874"/>
      <c r="O13" s="874"/>
      <c r="P13" s="874"/>
      <c r="Q13" s="874"/>
      <c r="R13" s="874"/>
      <c r="S13" s="874"/>
      <c r="T13" s="874"/>
      <c r="U13" s="874"/>
      <c r="V13" s="874"/>
      <c r="W13" s="874"/>
      <c r="X13" s="874"/>
      <c r="Y13" s="874"/>
      <c r="Z13" s="874"/>
      <c r="AA13" s="875"/>
      <c r="AB13" s="875"/>
      <c r="AC13" s="875"/>
      <c r="AD13" s="826"/>
      <c r="AE13" s="820"/>
      <c r="AF13" s="820"/>
      <c r="AG13" s="820"/>
      <c r="AH13" s="435"/>
      <c r="AI13" s="821"/>
      <c r="AJ13" s="821"/>
      <c r="AK13" s="821"/>
      <c r="AL13" s="821"/>
      <c r="AM13" s="821"/>
      <c r="AN13" s="818"/>
      <c r="AO13" s="822"/>
      <c r="AP13" s="822"/>
      <c r="AQ13" s="822"/>
      <c r="AR13" s="822"/>
      <c r="AS13" s="822"/>
      <c r="AT13" s="818"/>
      <c r="AU13" s="822"/>
      <c r="AV13" s="822"/>
      <c r="AW13" s="822"/>
      <c r="AX13" s="822"/>
      <c r="AY13" s="822"/>
      <c r="AZ13" s="827"/>
      <c r="BA13" s="826"/>
      <c r="BB13" s="820"/>
      <c r="BC13" s="820"/>
      <c r="BD13" s="820"/>
      <c r="BE13" s="435"/>
      <c r="BF13" s="821"/>
      <c r="BG13" s="821"/>
      <c r="BH13" s="821"/>
      <c r="BI13" s="821"/>
      <c r="BJ13" s="821"/>
      <c r="BK13" s="818"/>
      <c r="BL13" s="818"/>
      <c r="BM13" s="822"/>
      <c r="BN13" s="822"/>
      <c r="BO13" s="822"/>
      <c r="BP13" s="822"/>
      <c r="BQ13" s="822"/>
      <c r="BR13" s="819"/>
      <c r="BS13" s="822"/>
      <c r="BT13" s="822"/>
      <c r="BU13" s="822"/>
      <c r="BV13" s="822"/>
      <c r="BW13" s="822"/>
      <c r="BX13" s="441"/>
      <c r="BY13" s="442"/>
      <c r="BZ13" s="442"/>
      <c r="CA13" s="442"/>
      <c r="CB13" s="442"/>
      <c r="CC13" s="442"/>
      <c r="CD13" s="442"/>
      <c r="CE13" s="442"/>
      <c r="CF13" s="442"/>
      <c r="CG13" s="442"/>
      <c r="CH13" s="285"/>
      <c r="CI13" s="878"/>
      <c r="CJ13" s="288"/>
    </row>
    <row r="14" spans="1:89" ht="15" customHeight="1">
      <c r="B14" s="879"/>
      <c r="C14" s="879"/>
      <c r="D14" s="879"/>
      <c r="E14" s="939"/>
      <c r="F14" s="939"/>
      <c r="G14" s="946"/>
      <c r="H14" s="874"/>
      <c r="I14" s="874"/>
      <c r="J14" s="874"/>
      <c r="K14" s="874"/>
      <c r="L14" s="874"/>
      <c r="M14" s="874"/>
      <c r="N14" s="874"/>
      <c r="O14" s="874"/>
      <c r="P14" s="874"/>
      <c r="Q14" s="874"/>
      <c r="R14" s="874"/>
      <c r="S14" s="874"/>
      <c r="T14" s="874"/>
      <c r="U14" s="874"/>
      <c r="V14" s="874"/>
      <c r="W14" s="874"/>
      <c r="X14" s="874"/>
      <c r="Y14" s="874"/>
      <c r="Z14" s="874"/>
      <c r="AA14" s="875"/>
      <c r="AB14" s="875"/>
      <c r="AC14" s="875"/>
      <c r="AD14" s="826"/>
      <c r="AE14" s="432" t="str">
        <f>IF(LEN(VLOOKUP(AA12,suvaha!$D$8:$H$158,2,FALSE))&lt;11,"",LEFT(RIGHT(VLOOKUP(AA12,suvaha!$D$8:$H$158,2,FALSE),11),1))</f>
        <v/>
      </c>
      <c r="AF14" s="255"/>
      <c r="AG14" s="432" t="str">
        <f>IF(LEN(VLOOKUP(AA12,suvaha!$D$8:$H$158,2,FALSE))&lt;10,"",LEFT(RIGHT(VLOOKUP(AA12,suvaha!$D$8:$H$158,2,FALSE),10),1))</f>
        <v/>
      </c>
      <c r="AH14" s="434"/>
      <c r="AI14" s="432" t="str">
        <f>IF(LEN(VLOOKUP(AA12,suvaha!$D$8:$H$158,2,FALSE))&lt;9,"",LEFT(RIGHT(VLOOKUP(AA12,suvaha!$D$8:$H$158,2,FALSE),9),1))</f>
        <v/>
      </c>
      <c r="AJ14" s="255"/>
      <c r="AK14" s="432" t="str">
        <f>IF(LEN(VLOOKUP(AA12,suvaha!$D$8:$H$158,2,FALSE))&lt;8,"",LEFT(RIGHT(VLOOKUP(AA12,suvaha!$D$8:$H$158,2,FALSE),8),1))</f>
        <v/>
      </c>
      <c r="AL14" s="434"/>
      <c r="AM14" s="432" t="str">
        <f>IF(LEN(VLOOKUP(AA12,suvaha!$D$8:$H$158,2,FALSE))&lt;7,"",LEFT(RIGHT(VLOOKUP(AA12,suvaha!$D$8:$H$158,2,FALSE),7),1))</f>
        <v>4</v>
      </c>
      <c r="AN14" s="818"/>
      <c r="AO14" s="432" t="str">
        <f>IF(LEN(VLOOKUP(AA12,suvaha!$D$8:$H$158,2,FALSE))&lt;6,"",LEFT(RIGHT(VLOOKUP(AA12,suvaha!$D$8:$H$158,2,FALSE),6),1))</f>
        <v>7</v>
      </c>
      <c r="AP14" s="434"/>
      <c r="AQ14" s="432" t="str">
        <f>IF(LEN(VLOOKUP(AA12,suvaha!$D$8:$H$158,2,FALSE))&lt;5,"",LEFT(RIGHT(VLOOKUP(AA12,suvaha!$D$8:$H$158,2,FALSE),5),1))</f>
        <v>8</v>
      </c>
      <c r="AR14" s="434"/>
      <c r="AS14" s="432" t="str">
        <f>IF(LEN(VLOOKUP(AA12,suvaha!$D$8:$H$158,2,FALSE))&lt;4,"",LEFT(RIGHT(VLOOKUP(AA12,suvaha!$D$8:$H$158,2,FALSE),4),1))</f>
        <v>6</v>
      </c>
      <c r="AT14" s="818"/>
      <c r="AU14" s="432" t="str">
        <f>IF(LEN(VLOOKUP(AA12,suvaha!$D$8:$H$158,2,FALSE))&lt;3,"",LEFT(RIGHT(VLOOKUP(AA12,suvaha!$D$8:$H$158,2,FALSE),3),1))</f>
        <v>4</v>
      </c>
      <c r="AV14" s="434"/>
      <c r="AW14" s="432" t="str">
        <f>IF(LEN(VLOOKUP(AA12,suvaha!$D$8:$H$158,2,FALSE))&lt;2,"",LEFT(RIGHT(VLOOKUP(AA12,suvaha!$D$8:$H$158,2,FALSE),2),1))</f>
        <v>7</v>
      </c>
      <c r="AX14" s="434"/>
      <c r="AY14" s="432" t="str">
        <f>IF(VLOOKUP(AA12,suvaha!$D$8:$H$85,2,FALSE)=0,"",IF(LEN(VLOOKUP(AA12,suvaha!$D$8:$H$158,2,FALSE))&lt;1,"",LEFT(RIGHT(VLOOKUP(AA12,suvaha!$D$8:$H$158,2,FALSE),1),1)))</f>
        <v>5</v>
      </c>
      <c r="AZ14" s="827"/>
      <c r="BA14" s="826"/>
      <c r="BB14" s="432" t="str">
        <f>IF(LEN(VLOOKUP(AA12,suvaha!$D$8:$H$158,4,FALSE))&lt;11,"",LEFT(RIGHT(VLOOKUP(AA12,suvaha!$D$8:$H$158,4,FALSE),11),1))</f>
        <v/>
      </c>
      <c r="BC14" s="255"/>
      <c r="BD14" s="432" t="str">
        <f>IF(LEN(VLOOKUP(AA12,suvaha!$D$8:$H$158,4,FALSE))&lt;10,"",LEFT(RIGHT(VLOOKUP(AA12,suvaha!$D$8:$H$158,4,FALSE),10),1))</f>
        <v/>
      </c>
      <c r="BE14" s="434"/>
      <c r="BF14" s="432" t="str">
        <f>IF(LEN(VLOOKUP(AA12,suvaha!$D$8:$H$158,4,FALSE))&lt;9,"",LEFT(RIGHT(VLOOKUP(AA12,suvaha!$D$8:$H$158,4,FALSE),9),1))</f>
        <v/>
      </c>
      <c r="BG14" s="255"/>
      <c r="BH14" s="432" t="str">
        <f>IF(LEN(VLOOKUP(AA12,suvaha!$D$8:$H$158,4,FALSE))&lt;8,"",LEFT(RIGHT(VLOOKUP(AA12,suvaha!$D$8:$H$158,4,FALSE),8),1))</f>
        <v/>
      </c>
      <c r="BI14" s="434"/>
      <c r="BJ14" s="432" t="str">
        <f>IF(LEN(VLOOKUP(AA12,suvaha!$D$8:$H$158,4,FALSE))&lt;7,"",LEFT(RIGHT(VLOOKUP(AA12,suvaha!$D$8:$H$158,4,FALSE),7),1))</f>
        <v>4</v>
      </c>
      <c r="BK14" s="818"/>
      <c r="BL14" s="818"/>
      <c r="BM14" s="432" t="str">
        <f>IF(LEN(VLOOKUP(AA12,suvaha!$D$8:$H$158,4,FALSE))&lt;6,"",LEFT(RIGHT(VLOOKUP(AA12,suvaha!$D$8:$H$158,4,FALSE),6),1))</f>
        <v>7</v>
      </c>
      <c r="BN14" s="434"/>
      <c r="BO14" s="432" t="str">
        <f>IF(LEN(VLOOKUP(AA12,suvaha!$D$8:$H$158,4,FALSE))&lt;5,"",LEFT(RIGHT(VLOOKUP(AA12,suvaha!$D$8:$H$158,4,FALSE),5),1))</f>
        <v>8</v>
      </c>
      <c r="BP14" s="434"/>
      <c r="BQ14" s="432" t="str">
        <f>IF(LEN(VLOOKUP(AA12,suvaha!$D$8:$H$158,4,FALSE))&lt;4,"",LEFT(RIGHT(VLOOKUP(AA12,suvaha!$D$8:$H$158,4,FALSE),4),1))</f>
        <v>6</v>
      </c>
      <c r="BR14" s="819"/>
      <c r="BS14" s="432" t="str">
        <f>IF(LEN(VLOOKUP(AA12,suvaha!$D$8:$H$158,4,FALSE))&lt;3,"",LEFT(RIGHT(VLOOKUP(AA12,suvaha!$D$8:$H$158,4,FALSE),3),1))</f>
        <v>4</v>
      </c>
      <c r="BT14" s="434"/>
      <c r="BU14" s="432" t="str">
        <f>IF(LEN(VLOOKUP(AA12,suvaha!$D$8:$H$158,4,FALSE))&lt;2,"",LEFT(RIGHT(VLOOKUP(AA12,suvaha!$D$8:$H$158,4,FALSE),2),1))</f>
        <v>7</v>
      </c>
      <c r="BV14" s="434"/>
      <c r="BW14" s="432" t="str">
        <f>IF(VLOOKUP(AA12,suvaha!$D$8:$H$85,4,FALSE)=0,"",IF(LEN(VLOOKUP(AA12,suvaha!$D$8:$H$158,4,FALSE))&lt;1,"",LEFT(RIGHT(VLOOKUP(AA12,suvaha!$D$8:$H$158,4,FALSE),1),1)))</f>
        <v>5</v>
      </c>
      <c r="BX14" s="441"/>
      <c r="BY14" s="442"/>
      <c r="BZ14" s="442"/>
      <c r="CA14" s="442"/>
      <c r="CB14" s="442"/>
      <c r="CC14" s="442"/>
      <c r="CD14" s="442"/>
      <c r="CE14" s="442"/>
      <c r="CF14" s="442"/>
      <c r="CG14" s="442"/>
      <c r="CH14" s="285"/>
      <c r="CI14" s="878"/>
      <c r="CJ14" s="220"/>
    </row>
    <row r="15" spans="1:89" ht="3" customHeight="1">
      <c r="B15" s="879"/>
      <c r="C15" s="879"/>
      <c r="D15" s="879"/>
      <c r="E15" s="939"/>
      <c r="F15" s="939"/>
      <c r="G15" s="946"/>
      <c r="H15" s="874"/>
      <c r="I15" s="874"/>
      <c r="J15" s="874"/>
      <c r="K15" s="874"/>
      <c r="L15" s="874"/>
      <c r="M15" s="874"/>
      <c r="N15" s="874"/>
      <c r="O15" s="874"/>
      <c r="P15" s="874"/>
      <c r="Q15" s="874"/>
      <c r="R15" s="874"/>
      <c r="S15" s="874"/>
      <c r="T15" s="874"/>
      <c r="U15" s="874"/>
      <c r="V15" s="874"/>
      <c r="W15" s="874"/>
      <c r="X15" s="874"/>
      <c r="Y15" s="874"/>
      <c r="Z15" s="874"/>
      <c r="AA15" s="875"/>
      <c r="AB15" s="875"/>
      <c r="AC15" s="875"/>
      <c r="AD15" s="845"/>
      <c r="AE15" s="845"/>
      <c r="AF15" s="845"/>
      <c r="AG15" s="845"/>
      <c r="AH15" s="845"/>
      <c r="AI15" s="845"/>
      <c r="AJ15" s="845"/>
      <c r="AK15" s="845"/>
      <c r="AL15" s="845"/>
      <c r="AM15" s="845"/>
      <c r="AN15" s="845"/>
      <c r="AO15" s="845"/>
      <c r="AP15" s="845"/>
      <c r="AQ15" s="845"/>
      <c r="AR15" s="845"/>
      <c r="AS15" s="845"/>
      <c r="AT15" s="845"/>
      <c r="AU15" s="845"/>
      <c r="AV15" s="845"/>
      <c r="AW15" s="845"/>
      <c r="AX15" s="845"/>
      <c r="AY15" s="845"/>
      <c r="AZ15" s="845"/>
      <c r="BA15" s="846"/>
      <c r="BB15" s="846"/>
      <c r="BC15" s="846"/>
      <c r="BD15" s="846"/>
      <c r="BE15" s="846"/>
      <c r="BF15" s="846"/>
      <c r="BG15" s="846"/>
      <c r="BH15" s="846"/>
      <c r="BI15" s="846"/>
      <c r="BJ15" s="846"/>
      <c r="BK15" s="846"/>
      <c r="BL15" s="846"/>
      <c r="BM15" s="846"/>
      <c r="BN15" s="846"/>
      <c r="BO15" s="846"/>
      <c r="BP15" s="846"/>
      <c r="BQ15" s="846"/>
      <c r="BR15" s="846"/>
      <c r="BS15" s="310"/>
      <c r="BT15" s="310"/>
      <c r="BU15" s="310"/>
      <c r="BV15" s="310"/>
      <c r="BW15" s="310"/>
      <c r="BX15" s="443"/>
      <c r="BY15" s="310"/>
      <c r="BZ15" s="310"/>
      <c r="CA15" s="310"/>
      <c r="CB15" s="310"/>
      <c r="CC15" s="310"/>
      <c r="CD15" s="310"/>
      <c r="CE15" s="310"/>
      <c r="CF15" s="310"/>
      <c r="CG15" s="310"/>
      <c r="CH15" s="286"/>
      <c r="CI15" s="878"/>
      <c r="CJ15" s="220"/>
    </row>
    <row r="16" spans="1:89" ht="3" customHeight="1">
      <c r="B16" s="879"/>
      <c r="C16" s="879"/>
      <c r="D16" s="879"/>
      <c r="E16" s="939"/>
      <c r="F16" s="939"/>
      <c r="G16" s="946"/>
      <c r="H16" s="874"/>
      <c r="I16" s="874"/>
      <c r="J16" s="874"/>
      <c r="K16" s="874"/>
      <c r="L16" s="874"/>
      <c r="M16" s="874"/>
      <c r="N16" s="874"/>
      <c r="O16" s="874"/>
      <c r="P16" s="874"/>
      <c r="Q16" s="874"/>
      <c r="R16" s="874"/>
      <c r="S16" s="874"/>
      <c r="T16" s="874"/>
      <c r="U16" s="874"/>
      <c r="V16" s="874"/>
      <c r="W16" s="874"/>
      <c r="X16" s="874"/>
      <c r="Y16" s="874"/>
      <c r="Z16" s="874"/>
      <c r="AA16" s="875"/>
      <c r="AB16" s="875"/>
      <c r="AC16" s="875"/>
      <c r="AD16" s="825"/>
      <c r="AE16" s="825"/>
      <c r="AF16" s="825"/>
      <c r="AG16" s="825"/>
      <c r="AH16" s="825"/>
      <c r="AI16" s="825"/>
      <c r="AJ16" s="825"/>
      <c r="AK16" s="825"/>
      <c r="AL16" s="825"/>
      <c r="AM16" s="825"/>
      <c r="AN16" s="825"/>
      <c r="AO16" s="825"/>
      <c r="AP16" s="825"/>
      <c r="AQ16" s="825"/>
      <c r="AR16" s="825"/>
      <c r="AS16" s="825"/>
      <c r="AT16" s="825"/>
      <c r="AU16" s="825"/>
      <c r="AV16" s="825"/>
      <c r="AW16" s="825"/>
      <c r="AX16" s="825"/>
      <c r="AY16" s="825"/>
      <c r="AZ16" s="825"/>
      <c r="BA16" s="875"/>
      <c r="BB16" s="875"/>
      <c r="BC16" s="875"/>
      <c r="BD16" s="875"/>
      <c r="BE16" s="875"/>
      <c r="BF16" s="875"/>
      <c r="BG16" s="875"/>
      <c r="BH16" s="875"/>
      <c r="BI16" s="875"/>
      <c r="BJ16" s="875"/>
      <c r="BK16" s="304"/>
      <c r="BL16" s="304"/>
      <c r="BM16" s="304"/>
      <c r="BN16" s="304"/>
      <c r="BO16" s="304"/>
      <c r="BP16" s="304"/>
      <c r="BQ16" s="304"/>
      <c r="BR16" s="304"/>
      <c r="BS16" s="304"/>
      <c r="BT16" s="304"/>
      <c r="BU16" s="304"/>
      <c r="BV16" s="304"/>
      <c r="BW16" s="304"/>
      <c r="BX16" s="304"/>
      <c r="BY16" s="304"/>
      <c r="BZ16" s="304"/>
      <c r="CA16" s="304"/>
      <c r="CB16" s="304"/>
      <c r="CC16" s="304"/>
      <c r="CD16" s="304"/>
      <c r="CE16" s="304"/>
      <c r="CF16" s="304"/>
      <c r="CG16" s="304"/>
      <c r="CH16" s="284"/>
      <c r="CI16" s="878"/>
      <c r="CJ16" s="220"/>
    </row>
    <row r="17" spans="1:88" ht="3" customHeight="1">
      <c r="B17" s="879"/>
      <c r="C17" s="879"/>
      <c r="D17" s="879"/>
      <c r="E17" s="939"/>
      <c r="F17" s="939"/>
      <c r="G17" s="946"/>
      <c r="H17" s="874"/>
      <c r="I17" s="874"/>
      <c r="J17" s="874"/>
      <c r="K17" s="874"/>
      <c r="L17" s="874"/>
      <c r="M17" s="874"/>
      <c r="N17" s="874"/>
      <c r="O17" s="874"/>
      <c r="P17" s="874"/>
      <c r="Q17" s="874"/>
      <c r="R17" s="874"/>
      <c r="S17" s="874"/>
      <c r="T17" s="874"/>
      <c r="U17" s="874"/>
      <c r="V17" s="874"/>
      <c r="W17" s="874"/>
      <c r="X17" s="874"/>
      <c r="Y17" s="874"/>
      <c r="Z17" s="874"/>
      <c r="AA17" s="875"/>
      <c r="AB17" s="875"/>
      <c r="AC17" s="875"/>
      <c r="AD17" s="826"/>
      <c r="AE17" s="820"/>
      <c r="AF17" s="820"/>
      <c r="AG17" s="820"/>
      <c r="AH17" s="435"/>
      <c r="AI17" s="821"/>
      <c r="AJ17" s="821"/>
      <c r="AK17" s="821"/>
      <c r="AL17" s="821"/>
      <c r="AM17" s="821"/>
      <c r="AN17" s="818" t="s">
        <v>965</v>
      </c>
      <c r="AO17" s="822"/>
      <c r="AP17" s="822"/>
      <c r="AQ17" s="822"/>
      <c r="AR17" s="822"/>
      <c r="AS17" s="822"/>
      <c r="AT17" s="818" t="s">
        <v>965</v>
      </c>
      <c r="AU17" s="822"/>
      <c r="AV17" s="822"/>
      <c r="AW17" s="822"/>
      <c r="AX17" s="822"/>
      <c r="AY17" s="822"/>
      <c r="AZ17" s="827"/>
      <c r="BA17" s="875"/>
      <c r="BB17" s="875"/>
      <c r="BC17" s="875"/>
      <c r="BD17" s="875"/>
      <c r="BE17" s="875"/>
      <c r="BF17" s="875"/>
      <c r="BG17" s="875"/>
      <c r="BH17" s="875"/>
      <c r="BI17" s="875"/>
      <c r="BJ17" s="875"/>
      <c r="BK17" s="442"/>
      <c r="BL17" s="442"/>
      <c r="BM17" s="820"/>
      <c r="BN17" s="820"/>
      <c r="BO17" s="820"/>
      <c r="BP17" s="442"/>
      <c r="BQ17" s="444"/>
      <c r="BR17" s="444"/>
      <c r="BS17" s="444"/>
      <c r="BT17" s="444"/>
      <c r="BU17" s="444"/>
      <c r="BV17" s="442"/>
      <c r="BW17" s="444"/>
      <c r="BX17" s="444"/>
      <c r="BY17" s="444"/>
      <c r="BZ17" s="444"/>
      <c r="CA17" s="444"/>
      <c r="CB17" s="445"/>
      <c r="CC17" s="444"/>
      <c r="CD17" s="444"/>
      <c r="CE17" s="444"/>
      <c r="CF17" s="444"/>
      <c r="CG17" s="444"/>
      <c r="CH17" s="287"/>
      <c r="CI17" s="878"/>
      <c r="CJ17" s="220"/>
    </row>
    <row r="18" spans="1:88" ht="15" customHeight="1">
      <c r="B18" s="879"/>
      <c r="C18" s="879"/>
      <c r="D18" s="879"/>
      <c r="E18" s="939"/>
      <c r="F18" s="939"/>
      <c r="G18" s="946"/>
      <c r="H18" s="874"/>
      <c r="I18" s="874"/>
      <c r="J18" s="874"/>
      <c r="K18" s="874"/>
      <c r="L18" s="874"/>
      <c r="M18" s="874"/>
      <c r="N18" s="874"/>
      <c r="O18" s="874"/>
      <c r="P18" s="874"/>
      <c r="Q18" s="874"/>
      <c r="R18" s="874"/>
      <c r="S18" s="874"/>
      <c r="T18" s="874"/>
      <c r="U18" s="874"/>
      <c r="V18" s="874"/>
      <c r="W18" s="874"/>
      <c r="X18" s="874"/>
      <c r="Y18" s="874"/>
      <c r="Z18" s="874"/>
      <c r="AA18" s="875"/>
      <c r="AB18" s="875"/>
      <c r="AC18" s="875"/>
      <c r="AD18" s="826"/>
      <c r="AE18" s="432" t="str">
        <f>IF(LEN(VLOOKUP(AA12,suvaha!$D$8:$H$158,3,FALSE))&lt;11,"",LEFT(RIGHT(VLOOKUP(AA12,suvaha!$D$8:$H$158,3,FALSE),11),1))</f>
        <v/>
      </c>
      <c r="AF18" s="255" t="s">
        <v>965</v>
      </c>
      <c r="AG18" s="432" t="str">
        <f>IF(LEN(VLOOKUP(AA12,suvaha!$D$8:$H$158,3,FALSE))&lt;10,"",LEFT(RIGHT(VLOOKUP(AA12,suvaha!$D$8:$H$158,3,FALSE),10),1))</f>
        <v/>
      </c>
      <c r="AH18" s="434" t="s">
        <v>965</v>
      </c>
      <c r="AI18" s="432" t="str">
        <f>IF(LEN(VLOOKUP(AA12,suvaha!$D$8:$H$158,3,FALSE))&lt;9,"",LEFT(RIGHT(VLOOKUP(AA12,suvaha!$D$8:$H$158,3,FALSE),9),1))</f>
        <v/>
      </c>
      <c r="AJ18" s="255" t="s">
        <v>965</v>
      </c>
      <c r="AK18" s="432" t="str">
        <f>IF(LEN(VLOOKUP(AA12,suvaha!$D$8:$H$158,3,FALSE))&lt;8,"",LEFT(RIGHT(VLOOKUP(AA12,suvaha!$D$8:$H$158,3,FALSE),8),1))</f>
        <v/>
      </c>
      <c r="AL18" s="434" t="s">
        <v>965</v>
      </c>
      <c r="AM18" s="432" t="str">
        <f>IF(LEN(VLOOKUP(AA12,suvaha!$D$8:$H$158,3,FALSE))&lt;7,"",LEFT(RIGHT(VLOOKUP(AA12,suvaha!$D$8:$H$158,3,FALSE),7),1))</f>
        <v/>
      </c>
      <c r="AN18" s="818"/>
      <c r="AO18" s="432" t="str">
        <f>IF(LEN(VLOOKUP(AA12,suvaha!$D$8:$H$158,3,FALSE))&lt;6,"",LEFT(RIGHT(VLOOKUP(AA12,suvaha!$D$8:$H$158,3,FALSE),6),1))</f>
        <v/>
      </c>
      <c r="AP18" s="434" t="s">
        <v>965</v>
      </c>
      <c r="AQ18" s="432" t="str">
        <f>IF(LEN(VLOOKUP(AA12,suvaha!$D$8:$H$158,3,FALSE))&lt;5,"",LEFT(RIGHT(VLOOKUP(AA12,suvaha!$D$8:$H$158,3,FALSE),5),1))</f>
        <v/>
      </c>
      <c r="AR18" s="434" t="s">
        <v>965</v>
      </c>
      <c r="AS18" s="432" t="str">
        <f>IF(LEN(VLOOKUP(AA12,suvaha!$D$8:$H$158,3,FALSE))&lt;4,"",LEFT(RIGHT(VLOOKUP(AA12,suvaha!$D$8:$H$158,3,FALSE),4),1))</f>
        <v/>
      </c>
      <c r="AT18" s="818"/>
      <c r="AU18" s="432" t="str">
        <f>IF(LEN(VLOOKUP(AA12,suvaha!$D$8:$H$158,3,FALSE))&lt;3,"",LEFT(RIGHT(VLOOKUP(AA12,suvaha!$D$8:$H$158,3,FALSE),3),1))</f>
        <v/>
      </c>
      <c r="AV18" s="434" t="s">
        <v>965</v>
      </c>
      <c r="AW18" s="432" t="str">
        <f>IF(LEN(VLOOKUP(AA12,suvaha!$D$8:$H$158,3,FALSE))&lt;2,"",LEFT(RIGHT(VLOOKUP(AA12,suvaha!$D$8:$H$158,3,FALSE),2),1))</f>
        <v/>
      </c>
      <c r="AX18" s="434" t="s">
        <v>965</v>
      </c>
      <c r="AY18" s="432" t="str">
        <f>IF(VLOOKUP(AA12,suvaha!$D$8:$H$85,3,FALSE)=0,"",IF(LEN(VLOOKUP(AA12,suvaha!$D$8:$H$158,3,FALSE))&lt;1,"",LEFT(RIGHT(VLOOKUP(AA12,suvaha!$D$8:$H$158,3,FALSE),1),1)))</f>
        <v/>
      </c>
      <c r="AZ18" s="827"/>
      <c r="BA18" s="875"/>
      <c r="BB18" s="875"/>
      <c r="BC18" s="875"/>
      <c r="BD18" s="875"/>
      <c r="BE18" s="875"/>
      <c r="BF18" s="875"/>
      <c r="BG18" s="875"/>
      <c r="BH18" s="875"/>
      <c r="BI18" s="875"/>
      <c r="BJ18" s="875"/>
      <c r="BK18" s="442"/>
      <c r="BL18" s="442"/>
      <c r="BM18" s="432" t="str">
        <f>IF(LEN(VLOOKUP(AA12,suvaha!$D$8:$H$158,5,FALSE))&lt;11,"",LEFT(RIGHT(VLOOKUP(AA12,suvaha!$D$8:$H$158,5,FALSE),11),1))</f>
        <v/>
      </c>
      <c r="BN18" s="255" t="s">
        <v>965</v>
      </c>
      <c r="BO18" s="432" t="str">
        <f>IF(LEN(VLOOKUP(AA12,suvaha!$D$8:$H$158,5,FALSE))&lt;10,"",LEFT(RIGHT(VLOOKUP(AA12,suvaha!$D$8:$H$158,5,FALSE),10),1))</f>
        <v/>
      </c>
      <c r="BP18" s="442" t="s">
        <v>965</v>
      </c>
      <c r="BQ18" s="432" t="str">
        <f>IF(LEN(VLOOKUP(AA12,suvaha!$D$8:$H$158,5,FALSE))&lt;9,"",LEFT(RIGHT(VLOOKUP(AA12,suvaha!$D$8:$H$158,5,FALSE),9),1))</f>
        <v/>
      </c>
      <c r="BR18" s="434" t="s">
        <v>965</v>
      </c>
      <c r="BS18" s="432" t="str">
        <f>IF(LEN(VLOOKUP(AA12,suvaha!$D$8:$H$158,5,FALSE))&lt;8,"",LEFT(RIGHT(VLOOKUP(AA12,suvaha!$D$8:$H$158,5,FALSE),8),1))</f>
        <v/>
      </c>
      <c r="BT18" s="434" t="s">
        <v>965</v>
      </c>
      <c r="BU18" s="432" t="str">
        <f>IF(LEN(VLOOKUP(AA12,suvaha!$D$8:$H$158,5,FALSE))&lt;7,"",LEFT(RIGHT(VLOOKUP(AA12,suvaha!$D$8:$H$158,5,FALSE),7),1))</f>
        <v/>
      </c>
      <c r="BV18" s="442" t="s">
        <v>965</v>
      </c>
      <c r="BW18" s="432" t="str">
        <f>IF(LEN(VLOOKUP(AA12,suvaha!$D$8:$H$158,5,FALSE))&lt;6,"",LEFT(RIGHT(VLOOKUP(AA12,suvaha!$D$8:$H$158,5,FALSE),6),1))</f>
        <v/>
      </c>
      <c r="BX18" s="434" t="s">
        <v>965</v>
      </c>
      <c r="BY18" s="432" t="str">
        <f>IF(LEN(VLOOKUP(AA12,suvaha!$D$8:$H$158,5,FALSE))&lt;5,"",LEFT(RIGHT(VLOOKUP(AA12,suvaha!$D$8:$H$158,5,FALSE),5),1))</f>
        <v>1</v>
      </c>
      <c r="BZ18" s="434" t="s">
        <v>965</v>
      </c>
      <c r="CA18" s="432" t="str">
        <f>IF(LEN(VLOOKUP(AA12,suvaha!$D$8:$H$158,5,FALSE))&lt;4,"",LEFT(RIGHT(VLOOKUP(AA12,suvaha!$D$8:$H$158,5,FALSE),4),1))</f>
        <v>3</v>
      </c>
      <c r="CB18" s="445" t="s">
        <v>965</v>
      </c>
      <c r="CC18" s="432" t="str">
        <f>IF(LEN(VLOOKUP(AA12,suvaha!$D$8:$H$158,5,FALSE))&lt;3,"",LEFT(RIGHT(VLOOKUP(AA12,suvaha!$D$8:$H$158,5,FALSE),3),1))</f>
        <v>2</v>
      </c>
      <c r="CD18" s="434" t="s">
        <v>965</v>
      </c>
      <c r="CE18" s="432" t="str">
        <f>IF(LEN(VLOOKUP(AA12,suvaha!$D$8:$H$158,5,FALSE))&lt;2,"",LEFT(RIGHT(VLOOKUP(AA12,suvaha!$D$8:$H$158,5,FALSE),2),1))</f>
        <v>8</v>
      </c>
      <c r="CF18" s="434" t="s">
        <v>1540</v>
      </c>
      <c r="CG18" s="432" t="str">
        <f>IF(VLOOKUP(AA12,suvaha!$D$8:$H$85,5,FALSE)=0,"",IF(LEN(VLOOKUP(AA12,suvaha!$D$8:$H$158,5,FALSE))&lt;1,"",LEFT(RIGHT(VLOOKUP(AA12,suvaha!$D$8:$H$158,5,FALSE),1),1)))</f>
        <v>4</v>
      </c>
      <c r="CH18" s="287"/>
      <c r="CI18" s="878"/>
      <c r="CJ18" s="220"/>
    </row>
    <row r="19" spans="1:88" ht="3" customHeight="1">
      <c r="B19" s="879"/>
      <c r="C19" s="879"/>
      <c r="D19" s="879"/>
      <c r="E19" s="939"/>
      <c r="F19" s="939"/>
      <c r="G19" s="946"/>
      <c r="H19" s="874"/>
      <c r="I19" s="874"/>
      <c r="J19" s="874"/>
      <c r="K19" s="874"/>
      <c r="L19" s="874"/>
      <c r="M19" s="874"/>
      <c r="N19" s="874"/>
      <c r="O19" s="874"/>
      <c r="P19" s="874"/>
      <c r="Q19" s="874"/>
      <c r="R19" s="874"/>
      <c r="S19" s="874"/>
      <c r="T19" s="874"/>
      <c r="U19" s="874"/>
      <c r="V19" s="874"/>
      <c r="W19" s="874"/>
      <c r="X19" s="874"/>
      <c r="Y19" s="874"/>
      <c r="Z19" s="874"/>
      <c r="AA19" s="875"/>
      <c r="AB19" s="875"/>
      <c r="AC19" s="875"/>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875"/>
      <c r="BB19" s="875"/>
      <c r="BC19" s="875"/>
      <c r="BD19" s="875"/>
      <c r="BE19" s="875"/>
      <c r="BF19" s="875"/>
      <c r="BG19" s="875"/>
      <c r="BH19" s="875"/>
      <c r="BI19" s="875"/>
      <c r="BJ19" s="875"/>
      <c r="BK19" s="310"/>
      <c r="BL19" s="310"/>
      <c r="BM19" s="310"/>
      <c r="BN19" s="310"/>
      <c r="BO19" s="310"/>
      <c r="BP19" s="310"/>
      <c r="BQ19" s="310"/>
      <c r="BR19" s="310"/>
      <c r="BS19" s="310"/>
      <c r="BT19" s="310"/>
      <c r="BU19" s="310"/>
      <c r="BV19" s="310"/>
      <c r="BW19" s="310"/>
      <c r="BX19" s="310"/>
      <c r="BY19" s="310"/>
      <c r="BZ19" s="310"/>
      <c r="CA19" s="310"/>
      <c r="CB19" s="310"/>
      <c r="CC19" s="310"/>
      <c r="CD19" s="310"/>
      <c r="CE19" s="310"/>
      <c r="CF19" s="310"/>
      <c r="CG19" s="310"/>
      <c r="CH19" s="286"/>
      <c r="CI19" s="878"/>
      <c r="CJ19" s="220"/>
    </row>
    <row r="20" spans="1:88" s="250" customFormat="1" ht="3" customHeight="1">
      <c r="A20" s="220"/>
      <c r="B20" s="879"/>
      <c r="C20" s="879"/>
      <c r="D20" s="879"/>
      <c r="E20" s="877" t="s">
        <v>633</v>
      </c>
      <c r="F20" s="877"/>
      <c r="G20" s="862"/>
      <c r="H20" s="938" t="str">
        <f>Index!C123</f>
        <v>Peniaze (211, 213, 21X)</v>
      </c>
      <c r="I20" s="938"/>
      <c r="J20" s="938"/>
      <c r="K20" s="938"/>
      <c r="L20" s="938"/>
      <c r="M20" s="938"/>
      <c r="N20" s="938"/>
      <c r="O20" s="938"/>
      <c r="P20" s="938"/>
      <c r="Q20" s="938"/>
      <c r="R20" s="938"/>
      <c r="S20" s="938"/>
      <c r="T20" s="938"/>
      <c r="U20" s="938"/>
      <c r="V20" s="938"/>
      <c r="W20" s="938"/>
      <c r="X20" s="938"/>
      <c r="Y20" s="938"/>
      <c r="Z20" s="938"/>
      <c r="AA20" s="866" t="s">
        <v>1636</v>
      </c>
      <c r="AB20" s="866"/>
      <c r="AC20" s="866"/>
      <c r="AD20" s="825"/>
      <c r="AE20" s="825"/>
      <c r="AF20" s="825"/>
      <c r="AG20" s="825"/>
      <c r="AH20" s="825"/>
      <c r="AI20" s="825"/>
      <c r="AJ20" s="825"/>
      <c r="AK20" s="825"/>
      <c r="AL20" s="825"/>
      <c r="AM20" s="825"/>
      <c r="AN20" s="825"/>
      <c r="AO20" s="825"/>
      <c r="AP20" s="825"/>
      <c r="AQ20" s="825"/>
      <c r="AR20" s="825"/>
      <c r="AS20" s="825"/>
      <c r="AT20" s="825"/>
      <c r="AU20" s="825"/>
      <c r="AV20" s="825"/>
      <c r="AW20" s="825"/>
      <c r="AX20" s="825"/>
      <c r="AY20" s="825"/>
      <c r="AZ20" s="825"/>
      <c r="BA20" s="867"/>
      <c r="BB20" s="867"/>
      <c r="BC20" s="867"/>
      <c r="BD20" s="867"/>
      <c r="BE20" s="867"/>
      <c r="BF20" s="867"/>
      <c r="BG20" s="867"/>
      <c r="BH20" s="867"/>
      <c r="BI20" s="867"/>
      <c r="BJ20" s="867"/>
      <c r="BK20" s="867"/>
      <c r="BL20" s="867"/>
      <c r="BM20" s="867"/>
      <c r="BN20" s="867"/>
      <c r="BO20" s="867"/>
      <c r="BP20" s="867"/>
      <c r="BQ20" s="867"/>
      <c r="BR20" s="867"/>
      <c r="BS20" s="304"/>
      <c r="BT20" s="304"/>
      <c r="BU20" s="304"/>
      <c r="BV20" s="304"/>
      <c r="BW20" s="304"/>
      <c r="BX20" s="446"/>
      <c r="BY20" s="304"/>
      <c r="BZ20" s="304"/>
      <c r="CA20" s="304"/>
      <c r="CB20" s="304"/>
      <c r="CC20" s="304"/>
      <c r="CD20" s="304"/>
      <c r="CE20" s="304"/>
      <c r="CF20" s="304"/>
      <c r="CG20" s="304"/>
      <c r="CH20" s="284"/>
      <c r="CI20" s="878"/>
      <c r="CJ20" s="288"/>
    </row>
    <row r="21" spans="1:88" s="250" customFormat="1" ht="3" customHeight="1">
      <c r="A21" s="220"/>
      <c r="B21" s="879"/>
      <c r="C21" s="879"/>
      <c r="D21" s="879"/>
      <c r="E21" s="877"/>
      <c r="F21" s="877"/>
      <c r="G21" s="862"/>
      <c r="H21" s="938"/>
      <c r="I21" s="938"/>
      <c r="J21" s="938"/>
      <c r="K21" s="938"/>
      <c r="L21" s="938"/>
      <c r="M21" s="938"/>
      <c r="N21" s="938"/>
      <c r="O21" s="938"/>
      <c r="P21" s="938"/>
      <c r="Q21" s="938"/>
      <c r="R21" s="938"/>
      <c r="S21" s="938"/>
      <c r="T21" s="938"/>
      <c r="U21" s="938"/>
      <c r="V21" s="938"/>
      <c r="W21" s="938"/>
      <c r="X21" s="938"/>
      <c r="Y21" s="938"/>
      <c r="Z21" s="938"/>
      <c r="AA21" s="866"/>
      <c r="AB21" s="866"/>
      <c r="AC21" s="866"/>
      <c r="AD21" s="826"/>
      <c r="AE21" s="820"/>
      <c r="AF21" s="820"/>
      <c r="AG21" s="820"/>
      <c r="AH21" s="435"/>
      <c r="AI21" s="821"/>
      <c r="AJ21" s="821"/>
      <c r="AK21" s="821"/>
      <c r="AL21" s="821"/>
      <c r="AM21" s="821"/>
      <c r="AN21" s="818"/>
      <c r="AO21" s="822"/>
      <c r="AP21" s="822"/>
      <c r="AQ21" s="822"/>
      <c r="AR21" s="822"/>
      <c r="AS21" s="822"/>
      <c r="AT21" s="818"/>
      <c r="AU21" s="822"/>
      <c r="AV21" s="822"/>
      <c r="AW21" s="822"/>
      <c r="AX21" s="822"/>
      <c r="AY21" s="822"/>
      <c r="AZ21" s="827"/>
      <c r="BA21" s="826"/>
      <c r="BB21" s="820"/>
      <c r="BC21" s="820"/>
      <c r="BD21" s="820"/>
      <c r="BE21" s="435"/>
      <c r="BF21" s="821"/>
      <c r="BG21" s="821"/>
      <c r="BH21" s="821"/>
      <c r="BI21" s="821"/>
      <c r="BJ21" s="821"/>
      <c r="BK21" s="818"/>
      <c r="BL21" s="818"/>
      <c r="BM21" s="822"/>
      <c r="BN21" s="822"/>
      <c r="BO21" s="822"/>
      <c r="BP21" s="822"/>
      <c r="BQ21" s="822"/>
      <c r="BR21" s="819"/>
      <c r="BS21" s="822"/>
      <c r="BT21" s="822"/>
      <c r="BU21" s="822"/>
      <c r="BV21" s="822"/>
      <c r="BW21" s="822"/>
      <c r="BX21" s="441"/>
      <c r="BY21" s="442"/>
      <c r="BZ21" s="442"/>
      <c r="CA21" s="442"/>
      <c r="CB21" s="442"/>
      <c r="CC21" s="442"/>
      <c r="CD21" s="442"/>
      <c r="CE21" s="442"/>
      <c r="CF21" s="442"/>
      <c r="CG21" s="442"/>
      <c r="CH21" s="285"/>
      <c r="CI21" s="878"/>
      <c r="CJ21" s="288"/>
    </row>
    <row r="22" spans="1:88" ht="15" customHeight="1">
      <c r="B22" s="879"/>
      <c r="C22" s="879"/>
      <c r="D22" s="879"/>
      <c r="E22" s="877"/>
      <c r="F22" s="877"/>
      <c r="G22" s="862"/>
      <c r="H22" s="938"/>
      <c r="I22" s="938"/>
      <c r="J22" s="938"/>
      <c r="K22" s="938"/>
      <c r="L22" s="938"/>
      <c r="M22" s="938"/>
      <c r="N22" s="938"/>
      <c r="O22" s="938"/>
      <c r="P22" s="938"/>
      <c r="Q22" s="938"/>
      <c r="R22" s="938"/>
      <c r="S22" s="938"/>
      <c r="T22" s="938"/>
      <c r="U22" s="938"/>
      <c r="V22" s="938"/>
      <c r="W22" s="938"/>
      <c r="X22" s="938"/>
      <c r="Y22" s="938"/>
      <c r="Z22" s="938"/>
      <c r="AA22" s="866"/>
      <c r="AB22" s="866"/>
      <c r="AC22" s="866"/>
      <c r="AD22" s="826"/>
      <c r="AE22" s="432" t="str">
        <f>IF(LEN(VLOOKUP(AA20,suvaha!$D$8:$H$158,2,FALSE))&lt;11,"",LEFT(RIGHT(VLOOKUP(AA20,suvaha!$D$8:$H$158,2,FALSE),11),1))</f>
        <v/>
      </c>
      <c r="AF22" s="255"/>
      <c r="AG22" s="432" t="str">
        <f>IF(LEN(VLOOKUP(AA20,suvaha!$D$8:$H$158,2,FALSE))&lt;10,"",LEFT(RIGHT(VLOOKUP(AA20,suvaha!$D$8:$H$158,2,FALSE),10),1))</f>
        <v/>
      </c>
      <c r="AH22" s="434"/>
      <c r="AI22" s="432" t="str">
        <f>IF(LEN(VLOOKUP(AA20,suvaha!$D$8:$H$158,2,FALSE))&lt;9,"",LEFT(RIGHT(VLOOKUP(AA20,suvaha!$D$8:$H$158,2,FALSE),9),1))</f>
        <v/>
      </c>
      <c r="AJ22" s="255"/>
      <c r="AK22" s="432" t="str">
        <f>IF(LEN(VLOOKUP(AA20,suvaha!$D$8:$H$158,2,FALSE))&lt;8,"",LEFT(RIGHT(VLOOKUP(AA20,suvaha!$D$8:$H$158,2,FALSE),8),1))</f>
        <v/>
      </c>
      <c r="AL22" s="434"/>
      <c r="AM22" s="432" t="str">
        <f>IF(LEN(VLOOKUP(AA20,suvaha!$D$8:$H$158,2,FALSE))&lt;7,"",LEFT(RIGHT(VLOOKUP(AA20,suvaha!$D$8:$H$158,2,FALSE),7),1))</f>
        <v/>
      </c>
      <c r="AN22" s="818"/>
      <c r="AO22" s="432" t="str">
        <f>IF(LEN(VLOOKUP(AA20,suvaha!$D$8:$H$158,2,FALSE))&lt;6,"",LEFT(RIGHT(VLOOKUP(AA20,suvaha!$D$8:$H$158,2,FALSE),6),1))</f>
        <v/>
      </c>
      <c r="AP22" s="434"/>
      <c r="AQ22" s="432" t="str">
        <f>IF(LEN(VLOOKUP(AA20,suvaha!$D$8:$H$158,2,FALSE))&lt;5,"",LEFT(RIGHT(VLOOKUP(AA20,suvaha!$D$8:$H$158,2,FALSE),5),1))</f>
        <v/>
      </c>
      <c r="AR22" s="434"/>
      <c r="AS22" s="432" t="str">
        <f>IF(LEN(VLOOKUP(AA20,suvaha!$D$8:$H$158,2,FALSE))&lt;4,"",LEFT(RIGHT(VLOOKUP(AA20,suvaha!$D$8:$H$158,2,FALSE),4),1))</f>
        <v/>
      </c>
      <c r="AT22" s="818"/>
      <c r="AU22" s="432" t="str">
        <f>IF(LEN(VLOOKUP(AA20,suvaha!$D$8:$H$158,2,FALSE))&lt;3,"",LEFT(RIGHT(VLOOKUP(AA20,suvaha!$D$8:$H$158,2,FALSE),3),1))</f>
        <v>8</v>
      </c>
      <c r="AV22" s="434"/>
      <c r="AW22" s="432" t="str">
        <f>IF(LEN(VLOOKUP(AA20,suvaha!$D$8:$H$158,2,FALSE))&lt;2,"",LEFT(RIGHT(VLOOKUP(AA20,suvaha!$D$8:$H$158,2,FALSE),2),1))</f>
        <v>1</v>
      </c>
      <c r="AX22" s="434"/>
      <c r="AY22" s="432" t="str">
        <f>IF(VLOOKUP(AA20,suvaha!$D$8:$H$85,2,FALSE)=0,"",IF(LEN(VLOOKUP(AA20,suvaha!$D$8:$H$158,2,FALSE))&lt;1,"",LEFT(RIGHT(VLOOKUP(AA20,suvaha!$D$8:$H$158,2,FALSE),1),1)))</f>
        <v>1</v>
      </c>
      <c r="AZ22" s="827"/>
      <c r="BA22" s="826"/>
      <c r="BB22" s="432" t="str">
        <f>IF(LEN(VLOOKUP(AA20,suvaha!$D$8:$H$158,4,FALSE))&lt;11,"",LEFT(RIGHT(VLOOKUP(AA20,suvaha!$D$8:$H$158,4,FALSE),11),1))</f>
        <v/>
      </c>
      <c r="BC22" s="255"/>
      <c r="BD22" s="432" t="str">
        <f>IF(LEN(VLOOKUP(AA20,suvaha!$D$8:$H$158,4,FALSE))&lt;10,"",LEFT(RIGHT(VLOOKUP(AA20,suvaha!$D$8:$H$158,4,FALSE),10),1))</f>
        <v/>
      </c>
      <c r="BE22" s="434"/>
      <c r="BF22" s="432" t="str">
        <f>IF(LEN(VLOOKUP(AA20,suvaha!$D$8:$H$158,4,FALSE))&lt;9,"",LEFT(RIGHT(VLOOKUP(AA20,suvaha!$D$8:$H$158,4,FALSE),9),1))</f>
        <v/>
      </c>
      <c r="BG22" s="255"/>
      <c r="BH22" s="432" t="str">
        <f>IF(LEN(VLOOKUP(AA20,suvaha!$D$8:$H$158,4,FALSE))&lt;8,"",LEFT(RIGHT(VLOOKUP(AA20,suvaha!$D$8:$H$158,4,FALSE),8),1))</f>
        <v/>
      </c>
      <c r="BI22" s="434"/>
      <c r="BJ22" s="432" t="str">
        <f>IF(LEN(VLOOKUP(AA20,suvaha!$D$8:$H$158,4,FALSE))&lt;7,"",LEFT(RIGHT(VLOOKUP(AA20,suvaha!$D$8:$H$158,4,FALSE),7),1))</f>
        <v/>
      </c>
      <c r="BK22" s="818"/>
      <c r="BL22" s="818"/>
      <c r="BM22" s="432" t="str">
        <f>IF(LEN(VLOOKUP(AA20,suvaha!$D$8:$H$158,4,FALSE))&lt;6,"",LEFT(RIGHT(VLOOKUP(AA20,suvaha!$D$8:$H$158,4,FALSE),6),1))</f>
        <v/>
      </c>
      <c r="BN22" s="434"/>
      <c r="BO22" s="432" t="str">
        <f>IF(LEN(VLOOKUP(AA20,suvaha!$D$8:$H$158,4,FALSE))&lt;5,"",LEFT(RIGHT(VLOOKUP(AA20,suvaha!$D$8:$H$158,4,FALSE),5),1))</f>
        <v/>
      </c>
      <c r="BP22" s="434"/>
      <c r="BQ22" s="432" t="str">
        <f>IF(LEN(VLOOKUP(AA20,suvaha!$D$8:$H$158,4,FALSE))&lt;4,"",LEFT(RIGHT(VLOOKUP(AA20,suvaha!$D$8:$H$158,4,FALSE),4),1))</f>
        <v/>
      </c>
      <c r="BR22" s="819"/>
      <c r="BS22" s="432" t="str">
        <f>IF(LEN(VLOOKUP(AA20,suvaha!$D$8:$H$158,4,FALSE))&lt;3,"",LEFT(RIGHT(VLOOKUP(AA20,suvaha!$D$8:$H$158,4,FALSE),3),1))</f>
        <v>8</v>
      </c>
      <c r="BT22" s="434"/>
      <c r="BU22" s="432" t="str">
        <f>IF(LEN(VLOOKUP(AA20,suvaha!$D$8:$H$158,4,FALSE))&lt;2,"",LEFT(RIGHT(VLOOKUP(AA20,suvaha!$D$8:$H$158,4,FALSE),2),1))</f>
        <v>1</v>
      </c>
      <c r="BV22" s="434"/>
      <c r="BW22" s="432" t="str">
        <f>IF(VLOOKUP(AA20,suvaha!$D$8:$H$85,4,FALSE)=0,"",IF(LEN(VLOOKUP(AA20,suvaha!$D$8:$H$158,4,FALSE))&lt;1,"",LEFT(RIGHT(VLOOKUP(AA20,suvaha!$D$8:$H$158,4,FALSE),1),1)))</f>
        <v>1</v>
      </c>
      <c r="BX22" s="441"/>
      <c r="BY22" s="442"/>
      <c r="BZ22" s="442"/>
      <c r="CA22" s="442"/>
      <c r="CB22" s="442"/>
      <c r="CC22" s="442"/>
      <c r="CD22" s="442"/>
      <c r="CE22" s="442"/>
      <c r="CF22" s="442"/>
      <c r="CG22" s="442"/>
      <c r="CH22" s="285"/>
      <c r="CI22" s="878"/>
      <c r="CJ22" s="220"/>
    </row>
    <row r="23" spans="1:88" ht="3" customHeight="1">
      <c r="B23" s="879"/>
      <c r="C23" s="879"/>
      <c r="D23" s="879"/>
      <c r="E23" s="877"/>
      <c r="F23" s="877"/>
      <c r="G23" s="862"/>
      <c r="H23" s="938"/>
      <c r="I23" s="938"/>
      <c r="J23" s="938"/>
      <c r="K23" s="938"/>
      <c r="L23" s="938"/>
      <c r="M23" s="938"/>
      <c r="N23" s="938"/>
      <c r="O23" s="938"/>
      <c r="P23" s="938"/>
      <c r="Q23" s="938"/>
      <c r="R23" s="938"/>
      <c r="S23" s="938"/>
      <c r="T23" s="938"/>
      <c r="U23" s="938"/>
      <c r="V23" s="938"/>
      <c r="W23" s="938"/>
      <c r="X23" s="938"/>
      <c r="Y23" s="938"/>
      <c r="Z23" s="938"/>
      <c r="AA23" s="866"/>
      <c r="AB23" s="866"/>
      <c r="AC23" s="866"/>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6"/>
      <c r="BB23" s="846"/>
      <c r="BC23" s="846"/>
      <c r="BD23" s="846"/>
      <c r="BE23" s="846"/>
      <c r="BF23" s="846"/>
      <c r="BG23" s="846"/>
      <c r="BH23" s="846"/>
      <c r="BI23" s="846"/>
      <c r="BJ23" s="846"/>
      <c r="BK23" s="846"/>
      <c r="BL23" s="846"/>
      <c r="BM23" s="846"/>
      <c r="BN23" s="846"/>
      <c r="BO23" s="846"/>
      <c r="BP23" s="846"/>
      <c r="BQ23" s="846"/>
      <c r="BR23" s="846"/>
      <c r="BS23" s="310"/>
      <c r="BT23" s="310"/>
      <c r="BU23" s="310"/>
      <c r="BV23" s="310"/>
      <c r="BW23" s="310"/>
      <c r="BX23" s="443"/>
      <c r="BY23" s="310"/>
      <c r="BZ23" s="310"/>
      <c r="CA23" s="310"/>
      <c r="CB23" s="310"/>
      <c r="CC23" s="310"/>
      <c r="CD23" s="310"/>
      <c r="CE23" s="310"/>
      <c r="CF23" s="310"/>
      <c r="CG23" s="310"/>
      <c r="CH23" s="286"/>
      <c r="CI23" s="220"/>
      <c r="CJ23" s="220"/>
    </row>
    <row r="24" spans="1:88" ht="3" customHeight="1">
      <c r="B24" s="879"/>
      <c r="C24" s="879"/>
      <c r="D24" s="879"/>
      <c r="E24" s="877"/>
      <c r="F24" s="877"/>
      <c r="G24" s="862"/>
      <c r="H24" s="938"/>
      <c r="I24" s="938"/>
      <c r="J24" s="938"/>
      <c r="K24" s="938"/>
      <c r="L24" s="938"/>
      <c r="M24" s="938"/>
      <c r="N24" s="938"/>
      <c r="O24" s="938"/>
      <c r="P24" s="938"/>
      <c r="Q24" s="938"/>
      <c r="R24" s="938"/>
      <c r="S24" s="938"/>
      <c r="T24" s="938"/>
      <c r="U24" s="938"/>
      <c r="V24" s="938"/>
      <c r="W24" s="938"/>
      <c r="X24" s="938"/>
      <c r="Y24" s="938"/>
      <c r="Z24" s="938"/>
      <c r="AA24" s="866"/>
      <c r="AB24" s="866"/>
      <c r="AC24" s="866"/>
      <c r="AD24" s="825"/>
      <c r="AE24" s="825"/>
      <c r="AF24" s="825"/>
      <c r="AG24" s="825"/>
      <c r="AH24" s="825"/>
      <c r="AI24" s="825"/>
      <c r="AJ24" s="825"/>
      <c r="AK24" s="825"/>
      <c r="AL24" s="825"/>
      <c r="AM24" s="825"/>
      <c r="AN24" s="825"/>
      <c r="AO24" s="825"/>
      <c r="AP24" s="825"/>
      <c r="AQ24" s="825"/>
      <c r="AR24" s="825"/>
      <c r="AS24" s="825"/>
      <c r="AT24" s="825"/>
      <c r="AU24" s="825"/>
      <c r="AV24" s="825"/>
      <c r="AW24" s="825"/>
      <c r="AX24" s="825"/>
      <c r="AY24" s="825"/>
      <c r="AZ24" s="825"/>
      <c r="BA24" s="875"/>
      <c r="BB24" s="875"/>
      <c r="BC24" s="875"/>
      <c r="BD24" s="875"/>
      <c r="BE24" s="875"/>
      <c r="BF24" s="875"/>
      <c r="BG24" s="875"/>
      <c r="BH24" s="875"/>
      <c r="BI24" s="875"/>
      <c r="BJ24" s="875"/>
      <c r="BK24" s="304"/>
      <c r="BL24" s="304"/>
      <c r="BM24" s="304"/>
      <c r="BN24" s="304"/>
      <c r="BO24" s="304"/>
      <c r="BP24" s="304"/>
      <c r="BQ24" s="304"/>
      <c r="BR24" s="304"/>
      <c r="BS24" s="304"/>
      <c r="BT24" s="304"/>
      <c r="BU24" s="304"/>
      <c r="BV24" s="304"/>
      <c r="BW24" s="304"/>
      <c r="BX24" s="304"/>
      <c r="BY24" s="304"/>
      <c r="BZ24" s="304"/>
      <c r="CA24" s="304"/>
      <c r="CB24" s="304"/>
      <c r="CC24" s="304"/>
      <c r="CD24" s="304"/>
      <c r="CE24" s="304"/>
      <c r="CF24" s="304"/>
      <c r="CG24" s="304"/>
      <c r="CH24" s="284"/>
      <c r="CI24" s="220"/>
      <c r="CJ24" s="220"/>
    </row>
    <row r="25" spans="1:88" ht="3" customHeight="1">
      <c r="B25" s="879"/>
      <c r="C25" s="879"/>
      <c r="D25" s="879"/>
      <c r="E25" s="877"/>
      <c r="F25" s="877"/>
      <c r="G25" s="862"/>
      <c r="H25" s="938"/>
      <c r="I25" s="938"/>
      <c r="J25" s="938"/>
      <c r="K25" s="938"/>
      <c r="L25" s="938"/>
      <c r="M25" s="938"/>
      <c r="N25" s="938"/>
      <c r="O25" s="938"/>
      <c r="P25" s="938"/>
      <c r="Q25" s="938"/>
      <c r="R25" s="938"/>
      <c r="S25" s="938"/>
      <c r="T25" s="938"/>
      <c r="U25" s="938"/>
      <c r="V25" s="938"/>
      <c r="W25" s="938"/>
      <c r="X25" s="938"/>
      <c r="Y25" s="938"/>
      <c r="Z25" s="938"/>
      <c r="AA25" s="866"/>
      <c r="AB25" s="866"/>
      <c r="AC25" s="866"/>
      <c r="AD25" s="826"/>
      <c r="AE25" s="820"/>
      <c r="AF25" s="820"/>
      <c r="AG25" s="820"/>
      <c r="AH25" s="435"/>
      <c r="AI25" s="821"/>
      <c r="AJ25" s="821"/>
      <c r="AK25" s="821"/>
      <c r="AL25" s="821"/>
      <c r="AM25" s="821"/>
      <c r="AN25" s="818" t="s">
        <v>965</v>
      </c>
      <c r="AO25" s="822"/>
      <c r="AP25" s="822"/>
      <c r="AQ25" s="822"/>
      <c r="AR25" s="822"/>
      <c r="AS25" s="822"/>
      <c r="AT25" s="818" t="s">
        <v>965</v>
      </c>
      <c r="AU25" s="822"/>
      <c r="AV25" s="822"/>
      <c r="AW25" s="822"/>
      <c r="AX25" s="822"/>
      <c r="AY25" s="822"/>
      <c r="AZ25" s="827"/>
      <c r="BA25" s="875"/>
      <c r="BB25" s="875"/>
      <c r="BC25" s="875"/>
      <c r="BD25" s="875"/>
      <c r="BE25" s="875"/>
      <c r="BF25" s="875"/>
      <c r="BG25" s="875"/>
      <c r="BH25" s="875"/>
      <c r="BI25" s="875"/>
      <c r="BJ25" s="875"/>
      <c r="BK25" s="442"/>
      <c r="BL25" s="442"/>
      <c r="BM25" s="820"/>
      <c r="BN25" s="820"/>
      <c r="BO25" s="820"/>
      <c r="BP25" s="442"/>
      <c r="BQ25" s="444"/>
      <c r="BR25" s="444"/>
      <c r="BS25" s="444"/>
      <c r="BT25" s="444"/>
      <c r="BU25" s="444"/>
      <c r="BV25" s="442"/>
      <c r="BW25" s="444"/>
      <c r="BX25" s="444"/>
      <c r="BY25" s="444"/>
      <c r="BZ25" s="444"/>
      <c r="CA25" s="444"/>
      <c r="CB25" s="445"/>
      <c r="CC25" s="444"/>
      <c r="CD25" s="444"/>
      <c r="CE25" s="444"/>
      <c r="CF25" s="444"/>
      <c r="CG25" s="444"/>
      <c r="CH25" s="287"/>
      <c r="CI25" s="220"/>
      <c r="CJ25" s="220"/>
    </row>
    <row r="26" spans="1:88" ht="15" customHeight="1">
      <c r="B26" s="879"/>
      <c r="C26" s="879"/>
      <c r="D26" s="879"/>
      <c r="E26" s="877"/>
      <c r="F26" s="877"/>
      <c r="G26" s="862"/>
      <c r="H26" s="938"/>
      <c r="I26" s="938"/>
      <c r="J26" s="938"/>
      <c r="K26" s="938"/>
      <c r="L26" s="938"/>
      <c r="M26" s="938"/>
      <c r="N26" s="938"/>
      <c r="O26" s="938"/>
      <c r="P26" s="938"/>
      <c r="Q26" s="938"/>
      <c r="R26" s="938"/>
      <c r="S26" s="938"/>
      <c r="T26" s="938"/>
      <c r="U26" s="938"/>
      <c r="V26" s="938"/>
      <c r="W26" s="938"/>
      <c r="X26" s="938"/>
      <c r="Y26" s="938"/>
      <c r="Z26" s="938"/>
      <c r="AA26" s="866"/>
      <c r="AB26" s="866"/>
      <c r="AC26" s="866"/>
      <c r="AD26" s="826"/>
      <c r="AE26" s="432" t="str">
        <f>IF(LEN(VLOOKUP(AA20,suvaha!$D$8:$H$158,3,FALSE))&lt;11,"",LEFT(RIGHT(VLOOKUP(AA20,suvaha!$D$8:$H$158,3,FALSE),11),1))</f>
        <v/>
      </c>
      <c r="AF26" s="255" t="s">
        <v>965</v>
      </c>
      <c r="AG26" s="432" t="str">
        <f>IF(LEN(VLOOKUP(AA20,suvaha!$D$8:$H$158,3,FALSE))&lt;10,"",LEFT(RIGHT(VLOOKUP(AA20,suvaha!$D$8:$H$158,3,FALSE),10),1))</f>
        <v/>
      </c>
      <c r="AH26" s="434" t="s">
        <v>965</v>
      </c>
      <c r="AI26" s="432" t="str">
        <f>IF(LEN(VLOOKUP(AA20,suvaha!$D$8:$H$158,3,FALSE))&lt;9,"",LEFT(RIGHT(VLOOKUP(AA20,suvaha!$D$8:$H$158,3,FALSE),9),1))</f>
        <v/>
      </c>
      <c r="AJ26" s="255" t="s">
        <v>965</v>
      </c>
      <c r="AK26" s="432" t="str">
        <f>IF(LEN(VLOOKUP(AA20,suvaha!$D$8:$H$158,3,FALSE))&lt;8,"",LEFT(RIGHT(VLOOKUP(AA20,suvaha!$D$8:$H$158,3,FALSE),8),1))</f>
        <v/>
      </c>
      <c r="AL26" s="434" t="s">
        <v>965</v>
      </c>
      <c r="AM26" s="432" t="str">
        <f>IF(LEN(VLOOKUP(AA20,suvaha!$D$8:$H$158,3,FALSE))&lt;7,"",LEFT(RIGHT(VLOOKUP(AA20,suvaha!$D$8:$H$158,3,FALSE),7),1))</f>
        <v/>
      </c>
      <c r="AN26" s="818"/>
      <c r="AO26" s="432" t="str">
        <f>IF(LEN(VLOOKUP(AA20,suvaha!$D$8:$H$158,3,FALSE))&lt;6,"",LEFT(RIGHT(VLOOKUP(AA20,suvaha!$D$8:$H$158,3,FALSE),6),1))</f>
        <v/>
      </c>
      <c r="AP26" s="434" t="s">
        <v>965</v>
      </c>
      <c r="AQ26" s="432" t="str">
        <f>IF(LEN(VLOOKUP(AA20,suvaha!$D$8:$H$158,3,FALSE))&lt;5,"",LEFT(RIGHT(VLOOKUP(AA20,suvaha!$D$8:$H$158,3,FALSE),5),1))</f>
        <v/>
      </c>
      <c r="AR26" s="434" t="s">
        <v>965</v>
      </c>
      <c r="AS26" s="432" t="str">
        <f>IF(LEN(VLOOKUP(AA20,suvaha!$D$8:$H$158,3,FALSE))&lt;4,"",LEFT(RIGHT(VLOOKUP(AA20,suvaha!$D$8:$H$158,3,FALSE),4),1))</f>
        <v/>
      </c>
      <c r="AT26" s="818"/>
      <c r="AU26" s="432" t="str">
        <f>IF(LEN(VLOOKUP(AA20,suvaha!$D$8:$H$158,3,FALSE))&lt;3,"",LEFT(RIGHT(VLOOKUP(AA20,suvaha!$D$8:$H$158,3,FALSE),3),1))</f>
        <v/>
      </c>
      <c r="AV26" s="434" t="s">
        <v>965</v>
      </c>
      <c r="AW26" s="432" t="str">
        <f>IF(LEN(VLOOKUP(AA20,suvaha!$D$8:$H$158,3,FALSE))&lt;2,"",LEFT(RIGHT(VLOOKUP(AA20,suvaha!$D$8:$H$158,3,FALSE),2),1))</f>
        <v/>
      </c>
      <c r="AX26" s="434" t="s">
        <v>965</v>
      </c>
      <c r="AY26" s="432" t="str">
        <f>IF(VLOOKUP(AA20,suvaha!$D$8:$H$85,3,FALSE)=0,"",IF(LEN(VLOOKUP(AA20,suvaha!$D$8:$H$158,3,FALSE))&lt;1,"",LEFT(RIGHT(VLOOKUP(AA20,suvaha!$D$8:$H$158,3,FALSE),1),1)))</f>
        <v/>
      </c>
      <c r="AZ26" s="827"/>
      <c r="BA26" s="875"/>
      <c r="BB26" s="875"/>
      <c r="BC26" s="875"/>
      <c r="BD26" s="875"/>
      <c r="BE26" s="875"/>
      <c r="BF26" s="875"/>
      <c r="BG26" s="875"/>
      <c r="BH26" s="875"/>
      <c r="BI26" s="875"/>
      <c r="BJ26" s="875"/>
      <c r="BK26" s="442"/>
      <c r="BL26" s="442"/>
      <c r="BM26" s="432" t="str">
        <f>IF(LEN(VLOOKUP(AA20,suvaha!$D$8:$H$158,5,FALSE))&lt;11,"",LEFT(RIGHT(VLOOKUP(AA20,suvaha!$D$8:$H$158,5,FALSE),11),1))</f>
        <v/>
      </c>
      <c r="BN26" s="255" t="s">
        <v>965</v>
      </c>
      <c r="BO26" s="432" t="str">
        <f>IF(LEN(VLOOKUP(AA20,suvaha!$D$8:$H$158,5,FALSE))&lt;10,"",LEFT(RIGHT(VLOOKUP(AA20,suvaha!$D$8:$H$158,5,FALSE),10),1))</f>
        <v/>
      </c>
      <c r="BP26" s="442" t="s">
        <v>965</v>
      </c>
      <c r="BQ26" s="432" t="str">
        <f>IF(LEN(VLOOKUP(AA20,suvaha!$D$8:$H$158,5,FALSE))&lt;9,"",LEFT(RIGHT(VLOOKUP(AA20,suvaha!$D$8:$H$158,5,FALSE),9),1))</f>
        <v/>
      </c>
      <c r="BR26" s="434" t="s">
        <v>965</v>
      </c>
      <c r="BS26" s="432" t="str">
        <f>IF(LEN(VLOOKUP(AA20,suvaha!$D$8:$H$158,5,FALSE))&lt;8,"",LEFT(RIGHT(VLOOKUP(AA20,suvaha!$D$8:$H$158,5,FALSE),8),1))</f>
        <v/>
      </c>
      <c r="BT26" s="434" t="s">
        <v>965</v>
      </c>
      <c r="BU26" s="432" t="str">
        <f>IF(LEN(VLOOKUP(AA20,suvaha!$D$8:$H$158,5,FALSE))&lt;7,"",LEFT(RIGHT(VLOOKUP(AA20,suvaha!$D$8:$H$158,5,FALSE),7),1))</f>
        <v/>
      </c>
      <c r="BV26" s="442" t="s">
        <v>965</v>
      </c>
      <c r="BW26" s="432" t="str">
        <f>IF(LEN(VLOOKUP(AA20,suvaha!$D$8:$H$158,5,FALSE))&lt;6,"",LEFT(RIGHT(VLOOKUP(AA20,suvaha!$D$8:$H$158,5,FALSE),6),1))</f>
        <v/>
      </c>
      <c r="BX26" s="434" t="s">
        <v>965</v>
      </c>
      <c r="BY26" s="432" t="str">
        <f>IF(LEN(VLOOKUP(AA20,suvaha!$D$8:$H$158,5,FALSE))&lt;5,"",LEFT(RIGHT(VLOOKUP(AA20,suvaha!$D$8:$H$158,5,FALSE),5),1))</f>
        <v/>
      </c>
      <c r="BZ26" s="434" t="s">
        <v>965</v>
      </c>
      <c r="CA26" s="432" t="str">
        <f>IF(LEN(VLOOKUP(AA20,suvaha!$D$8:$H$158,5,FALSE))&lt;4,"",LEFT(RIGHT(VLOOKUP(AA20,suvaha!$D$8:$H$158,5,FALSE),4),1))</f>
        <v/>
      </c>
      <c r="CB26" s="445" t="s">
        <v>965</v>
      </c>
      <c r="CC26" s="432" t="str">
        <f>IF(LEN(VLOOKUP(AA20,suvaha!$D$8:$H$158,5,FALSE))&lt;3,"",LEFT(RIGHT(VLOOKUP(AA20,suvaha!$D$8:$H$158,5,FALSE),3),1))</f>
        <v>3</v>
      </c>
      <c r="CD26" s="434" t="s">
        <v>965</v>
      </c>
      <c r="CE26" s="432" t="str">
        <f>IF(LEN(VLOOKUP(AA20,suvaha!$D$8:$H$158,5,FALSE))&lt;2,"",LEFT(RIGHT(VLOOKUP(AA20,suvaha!$D$8:$H$158,5,FALSE),2),1))</f>
        <v>8</v>
      </c>
      <c r="CF26" s="434" t="s">
        <v>1540</v>
      </c>
      <c r="CG26" s="432" t="str">
        <f>IF(VLOOKUP(AA20,suvaha!$D$8:$H$85,5,FALSE)=0,"",IF(LEN(VLOOKUP(AA20,suvaha!$D$8:$H$158,5,FALSE))&lt;1,"",LEFT(RIGHT(VLOOKUP(AA20,suvaha!$D$8:$H$158,5,FALSE),1),1)))</f>
        <v>6</v>
      </c>
      <c r="CH26" s="287"/>
      <c r="CI26" s="220"/>
      <c r="CJ26" s="220"/>
    </row>
    <row r="27" spans="1:88" ht="3" customHeight="1">
      <c r="B27" s="879"/>
      <c r="C27" s="879"/>
      <c r="D27" s="879"/>
      <c r="E27" s="877"/>
      <c r="F27" s="877"/>
      <c r="G27" s="862"/>
      <c r="H27" s="938"/>
      <c r="I27" s="938"/>
      <c r="J27" s="938"/>
      <c r="K27" s="938"/>
      <c r="L27" s="938"/>
      <c r="M27" s="938"/>
      <c r="N27" s="938"/>
      <c r="O27" s="938"/>
      <c r="P27" s="938"/>
      <c r="Q27" s="938"/>
      <c r="R27" s="938"/>
      <c r="S27" s="938"/>
      <c r="T27" s="938"/>
      <c r="U27" s="938"/>
      <c r="V27" s="938"/>
      <c r="W27" s="938"/>
      <c r="X27" s="938"/>
      <c r="Y27" s="938"/>
      <c r="Z27" s="938"/>
      <c r="AA27" s="866"/>
      <c r="AB27" s="866"/>
      <c r="AC27" s="866"/>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875"/>
      <c r="BB27" s="875"/>
      <c r="BC27" s="875"/>
      <c r="BD27" s="875"/>
      <c r="BE27" s="875"/>
      <c r="BF27" s="875"/>
      <c r="BG27" s="875"/>
      <c r="BH27" s="875"/>
      <c r="BI27" s="875"/>
      <c r="BJ27" s="875"/>
      <c r="BK27" s="310"/>
      <c r="BL27" s="310"/>
      <c r="BM27" s="310"/>
      <c r="BN27" s="310"/>
      <c r="BO27" s="310"/>
      <c r="BP27" s="310"/>
      <c r="BQ27" s="310"/>
      <c r="BR27" s="310"/>
      <c r="BS27" s="310"/>
      <c r="BT27" s="310"/>
      <c r="BU27" s="310"/>
      <c r="BV27" s="310"/>
      <c r="BW27" s="310"/>
      <c r="BX27" s="310"/>
      <c r="BY27" s="310"/>
      <c r="BZ27" s="310"/>
      <c r="CA27" s="310"/>
      <c r="CB27" s="310"/>
      <c r="CC27" s="310"/>
      <c r="CD27" s="310"/>
      <c r="CE27" s="310"/>
      <c r="CF27" s="310"/>
      <c r="CG27" s="310"/>
      <c r="CH27" s="286"/>
      <c r="CI27" s="220"/>
      <c r="CJ27" s="220"/>
    </row>
    <row r="28" spans="1:88" s="250" customFormat="1" ht="3.75" customHeight="1">
      <c r="A28" s="220"/>
      <c r="B28" s="879"/>
      <c r="C28" s="879"/>
      <c r="D28" s="879"/>
      <c r="E28" s="877" t="s">
        <v>1542</v>
      </c>
      <c r="F28" s="877"/>
      <c r="G28" s="862"/>
      <c r="H28" s="957" t="str">
        <f>Index!C124</f>
        <v>Účty v bankách (221A, 22X +/-261)</v>
      </c>
      <c r="I28" s="957"/>
      <c r="J28" s="957"/>
      <c r="K28" s="957"/>
      <c r="L28" s="957"/>
      <c r="M28" s="957"/>
      <c r="N28" s="957"/>
      <c r="O28" s="957"/>
      <c r="P28" s="957"/>
      <c r="Q28" s="957"/>
      <c r="R28" s="957"/>
      <c r="S28" s="957"/>
      <c r="T28" s="957"/>
      <c r="U28" s="957"/>
      <c r="V28" s="957"/>
      <c r="W28" s="957"/>
      <c r="X28" s="957"/>
      <c r="Y28" s="957"/>
      <c r="Z28" s="957"/>
      <c r="AA28" s="866" t="s">
        <v>1637</v>
      </c>
      <c r="AB28" s="866"/>
      <c r="AC28" s="866"/>
      <c r="AD28" s="825"/>
      <c r="AE28" s="825"/>
      <c r="AF28" s="825"/>
      <c r="AG28" s="825"/>
      <c r="AH28" s="825"/>
      <c r="AI28" s="825"/>
      <c r="AJ28" s="825"/>
      <c r="AK28" s="825"/>
      <c r="AL28" s="825"/>
      <c r="AM28" s="825"/>
      <c r="AN28" s="825"/>
      <c r="AO28" s="825"/>
      <c r="AP28" s="825"/>
      <c r="AQ28" s="825"/>
      <c r="AR28" s="825"/>
      <c r="AS28" s="825"/>
      <c r="AT28" s="825"/>
      <c r="AU28" s="825"/>
      <c r="AV28" s="825"/>
      <c r="AW28" s="825"/>
      <c r="AX28" s="825"/>
      <c r="AY28" s="825"/>
      <c r="AZ28" s="825"/>
      <c r="BA28" s="867"/>
      <c r="BB28" s="867"/>
      <c r="BC28" s="867"/>
      <c r="BD28" s="867"/>
      <c r="BE28" s="867"/>
      <c r="BF28" s="867"/>
      <c r="BG28" s="867"/>
      <c r="BH28" s="867"/>
      <c r="BI28" s="867"/>
      <c r="BJ28" s="867"/>
      <c r="BK28" s="867"/>
      <c r="BL28" s="867"/>
      <c r="BM28" s="867"/>
      <c r="BN28" s="867"/>
      <c r="BO28" s="867"/>
      <c r="BP28" s="867"/>
      <c r="BQ28" s="867"/>
      <c r="BR28" s="867"/>
      <c r="BS28" s="304"/>
      <c r="BT28" s="304"/>
      <c r="BU28" s="304"/>
      <c r="BV28" s="304"/>
      <c r="BW28" s="304"/>
      <c r="BX28" s="446"/>
      <c r="BY28" s="304"/>
      <c r="BZ28" s="304"/>
      <c r="CA28" s="304"/>
      <c r="CB28" s="304"/>
      <c r="CC28" s="304"/>
      <c r="CD28" s="304"/>
      <c r="CE28" s="304"/>
      <c r="CF28" s="304"/>
      <c r="CG28" s="304"/>
      <c r="CH28" s="284"/>
      <c r="CI28" s="220"/>
      <c r="CJ28" s="288"/>
    </row>
    <row r="29" spans="1:88" s="250" customFormat="1" ht="3" customHeight="1">
      <c r="A29" s="220"/>
      <c r="B29" s="879"/>
      <c r="C29" s="879"/>
      <c r="D29" s="879"/>
      <c r="E29" s="877"/>
      <c r="F29" s="877"/>
      <c r="G29" s="862"/>
      <c r="H29" s="957"/>
      <c r="I29" s="957"/>
      <c r="J29" s="957"/>
      <c r="K29" s="957"/>
      <c r="L29" s="957"/>
      <c r="M29" s="957"/>
      <c r="N29" s="957"/>
      <c r="O29" s="957"/>
      <c r="P29" s="957"/>
      <c r="Q29" s="957"/>
      <c r="R29" s="957"/>
      <c r="S29" s="957"/>
      <c r="T29" s="957"/>
      <c r="U29" s="957"/>
      <c r="V29" s="957"/>
      <c r="W29" s="957"/>
      <c r="X29" s="957"/>
      <c r="Y29" s="957"/>
      <c r="Z29" s="957"/>
      <c r="AA29" s="866"/>
      <c r="AB29" s="866"/>
      <c r="AC29" s="866"/>
      <c r="AD29" s="826"/>
      <c r="AE29" s="820"/>
      <c r="AF29" s="820"/>
      <c r="AG29" s="820"/>
      <c r="AH29" s="435"/>
      <c r="AI29" s="821"/>
      <c r="AJ29" s="821"/>
      <c r="AK29" s="821"/>
      <c r="AL29" s="821"/>
      <c r="AM29" s="821"/>
      <c r="AN29" s="818"/>
      <c r="AO29" s="822"/>
      <c r="AP29" s="822"/>
      <c r="AQ29" s="822"/>
      <c r="AR29" s="822"/>
      <c r="AS29" s="822"/>
      <c r="AT29" s="818"/>
      <c r="AU29" s="822"/>
      <c r="AV29" s="822"/>
      <c r="AW29" s="822"/>
      <c r="AX29" s="822"/>
      <c r="AY29" s="822"/>
      <c r="AZ29" s="827"/>
      <c r="BA29" s="826"/>
      <c r="BB29" s="820"/>
      <c r="BC29" s="820"/>
      <c r="BD29" s="820"/>
      <c r="BE29" s="435"/>
      <c r="BF29" s="821"/>
      <c r="BG29" s="821"/>
      <c r="BH29" s="821"/>
      <c r="BI29" s="821"/>
      <c r="BJ29" s="821"/>
      <c r="BK29" s="818"/>
      <c r="BL29" s="818"/>
      <c r="BM29" s="822"/>
      <c r="BN29" s="822"/>
      <c r="BO29" s="822"/>
      <c r="BP29" s="822"/>
      <c r="BQ29" s="822"/>
      <c r="BR29" s="819"/>
      <c r="BS29" s="822"/>
      <c r="BT29" s="822"/>
      <c r="BU29" s="822"/>
      <c r="BV29" s="822"/>
      <c r="BW29" s="822"/>
      <c r="BX29" s="441"/>
      <c r="BY29" s="442"/>
      <c r="BZ29" s="442"/>
      <c r="CA29" s="442"/>
      <c r="CB29" s="442"/>
      <c r="CC29" s="442"/>
      <c r="CD29" s="442"/>
      <c r="CE29" s="442"/>
      <c r="CF29" s="442"/>
      <c r="CG29" s="442"/>
      <c r="CH29" s="285"/>
      <c r="CI29" s="220"/>
      <c r="CJ29" s="288"/>
    </row>
    <row r="30" spans="1:88" ht="16.5" customHeight="1">
      <c r="B30" s="879"/>
      <c r="C30" s="879"/>
      <c r="D30" s="879"/>
      <c r="E30" s="877"/>
      <c r="F30" s="877"/>
      <c r="G30" s="862"/>
      <c r="H30" s="957"/>
      <c r="I30" s="957"/>
      <c r="J30" s="957"/>
      <c r="K30" s="957"/>
      <c r="L30" s="957"/>
      <c r="M30" s="957"/>
      <c r="N30" s="957"/>
      <c r="O30" s="957"/>
      <c r="P30" s="957"/>
      <c r="Q30" s="957"/>
      <c r="R30" s="957"/>
      <c r="S30" s="957"/>
      <c r="T30" s="957"/>
      <c r="U30" s="957"/>
      <c r="V30" s="957"/>
      <c r="W30" s="957"/>
      <c r="X30" s="957"/>
      <c r="Y30" s="957"/>
      <c r="Z30" s="957"/>
      <c r="AA30" s="866"/>
      <c r="AB30" s="866"/>
      <c r="AC30" s="866"/>
      <c r="AD30" s="826"/>
      <c r="AE30" s="432" t="str">
        <f>IF(LEN(VLOOKUP(AA28,suvaha!$D$8:$H$158,2,FALSE))&lt;11,"",LEFT(RIGHT(VLOOKUP(AA28,suvaha!$D$8:$H$158,2,FALSE),11),1))</f>
        <v/>
      </c>
      <c r="AF30" s="255"/>
      <c r="AG30" s="432" t="str">
        <f>IF(LEN(VLOOKUP(AA28,suvaha!$D$8:$H$158,2,FALSE))&lt;10,"",LEFT(RIGHT(VLOOKUP(AA28,suvaha!$D$8:$H$158,2,FALSE),10),1))</f>
        <v/>
      </c>
      <c r="AH30" s="434"/>
      <c r="AI30" s="432" t="str">
        <f>IF(LEN(VLOOKUP(AA28,suvaha!$D$8:$H$158,2,FALSE))&lt;9,"",LEFT(RIGHT(VLOOKUP(AA28,suvaha!$D$8:$H$158,2,FALSE),9),1))</f>
        <v/>
      </c>
      <c r="AJ30" s="255"/>
      <c r="AK30" s="432" t="str">
        <f>IF(LEN(VLOOKUP(AA28,suvaha!$D$8:$H$158,2,FALSE))&lt;8,"",LEFT(RIGHT(VLOOKUP(AA28,suvaha!$D$8:$H$158,2,FALSE),8),1))</f>
        <v/>
      </c>
      <c r="AL30" s="434"/>
      <c r="AM30" s="432" t="str">
        <f>IF(LEN(VLOOKUP(AA28,suvaha!$D$8:$H$158,2,FALSE))&lt;7,"",LEFT(RIGHT(VLOOKUP(AA28,suvaha!$D$8:$H$158,2,FALSE),7),1))</f>
        <v>4</v>
      </c>
      <c r="AN30" s="818"/>
      <c r="AO30" s="432" t="str">
        <f>IF(LEN(VLOOKUP(AA28,suvaha!$D$8:$H$158,2,FALSE))&lt;6,"",LEFT(RIGHT(VLOOKUP(AA28,suvaha!$D$8:$H$158,2,FALSE),6),1))</f>
        <v>7</v>
      </c>
      <c r="AP30" s="434"/>
      <c r="AQ30" s="432" t="str">
        <f>IF(LEN(VLOOKUP(AA28,suvaha!$D$8:$H$158,2,FALSE))&lt;5,"",LEFT(RIGHT(VLOOKUP(AA28,suvaha!$D$8:$H$158,2,FALSE),5),1))</f>
        <v>8</v>
      </c>
      <c r="AR30" s="434"/>
      <c r="AS30" s="432" t="str">
        <f>IF(LEN(VLOOKUP(AA28,suvaha!$D$8:$H$158,2,FALSE))&lt;4,"",LEFT(RIGHT(VLOOKUP(AA28,suvaha!$D$8:$H$158,2,FALSE),4),1))</f>
        <v>5</v>
      </c>
      <c r="AT30" s="818"/>
      <c r="AU30" s="432" t="str">
        <f>IF(LEN(VLOOKUP(AA28,suvaha!$D$8:$H$158,2,FALSE))&lt;3,"",LEFT(RIGHT(VLOOKUP(AA28,suvaha!$D$8:$H$158,2,FALSE),3),1))</f>
        <v>6</v>
      </c>
      <c r="AV30" s="434"/>
      <c r="AW30" s="432" t="str">
        <f>IF(LEN(VLOOKUP(AA28,suvaha!$D$8:$H$158,2,FALSE))&lt;2,"",LEFT(RIGHT(VLOOKUP(AA28,suvaha!$D$8:$H$158,2,FALSE),2),1))</f>
        <v>6</v>
      </c>
      <c r="AX30" s="434"/>
      <c r="AY30" s="432" t="str">
        <f>IF(VLOOKUP(AA28,suvaha!$D$8:$H$85,2,FALSE)=0,"",IF(LEN(VLOOKUP(AA28,suvaha!$D$8:$H$158,2,FALSE))&lt;1,"",LEFT(RIGHT(VLOOKUP(AA28,suvaha!$D$8:$H$158,2,FALSE),1),1)))</f>
        <v>4</v>
      </c>
      <c r="AZ30" s="827"/>
      <c r="BA30" s="826"/>
      <c r="BB30" s="432" t="str">
        <f>IF(LEN(VLOOKUP(AA28,suvaha!$D$8:$H$158,4,FALSE))&lt;11,"",LEFT(RIGHT(VLOOKUP(AA28,suvaha!$D$8:$H$158,4,FALSE),11),1))</f>
        <v/>
      </c>
      <c r="BC30" s="255"/>
      <c r="BD30" s="432" t="str">
        <f>IF(LEN(VLOOKUP(AA28,suvaha!$D$8:$H$158,4,FALSE))&lt;10,"",LEFT(RIGHT(VLOOKUP(AA28,suvaha!$D$8:$H$158,4,FALSE),10),1))</f>
        <v/>
      </c>
      <c r="BE30" s="434"/>
      <c r="BF30" s="432" t="str">
        <f>IF(LEN(VLOOKUP(AA28,suvaha!$D$8:$H$158,4,FALSE))&lt;9,"",LEFT(RIGHT(VLOOKUP(AA28,suvaha!$D$8:$H$158,4,FALSE),9),1))</f>
        <v/>
      </c>
      <c r="BG30" s="255"/>
      <c r="BH30" s="432" t="str">
        <f>IF(LEN(VLOOKUP(AA28,suvaha!$D$8:$H$158,4,FALSE))&lt;8,"",LEFT(RIGHT(VLOOKUP(AA28,suvaha!$D$8:$H$158,4,FALSE),8),1))</f>
        <v/>
      </c>
      <c r="BI30" s="434"/>
      <c r="BJ30" s="432" t="str">
        <f>IF(LEN(VLOOKUP(AA28,suvaha!$D$8:$H$158,4,FALSE))&lt;7,"",LEFT(RIGHT(VLOOKUP(AA28,suvaha!$D$8:$H$158,4,FALSE),7),1))</f>
        <v>4</v>
      </c>
      <c r="BK30" s="818"/>
      <c r="BL30" s="818"/>
      <c r="BM30" s="432" t="str">
        <f>IF(LEN(VLOOKUP(AA28,suvaha!$D$8:$H$158,4,FALSE))&lt;6,"",LEFT(RIGHT(VLOOKUP(AA28,suvaha!$D$8:$H$158,4,FALSE),6),1))</f>
        <v>7</v>
      </c>
      <c r="BN30" s="434"/>
      <c r="BO30" s="432" t="str">
        <f>IF(LEN(VLOOKUP(AA28,suvaha!$D$8:$H$158,4,FALSE))&lt;5,"",LEFT(RIGHT(VLOOKUP(AA28,suvaha!$D$8:$H$158,4,FALSE),5),1))</f>
        <v>8</v>
      </c>
      <c r="BP30" s="434"/>
      <c r="BQ30" s="432" t="str">
        <f>IF(LEN(VLOOKUP(AA28,suvaha!$D$8:$H$158,4,FALSE))&lt;4,"",LEFT(RIGHT(VLOOKUP(AA28,suvaha!$D$8:$H$158,4,FALSE),4),1))</f>
        <v>5</v>
      </c>
      <c r="BR30" s="819"/>
      <c r="BS30" s="432" t="str">
        <f>IF(LEN(VLOOKUP(AA28,suvaha!$D$8:$H$158,4,FALSE))&lt;3,"",LEFT(RIGHT(VLOOKUP(AA28,suvaha!$D$8:$H$158,4,FALSE),3),1))</f>
        <v>6</v>
      </c>
      <c r="BT30" s="434"/>
      <c r="BU30" s="432" t="str">
        <f>IF(LEN(VLOOKUP(AA28,suvaha!$D$8:$H$158,4,FALSE))&lt;2,"",LEFT(RIGHT(VLOOKUP(AA28,suvaha!$D$8:$H$158,4,FALSE),2),1))</f>
        <v>6</v>
      </c>
      <c r="BV30" s="434"/>
      <c r="BW30" s="432" t="str">
        <f>IF(VLOOKUP(AA28,suvaha!$D$8:$H$85,4,FALSE)=0,"",IF(LEN(VLOOKUP(AA28,suvaha!$D$8:$H$158,4,FALSE))&lt;1,"",LEFT(RIGHT(VLOOKUP(AA28,suvaha!$D$8:$H$158,4,FALSE),1),1)))</f>
        <v>4</v>
      </c>
      <c r="BX30" s="441"/>
      <c r="BY30" s="442"/>
      <c r="BZ30" s="442"/>
      <c r="CA30" s="442"/>
      <c r="CB30" s="442"/>
      <c r="CC30" s="442"/>
      <c r="CD30" s="442"/>
      <c r="CE30" s="442"/>
      <c r="CF30" s="442"/>
      <c r="CG30" s="442"/>
      <c r="CH30" s="285"/>
      <c r="CI30" s="220"/>
      <c r="CJ30" s="220"/>
    </row>
    <row r="31" spans="1:88" ht="3.75" customHeight="1">
      <c r="B31" s="879"/>
      <c r="C31" s="879"/>
      <c r="D31" s="879"/>
      <c r="E31" s="877"/>
      <c r="F31" s="877"/>
      <c r="G31" s="862"/>
      <c r="H31" s="957"/>
      <c r="I31" s="957"/>
      <c r="J31" s="957"/>
      <c r="K31" s="957"/>
      <c r="L31" s="957"/>
      <c r="M31" s="957"/>
      <c r="N31" s="957"/>
      <c r="O31" s="957"/>
      <c r="P31" s="957"/>
      <c r="Q31" s="957"/>
      <c r="R31" s="957"/>
      <c r="S31" s="957"/>
      <c r="T31" s="957"/>
      <c r="U31" s="957"/>
      <c r="V31" s="957"/>
      <c r="W31" s="957"/>
      <c r="X31" s="957"/>
      <c r="Y31" s="957"/>
      <c r="Z31" s="957"/>
      <c r="AA31" s="866"/>
      <c r="AB31" s="866"/>
      <c r="AC31" s="866"/>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6"/>
      <c r="BB31" s="846"/>
      <c r="BC31" s="846"/>
      <c r="BD31" s="846"/>
      <c r="BE31" s="846"/>
      <c r="BF31" s="846"/>
      <c r="BG31" s="846"/>
      <c r="BH31" s="846"/>
      <c r="BI31" s="846"/>
      <c r="BJ31" s="846"/>
      <c r="BK31" s="846"/>
      <c r="BL31" s="846"/>
      <c r="BM31" s="846"/>
      <c r="BN31" s="846"/>
      <c r="BO31" s="846"/>
      <c r="BP31" s="846"/>
      <c r="BQ31" s="846"/>
      <c r="BR31" s="846"/>
      <c r="BS31" s="310"/>
      <c r="BT31" s="310"/>
      <c r="BU31" s="310"/>
      <c r="BV31" s="310"/>
      <c r="BW31" s="310"/>
      <c r="BX31" s="443"/>
      <c r="BY31" s="310"/>
      <c r="BZ31" s="310"/>
      <c r="CA31" s="310"/>
      <c r="CB31" s="310"/>
      <c r="CC31" s="310"/>
      <c r="CD31" s="310"/>
      <c r="CE31" s="310"/>
      <c r="CF31" s="310"/>
      <c r="CG31" s="310"/>
      <c r="CH31" s="286"/>
      <c r="CI31" s="220"/>
      <c r="CJ31" s="220"/>
    </row>
    <row r="32" spans="1:88" ht="4.5" customHeight="1">
      <c r="B32" s="879"/>
      <c r="C32" s="879"/>
      <c r="D32" s="879"/>
      <c r="E32" s="877"/>
      <c r="F32" s="877"/>
      <c r="G32" s="862"/>
      <c r="H32" s="957"/>
      <c r="I32" s="957"/>
      <c r="J32" s="957"/>
      <c r="K32" s="957"/>
      <c r="L32" s="957"/>
      <c r="M32" s="957"/>
      <c r="N32" s="957"/>
      <c r="O32" s="957"/>
      <c r="P32" s="957"/>
      <c r="Q32" s="957"/>
      <c r="R32" s="957"/>
      <c r="S32" s="957"/>
      <c r="T32" s="957"/>
      <c r="U32" s="957"/>
      <c r="V32" s="957"/>
      <c r="W32" s="957"/>
      <c r="X32" s="957"/>
      <c r="Y32" s="957"/>
      <c r="Z32" s="957"/>
      <c r="AA32" s="866"/>
      <c r="AB32" s="866"/>
      <c r="AC32" s="866"/>
      <c r="AD32" s="825"/>
      <c r="AE32" s="825"/>
      <c r="AF32" s="825"/>
      <c r="AG32" s="825"/>
      <c r="AH32" s="825"/>
      <c r="AI32" s="825"/>
      <c r="AJ32" s="825"/>
      <c r="AK32" s="825"/>
      <c r="AL32" s="825"/>
      <c r="AM32" s="825"/>
      <c r="AN32" s="825"/>
      <c r="AO32" s="825"/>
      <c r="AP32" s="825"/>
      <c r="AQ32" s="825"/>
      <c r="AR32" s="825"/>
      <c r="AS32" s="825"/>
      <c r="AT32" s="825"/>
      <c r="AU32" s="825"/>
      <c r="AV32" s="825"/>
      <c r="AW32" s="825"/>
      <c r="AX32" s="825"/>
      <c r="AY32" s="825"/>
      <c r="AZ32" s="825"/>
      <c r="BA32" s="875"/>
      <c r="BB32" s="875"/>
      <c r="BC32" s="875"/>
      <c r="BD32" s="875"/>
      <c r="BE32" s="875"/>
      <c r="BF32" s="875"/>
      <c r="BG32" s="875"/>
      <c r="BH32" s="875"/>
      <c r="BI32" s="875"/>
      <c r="BJ32" s="875"/>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284"/>
      <c r="CI32" s="220"/>
      <c r="CJ32" s="220"/>
    </row>
    <row r="33" spans="1:88" ht="3" customHeight="1">
      <c r="B33" s="879"/>
      <c r="C33" s="879"/>
      <c r="D33" s="879"/>
      <c r="E33" s="877"/>
      <c r="F33" s="877"/>
      <c r="G33" s="862"/>
      <c r="H33" s="957"/>
      <c r="I33" s="957"/>
      <c r="J33" s="957"/>
      <c r="K33" s="957"/>
      <c r="L33" s="957"/>
      <c r="M33" s="957"/>
      <c r="N33" s="957"/>
      <c r="O33" s="957"/>
      <c r="P33" s="957"/>
      <c r="Q33" s="957"/>
      <c r="R33" s="957"/>
      <c r="S33" s="957"/>
      <c r="T33" s="957"/>
      <c r="U33" s="957"/>
      <c r="V33" s="957"/>
      <c r="W33" s="957"/>
      <c r="X33" s="957"/>
      <c r="Y33" s="957"/>
      <c r="Z33" s="957"/>
      <c r="AA33" s="866"/>
      <c r="AB33" s="866"/>
      <c r="AC33" s="866"/>
      <c r="AD33" s="826"/>
      <c r="AE33" s="820"/>
      <c r="AF33" s="820"/>
      <c r="AG33" s="820"/>
      <c r="AH33" s="435"/>
      <c r="AI33" s="821"/>
      <c r="AJ33" s="821"/>
      <c r="AK33" s="821"/>
      <c r="AL33" s="821"/>
      <c r="AM33" s="821"/>
      <c r="AN33" s="818" t="s">
        <v>965</v>
      </c>
      <c r="AO33" s="822"/>
      <c r="AP33" s="822"/>
      <c r="AQ33" s="822"/>
      <c r="AR33" s="822"/>
      <c r="AS33" s="822"/>
      <c r="AT33" s="818" t="s">
        <v>965</v>
      </c>
      <c r="AU33" s="822"/>
      <c r="AV33" s="822"/>
      <c r="AW33" s="822"/>
      <c r="AX33" s="822"/>
      <c r="AY33" s="822"/>
      <c r="AZ33" s="827"/>
      <c r="BA33" s="875"/>
      <c r="BB33" s="875"/>
      <c r="BC33" s="875"/>
      <c r="BD33" s="875"/>
      <c r="BE33" s="875"/>
      <c r="BF33" s="875"/>
      <c r="BG33" s="875"/>
      <c r="BH33" s="875"/>
      <c r="BI33" s="875"/>
      <c r="BJ33" s="875"/>
      <c r="BK33" s="442"/>
      <c r="BL33" s="442"/>
      <c r="BM33" s="820"/>
      <c r="BN33" s="820"/>
      <c r="BO33" s="820"/>
      <c r="BP33" s="442"/>
      <c r="BQ33" s="444"/>
      <c r="BR33" s="444"/>
      <c r="BS33" s="444"/>
      <c r="BT33" s="444"/>
      <c r="BU33" s="444"/>
      <c r="BV33" s="442"/>
      <c r="BW33" s="444"/>
      <c r="BX33" s="444"/>
      <c r="BY33" s="444"/>
      <c r="BZ33" s="444"/>
      <c r="CA33" s="444"/>
      <c r="CB33" s="445"/>
      <c r="CC33" s="444"/>
      <c r="CD33" s="444"/>
      <c r="CE33" s="444"/>
      <c r="CF33" s="444"/>
      <c r="CG33" s="444"/>
      <c r="CH33" s="287"/>
      <c r="CI33" s="220"/>
      <c r="CJ33" s="220"/>
    </row>
    <row r="34" spans="1:88" ht="15.75" customHeight="1">
      <c r="B34" s="879"/>
      <c r="C34" s="879"/>
      <c r="D34" s="879"/>
      <c r="E34" s="877"/>
      <c r="F34" s="877"/>
      <c r="G34" s="862"/>
      <c r="H34" s="957"/>
      <c r="I34" s="957"/>
      <c r="J34" s="957"/>
      <c r="K34" s="957"/>
      <c r="L34" s="957"/>
      <c r="M34" s="957"/>
      <c r="N34" s="957"/>
      <c r="O34" s="957"/>
      <c r="P34" s="957"/>
      <c r="Q34" s="957"/>
      <c r="R34" s="957"/>
      <c r="S34" s="957"/>
      <c r="T34" s="957"/>
      <c r="U34" s="957"/>
      <c r="V34" s="957"/>
      <c r="W34" s="957"/>
      <c r="X34" s="957"/>
      <c r="Y34" s="957"/>
      <c r="Z34" s="957"/>
      <c r="AA34" s="866"/>
      <c r="AB34" s="866"/>
      <c r="AC34" s="866"/>
      <c r="AD34" s="826"/>
      <c r="AE34" s="432" t="str">
        <f>IF(LEN(VLOOKUP(AA28,suvaha!$D$8:$H$158,3,FALSE))&lt;11,"",LEFT(RIGHT(VLOOKUP(AA28,suvaha!$D$8:$H$158,3,FALSE),11),1))</f>
        <v/>
      </c>
      <c r="AF34" s="255" t="s">
        <v>965</v>
      </c>
      <c r="AG34" s="432" t="str">
        <f>IF(LEN(VLOOKUP(AA28,suvaha!$D$8:$H$158,3,FALSE))&lt;10,"",LEFT(RIGHT(VLOOKUP(AA28,suvaha!$D$8:$H$158,3,FALSE),10),1))</f>
        <v/>
      </c>
      <c r="AH34" s="434" t="s">
        <v>965</v>
      </c>
      <c r="AI34" s="432" t="str">
        <f>IF(LEN(VLOOKUP(AA28,suvaha!$D$8:$H$158,3,FALSE))&lt;9,"",LEFT(RIGHT(VLOOKUP(AA28,suvaha!$D$8:$H$158,3,FALSE),9),1))</f>
        <v/>
      </c>
      <c r="AJ34" s="255" t="s">
        <v>965</v>
      </c>
      <c r="AK34" s="432" t="str">
        <f>IF(LEN(VLOOKUP(AA28,suvaha!$D$8:$H$158,3,FALSE))&lt;8,"",LEFT(RIGHT(VLOOKUP(AA28,suvaha!$D$8:$H$158,3,FALSE),8),1))</f>
        <v/>
      </c>
      <c r="AL34" s="434" t="s">
        <v>965</v>
      </c>
      <c r="AM34" s="432" t="str">
        <f>IF(LEN(VLOOKUP(AA28,suvaha!$D$8:$H$158,3,FALSE))&lt;7,"",LEFT(RIGHT(VLOOKUP(AA28,suvaha!$D$8:$H$158,3,FALSE),7),1))</f>
        <v/>
      </c>
      <c r="AN34" s="818"/>
      <c r="AO34" s="432" t="str">
        <f>IF(LEN(VLOOKUP(AA28,suvaha!$D$8:$H$158,3,FALSE))&lt;6,"",LEFT(RIGHT(VLOOKUP(AA28,suvaha!$D$8:$H$158,3,FALSE),6),1))</f>
        <v/>
      </c>
      <c r="AP34" s="434" t="s">
        <v>965</v>
      </c>
      <c r="AQ34" s="432" t="str">
        <f>IF(LEN(VLOOKUP(AA28,suvaha!$D$8:$H$158,3,FALSE))&lt;5,"",LEFT(RIGHT(VLOOKUP(AA28,suvaha!$D$8:$H$158,3,FALSE),5),1))</f>
        <v/>
      </c>
      <c r="AR34" s="434" t="s">
        <v>965</v>
      </c>
      <c r="AS34" s="432" t="str">
        <f>IF(LEN(VLOOKUP(AA28,suvaha!$D$8:$H$158,3,FALSE))&lt;4,"",LEFT(RIGHT(VLOOKUP(AA28,suvaha!$D$8:$H$158,3,FALSE),4),1))</f>
        <v/>
      </c>
      <c r="AT34" s="818"/>
      <c r="AU34" s="432" t="str">
        <f>IF(LEN(VLOOKUP(AA28,suvaha!$D$8:$H$158,3,FALSE))&lt;3,"",LEFT(RIGHT(VLOOKUP(AA28,suvaha!$D$8:$H$158,3,FALSE),3),1))</f>
        <v/>
      </c>
      <c r="AV34" s="434" t="s">
        <v>965</v>
      </c>
      <c r="AW34" s="432" t="str">
        <f>IF(LEN(VLOOKUP(AA28,suvaha!$D$8:$H$158,3,FALSE))&lt;2,"",LEFT(RIGHT(VLOOKUP(AA28,suvaha!$D$8:$H$158,3,FALSE),2),1))</f>
        <v/>
      </c>
      <c r="AX34" s="434" t="s">
        <v>965</v>
      </c>
      <c r="AY34" s="432" t="str">
        <f>IF(VLOOKUP(AA28,suvaha!$D$8:$H$85,3,FALSE)=0,"",IF(LEN(VLOOKUP(AA28,suvaha!$D$8:$H$158,3,FALSE))&lt;1,"",LEFT(RIGHT(VLOOKUP(AA28,suvaha!$D$8:$H$158,3,FALSE),1),1)))</f>
        <v/>
      </c>
      <c r="AZ34" s="827"/>
      <c r="BA34" s="875"/>
      <c r="BB34" s="875"/>
      <c r="BC34" s="875"/>
      <c r="BD34" s="875"/>
      <c r="BE34" s="875"/>
      <c r="BF34" s="875"/>
      <c r="BG34" s="875"/>
      <c r="BH34" s="875"/>
      <c r="BI34" s="875"/>
      <c r="BJ34" s="875"/>
      <c r="BK34" s="442"/>
      <c r="BL34" s="442"/>
      <c r="BM34" s="432" t="str">
        <f>IF(LEN(VLOOKUP(AA28,suvaha!$D$8:$H$158,5,FALSE))&lt;11,"",LEFT(RIGHT(VLOOKUP(AA28,suvaha!$D$8:$H$158,5,FALSE),11),1))</f>
        <v/>
      </c>
      <c r="BN34" s="255" t="s">
        <v>965</v>
      </c>
      <c r="BO34" s="432" t="str">
        <f>IF(LEN(VLOOKUP(AA28,suvaha!$D$8:$H$158,5,FALSE))&lt;10,"",LEFT(RIGHT(VLOOKUP(AA28,suvaha!$D$8:$H$158,5,FALSE),10),1))</f>
        <v/>
      </c>
      <c r="BP34" s="442" t="s">
        <v>965</v>
      </c>
      <c r="BQ34" s="432" t="str">
        <f>IF(LEN(VLOOKUP(AA28,suvaha!$D$8:$H$158,5,FALSE))&lt;9,"",LEFT(RIGHT(VLOOKUP(AA28,suvaha!$D$8:$H$158,5,FALSE),9),1))</f>
        <v/>
      </c>
      <c r="BR34" s="434" t="s">
        <v>965</v>
      </c>
      <c r="BS34" s="432" t="str">
        <f>IF(LEN(VLOOKUP(AA28,suvaha!$D$8:$H$158,5,FALSE))&lt;8,"",LEFT(RIGHT(VLOOKUP(AA28,suvaha!$D$8:$H$158,5,FALSE),8),1))</f>
        <v/>
      </c>
      <c r="BT34" s="434" t="s">
        <v>965</v>
      </c>
      <c r="BU34" s="432" t="str">
        <f>IF(LEN(VLOOKUP(AA28,suvaha!$D$8:$H$158,5,FALSE))&lt;7,"",LEFT(RIGHT(VLOOKUP(AA28,suvaha!$D$8:$H$158,5,FALSE),7),1))</f>
        <v/>
      </c>
      <c r="BV34" s="442" t="s">
        <v>965</v>
      </c>
      <c r="BW34" s="432" t="str">
        <f>IF(LEN(VLOOKUP(AA28,suvaha!$D$8:$H$158,5,FALSE))&lt;6,"",LEFT(RIGHT(VLOOKUP(AA28,suvaha!$D$8:$H$158,5,FALSE),6),1))</f>
        <v/>
      </c>
      <c r="BX34" s="434" t="s">
        <v>965</v>
      </c>
      <c r="BY34" s="432" t="str">
        <f>IF(LEN(VLOOKUP(AA28,suvaha!$D$8:$H$158,5,FALSE))&lt;5,"",LEFT(RIGHT(VLOOKUP(AA28,suvaha!$D$8:$H$158,5,FALSE),5),1))</f>
        <v>1</v>
      </c>
      <c r="BZ34" s="434" t="s">
        <v>965</v>
      </c>
      <c r="CA34" s="432" t="str">
        <f>IF(LEN(VLOOKUP(AA28,suvaha!$D$8:$H$158,5,FALSE))&lt;4,"",LEFT(RIGHT(VLOOKUP(AA28,suvaha!$D$8:$H$158,5,FALSE),4),1))</f>
        <v>2</v>
      </c>
      <c r="CB34" s="445" t="s">
        <v>965</v>
      </c>
      <c r="CC34" s="432" t="str">
        <f>IF(LEN(VLOOKUP(AA28,suvaha!$D$8:$H$158,5,FALSE))&lt;3,"",LEFT(RIGHT(VLOOKUP(AA28,suvaha!$D$8:$H$158,5,FALSE),3),1))</f>
        <v>8</v>
      </c>
      <c r="CD34" s="434" t="s">
        <v>965</v>
      </c>
      <c r="CE34" s="432" t="str">
        <f>IF(LEN(VLOOKUP(AA28,suvaha!$D$8:$H$158,5,FALSE))&lt;2,"",LEFT(RIGHT(VLOOKUP(AA28,suvaha!$D$8:$H$158,5,FALSE),2),1))</f>
        <v>9</v>
      </c>
      <c r="CF34" s="434" t="s">
        <v>1540</v>
      </c>
      <c r="CG34" s="432" t="str">
        <f>IF(VLOOKUP(AA28,suvaha!$D$8:$H$85,5,FALSE)=0,"",IF(LEN(VLOOKUP(AA28,suvaha!$D$8:$H$158,5,FALSE))&lt;1,"",LEFT(RIGHT(VLOOKUP(AA28,suvaha!$D$8:$H$158,5,FALSE),1),1)))</f>
        <v>8</v>
      </c>
      <c r="CH34" s="287"/>
      <c r="CI34" s="220"/>
      <c r="CJ34" s="220"/>
    </row>
    <row r="35" spans="1:88" ht="3.75" customHeight="1">
      <c r="B35" s="879"/>
      <c r="C35" s="879"/>
      <c r="D35" s="879"/>
      <c r="E35" s="877"/>
      <c r="F35" s="877"/>
      <c r="G35" s="862"/>
      <c r="H35" s="957"/>
      <c r="I35" s="957"/>
      <c r="J35" s="957"/>
      <c r="K35" s="957"/>
      <c r="L35" s="957"/>
      <c r="M35" s="957"/>
      <c r="N35" s="957"/>
      <c r="O35" s="957"/>
      <c r="P35" s="957"/>
      <c r="Q35" s="957"/>
      <c r="R35" s="957"/>
      <c r="S35" s="957"/>
      <c r="T35" s="957"/>
      <c r="U35" s="957"/>
      <c r="V35" s="957"/>
      <c r="W35" s="957"/>
      <c r="X35" s="957"/>
      <c r="Y35" s="957"/>
      <c r="Z35" s="957"/>
      <c r="AA35" s="866"/>
      <c r="AB35" s="866"/>
      <c r="AC35" s="866"/>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875"/>
      <c r="BB35" s="875"/>
      <c r="BC35" s="875"/>
      <c r="BD35" s="875"/>
      <c r="BE35" s="875"/>
      <c r="BF35" s="875"/>
      <c r="BG35" s="875"/>
      <c r="BH35" s="875"/>
      <c r="BI35" s="875"/>
      <c r="BJ35" s="875"/>
      <c r="BK35" s="310"/>
      <c r="BL35" s="310"/>
      <c r="BM35" s="310"/>
      <c r="BN35" s="310"/>
      <c r="BO35" s="310"/>
      <c r="BP35" s="310"/>
      <c r="BQ35" s="310"/>
      <c r="BR35" s="310"/>
      <c r="BS35" s="310"/>
      <c r="BT35" s="310"/>
      <c r="BU35" s="310"/>
      <c r="BV35" s="310"/>
      <c r="BW35" s="310"/>
      <c r="BX35" s="310"/>
      <c r="BY35" s="310"/>
      <c r="BZ35" s="310"/>
      <c r="CA35" s="310"/>
      <c r="CB35" s="310"/>
      <c r="CC35" s="310"/>
      <c r="CD35" s="310"/>
      <c r="CE35" s="310"/>
      <c r="CF35" s="310"/>
      <c r="CG35" s="310"/>
      <c r="CH35" s="286"/>
      <c r="CI35" s="220"/>
      <c r="CJ35" s="220"/>
    </row>
    <row r="36" spans="1:88" s="250" customFormat="1" ht="3" customHeight="1">
      <c r="A36" s="220"/>
      <c r="B36" s="879"/>
      <c r="C36" s="879"/>
      <c r="D36" s="879"/>
      <c r="E36" s="939" t="s">
        <v>1638</v>
      </c>
      <c r="F36" s="939"/>
      <c r="G36" s="862"/>
      <c r="H36" s="874" t="str">
        <f>Index!C125</f>
        <v>Časové rozlíšenie súčet (r. 75 až r. 78)</v>
      </c>
      <c r="I36" s="874"/>
      <c r="J36" s="874"/>
      <c r="K36" s="874"/>
      <c r="L36" s="874"/>
      <c r="M36" s="874"/>
      <c r="N36" s="874"/>
      <c r="O36" s="874"/>
      <c r="P36" s="874"/>
      <c r="Q36" s="874"/>
      <c r="R36" s="874"/>
      <c r="S36" s="874"/>
      <c r="T36" s="874"/>
      <c r="U36" s="874"/>
      <c r="V36" s="874"/>
      <c r="W36" s="874"/>
      <c r="X36" s="874"/>
      <c r="Y36" s="874"/>
      <c r="Z36" s="874"/>
      <c r="AA36" s="875" t="s">
        <v>1639</v>
      </c>
      <c r="AB36" s="875"/>
      <c r="AC36" s="875"/>
      <c r="AD36" s="867"/>
      <c r="AE36" s="1005"/>
      <c r="AF36" s="1005"/>
      <c r="AG36" s="1005"/>
      <c r="AH36" s="1005"/>
      <c r="AI36" s="1005"/>
      <c r="AJ36" s="1005"/>
      <c r="AK36" s="1005"/>
      <c r="AL36" s="1005"/>
      <c r="AM36" s="1005"/>
      <c r="AN36" s="1005"/>
      <c r="AO36" s="1005"/>
      <c r="AP36" s="1005"/>
      <c r="AQ36" s="1005"/>
      <c r="AR36" s="1005"/>
      <c r="AS36" s="1005"/>
      <c r="AT36" s="1005"/>
      <c r="AU36" s="1005"/>
      <c r="AV36" s="1005"/>
      <c r="AW36" s="1005"/>
      <c r="AX36" s="1005"/>
      <c r="AY36" s="1005"/>
      <c r="AZ36" s="850"/>
      <c r="BA36" s="867"/>
      <c r="BB36" s="1005"/>
      <c r="BC36" s="1005"/>
      <c r="BD36" s="1005"/>
      <c r="BE36" s="1005"/>
      <c r="BF36" s="1005"/>
      <c r="BG36" s="1005"/>
      <c r="BH36" s="1005"/>
      <c r="BI36" s="1005"/>
      <c r="BJ36" s="1005"/>
      <c r="BK36" s="1005"/>
      <c r="BL36" s="1005"/>
      <c r="BM36" s="1005"/>
      <c r="BN36" s="1005"/>
      <c r="BO36" s="1005"/>
      <c r="BP36" s="1005"/>
      <c r="BQ36" s="1005"/>
      <c r="BR36" s="1005"/>
      <c r="BS36" s="304"/>
      <c r="BT36" s="304"/>
      <c r="BU36" s="304"/>
      <c r="BV36" s="304"/>
      <c r="BW36" s="304"/>
      <c r="BX36" s="446"/>
      <c r="BY36" s="304"/>
      <c r="BZ36" s="304"/>
      <c r="CA36" s="304"/>
      <c r="CB36" s="304"/>
      <c r="CC36" s="304"/>
      <c r="CD36" s="304"/>
      <c r="CE36" s="304"/>
      <c r="CF36" s="304"/>
      <c r="CG36" s="304"/>
      <c r="CH36" s="284"/>
      <c r="CI36" s="288"/>
      <c r="CJ36" s="288"/>
    </row>
    <row r="37" spans="1:88" s="250" customFormat="1" ht="3" customHeight="1">
      <c r="A37" s="220"/>
      <c r="B37" s="879"/>
      <c r="C37" s="879"/>
      <c r="D37" s="879"/>
      <c r="E37" s="939"/>
      <c r="F37" s="939"/>
      <c r="G37" s="862"/>
      <c r="H37" s="874"/>
      <c r="I37" s="874"/>
      <c r="J37" s="874"/>
      <c r="K37" s="874"/>
      <c r="L37" s="874"/>
      <c r="M37" s="874"/>
      <c r="N37" s="874"/>
      <c r="O37" s="874"/>
      <c r="P37" s="874"/>
      <c r="Q37" s="874"/>
      <c r="R37" s="874"/>
      <c r="S37" s="874"/>
      <c r="T37" s="874"/>
      <c r="U37" s="874"/>
      <c r="V37" s="874"/>
      <c r="W37" s="874"/>
      <c r="X37" s="874"/>
      <c r="Y37" s="874"/>
      <c r="Z37" s="874"/>
      <c r="AA37" s="875"/>
      <c r="AB37" s="875"/>
      <c r="AC37" s="875"/>
      <c r="AD37" s="826"/>
      <c r="AE37" s="820"/>
      <c r="AF37" s="820"/>
      <c r="AG37" s="820"/>
      <c r="AH37" s="435"/>
      <c r="AI37" s="821"/>
      <c r="AJ37" s="821"/>
      <c r="AK37" s="821"/>
      <c r="AL37" s="821"/>
      <c r="AM37" s="821"/>
      <c r="AN37" s="818"/>
      <c r="AO37" s="822"/>
      <c r="AP37" s="822"/>
      <c r="AQ37" s="822"/>
      <c r="AR37" s="822"/>
      <c r="AS37" s="822"/>
      <c r="AT37" s="818"/>
      <c r="AU37" s="822"/>
      <c r="AV37" s="822"/>
      <c r="AW37" s="822"/>
      <c r="AX37" s="822"/>
      <c r="AY37" s="822"/>
      <c r="AZ37" s="827"/>
      <c r="BA37" s="826"/>
      <c r="BB37" s="820"/>
      <c r="BC37" s="820"/>
      <c r="BD37" s="820"/>
      <c r="BE37" s="435"/>
      <c r="BF37" s="821"/>
      <c r="BG37" s="821"/>
      <c r="BH37" s="821"/>
      <c r="BI37" s="821"/>
      <c r="BJ37" s="821"/>
      <c r="BK37" s="818"/>
      <c r="BL37" s="818"/>
      <c r="BM37" s="822"/>
      <c r="BN37" s="822"/>
      <c r="BO37" s="822"/>
      <c r="BP37" s="822"/>
      <c r="BQ37" s="822"/>
      <c r="BR37" s="819"/>
      <c r="BS37" s="822"/>
      <c r="BT37" s="822"/>
      <c r="BU37" s="822"/>
      <c r="BV37" s="822"/>
      <c r="BW37" s="822"/>
      <c r="BX37" s="441"/>
      <c r="BY37" s="442"/>
      <c r="BZ37" s="442"/>
      <c r="CA37" s="442"/>
      <c r="CB37" s="442"/>
      <c r="CC37" s="442"/>
      <c r="CD37" s="442"/>
      <c r="CE37" s="442"/>
      <c r="CF37" s="442"/>
      <c r="CG37" s="442"/>
      <c r="CH37" s="285"/>
      <c r="CI37" s="288"/>
      <c r="CJ37" s="288"/>
    </row>
    <row r="38" spans="1:88" ht="15" customHeight="1">
      <c r="B38" s="879"/>
      <c r="C38" s="879"/>
      <c r="D38" s="879"/>
      <c r="E38" s="939"/>
      <c r="F38" s="939"/>
      <c r="G38" s="862"/>
      <c r="H38" s="874"/>
      <c r="I38" s="874"/>
      <c r="J38" s="874"/>
      <c r="K38" s="874"/>
      <c r="L38" s="874"/>
      <c r="M38" s="874"/>
      <c r="N38" s="874"/>
      <c r="O38" s="874"/>
      <c r="P38" s="874"/>
      <c r="Q38" s="874"/>
      <c r="R38" s="874"/>
      <c r="S38" s="874"/>
      <c r="T38" s="874"/>
      <c r="U38" s="874"/>
      <c r="V38" s="874"/>
      <c r="W38" s="874"/>
      <c r="X38" s="874"/>
      <c r="Y38" s="874"/>
      <c r="Z38" s="874"/>
      <c r="AA38" s="875"/>
      <c r="AB38" s="875"/>
      <c r="AC38" s="875"/>
      <c r="AD38" s="826"/>
      <c r="AE38" s="432" t="str">
        <f>IF(LEN(VLOOKUP(AA36,suvaha!$D$8:$H$158,2,FALSE))&lt;11,"",LEFT(RIGHT(VLOOKUP(AA36,suvaha!$D$8:$H$158,2,FALSE),11),1))</f>
        <v/>
      </c>
      <c r="AF38" s="255"/>
      <c r="AG38" s="432" t="str">
        <f>IF(LEN(VLOOKUP(AA36,suvaha!$D$8:$H$158,2,FALSE))&lt;10,"",LEFT(RIGHT(VLOOKUP(AA36,suvaha!$D$8:$H$158,2,FALSE),10),1))</f>
        <v/>
      </c>
      <c r="AH38" s="434"/>
      <c r="AI38" s="432" t="str">
        <f>IF(LEN(VLOOKUP(AA36,suvaha!$D$8:$H$158,2,FALSE))&lt;9,"",LEFT(RIGHT(VLOOKUP(AA36,suvaha!$D$8:$H$158,2,FALSE),9),1))</f>
        <v/>
      </c>
      <c r="AJ38" s="255"/>
      <c r="AK38" s="432" t="str">
        <f>IF(LEN(VLOOKUP(AA36,suvaha!$D$8:$H$158,2,FALSE))&lt;8,"",LEFT(RIGHT(VLOOKUP(AA36,suvaha!$D$8:$H$158,2,FALSE),8),1))</f>
        <v/>
      </c>
      <c r="AL38" s="434"/>
      <c r="AM38" s="432" t="str">
        <f>IF(LEN(VLOOKUP(AA36,suvaha!$D$8:$H$158,2,FALSE))&lt;7,"",LEFT(RIGHT(VLOOKUP(AA36,suvaha!$D$8:$H$158,2,FALSE),7),1))</f>
        <v/>
      </c>
      <c r="AN38" s="818"/>
      <c r="AO38" s="432" t="str">
        <f>IF(LEN(VLOOKUP(AA36,suvaha!$D$8:$H$158,2,FALSE))&lt;6,"",LEFT(RIGHT(VLOOKUP(AA36,suvaha!$D$8:$H$158,2,FALSE),6),1))</f>
        <v/>
      </c>
      <c r="AP38" s="434"/>
      <c r="AQ38" s="432" t="str">
        <f>IF(LEN(VLOOKUP(AA36,suvaha!$D$8:$H$158,2,FALSE))&lt;5,"",LEFT(RIGHT(VLOOKUP(AA36,suvaha!$D$8:$H$158,2,FALSE),5),1))</f>
        <v>4</v>
      </c>
      <c r="AR38" s="434"/>
      <c r="AS38" s="432" t="str">
        <f>IF(LEN(VLOOKUP(AA36,suvaha!$D$8:$H$158,2,FALSE))&lt;4,"",LEFT(RIGHT(VLOOKUP(AA36,suvaha!$D$8:$H$158,2,FALSE),4),1))</f>
        <v>6</v>
      </c>
      <c r="AT38" s="818"/>
      <c r="AU38" s="432" t="str">
        <f>IF(LEN(VLOOKUP(AA36,suvaha!$D$8:$H$158,2,FALSE))&lt;3,"",LEFT(RIGHT(VLOOKUP(AA36,suvaha!$D$8:$H$158,2,FALSE),3),1))</f>
        <v>0</v>
      </c>
      <c r="AV38" s="434"/>
      <c r="AW38" s="432" t="str">
        <f>IF(LEN(VLOOKUP(AA36,suvaha!$D$8:$H$158,2,FALSE))&lt;2,"",LEFT(RIGHT(VLOOKUP(AA36,suvaha!$D$8:$H$158,2,FALSE),2),1))</f>
        <v>6</v>
      </c>
      <c r="AX38" s="434"/>
      <c r="AY38" s="432" t="str">
        <f>IF(VLOOKUP(AA36,suvaha!$D$8:$H$85,2,FALSE)=0,"",IF(LEN(VLOOKUP(AA36,suvaha!$D$8:$H$158,2,FALSE))&lt;1,"",LEFT(RIGHT(VLOOKUP(AA36,suvaha!$D$8:$H$158,2,FALSE),1),1)))</f>
        <v>5</v>
      </c>
      <c r="AZ38" s="827"/>
      <c r="BA38" s="826"/>
      <c r="BB38" s="432" t="str">
        <f>IF(LEN(VLOOKUP(AA36,suvaha!$D$8:$H$158,4,FALSE))&lt;11,"",LEFT(RIGHT(VLOOKUP(AA36,suvaha!$D$8:$H$158,4,FALSE),11),1))</f>
        <v/>
      </c>
      <c r="BC38" s="255"/>
      <c r="BD38" s="432" t="str">
        <f>IF(LEN(VLOOKUP(AA36,suvaha!$D$8:$H$158,4,FALSE))&lt;10,"",LEFT(RIGHT(VLOOKUP(AA36,suvaha!$D$8:$H$158,4,FALSE),10),1))</f>
        <v/>
      </c>
      <c r="BE38" s="434"/>
      <c r="BF38" s="432" t="str">
        <f>IF(LEN(VLOOKUP(AA36,suvaha!$D$8:$H$158,4,FALSE))&lt;9,"",LEFT(RIGHT(VLOOKUP(AA36,suvaha!$D$8:$H$158,4,FALSE),9),1))</f>
        <v/>
      </c>
      <c r="BG38" s="255"/>
      <c r="BH38" s="432" t="str">
        <f>IF(LEN(VLOOKUP(AA36,suvaha!$D$8:$H$158,4,FALSE))&lt;8,"",LEFT(RIGHT(VLOOKUP(AA36,suvaha!$D$8:$H$158,4,FALSE),8),1))</f>
        <v/>
      </c>
      <c r="BI38" s="434"/>
      <c r="BJ38" s="432" t="str">
        <f>IF(LEN(VLOOKUP(AA36,suvaha!$D$8:$H$158,4,FALSE))&lt;7,"",LEFT(RIGHT(VLOOKUP(AA36,suvaha!$D$8:$H$158,4,FALSE),7),1))</f>
        <v/>
      </c>
      <c r="BK38" s="818"/>
      <c r="BL38" s="818"/>
      <c r="BM38" s="432" t="str">
        <f>IF(LEN(VLOOKUP(AA36,suvaha!$D$8:$H$158,4,FALSE))&lt;6,"",LEFT(RIGHT(VLOOKUP(AA36,suvaha!$D$8:$H$158,4,FALSE),6),1))</f>
        <v/>
      </c>
      <c r="BN38" s="434"/>
      <c r="BO38" s="432" t="str">
        <f>IF(LEN(VLOOKUP(AA36,suvaha!$D$8:$H$158,4,FALSE))&lt;5,"",LEFT(RIGHT(VLOOKUP(AA36,suvaha!$D$8:$H$158,4,FALSE),5),1))</f>
        <v>4</v>
      </c>
      <c r="BP38" s="434"/>
      <c r="BQ38" s="432" t="str">
        <f>IF(LEN(VLOOKUP(AA36,suvaha!$D$8:$H$158,4,FALSE))&lt;4,"",LEFT(RIGHT(VLOOKUP(AA36,suvaha!$D$8:$H$158,4,FALSE),4),1))</f>
        <v>6</v>
      </c>
      <c r="BR38" s="819"/>
      <c r="BS38" s="432" t="str">
        <f>IF(LEN(VLOOKUP(AA36,suvaha!$D$8:$H$158,4,FALSE))&lt;3,"",LEFT(RIGHT(VLOOKUP(AA36,suvaha!$D$8:$H$158,4,FALSE),3),1))</f>
        <v>0</v>
      </c>
      <c r="BT38" s="434"/>
      <c r="BU38" s="432" t="str">
        <f>IF(LEN(VLOOKUP(AA36,suvaha!$D$8:$H$158,4,FALSE))&lt;2,"",LEFT(RIGHT(VLOOKUP(AA36,suvaha!$D$8:$H$158,4,FALSE),2),1))</f>
        <v>6</v>
      </c>
      <c r="BV38" s="434"/>
      <c r="BW38" s="432" t="str">
        <f>IF(VLOOKUP(AA36,suvaha!$D$8:$H$85,4,FALSE)=0,"",IF(LEN(VLOOKUP(AA36,suvaha!$D$8:$H$158,4,FALSE))&lt;1,"",LEFT(RIGHT(VLOOKUP(AA36,suvaha!$D$8:$H$158,4,FALSE),1),1)))</f>
        <v>5</v>
      </c>
      <c r="BX38" s="441"/>
      <c r="BY38" s="442"/>
      <c r="BZ38" s="442"/>
      <c r="CA38" s="442"/>
      <c r="CB38" s="442"/>
      <c r="CC38" s="442"/>
      <c r="CD38" s="442"/>
      <c r="CE38" s="442"/>
      <c r="CF38" s="442"/>
      <c r="CG38" s="442"/>
      <c r="CH38" s="285"/>
      <c r="CI38" s="220"/>
      <c r="CJ38" s="220"/>
    </row>
    <row r="39" spans="1:88" ht="3" customHeight="1">
      <c r="B39" s="879"/>
      <c r="C39" s="879"/>
      <c r="D39" s="879"/>
      <c r="E39" s="939"/>
      <c r="F39" s="939"/>
      <c r="G39" s="862"/>
      <c r="H39" s="874"/>
      <c r="I39" s="874"/>
      <c r="J39" s="874"/>
      <c r="K39" s="874"/>
      <c r="L39" s="874"/>
      <c r="M39" s="874"/>
      <c r="N39" s="874"/>
      <c r="O39" s="874"/>
      <c r="P39" s="874"/>
      <c r="Q39" s="874"/>
      <c r="R39" s="874"/>
      <c r="S39" s="874"/>
      <c r="T39" s="874"/>
      <c r="U39" s="874"/>
      <c r="V39" s="874"/>
      <c r="W39" s="874"/>
      <c r="X39" s="874"/>
      <c r="Y39" s="874"/>
      <c r="Z39" s="874"/>
      <c r="AA39" s="875"/>
      <c r="AB39" s="875"/>
      <c r="AC39" s="875"/>
      <c r="AD39" s="845"/>
      <c r="AE39" s="845"/>
      <c r="AF39" s="845"/>
      <c r="AG39" s="845"/>
      <c r="AH39" s="845"/>
      <c r="AI39" s="845"/>
      <c r="AJ39" s="845"/>
      <c r="AK39" s="845"/>
      <c r="AL39" s="845"/>
      <c r="AM39" s="845"/>
      <c r="AN39" s="845"/>
      <c r="AO39" s="845"/>
      <c r="AP39" s="845"/>
      <c r="AQ39" s="845"/>
      <c r="AR39" s="845"/>
      <c r="AS39" s="845"/>
      <c r="AT39" s="845"/>
      <c r="AU39" s="845"/>
      <c r="AV39" s="845"/>
      <c r="AW39" s="845"/>
      <c r="AX39" s="845"/>
      <c r="AY39" s="845"/>
      <c r="AZ39" s="845"/>
      <c r="BA39" s="846"/>
      <c r="BB39" s="846"/>
      <c r="BC39" s="846"/>
      <c r="BD39" s="846"/>
      <c r="BE39" s="846"/>
      <c r="BF39" s="846"/>
      <c r="BG39" s="846"/>
      <c r="BH39" s="846"/>
      <c r="BI39" s="846"/>
      <c r="BJ39" s="846"/>
      <c r="BK39" s="846"/>
      <c r="BL39" s="846"/>
      <c r="BM39" s="846"/>
      <c r="BN39" s="846"/>
      <c r="BO39" s="846"/>
      <c r="BP39" s="846"/>
      <c r="BQ39" s="846"/>
      <c r="BR39" s="846"/>
      <c r="BS39" s="310"/>
      <c r="BT39" s="310"/>
      <c r="BU39" s="310"/>
      <c r="BV39" s="310"/>
      <c r="BW39" s="310"/>
      <c r="BX39" s="443"/>
      <c r="BY39" s="310"/>
      <c r="BZ39" s="310"/>
      <c r="CA39" s="310"/>
      <c r="CB39" s="310"/>
      <c r="CC39" s="310"/>
      <c r="CD39" s="310"/>
      <c r="CE39" s="310"/>
      <c r="CF39" s="310"/>
      <c r="CG39" s="310"/>
      <c r="CH39" s="286"/>
      <c r="CI39" s="220"/>
      <c r="CJ39" s="220"/>
    </row>
    <row r="40" spans="1:88" ht="3" customHeight="1">
      <c r="B40" s="879"/>
      <c r="C40" s="879"/>
      <c r="D40" s="879"/>
      <c r="E40" s="939"/>
      <c r="F40" s="939"/>
      <c r="G40" s="862"/>
      <c r="H40" s="874"/>
      <c r="I40" s="874"/>
      <c r="J40" s="874"/>
      <c r="K40" s="874"/>
      <c r="L40" s="874"/>
      <c r="M40" s="874"/>
      <c r="N40" s="874"/>
      <c r="O40" s="874"/>
      <c r="P40" s="874"/>
      <c r="Q40" s="874"/>
      <c r="R40" s="874"/>
      <c r="S40" s="874"/>
      <c r="T40" s="874"/>
      <c r="U40" s="874"/>
      <c r="V40" s="874"/>
      <c r="W40" s="874"/>
      <c r="X40" s="874"/>
      <c r="Y40" s="874"/>
      <c r="Z40" s="874"/>
      <c r="AA40" s="875"/>
      <c r="AB40" s="875"/>
      <c r="AC40" s="875"/>
      <c r="AD40" s="825"/>
      <c r="AE40" s="825"/>
      <c r="AF40" s="825"/>
      <c r="AG40" s="825"/>
      <c r="AH40" s="825"/>
      <c r="AI40" s="825"/>
      <c r="AJ40" s="825"/>
      <c r="AK40" s="825"/>
      <c r="AL40" s="825"/>
      <c r="AM40" s="825"/>
      <c r="AN40" s="825"/>
      <c r="AO40" s="825"/>
      <c r="AP40" s="825"/>
      <c r="AQ40" s="825"/>
      <c r="AR40" s="825"/>
      <c r="AS40" s="825"/>
      <c r="AT40" s="825"/>
      <c r="AU40" s="825"/>
      <c r="AV40" s="825"/>
      <c r="AW40" s="825"/>
      <c r="AX40" s="825"/>
      <c r="AY40" s="825"/>
      <c r="AZ40" s="825"/>
      <c r="BA40" s="875"/>
      <c r="BB40" s="875"/>
      <c r="BC40" s="875"/>
      <c r="BD40" s="875"/>
      <c r="BE40" s="875"/>
      <c r="BF40" s="875"/>
      <c r="BG40" s="875"/>
      <c r="BH40" s="875"/>
      <c r="BI40" s="875"/>
      <c r="BJ40" s="875"/>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284"/>
      <c r="CI40" s="220"/>
      <c r="CJ40" s="220"/>
    </row>
    <row r="41" spans="1:88" ht="3" customHeight="1">
      <c r="B41" s="879"/>
      <c r="C41" s="879"/>
      <c r="D41" s="879"/>
      <c r="E41" s="939"/>
      <c r="F41" s="939"/>
      <c r="G41" s="862"/>
      <c r="H41" s="874"/>
      <c r="I41" s="874"/>
      <c r="J41" s="874"/>
      <c r="K41" s="874"/>
      <c r="L41" s="874"/>
      <c r="M41" s="874"/>
      <c r="N41" s="874"/>
      <c r="O41" s="874"/>
      <c r="P41" s="874"/>
      <c r="Q41" s="874"/>
      <c r="R41" s="874"/>
      <c r="S41" s="874"/>
      <c r="T41" s="874"/>
      <c r="U41" s="874"/>
      <c r="V41" s="874"/>
      <c r="W41" s="874"/>
      <c r="X41" s="874"/>
      <c r="Y41" s="874"/>
      <c r="Z41" s="874"/>
      <c r="AA41" s="875"/>
      <c r="AB41" s="875"/>
      <c r="AC41" s="875"/>
      <c r="AD41" s="826"/>
      <c r="AE41" s="820"/>
      <c r="AF41" s="820"/>
      <c r="AG41" s="820"/>
      <c r="AH41" s="435"/>
      <c r="AI41" s="821"/>
      <c r="AJ41" s="821"/>
      <c r="AK41" s="821"/>
      <c r="AL41" s="821"/>
      <c r="AM41" s="821"/>
      <c r="AN41" s="818" t="s">
        <v>965</v>
      </c>
      <c r="AO41" s="822"/>
      <c r="AP41" s="822"/>
      <c r="AQ41" s="822"/>
      <c r="AR41" s="822"/>
      <c r="AS41" s="822"/>
      <c r="AT41" s="818" t="s">
        <v>965</v>
      </c>
      <c r="AU41" s="822"/>
      <c r="AV41" s="822"/>
      <c r="AW41" s="822"/>
      <c r="AX41" s="822"/>
      <c r="AY41" s="822"/>
      <c r="AZ41" s="827"/>
      <c r="BA41" s="875"/>
      <c r="BB41" s="875"/>
      <c r="BC41" s="875"/>
      <c r="BD41" s="875"/>
      <c r="BE41" s="875"/>
      <c r="BF41" s="875"/>
      <c r="BG41" s="875"/>
      <c r="BH41" s="875"/>
      <c r="BI41" s="875"/>
      <c r="BJ41" s="875"/>
      <c r="BK41" s="442"/>
      <c r="BL41" s="442"/>
      <c r="BM41" s="820"/>
      <c r="BN41" s="820"/>
      <c r="BO41" s="820"/>
      <c r="BP41" s="442"/>
      <c r="BQ41" s="444"/>
      <c r="BR41" s="444"/>
      <c r="BS41" s="444"/>
      <c r="BT41" s="444"/>
      <c r="BU41" s="444"/>
      <c r="BV41" s="442"/>
      <c r="BW41" s="444"/>
      <c r="BX41" s="444"/>
      <c r="BY41" s="444"/>
      <c r="BZ41" s="444"/>
      <c r="CA41" s="444"/>
      <c r="CB41" s="445"/>
      <c r="CC41" s="444"/>
      <c r="CD41" s="444"/>
      <c r="CE41" s="444"/>
      <c r="CF41" s="444"/>
      <c r="CG41" s="444"/>
      <c r="CH41" s="287"/>
      <c r="CI41" s="220"/>
      <c r="CJ41" s="220"/>
    </row>
    <row r="42" spans="1:88" ht="15" customHeight="1">
      <c r="B42" s="879"/>
      <c r="C42" s="879"/>
      <c r="D42" s="879"/>
      <c r="E42" s="939"/>
      <c r="F42" s="939"/>
      <c r="G42" s="862"/>
      <c r="H42" s="874"/>
      <c r="I42" s="874"/>
      <c r="J42" s="874"/>
      <c r="K42" s="874"/>
      <c r="L42" s="874"/>
      <c r="M42" s="874"/>
      <c r="N42" s="874"/>
      <c r="O42" s="874"/>
      <c r="P42" s="874"/>
      <c r="Q42" s="874"/>
      <c r="R42" s="874"/>
      <c r="S42" s="874"/>
      <c r="T42" s="874"/>
      <c r="U42" s="874"/>
      <c r="V42" s="874"/>
      <c r="W42" s="874"/>
      <c r="X42" s="874"/>
      <c r="Y42" s="874"/>
      <c r="Z42" s="874"/>
      <c r="AA42" s="875"/>
      <c r="AB42" s="875"/>
      <c r="AC42" s="875"/>
      <c r="AD42" s="826"/>
      <c r="AE42" s="432" t="str">
        <f>IF(LEN(VLOOKUP(AA36,suvaha!$D$8:$H$158,3,FALSE))&lt;11,"",LEFT(RIGHT(VLOOKUP(AA36,suvaha!$D$8:$H$158,3,FALSE),11),1))</f>
        <v/>
      </c>
      <c r="AF42" s="255" t="s">
        <v>965</v>
      </c>
      <c r="AG42" s="432" t="str">
        <f>IF(LEN(VLOOKUP(AA36,suvaha!$D$8:$H$158,3,FALSE))&lt;10,"",LEFT(RIGHT(VLOOKUP(AA36,suvaha!$D$8:$H$158,3,FALSE),10),1))</f>
        <v/>
      </c>
      <c r="AH42" s="434" t="s">
        <v>965</v>
      </c>
      <c r="AI42" s="432" t="str">
        <f>IF(LEN(VLOOKUP(AA36,suvaha!$D$8:$H$158,3,FALSE))&lt;9,"",LEFT(RIGHT(VLOOKUP(AA36,suvaha!$D$8:$H$158,3,FALSE),9),1))</f>
        <v/>
      </c>
      <c r="AJ42" s="255" t="s">
        <v>965</v>
      </c>
      <c r="AK42" s="432" t="str">
        <f>IF(LEN(VLOOKUP(AA36,suvaha!$D$8:$H$158,3,FALSE))&lt;8,"",LEFT(RIGHT(VLOOKUP(AA36,suvaha!$D$8:$H$158,3,FALSE),8),1))</f>
        <v/>
      </c>
      <c r="AL42" s="434" t="s">
        <v>965</v>
      </c>
      <c r="AM42" s="432" t="str">
        <f>IF(LEN(VLOOKUP(AA36,suvaha!$D$8:$H$158,3,FALSE))&lt;7,"",LEFT(RIGHT(VLOOKUP(AA36,suvaha!$D$8:$H$158,3,FALSE),7),1))</f>
        <v/>
      </c>
      <c r="AN42" s="818"/>
      <c r="AO42" s="432" t="str">
        <f>IF(LEN(VLOOKUP(AA36,suvaha!$D$8:$H$158,3,FALSE))&lt;6,"",LEFT(RIGHT(VLOOKUP(AA36,suvaha!$D$8:$H$158,3,FALSE),6),1))</f>
        <v/>
      </c>
      <c r="AP42" s="434" t="s">
        <v>965</v>
      </c>
      <c r="AQ42" s="432" t="str">
        <f>IF(LEN(VLOOKUP(AA36,suvaha!$D$8:$H$158,3,FALSE))&lt;5,"",LEFT(RIGHT(VLOOKUP(AA36,suvaha!$D$8:$H$158,3,FALSE),5),1))</f>
        <v/>
      </c>
      <c r="AR42" s="434" t="s">
        <v>965</v>
      </c>
      <c r="AS42" s="432" t="str">
        <f>IF(LEN(VLOOKUP(AA36,suvaha!$D$8:$H$158,3,FALSE))&lt;4,"",LEFT(RIGHT(VLOOKUP(AA36,suvaha!$D$8:$H$158,3,FALSE),4),1))</f>
        <v/>
      </c>
      <c r="AT42" s="818"/>
      <c r="AU42" s="432" t="str">
        <f>IF(LEN(VLOOKUP(AA36,suvaha!$D$8:$H$158,3,FALSE))&lt;3,"",LEFT(RIGHT(VLOOKUP(AA36,suvaha!$D$8:$H$158,3,FALSE),3),1))</f>
        <v/>
      </c>
      <c r="AV42" s="434" t="s">
        <v>965</v>
      </c>
      <c r="AW42" s="432" t="str">
        <f>IF(LEN(VLOOKUP(AA36,suvaha!$D$8:$H$158,3,FALSE))&lt;2,"",LEFT(RIGHT(VLOOKUP(AA36,suvaha!$D$8:$H$158,3,FALSE),2),1))</f>
        <v/>
      </c>
      <c r="AX42" s="434" t="s">
        <v>965</v>
      </c>
      <c r="AY42" s="432" t="str">
        <f>IF(VLOOKUP(AA36,suvaha!$D$8:$H$85,3,FALSE)=0,"",IF(LEN(VLOOKUP(AA36,suvaha!$D$8:$H$158,3,FALSE))&lt;1,"",LEFT(RIGHT(VLOOKUP(AA36,suvaha!$D$8:$H$158,3,FALSE),1),1)))</f>
        <v/>
      </c>
      <c r="AZ42" s="827"/>
      <c r="BA42" s="875"/>
      <c r="BB42" s="875"/>
      <c r="BC42" s="875"/>
      <c r="BD42" s="875"/>
      <c r="BE42" s="875"/>
      <c r="BF42" s="875"/>
      <c r="BG42" s="875"/>
      <c r="BH42" s="875"/>
      <c r="BI42" s="875"/>
      <c r="BJ42" s="875"/>
      <c r="BK42" s="442"/>
      <c r="BL42" s="442"/>
      <c r="BM42" s="432" t="str">
        <f>IF(LEN(VLOOKUP(AA36,suvaha!$D$8:$H$158,5,FALSE))&lt;11,"",LEFT(RIGHT(VLOOKUP(AA36,suvaha!$D$8:$H$158,5,FALSE),11),1))</f>
        <v/>
      </c>
      <c r="BN42" s="255" t="s">
        <v>965</v>
      </c>
      <c r="BO42" s="432" t="str">
        <f>IF(LEN(VLOOKUP(AA36,suvaha!$D$8:$H$158,5,FALSE))&lt;10,"",LEFT(RIGHT(VLOOKUP(AA36,suvaha!$D$8:$H$158,5,FALSE),10),1))</f>
        <v/>
      </c>
      <c r="BP42" s="442" t="s">
        <v>965</v>
      </c>
      <c r="BQ42" s="432" t="str">
        <f>IF(LEN(VLOOKUP(AA36,suvaha!$D$8:$H$158,5,FALSE))&lt;9,"",LEFT(RIGHT(VLOOKUP(AA36,suvaha!$D$8:$H$158,5,FALSE),9),1))</f>
        <v/>
      </c>
      <c r="BR42" s="434" t="s">
        <v>965</v>
      </c>
      <c r="BS42" s="432" t="str">
        <f>IF(LEN(VLOOKUP(AA36,suvaha!$D$8:$H$158,5,FALSE))&lt;8,"",LEFT(RIGHT(VLOOKUP(AA36,suvaha!$D$8:$H$158,5,FALSE),8),1))</f>
        <v/>
      </c>
      <c r="BT42" s="434" t="s">
        <v>965</v>
      </c>
      <c r="BU42" s="432" t="str">
        <f>IF(LEN(VLOOKUP(AA36,suvaha!$D$8:$H$158,5,FALSE))&lt;7,"",LEFT(RIGHT(VLOOKUP(AA36,suvaha!$D$8:$H$158,5,FALSE),7),1))</f>
        <v/>
      </c>
      <c r="BV42" s="442" t="s">
        <v>965</v>
      </c>
      <c r="BW42" s="432" t="str">
        <f>IF(LEN(VLOOKUP(AA36,suvaha!$D$8:$H$158,5,FALSE))&lt;6,"",LEFT(RIGHT(VLOOKUP(AA36,suvaha!$D$8:$H$158,5,FALSE),6),1))</f>
        <v>2</v>
      </c>
      <c r="BX42" s="434" t="s">
        <v>965</v>
      </c>
      <c r="BY42" s="432" t="str">
        <f>IF(LEN(VLOOKUP(AA36,suvaha!$D$8:$H$158,5,FALSE))&lt;5,"",LEFT(RIGHT(VLOOKUP(AA36,suvaha!$D$8:$H$158,5,FALSE),5),1))</f>
        <v>3</v>
      </c>
      <c r="BZ42" s="434" t="s">
        <v>965</v>
      </c>
      <c r="CA42" s="432" t="str">
        <f>IF(LEN(VLOOKUP(AA36,suvaha!$D$8:$H$158,5,FALSE))&lt;4,"",LEFT(RIGHT(VLOOKUP(AA36,suvaha!$D$8:$H$158,5,FALSE),4),1))</f>
        <v>7</v>
      </c>
      <c r="CB42" s="445" t="s">
        <v>965</v>
      </c>
      <c r="CC42" s="432" t="str">
        <f>IF(LEN(VLOOKUP(AA36,suvaha!$D$8:$H$158,5,FALSE))&lt;3,"",LEFT(RIGHT(VLOOKUP(AA36,suvaha!$D$8:$H$158,5,FALSE),3),1))</f>
        <v>3</v>
      </c>
      <c r="CD42" s="434" t="s">
        <v>965</v>
      </c>
      <c r="CE42" s="432" t="str">
        <f>IF(LEN(VLOOKUP(AA36,suvaha!$D$8:$H$158,5,FALSE))&lt;2,"",LEFT(RIGHT(VLOOKUP(AA36,suvaha!$D$8:$H$158,5,FALSE),2),1))</f>
        <v>3</v>
      </c>
      <c r="CF42" s="434" t="s">
        <v>1540</v>
      </c>
      <c r="CG42" s="432" t="str">
        <f>IF(VLOOKUP(AA36,suvaha!$D$8:$H$85,5,FALSE)=0,"",IF(LEN(VLOOKUP(AA36,suvaha!$D$8:$H$158,5,FALSE))&lt;1,"",LEFT(RIGHT(VLOOKUP(AA36,suvaha!$D$8:$H$158,5,FALSE),1),1)))</f>
        <v>1</v>
      </c>
      <c r="CH42" s="287"/>
      <c r="CI42" s="220"/>
      <c r="CJ42" s="220"/>
    </row>
    <row r="43" spans="1:88" ht="3" customHeight="1">
      <c r="B43" s="879"/>
      <c r="C43" s="879"/>
      <c r="D43" s="879"/>
      <c r="E43" s="939"/>
      <c r="F43" s="939"/>
      <c r="G43" s="862"/>
      <c r="H43" s="874"/>
      <c r="I43" s="874"/>
      <c r="J43" s="874"/>
      <c r="K43" s="874"/>
      <c r="L43" s="874"/>
      <c r="M43" s="874"/>
      <c r="N43" s="874"/>
      <c r="O43" s="874"/>
      <c r="P43" s="874"/>
      <c r="Q43" s="874"/>
      <c r="R43" s="874"/>
      <c r="S43" s="874"/>
      <c r="T43" s="874"/>
      <c r="U43" s="874"/>
      <c r="V43" s="874"/>
      <c r="W43" s="874"/>
      <c r="X43" s="874"/>
      <c r="Y43" s="874"/>
      <c r="Z43" s="874"/>
      <c r="AA43" s="875"/>
      <c r="AB43" s="875"/>
      <c r="AC43" s="875"/>
      <c r="AD43" s="845"/>
      <c r="AE43" s="845"/>
      <c r="AF43" s="845"/>
      <c r="AG43" s="845"/>
      <c r="AH43" s="845"/>
      <c r="AI43" s="845"/>
      <c r="AJ43" s="845"/>
      <c r="AK43" s="845"/>
      <c r="AL43" s="845"/>
      <c r="AM43" s="845"/>
      <c r="AN43" s="845"/>
      <c r="AO43" s="845"/>
      <c r="AP43" s="845"/>
      <c r="AQ43" s="845"/>
      <c r="AR43" s="845"/>
      <c r="AS43" s="845"/>
      <c r="AT43" s="845"/>
      <c r="AU43" s="845"/>
      <c r="AV43" s="845"/>
      <c r="AW43" s="845"/>
      <c r="AX43" s="845"/>
      <c r="AY43" s="845"/>
      <c r="AZ43" s="845"/>
      <c r="BA43" s="875"/>
      <c r="BB43" s="875"/>
      <c r="BC43" s="875"/>
      <c r="BD43" s="875"/>
      <c r="BE43" s="875"/>
      <c r="BF43" s="875"/>
      <c r="BG43" s="875"/>
      <c r="BH43" s="875"/>
      <c r="BI43" s="875"/>
      <c r="BJ43" s="875"/>
      <c r="BK43" s="310"/>
      <c r="BL43" s="310"/>
      <c r="BM43" s="310"/>
      <c r="BN43" s="310"/>
      <c r="BO43" s="310"/>
      <c r="BP43" s="310"/>
      <c r="BQ43" s="310"/>
      <c r="BR43" s="310"/>
      <c r="BS43" s="310"/>
      <c r="BT43" s="310"/>
      <c r="BU43" s="310"/>
      <c r="BV43" s="310"/>
      <c r="BW43" s="310"/>
      <c r="BX43" s="310"/>
      <c r="BY43" s="310"/>
      <c r="BZ43" s="310"/>
      <c r="CA43" s="310"/>
      <c r="CB43" s="310"/>
      <c r="CC43" s="310"/>
      <c r="CD43" s="310"/>
      <c r="CE43" s="310"/>
      <c r="CF43" s="310"/>
      <c r="CG43" s="310"/>
      <c r="CH43" s="286"/>
      <c r="CI43" s="220"/>
      <c r="CJ43" s="220"/>
    </row>
    <row r="44" spans="1:88" s="250" customFormat="1" ht="3" customHeight="1">
      <c r="A44" s="220"/>
      <c r="B44" s="879"/>
      <c r="C44" s="879"/>
      <c r="D44" s="879"/>
      <c r="E44" s="877" t="s">
        <v>577</v>
      </c>
      <c r="F44" s="877"/>
      <c r="G44" s="862"/>
      <c r="H44" s="864" t="str">
        <f>Index!C126</f>
        <v>Náklady budúcich období dlhodobé (381A, 382A)</v>
      </c>
      <c r="I44" s="864"/>
      <c r="J44" s="864"/>
      <c r="K44" s="864"/>
      <c r="L44" s="864"/>
      <c r="M44" s="864"/>
      <c r="N44" s="864"/>
      <c r="O44" s="864"/>
      <c r="P44" s="864"/>
      <c r="Q44" s="864"/>
      <c r="R44" s="864"/>
      <c r="S44" s="864"/>
      <c r="T44" s="864"/>
      <c r="U44" s="864"/>
      <c r="V44" s="864"/>
      <c r="W44" s="864"/>
      <c r="X44" s="864"/>
      <c r="Y44" s="864"/>
      <c r="Z44" s="864"/>
      <c r="AA44" s="866" t="s">
        <v>1640</v>
      </c>
      <c r="AB44" s="866"/>
      <c r="AC44" s="866"/>
      <c r="AD44" s="825"/>
      <c r="AE44" s="825"/>
      <c r="AF44" s="825"/>
      <c r="AG44" s="825"/>
      <c r="AH44" s="825"/>
      <c r="AI44" s="825"/>
      <c r="AJ44" s="825"/>
      <c r="AK44" s="825"/>
      <c r="AL44" s="825"/>
      <c r="AM44" s="825"/>
      <c r="AN44" s="825"/>
      <c r="AO44" s="825"/>
      <c r="AP44" s="825"/>
      <c r="AQ44" s="825"/>
      <c r="AR44" s="825"/>
      <c r="AS44" s="825"/>
      <c r="AT44" s="825"/>
      <c r="AU44" s="825"/>
      <c r="AV44" s="825"/>
      <c r="AW44" s="825"/>
      <c r="AX44" s="825"/>
      <c r="AY44" s="825"/>
      <c r="AZ44" s="825"/>
      <c r="BA44" s="867"/>
      <c r="BB44" s="867"/>
      <c r="BC44" s="867"/>
      <c r="BD44" s="867"/>
      <c r="BE44" s="867"/>
      <c r="BF44" s="867"/>
      <c r="BG44" s="867"/>
      <c r="BH44" s="867"/>
      <c r="BI44" s="867"/>
      <c r="BJ44" s="867"/>
      <c r="BK44" s="867"/>
      <c r="BL44" s="867"/>
      <c r="BM44" s="867"/>
      <c r="BN44" s="867"/>
      <c r="BO44" s="867"/>
      <c r="BP44" s="867"/>
      <c r="BQ44" s="867"/>
      <c r="BR44" s="867"/>
      <c r="BS44" s="304"/>
      <c r="BT44" s="304"/>
      <c r="BU44" s="304"/>
      <c r="BV44" s="304"/>
      <c r="BW44" s="304"/>
      <c r="BX44" s="446"/>
      <c r="BY44" s="304"/>
      <c r="BZ44" s="304"/>
      <c r="CA44" s="304"/>
      <c r="CB44" s="304"/>
      <c r="CC44" s="304"/>
      <c r="CD44" s="304"/>
      <c r="CE44" s="304"/>
      <c r="CF44" s="304"/>
      <c r="CG44" s="304"/>
      <c r="CH44" s="284"/>
      <c r="CI44" s="288"/>
      <c r="CJ44" s="288"/>
    </row>
    <row r="45" spans="1:88" s="250" customFormat="1" ht="3" customHeight="1">
      <c r="A45" s="220"/>
      <c r="B45" s="879"/>
      <c r="C45" s="879"/>
      <c r="D45" s="879"/>
      <c r="E45" s="877"/>
      <c r="F45" s="877"/>
      <c r="G45" s="862"/>
      <c r="H45" s="864"/>
      <c r="I45" s="864"/>
      <c r="J45" s="864"/>
      <c r="K45" s="864"/>
      <c r="L45" s="864"/>
      <c r="M45" s="864"/>
      <c r="N45" s="864"/>
      <c r="O45" s="864"/>
      <c r="P45" s="864"/>
      <c r="Q45" s="864"/>
      <c r="R45" s="864"/>
      <c r="S45" s="864"/>
      <c r="T45" s="864"/>
      <c r="U45" s="864"/>
      <c r="V45" s="864"/>
      <c r="W45" s="864"/>
      <c r="X45" s="864"/>
      <c r="Y45" s="864"/>
      <c r="Z45" s="864"/>
      <c r="AA45" s="866"/>
      <c r="AB45" s="866"/>
      <c r="AC45" s="866"/>
      <c r="AD45" s="826"/>
      <c r="AE45" s="820"/>
      <c r="AF45" s="820"/>
      <c r="AG45" s="820"/>
      <c r="AH45" s="435"/>
      <c r="AI45" s="821"/>
      <c r="AJ45" s="821"/>
      <c r="AK45" s="821"/>
      <c r="AL45" s="821"/>
      <c r="AM45" s="821"/>
      <c r="AN45" s="818"/>
      <c r="AO45" s="822"/>
      <c r="AP45" s="822"/>
      <c r="AQ45" s="822"/>
      <c r="AR45" s="822"/>
      <c r="AS45" s="822"/>
      <c r="AT45" s="818"/>
      <c r="AU45" s="822"/>
      <c r="AV45" s="822"/>
      <c r="AW45" s="822"/>
      <c r="AX45" s="822"/>
      <c r="AY45" s="822"/>
      <c r="AZ45" s="827"/>
      <c r="BA45" s="826"/>
      <c r="BB45" s="820"/>
      <c r="BC45" s="820"/>
      <c r="BD45" s="820"/>
      <c r="BE45" s="435"/>
      <c r="BF45" s="821"/>
      <c r="BG45" s="821"/>
      <c r="BH45" s="821"/>
      <c r="BI45" s="821"/>
      <c r="BJ45" s="821"/>
      <c r="BK45" s="818"/>
      <c r="BL45" s="818"/>
      <c r="BM45" s="822"/>
      <c r="BN45" s="822"/>
      <c r="BO45" s="822"/>
      <c r="BP45" s="822"/>
      <c r="BQ45" s="822"/>
      <c r="BR45" s="819"/>
      <c r="BS45" s="822"/>
      <c r="BT45" s="822"/>
      <c r="BU45" s="822"/>
      <c r="BV45" s="822"/>
      <c r="BW45" s="822"/>
      <c r="BX45" s="441"/>
      <c r="BY45" s="442"/>
      <c r="BZ45" s="442"/>
      <c r="CA45" s="442"/>
      <c r="CB45" s="442"/>
      <c r="CC45" s="442"/>
      <c r="CD45" s="442"/>
      <c r="CE45" s="442"/>
      <c r="CF45" s="442"/>
      <c r="CG45" s="442"/>
      <c r="CH45" s="285"/>
      <c r="CI45" s="288"/>
      <c r="CJ45" s="288"/>
    </row>
    <row r="46" spans="1:88" ht="15" customHeight="1">
      <c r="B46" s="879"/>
      <c r="C46" s="879"/>
      <c r="D46" s="879"/>
      <c r="E46" s="877"/>
      <c r="F46" s="877"/>
      <c r="G46" s="862"/>
      <c r="H46" s="864"/>
      <c r="I46" s="864"/>
      <c r="J46" s="864"/>
      <c r="K46" s="864"/>
      <c r="L46" s="864"/>
      <c r="M46" s="864"/>
      <c r="N46" s="864"/>
      <c r="O46" s="864"/>
      <c r="P46" s="864"/>
      <c r="Q46" s="864"/>
      <c r="R46" s="864"/>
      <c r="S46" s="864"/>
      <c r="T46" s="864"/>
      <c r="U46" s="864"/>
      <c r="V46" s="864"/>
      <c r="W46" s="864"/>
      <c r="X46" s="864"/>
      <c r="Y46" s="864"/>
      <c r="Z46" s="864"/>
      <c r="AA46" s="866"/>
      <c r="AB46" s="866"/>
      <c r="AC46" s="866"/>
      <c r="AD46" s="826"/>
      <c r="AE46" s="432" t="str">
        <f>IF(LEN(VLOOKUP(AA44,suvaha!$D$8:$H$158,2,FALSE))&lt;11,"",LEFT(RIGHT(VLOOKUP(AA44,suvaha!$D$8:$H$158,2,FALSE),11),1))</f>
        <v/>
      </c>
      <c r="AF46" s="255"/>
      <c r="AG46" s="432" t="str">
        <f>IF(LEN(VLOOKUP(AA44,suvaha!$D$8:$H$158,2,FALSE))&lt;10,"",LEFT(RIGHT(VLOOKUP(AA44,suvaha!$D$8:$H$158,2,FALSE),10),1))</f>
        <v/>
      </c>
      <c r="AH46" s="434"/>
      <c r="AI46" s="432" t="str">
        <f>IF(LEN(VLOOKUP(AA44,suvaha!$D$8:$H$158,2,FALSE))&lt;9,"",LEFT(RIGHT(VLOOKUP(AA44,suvaha!$D$8:$H$158,2,FALSE),9),1))</f>
        <v/>
      </c>
      <c r="AJ46" s="255"/>
      <c r="AK46" s="432" t="str">
        <f>IF(LEN(VLOOKUP(AA44,suvaha!$D$8:$H$158,2,FALSE))&lt;8,"",LEFT(RIGHT(VLOOKUP(AA44,suvaha!$D$8:$H$158,2,FALSE),8),1))</f>
        <v/>
      </c>
      <c r="AL46" s="434"/>
      <c r="AM46" s="432" t="str">
        <f>IF(LEN(VLOOKUP(AA44,suvaha!$D$8:$H$158,2,FALSE))&lt;7,"",LEFT(RIGHT(VLOOKUP(AA44,suvaha!$D$8:$H$158,2,FALSE),7),1))</f>
        <v/>
      </c>
      <c r="AN46" s="818"/>
      <c r="AO46" s="432" t="str">
        <f>IF(LEN(VLOOKUP(AA44,suvaha!$D$8:$H$158,2,FALSE))&lt;6,"",LEFT(RIGHT(VLOOKUP(AA44,suvaha!$D$8:$H$158,2,FALSE),6),1))</f>
        <v/>
      </c>
      <c r="AP46" s="434"/>
      <c r="AQ46" s="432" t="str">
        <f>IF(LEN(VLOOKUP(AA44,suvaha!$D$8:$H$158,2,FALSE))&lt;5,"",LEFT(RIGHT(VLOOKUP(AA44,suvaha!$D$8:$H$158,2,FALSE),5),1))</f>
        <v/>
      </c>
      <c r="AR46" s="434"/>
      <c r="AS46" s="432" t="str">
        <f>IF(LEN(VLOOKUP(AA44,suvaha!$D$8:$H$158,2,FALSE))&lt;4,"",LEFT(RIGHT(VLOOKUP(AA44,suvaha!$D$8:$H$158,2,FALSE),4),1))</f>
        <v/>
      </c>
      <c r="AT46" s="818"/>
      <c r="AU46" s="432" t="str">
        <f>IF(LEN(VLOOKUP(AA44,suvaha!$D$8:$H$158,2,FALSE))&lt;3,"",LEFT(RIGHT(VLOOKUP(AA44,suvaha!$D$8:$H$158,2,FALSE),3),1))</f>
        <v/>
      </c>
      <c r="AV46" s="434"/>
      <c r="AW46" s="432" t="str">
        <f>IF(LEN(VLOOKUP(AA44,suvaha!$D$8:$H$158,2,FALSE))&lt;2,"",LEFT(RIGHT(VLOOKUP(AA44,suvaha!$D$8:$H$158,2,FALSE),2),1))</f>
        <v/>
      </c>
      <c r="AX46" s="434"/>
      <c r="AY46" s="432" t="str">
        <f>IF(VLOOKUP(AA44,suvaha!$D$8:$H$85,2,FALSE)=0,"",IF(LEN(VLOOKUP(AA44,suvaha!$D$8:$H$158,2,FALSE))&lt;1,"",LEFT(RIGHT(VLOOKUP(AA44,suvaha!$D$8:$H$158,2,FALSE),1),1)))</f>
        <v/>
      </c>
      <c r="AZ46" s="827"/>
      <c r="BA46" s="826"/>
      <c r="BB46" s="432" t="str">
        <f>IF(LEN(VLOOKUP(AA44,suvaha!$D$8:$H$158,4,FALSE))&lt;11,"",LEFT(RIGHT(VLOOKUP(AA44,suvaha!$D$8:$H$158,4,FALSE),11),1))</f>
        <v/>
      </c>
      <c r="BC46" s="255"/>
      <c r="BD46" s="432" t="str">
        <f>IF(LEN(VLOOKUP(AA44,suvaha!$D$8:$H$158,4,FALSE))&lt;10,"",LEFT(RIGHT(VLOOKUP(AA44,suvaha!$D$8:$H$158,4,FALSE),10),1))</f>
        <v/>
      </c>
      <c r="BE46" s="434"/>
      <c r="BF46" s="432" t="str">
        <f>IF(LEN(VLOOKUP(AA44,suvaha!$D$8:$H$158,4,FALSE))&lt;9,"",LEFT(RIGHT(VLOOKUP(AA44,suvaha!$D$8:$H$158,4,FALSE),9),1))</f>
        <v/>
      </c>
      <c r="BG46" s="255"/>
      <c r="BH46" s="432" t="str">
        <f>IF(LEN(VLOOKUP(AA44,suvaha!$D$8:$H$158,4,FALSE))&lt;8,"",LEFT(RIGHT(VLOOKUP(AA44,suvaha!$D$8:$H$158,4,FALSE),8),1))</f>
        <v/>
      </c>
      <c r="BI46" s="434"/>
      <c r="BJ46" s="432" t="str">
        <f>IF(LEN(VLOOKUP(AA44,suvaha!$D$8:$H$158,4,FALSE))&lt;7,"",LEFT(RIGHT(VLOOKUP(AA44,suvaha!$D$8:$H$158,4,FALSE),7),1))</f>
        <v/>
      </c>
      <c r="BK46" s="818"/>
      <c r="BL46" s="818"/>
      <c r="BM46" s="432" t="str">
        <f>IF(LEN(VLOOKUP(AA44,suvaha!$D$8:$H$158,4,FALSE))&lt;6,"",LEFT(RIGHT(VLOOKUP(AA44,suvaha!$D$8:$H$158,4,FALSE),6),1))</f>
        <v/>
      </c>
      <c r="BN46" s="434"/>
      <c r="BO46" s="432" t="str">
        <f>IF(LEN(VLOOKUP(AA44,suvaha!$D$8:$H$158,4,FALSE))&lt;5,"",LEFT(RIGHT(VLOOKUP(AA44,suvaha!$D$8:$H$158,4,FALSE),5),1))</f>
        <v/>
      </c>
      <c r="BP46" s="434"/>
      <c r="BQ46" s="432" t="str">
        <f>IF(LEN(VLOOKUP(AA44,suvaha!$D$8:$H$158,4,FALSE))&lt;4,"",LEFT(RIGHT(VLOOKUP(AA44,suvaha!$D$8:$H$158,4,FALSE),4),1))</f>
        <v/>
      </c>
      <c r="BR46" s="819"/>
      <c r="BS46" s="432" t="str">
        <f>IF(LEN(VLOOKUP(AA44,suvaha!$D$8:$H$158,4,FALSE))&lt;3,"",LEFT(RIGHT(VLOOKUP(AA44,suvaha!$D$8:$H$158,4,FALSE),3),1))</f>
        <v/>
      </c>
      <c r="BT46" s="434"/>
      <c r="BU46" s="432" t="str">
        <f>IF(LEN(VLOOKUP(AA44,suvaha!$D$8:$H$158,4,FALSE))&lt;2,"",LEFT(RIGHT(VLOOKUP(AA44,suvaha!$D$8:$H$158,4,FALSE),2),1))</f>
        <v/>
      </c>
      <c r="BV46" s="434"/>
      <c r="BW46" s="432" t="str">
        <f>IF(VLOOKUP(AA44,suvaha!$D$8:$H$85,4,FALSE)=0,"",IF(LEN(VLOOKUP(AA44,suvaha!$D$8:$H$158,4,FALSE))&lt;1,"",LEFT(RIGHT(VLOOKUP(AA44,suvaha!$D$8:$H$158,4,FALSE),1),1)))</f>
        <v/>
      </c>
      <c r="BX46" s="441"/>
      <c r="BY46" s="442"/>
      <c r="BZ46" s="442"/>
      <c r="CA46" s="442"/>
      <c r="CB46" s="442"/>
      <c r="CC46" s="442"/>
      <c r="CD46" s="442"/>
      <c r="CE46" s="442"/>
      <c r="CF46" s="442"/>
      <c r="CG46" s="442"/>
      <c r="CH46" s="285"/>
      <c r="CI46" s="220"/>
      <c r="CJ46" s="220"/>
    </row>
    <row r="47" spans="1:88" ht="3" customHeight="1">
      <c r="B47" s="879"/>
      <c r="C47" s="879"/>
      <c r="D47" s="879"/>
      <c r="E47" s="877"/>
      <c r="F47" s="877"/>
      <c r="G47" s="862"/>
      <c r="H47" s="864"/>
      <c r="I47" s="864"/>
      <c r="J47" s="864"/>
      <c r="K47" s="864"/>
      <c r="L47" s="864"/>
      <c r="M47" s="864"/>
      <c r="N47" s="864"/>
      <c r="O47" s="864"/>
      <c r="P47" s="864"/>
      <c r="Q47" s="864"/>
      <c r="R47" s="864"/>
      <c r="S47" s="864"/>
      <c r="T47" s="864"/>
      <c r="U47" s="864"/>
      <c r="V47" s="864"/>
      <c r="W47" s="864"/>
      <c r="X47" s="864"/>
      <c r="Y47" s="864"/>
      <c r="Z47" s="864"/>
      <c r="AA47" s="866"/>
      <c r="AB47" s="866"/>
      <c r="AC47" s="866"/>
      <c r="AD47" s="845"/>
      <c r="AE47" s="845"/>
      <c r="AF47" s="845"/>
      <c r="AG47" s="845"/>
      <c r="AH47" s="845"/>
      <c r="AI47" s="845"/>
      <c r="AJ47" s="845"/>
      <c r="AK47" s="845"/>
      <c r="AL47" s="845"/>
      <c r="AM47" s="845"/>
      <c r="AN47" s="845"/>
      <c r="AO47" s="845"/>
      <c r="AP47" s="845"/>
      <c r="AQ47" s="845"/>
      <c r="AR47" s="845"/>
      <c r="AS47" s="845"/>
      <c r="AT47" s="845"/>
      <c r="AU47" s="845"/>
      <c r="AV47" s="845"/>
      <c r="AW47" s="845"/>
      <c r="AX47" s="845"/>
      <c r="AY47" s="845"/>
      <c r="AZ47" s="845"/>
      <c r="BA47" s="846"/>
      <c r="BB47" s="846"/>
      <c r="BC47" s="846"/>
      <c r="BD47" s="846"/>
      <c r="BE47" s="846"/>
      <c r="BF47" s="846"/>
      <c r="BG47" s="846"/>
      <c r="BH47" s="846"/>
      <c r="BI47" s="846"/>
      <c r="BJ47" s="846"/>
      <c r="BK47" s="846"/>
      <c r="BL47" s="846"/>
      <c r="BM47" s="846"/>
      <c r="BN47" s="846"/>
      <c r="BO47" s="846"/>
      <c r="BP47" s="846"/>
      <c r="BQ47" s="846"/>
      <c r="BR47" s="846"/>
      <c r="BS47" s="310"/>
      <c r="BT47" s="310"/>
      <c r="BU47" s="310"/>
      <c r="BV47" s="310"/>
      <c r="BW47" s="310"/>
      <c r="BX47" s="443"/>
      <c r="BY47" s="310"/>
      <c r="BZ47" s="310"/>
      <c r="CA47" s="310"/>
      <c r="CB47" s="310"/>
      <c r="CC47" s="310"/>
      <c r="CD47" s="310"/>
      <c r="CE47" s="310"/>
      <c r="CF47" s="310"/>
      <c r="CG47" s="310"/>
      <c r="CH47" s="286"/>
      <c r="CI47" s="220"/>
      <c r="CJ47" s="220"/>
    </row>
    <row r="48" spans="1:88" ht="3" customHeight="1">
      <c r="B48" s="879"/>
      <c r="C48" s="879"/>
      <c r="D48" s="879"/>
      <c r="E48" s="877"/>
      <c r="F48" s="877"/>
      <c r="G48" s="862"/>
      <c r="H48" s="864"/>
      <c r="I48" s="864"/>
      <c r="J48" s="864"/>
      <c r="K48" s="864"/>
      <c r="L48" s="864"/>
      <c r="M48" s="864"/>
      <c r="N48" s="864"/>
      <c r="O48" s="864"/>
      <c r="P48" s="864"/>
      <c r="Q48" s="864"/>
      <c r="R48" s="864"/>
      <c r="S48" s="864"/>
      <c r="T48" s="864"/>
      <c r="U48" s="864"/>
      <c r="V48" s="864"/>
      <c r="W48" s="864"/>
      <c r="X48" s="864"/>
      <c r="Y48" s="864"/>
      <c r="Z48" s="864"/>
      <c r="AA48" s="866"/>
      <c r="AB48" s="866"/>
      <c r="AC48" s="866"/>
      <c r="AD48" s="825"/>
      <c r="AE48" s="825"/>
      <c r="AF48" s="825"/>
      <c r="AG48" s="825"/>
      <c r="AH48" s="825"/>
      <c r="AI48" s="825"/>
      <c r="AJ48" s="825"/>
      <c r="AK48" s="825"/>
      <c r="AL48" s="825"/>
      <c r="AM48" s="825"/>
      <c r="AN48" s="825"/>
      <c r="AO48" s="825"/>
      <c r="AP48" s="825"/>
      <c r="AQ48" s="825"/>
      <c r="AR48" s="825"/>
      <c r="AS48" s="825"/>
      <c r="AT48" s="825"/>
      <c r="AU48" s="825"/>
      <c r="AV48" s="825"/>
      <c r="AW48" s="825"/>
      <c r="AX48" s="825"/>
      <c r="AY48" s="825"/>
      <c r="AZ48" s="825"/>
      <c r="BA48" s="875"/>
      <c r="BB48" s="875"/>
      <c r="BC48" s="875"/>
      <c r="BD48" s="875"/>
      <c r="BE48" s="875"/>
      <c r="BF48" s="875"/>
      <c r="BG48" s="875"/>
      <c r="BH48" s="875"/>
      <c r="BI48" s="875"/>
      <c r="BJ48" s="875"/>
      <c r="BK48" s="304"/>
      <c r="BL48" s="304"/>
      <c r="BM48" s="304"/>
      <c r="BN48" s="304"/>
      <c r="BO48" s="304"/>
      <c r="BP48" s="304"/>
      <c r="BQ48" s="304"/>
      <c r="BR48" s="304"/>
      <c r="BS48" s="304"/>
      <c r="BT48" s="304"/>
      <c r="BU48" s="304"/>
      <c r="BV48" s="304"/>
      <c r="BW48" s="304"/>
      <c r="BX48" s="304"/>
      <c r="BY48" s="304"/>
      <c r="BZ48" s="304"/>
      <c r="CA48" s="304"/>
      <c r="CB48" s="304"/>
      <c r="CC48" s="304"/>
      <c r="CD48" s="304"/>
      <c r="CE48" s="304"/>
      <c r="CF48" s="304"/>
      <c r="CG48" s="304"/>
      <c r="CH48" s="284"/>
      <c r="CI48" s="220"/>
      <c r="CJ48" s="220"/>
    </row>
    <row r="49" spans="1:88" ht="3" customHeight="1">
      <c r="B49" s="879"/>
      <c r="C49" s="879"/>
      <c r="D49" s="879"/>
      <c r="E49" s="877"/>
      <c r="F49" s="877"/>
      <c r="G49" s="862"/>
      <c r="H49" s="864"/>
      <c r="I49" s="864"/>
      <c r="J49" s="864"/>
      <c r="K49" s="864"/>
      <c r="L49" s="864"/>
      <c r="M49" s="864"/>
      <c r="N49" s="864"/>
      <c r="O49" s="864"/>
      <c r="P49" s="864"/>
      <c r="Q49" s="864"/>
      <c r="R49" s="864"/>
      <c r="S49" s="864"/>
      <c r="T49" s="864"/>
      <c r="U49" s="864"/>
      <c r="V49" s="864"/>
      <c r="W49" s="864"/>
      <c r="X49" s="864"/>
      <c r="Y49" s="864"/>
      <c r="Z49" s="864"/>
      <c r="AA49" s="866"/>
      <c r="AB49" s="866"/>
      <c r="AC49" s="866"/>
      <c r="AD49" s="826"/>
      <c r="AE49" s="820"/>
      <c r="AF49" s="820"/>
      <c r="AG49" s="820"/>
      <c r="AH49" s="435"/>
      <c r="AI49" s="821"/>
      <c r="AJ49" s="821"/>
      <c r="AK49" s="821"/>
      <c r="AL49" s="821"/>
      <c r="AM49" s="821"/>
      <c r="AN49" s="818" t="s">
        <v>965</v>
      </c>
      <c r="AO49" s="822"/>
      <c r="AP49" s="822"/>
      <c r="AQ49" s="822"/>
      <c r="AR49" s="822"/>
      <c r="AS49" s="822"/>
      <c r="AT49" s="818" t="s">
        <v>965</v>
      </c>
      <c r="AU49" s="822"/>
      <c r="AV49" s="822"/>
      <c r="AW49" s="822"/>
      <c r="AX49" s="822"/>
      <c r="AY49" s="822"/>
      <c r="AZ49" s="827"/>
      <c r="BA49" s="875"/>
      <c r="BB49" s="875"/>
      <c r="BC49" s="875"/>
      <c r="BD49" s="875"/>
      <c r="BE49" s="875"/>
      <c r="BF49" s="875"/>
      <c r="BG49" s="875"/>
      <c r="BH49" s="875"/>
      <c r="BI49" s="875"/>
      <c r="BJ49" s="875"/>
      <c r="BK49" s="442"/>
      <c r="BL49" s="442"/>
      <c r="BM49" s="820"/>
      <c r="BN49" s="820"/>
      <c r="BO49" s="820"/>
      <c r="BP49" s="442"/>
      <c r="BQ49" s="444"/>
      <c r="BR49" s="444"/>
      <c r="BS49" s="444"/>
      <c r="BT49" s="444"/>
      <c r="BU49" s="444"/>
      <c r="BV49" s="442"/>
      <c r="BW49" s="444"/>
      <c r="BX49" s="444"/>
      <c r="BY49" s="444"/>
      <c r="BZ49" s="444"/>
      <c r="CA49" s="444"/>
      <c r="CB49" s="445"/>
      <c r="CC49" s="444"/>
      <c r="CD49" s="444"/>
      <c r="CE49" s="444"/>
      <c r="CF49" s="444"/>
      <c r="CG49" s="444"/>
      <c r="CH49" s="287"/>
      <c r="CI49" s="220"/>
      <c r="CJ49" s="220"/>
    </row>
    <row r="50" spans="1:88" ht="15" customHeight="1">
      <c r="B50" s="879"/>
      <c r="C50" s="879"/>
      <c r="D50" s="879"/>
      <c r="E50" s="877"/>
      <c r="F50" s="877"/>
      <c r="G50" s="862"/>
      <c r="H50" s="864"/>
      <c r="I50" s="864"/>
      <c r="J50" s="864"/>
      <c r="K50" s="864"/>
      <c r="L50" s="864"/>
      <c r="M50" s="864"/>
      <c r="N50" s="864"/>
      <c r="O50" s="864"/>
      <c r="P50" s="864"/>
      <c r="Q50" s="864"/>
      <c r="R50" s="864"/>
      <c r="S50" s="864"/>
      <c r="T50" s="864"/>
      <c r="U50" s="864"/>
      <c r="V50" s="864"/>
      <c r="W50" s="864"/>
      <c r="X50" s="864"/>
      <c r="Y50" s="864"/>
      <c r="Z50" s="864"/>
      <c r="AA50" s="866"/>
      <c r="AB50" s="866"/>
      <c r="AC50" s="866"/>
      <c r="AD50" s="826"/>
      <c r="AE50" s="432" t="str">
        <f>IF(LEN(VLOOKUP(AA44,suvaha!$D$8:$H$158,3,FALSE))&lt;11,"",LEFT(RIGHT(VLOOKUP(AA44,suvaha!$D$8:$H$158,3,FALSE),11),1))</f>
        <v/>
      </c>
      <c r="AF50" s="255" t="s">
        <v>965</v>
      </c>
      <c r="AG50" s="432" t="str">
        <f>IF(LEN(VLOOKUP(AA44,suvaha!$D$8:$H$158,3,FALSE))&lt;10,"",LEFT(RIGHT(VLOOKUP(AA44,suvaha!$D$8:$H$158,3,FALSE),10),1))</f>
        <v/>
      </c>
      <c r="AH50" s="434" t="s">
        <v>965</v>
      </c>
      <c r="AI50" s="432" t="str">
        <f>IF(LEN(VLOOKUP(AA44,suvaha!$D$8:$H$158,3,FALSE))&lt;9,"",LEFT(RIGHT(VLOOKUP(AA44,suvaha!$D$8:$H$158,3,FALSE),9),1))</f>
        <v/>
      </c>
      <c r="AJ50" s="255" t="s">
        <v>965</v>
      </c>
      <c r="AK50" s="432" t="str">
        <f>IF(LEN(VLOOKUP(AA44,suvaha!$D$8:$H$158,3,FALSE))&lt;8,"",LEFT(RIGHT(VLOOKUP(AA44,suvaha!$D$8:$H$158,3,FALSE),8),1))</f>
        <v/>
      </c>
      <c r="AL50" s="434" t="s">
        <v>965</v>
      </c>
      <c r="AM50" s="432" t="str">
        <f>IF(LEN(VLOOKUP(AA44,suvaha!$D$8:$H$158,3,FALSE))&lt;7,"",LEFT(RIGHT(VLOOKUP(AA44,suvaha!$D$8:$H$158,3,FALSE),7),1))</f>
        <v/>
      </c>
      <c r="AN50" s="818"/>
      <c r="AO50" s="432" t="str">
        <f>IF(LEN(VLOOKUP(AA44,suvaha!$D$8:$H$158,3,FALSE))&lt;6,"",LEFT(RIGHT(VLOOKUP(AA44,suvaha!$D$8:$H$158,3,FALSE),6),1))</f>
        <v/>
      </c>
      <c r="AP50" s="434" t="s">
        <v>965</v>
      </c>
      <c r="AQ50" s="432" t="str">
        <f>IF(LEN(VLOOKUP(AA44,suvaha!$D$8:$H$158,3,FALSE))&lt;5,"",LEFT(RIGHT(VLOOKUP(AA44,suvaha!$D$8:$H$158,3,FALSE),5),1))</f>
        <v/>
      </c>
      <c r="AR50" s="434" t="s">
        <v>965</v>
      </c>
      <c r="AS50" s="432" t="str">
        <f>IF(LEN(VLOOKUP(AA44,suvaha!$D$8:$H$158,3,FALSE))&lt;4,"",LEFT(RIGHT(VLOOKUP(AA44,suvaha!$D$8:$H$158,3,FALSE),4),1))</f>
        <v/>
      </c>
      <c r="AT50" s="818"/>
      <c r="AU50" s="432" t="str">
        <f>IF(LEN(VLOOKUP(AA44,suvaha!$D$8:$H$158,3,FALSE))&lt;3,"",LEFT(RIGHT(VLOOKUP(AA44,suvaha!$D$8:$H$158,3,FALSE),3),1))</f>
        <v/>
      </c>
      <c r="AV50" s="434" t="s">
        <v>965</v>
      </c>
      <c r="AW50" s="432" t="str">
        <f>IF(LEN(VLOOKUP(AA44,suvaha!$D$8:$H$158,3,FALSE))&lt;2,"",LEFT(RIGHT(VLOOKUP(AA44,suvaha!$D$8:$H$158,3,FALSE),2),1))</f>
        <v/>
      </c>
      <c r="AX50" s="434" t="s">
        <v>965</v>
      </c>
      <c r="AY50" s="432" t="str">
        <f>IF(VLOOKUP(AA44,suvaha!$D$8:$H$85,3,FALSE)=0,"",IF(LEN(VLOOKUP(AA44,suvaha!$D$8:$H$158,3,FALSE))&lt;1,"",LEFT(RIGHT(VLOOKUP(AA44,suvaha!$D$8:$H$158,3,FALSE),1),1)))</f>
        <v/>
      </c>
      <c r="AZ50" s="827"/>
      <c r="BA50" s="875"/>
      <c r="BB50" s="875"/>
      <c r="BC50" s="875"/>
      <c r="BD50" s="875"/>
      <c r="BE50" s="875"/>
      <c r="BF50" s="875"/>
      <c r="BG50" s="875"/>
      <c r="BH50" s="875"/>
      <c r="BI50" s="875"/>
      <c r="BJ50" s="875"/>
      <c r="BK50" s="442"/>
      <c r="BL50" s="442"/>
      <c r="BM50" s="432" t="str">
        <f>IF(LEN(VLOOKUP(AA44,suvaha!$D$8:$H$158,5,FALSE))&lt;11,"",LEFT(RIGHT(VLOOKUP(AA44,suvaha!$D$8:$H$158,5,FALSE),11),1))</f>
        <v/>
      </c>
      <c r="BN50" s="255" t="s">
        <v>965</v>
      </c>
      <c r="BO50" s="432" t="str">
        <f>IF(LEN(VLOOKUP(AA44,suvaha!$D$8:$H$158,5,FALSE))&lt;10,"",LEFT(RIGHT(VLOOKUP(AA44,suvaha!$D$8:$H$158,5,FALSE),10),1))</f>
        <v/>
      </c>
      <c r="BP50" s="442" t="s">
        <v>965</v>
      </c>
      <c r="BQ50" s="432" t="str">
        <f>IF(LEN(VLOOKUP(AA44,suvaha!$D$8:$H$158,5,FALSE))&lt;9,"",LEFT(RIGHT(VLOOKUP(AA44,suvaha!$D$8:$H$158,5,FALSE),9),1))</f>
        <v/>
      </c>
      <c r="BR50" s="434" t="s">
        <v>965</v>
      </c>
      <c r="BS50" s="432" t="str">
        <f>IF(LEN(VLOOKUP(AA44,suvaha!$D$8:$H$158,5,FALSE))&lt;8,"",LEFT(RIGHT(VLOOKUP(AA44,suvaha!$D$8:$H$158,5,FALSE),8),1))</f>
        <v/>
      </c>
      <c r="BT50" s="434" t="s">
        <v>965</v>
      </c>
      <c r="BU50" s="432" t="str">
        <f>IF(LEN(VLOOKUP(AA44,suvaha!$D$8:$H$158,5,FALSE))&lt;7,"",LEFT(RIGHT(VLOOKUP(AA44,suvaha!$D$8:$H$158,5,FALSE),7),1))</f>
        <v/>
      </c>
      <c r="BV50" s="442" t="s">
        <v>965</v>
      </c>
      <c r="BW50" s="432" t="str">
        <f>IF(LEN(VLOOKUP(AA44,suvaha!$D$8:$H$158,5,FALSE))&lt;6,"",LEFT(RIGHT(VLOOKUP(AA44,suvaha!$D$8:$H$158,5,FALSE),6),1))</f>
        <v/>
      </c>
      <c r="BX50" s="434" t="s">
        <v>965</v>
      </c>
      <c r="BY50" s="432" t="str">
        <f>IF(LEN(VLOOKUP(AA44,suvaha!$D$8:$H$158,5,FALSE))&lt;5,"",LEFT(RIGHT(VLOOKUP(AA44,suvaha!$D$8:$H$158,5,FALSE),5),1))</f>
        <v/>
      </c>
      <c r="BZ50" s="434" t="s">
        <v>965</v>
      </c>
      <c r="CA50" s="432" t="str">
        <f>IF(LEN(VLOOKUP(AA44,suvaha!$D$8:$H$158,5,FALSE))&lt;4,"",LEFT(RIGHT(VLOOKUP(AA44,suvaha!$D$8:$H$158,5,FALSE),4),1))</f>
        <v/>
      </c>
      <c r="CB50" s="445" t="s">
        <v>965</v>
      </c>
      <c r="CC50" s="432" t="str">
        <f>IF(LEN(VLOOKUP(AA44,suvaha!$D$8:$H$158,5,FALSE))&lt;3,"",LEFT(RIGHT(VLOOKUP(AA44,suvaha!$D$8:$H$158,5,FALSE),3),1))</f>
        <v/>
      </c>
      <c r="CD50" s="434" t="s">
        <v>965</v>
      </c>
      <c r="CE50" s="432" t="str">
        <f>IF(LEN(VLOOKUP(AA44,suvaha!$D$8:$H$158,5,FALSE))&lt;2,"",LEFT(RIGHT(VLOOKUP(AA44,suvaha!$D$8:$H$158,5,FALSE),2),1))</f>
        <v/>
      </c>
      <c r="CF50" s="434" t="s">
        <v>1540</v>
      </c>
      <c r="CG50" s="432" t="str">
        <f>IF(VLOOKUP(AA44,suvaha!$D$8:$H$85,5,FALSE)=0,"",IF(LEN(VLOOKUP(AA44,suvaha!$D$8:$H$158,5,FALSE))&lt;1,"",LEFT(RIGHT(VLOOKUP(AA44,suvaha!$D$8:$H$158,5,FALSE),1),1)))</f>
        <v/>
      </c>
      <c r="CH50" s="287"/>
      <c r="CI50" s="220"/>
      <c r="CJ50" s="220"/>
    </row>
    <row r="51" spans="1:88" ht="3" customHeight="1">
      <c r="B51" s="879"/>
      <c r="C51" s="879"/>
      <c r="D51" s="879"/>
      <c r="E51" s="877"/>
      <c r="F51" s="877"/>
      <c r="G51" s="862"/>
      <c r="H51" s="864"/>
      <c r="I51" s="864"/>
      <c r="J51" s="864"/>
      <c r="K51" s="864"/>
      <c r="L51" s="864"/>
      <c r="M51" s="864"/>
      <c r="N51" s="864"/>
      <c r="O51" s="864"/>
      <c r="P51" s="864"/>
      <c r="Q51" s="864"/>
      <c r="R51" s="864"/>
      <c r="S51" s="864"/>
      <c r="T51" s="864"/>
      <c r="U51" s="864"/>
      <c r="V51" s="864"/>
      <c r="W51" s="864"/>
      <c r="X51" s="864"/>
      <c r="Y51" s="864"/>
      <c r="Z51" s="864"/>
      <c r="AA51" s="866"/>
      <c r="AB51" s="866"/>
      <c r="AC51" s="866"/>
      <c r="AD51" s="845"/>
      <c r="AE51" s="845"/>
      <c r="AF51" s="845"/>
      <c r="AG51" s="845"/>
      <c r="AH51" s="845"/>
      <c r="AI51" s="845"/>
      <c r="AJ51" s="845"/>
      <c r="AK51" s="845"/>
      <c r="AL51" s="845"/>
      <c r="AM51" s="845"/>
      <c r="AN51" s="845"/>
      <c r="AO51" s="845"/>
      <c r="AP51" s="845"/>
      <c r="AQ51" s="845"/>
      <c r="AR51" s="845"/>
      <c r="AS51" s="845"/>
      <c r="AT51" s="845"/>
      <c r="AU51" s="845"/>
      <c r="AV51" s="845"/>
      <c r="AW51" s="845"/>
      <c r="AX51" s="845"/>
      <c r="AY51" s="845"/>
      <c r="AZ51" s="845"/>
      <c r="BA51" s="875"/>
      <c r="BB51" s="875"/>
      <c r="BC51" s="875"/>
      <c r="BD51" s="875"/>
      <c r="BE51" s="875"/>
      <c r="BF51" s="875"/>
      <c r="BG51" s="875"/>
      <c r="BH51" s="875"/>
      <c r="BI51" s="875"/>
      <c r="BJ51" s="875"/>
      <c r="BK51" s="310"/>
      <c r="BL51" s="310"/>
      <c r="BM51" s="310"/>
      <c r="BN51" s="310"/>
      <c r="BO51" s="310"/>
      <c r="BP51" s="310"/>
      <c r="BQ51" s="310"/>
      <c r="BR51" s="310"/>
      <c r="BS51" s="310"/>
      <c r="BT51" s="310"/>
      <c r="BU51" s="310"/>
      <c r="BV51" s="310"/>
      <c r="BW51" s="310"/>
      <c r="BX51" s="310"/>
      <c r="BY51" s="310"/>
      <c r="BZ51" s="310"/>
      <c r="CA51" s="310"/>
      <c r="CB51" s="310"/>
      <c r="CC51" s="310"/>
      <c r="CD51" s="310"/>
      <c r="CE51" s="310"/>
      <c r="CF51" s="310"/>
      <c r="CG51" s="310"/>
      <c r="CH51" s="286"/>
      <c r="CI51" s="220"/>
      <c r="CJ51" s="220"/>
    </row>
    <row r="52" spans="1:88" s="250" customFormat="1" ht="3" customHeight="1">
      <c r="A52" s="220"/>
      <c r="B52" s="879"/>
      <c r="C52" s="879"/>
      <c r="D52" s="879"/>
      <c r="E52" s="877" t="s">
        <v>1542</v>
      </c>
      <c r="F52" s="877"/>
      <c r="G52" s="862"/>
      <c r="H52" s="864" t="str">
        <f>Index!C127</f>
        <v>Náklady budúcich období krátkodobé (381A, 382A)</v>
      </c>
      <c r="I52" s="864"/>
      <c r="J52" s="864"/>
      <c r="K52" s="864"/>
      <c r="L52" s="864"/>
      <c r="M52" s="864"/>
      <c r="N52" s="864"/>
      <c r="O52" s="864"/>
      <c r="P52" s="864"/>
      <c r="Q52" s="864"/>
      <c r="R52" s="864"/>
      <c r="S52" s="864"/>
      <c r="T52" s="864"/>
      <c r="U52" s="864"/>
      <c r="V52" s="864"/>
      <c r="W52" s="864"/>
      <c r="X52" s="864"/>
      <c r="Y52" s="864"/>
      <c r="Z52" s="864"/>
      <c r="AA52" s="866" t="s">
        <v>1641</v>
      </c>
      <c r="AB52" s="866"/>
      <c r="AC52" s="866"/>
      <c r="AD52" s="825"/>
      <c r="AE52" s="825"/>
      <c r="AF52" s="825"/>
      <c r="AG52" s="825"/>
      <c r="AH52" s="825"/>
      <c r="AI52" s="825"/>
      <c r="AJ52" s="825"/>
      <c r="AK52" s="825"/>
      <c r="AL52" s="825"/>
      <c r="AM52" s="825"/>
      <c r="AN52" s="825"/>
      <c r="AO52" s="825"/>
      <c r="AP52" s="825"/>
      <c r="AQ52" s="825"/>
      <c r="AR52" s="825"/>
      <c r="AS52" s="825"/>
      <c r="AT52" s="825"/>
      <c r="AU52" s="825"/>
      <c r="AV52" s="825"/>
      <c r="AW52" s="825"/>
      <c r="AX52" s="825"/>
      <c r="AY52" s="825"/>
      <c r="AZ52" s="825"/>
      <c r="BA52" s="867"/>
      <c r="BB52" s="867"/>
      <c r="BC52" s="867"/>
      <c r="BD52" s="867"/>
      <c r="BE52" s="867"/>
      <c r="BF52" s="867"/>
      <c r="BG52" s="867"/>
      <c r="BH52" s="867"/>
      <c r="BI52" s="867"/>
      <c r="BJ52" s="867"/>
      <c r="BK52" s="867"/>
      <c r="BL52" s="867"/>
      <c r="BM52" s="867"/>
      <c r="BN52" s="867"/>
      <c r="BO52" s="867"/>
      <c r="BP52" s="867"/>
      <c r="BQ52" s="867"/>
      <c r="BR52" s="867"/>
      <c r="BS52" s="304"/>
      <c r="BT52" s="304"/>
      <c r="BU52" s="304"/>
      <c r="BV52" s="304"/>
      <c r="BW52" s="304"/>
      <c r="BX52" s="446"/>
      <c r="BY52" s="304"/>
      <c r="BZ52" s="304"/>
      <c r="CA52" s="304"/>
      <c r="CB52" s="304"/>
      <c r="CC52" s="304"/>
      <c r="CD52" s="304"/>
      <c r="CE52" s="304"/>
      <c r="CF52" s="304"/>
      <c r="CG52" s="304"/>
      <c r="CH52" s="284"/>
      <c r="CI52" s="288"/>
      <c r="CJ52" s="288"/>
    </row>
    <row r="53" spans="1:88" s="250" customFormat="1" ht="3" customHeight="1">
      <c r="A53" s="220"/>
      <c r="B53" s="879"/>
      <c r="C53" s="879"/>
      <c r="D53" s="879"/>
      <c r="E53" s="877"/>
      <c r="F53" s="877"/>
      <c r="G53" s="862"/>
      <c r="H53" s="864"/>
      <c r="I53" s="864"/>
      <c r="J53" s="864"/>
      <c r="K53" s="864"/>
      <c r="L53" s="864"/>
      <c r="M53" s="864"/>
      <c r="N53" s="864"/>
      <c r="O53" s="864"/>
      <c r="P53" s="864"/>
      <c r="Q53" s="864"/>
      <c r="R53" s="864"/>
      <c r="S53" s="864"/>
      <c r="T53" s="864"/>
      <c r="U53" s="864"/>
      <c r="V53" s="864"/>
      <c r="W53" s="864"/>
      <c r="X53" s="864"/>
      <c r="Y53" s="864"/>
      <c r="Z53" s="864"/>
      <c r="AA53" s="866"/>
      <c r="AB53" s="866"/>
      <c r="AC53" s="866"/>
      <c r="AD53" s="826"/>
      <c r="AE53" s="820"/>
      <c r="AF53" s="820"/>
      <c r="AG53" s="820"/>
      <c r="AH53" s="435"/>
      <c r="AI53" s="821"/>
      <c r="AJ53" s="821"/>
      <c r="AK53" s="821"/>
      <c r="AL53" s="821"/>
      <c r="AM53" s="821"/>
      <c r="AN53" s="818"/>
      <c r="AO53" s="822"/>
      <c r="AP53" s="822"/>
      <c r="AQ53" s="822"/>
      <c r="AR53" s="822"/>
      <c r="AS53" s="822"/>
      <c r="AT53" s="818"/>
      <c r="AU53" s="822"/>
      <c r="AV53" s="822"/>
      <c r="AW53" s="822"/>
      <c r="AX53" s="822"/>
      <c r="AY53" s="822"/>
      <c r="AZ53" s="827"/>
      <c r="BA53" s="826"/>
      <c r="BB53" s="820"/>
      <c r="BC53" s="820"/>
      <c r="BD53" s="820"/>
      <c r="BE53" s="435"/>
      <c r="BF53" s="821"/>
      <c r="BG53" s="821"/>
      <c r="BH53" s="821"/>
      <c r="BI53" s="821"/>
      <c r="BJ53" s="821"/>
      <c r="BK53" s="818"/>
      <c r="BL53" s="818"/>
      <c r="BM53" s="822"/>
      <c r="BN53" s="822"/>
      <c r="BO53" s="822"/>
      <c r="BP53" s="822"/>
      <c r="BQ53" s="822"/>
      <c r="BR53" s="819"/>
      <c r="BS53" s="822"/>
      <c r="BT53" s="822"/>
      <c r="BU53" s="822"/>
      <c r="BV53" s="822"/>
      <c r="BW53" s="822"/>
      <c r="BX53" s="441"/>
      <c r="BY53" s="442"/>
      <c r="BZ53" s="442"/>
      <c r="CA53" s="442"/>
      <c r="CB53" s="442"/>
      <c r="CC53" s="442"/>
      <c r="CD53" s="442"/>
      <c r="CE53" s="442"/>
      <c r="CF53" s="442"/>
      <c r="CG53" s="442"/>
      <c r="CH53" s="285"/>
      <c r="CI53" s="288"/>
      <c r="CJ53" s="288"/>
    </row>
    <row r="54" spans="1:88" ht="15" customHeight="1">
      <c r="B54" s="879"/>
      <c r="C54" s="879"/>
      <c r="D54" s="879"/>
      <c r="E54" s="877"/>
      <c r="F54" s="877"/>
      <c r="G54" s="862"/>
      <c r="H54" s="864"/>
      <c r="I54" s="864"/>
      <c r="J54" s="864"/>
      <c r="K54" s="864"/>
      <c r="L54" s="864"/>
      <c r="M54" s="864"/>
      <c r="N54" s="864"/>
      <c r="O54" s="864"/>
      <c r="P54" s="864"/>
      <c r="Q54" s="864"/>
      <c r="R54" s="864"/>
      <c r="S54" s="864"/>
      <c r="T54" s="864"/>
      <c r="U54" s="864"/>
      <c r="V54" s="864"/>
      <c r="W54" s="864"/>
      <c r="X54" s="864"/>
      <c r="Y54" s="864"/>
      <c r="Z54" s="864"/>
      <c r="AA54" s="866"/>
      <c r="AB54" s="866"/>
      <c r="AC54" s="866"/>
      <c r="AD54" s="826"/>
      <c r="AE54" s="432" t="str">
        <f>IF(LEN(VLOOKUP(AA52,suvaha!$D$8:$H$158,2,FALSE))&lt;11,"",LEFT(RIGHT(VLOOKUP(AA52,suvaha!$D$8:$H$158,2,FALSE),11),1))</f>
        <v/>
      </c>
      <c r="AF54" s="255"/>
      <c r="AG54" s="432" t="str">
        <f>IF(LEN(VLOOKUP(AA52,suvaha!$D$8:$H$158,2,FALSE))&lt;10,"",LEFT(RIGHT(VLOOKUP(AA52,suvaha!$D$8:$H$158,2,FALSE),10),1))</f>
        <v/>
      </c>
      <c r="AH54" s="434"/>
      <c r="AI54" s="432" t="str">
        <f>IF(LEN(VLOOKUP(AA52,suvaha!$D$8:$H$158,2,FALSE))&lt;9,"",LEFT(RIGHT(VLOOKUP(AA52,suvaha!$D$8:$H$158,2,FALSE),9),1))</f>
        <v/>
      </c>
      <c r="AJ54" s="255"/>
      <c r="AK54" s="432" t="str">
        <f>IF(LEN(VLOOKUP(AA52,suvaha!$D$8:$H$158,2,FALSE))&lt;8,"",LEFT(RIGHT(VLOOKUP(AA52,suvaha!$D$8:$H$158,2,FALSE),8),1))</f>
        <v/>
      </c>
      <c r="AL54" s="434"/>
      <c r="AM54" s="432" t="str">
        <f>IF(LEN(VLOOKUP(AA52,suvaha!$D$8:$H$158,2,FALSE))&lt;7,"",LEFT(RIGHT(VLOOKUP(AA52,suvaha!$D$8:$H$158,2,FALSE),7),1))</f>
        <v/>
      </c>
      <c r="AN54" s="818"/>
      <c r="AO54" s="432" t="str">
        <f>IF(LEN(VLOOKUP(AA52,suvaha!$D$8:$H$158,2,FALSE))&lt;6,"",LEFT(RIGHT(VLOOKUP(AA52,suvaha!$D$8:$H$158,2,FALSE),6),1))</f>
        <v/>
      </c>
      <c r="AP54" s="434"/>
      <c r="AQ54" s="432" t="str">
        <f>IF(LEN(VLOOKUP(AA52,suvaha!$D$8:$H$158,2,FALSE))&lt;5,"",LEFT(RIGHT(VLOOKUP(AA52,suvaha!$D$8:$H$158,2,FALSE),5),1))</f>
        <v/>
      </c>
      <c r="AR54" s="434"/>
      <c r="AS54" s="432" t="str">
        <f>IF(LEN(VLOOKUP(AA52,suvaha!$D$8:$H$158,2,FALSE))&lt;4,"",LEFT(RIGHT(VLOOKUP(AA52,suvaha!$D$8:$H$158,2,FALSE),4),1))</f>
        <v>2</v>
      </c>
      <c r="AT54" s="818"/>
      <c r="AU54" s="432" t="str">
        <f>IF(LEN(VLOOKUP(AA52,suvaha!$D$8:$H$158,2,FALSE))&lt;3,"",LEFT(RIGHT(VLOOKUP(AA52,suvaha!$D$8:$H$158,2,FALSE),3),1))</f>
        <v>1</v>
      </c>
      <c r="AV54" s="434"/>
      <c r="AW54" s="432" t="str">
        <f>IF(LEN(VLOOKUP(AA52,suvaha!$D$8:$H$158,2,FALSE))&lt;2,"",LEFT(RIGHT(VLOOKUP(AA52,suvaha!$D$8:$H$158,2,FALSE),2),1))</f>
        <v>8</v>
      </c>
      <c r="AX54" s="434"/>
      <c r="AY54" s="432" t="str">
        <f>IF(VLOOKUP(AA52,suvaha!$D$8:$H$85,2,FALSE)=0,"",IF(LEN(VLOOKUP(AA52,suvaha!$D$8:$H$158,2,FALSE))&lt;1,"",LEFT(RIGHT(VLOOKUP(AA52,suvaha!$D$8:$H$158,2,FALSE),1),1)))</f>
        <v>2</v>
      </c>
      <c r="AZ54" s="827"/>
      <c r="BA54" s="826"/>
      <c r="BB54" s="432" t="str">
        <f>IF(LEN(VLOOKUP(AA52,suvaha!$D$8:$H$158,4,FALSE))&lt;11,"",LEFT(RIGHT(VLOOKUP(AA52,suvaha!$D$8:$H$158,4,FALSE),11),1))</f>
        <v/>
      </c>
      <c r="BC54" s="255"/>
      <c r="BD54" s="432" t="str">
        <f>IF(LEN(VLOOKUP(AA52,suvaha!$D$8:$H$158,4,FALSE))&lt;10,"",LEFT(RIGHT(VLOOKUP(AA52,suvaha!$D$8:$H$158,4,FALSE),10),1))</f>
        <v/>
      </c>
      <c r="BE54" s="434"/>
      <c r="BF54" s="432" t="str">
        <f>IF(LEN(VLOOKUP(AA52,suvaha!$D$8:$H$158,4,FALSE))&lt;9,"",LEFT(RIGHT(VLOOKUP(AA52,suvaha!$D$8:$H$158,4,FALSE),9),1))</f>
        <v/>
      </c>
      <c r="BG54" s="255"/>
      <c r="BH54" s="432" t="str">
        <f>IF(LEN(VLOOKUP(AA52,suvaha!$D$8:$H$158,4,FALSE))&lt;8,"",LEFT(RIGHT(VLOOKUP(AA52,suvaha!$D$8:$H$158,4,FALSE),8),1))</f>
        <v/>
      </c>
      <c r="BI54" s="434"/>
      <c r="BJ54" s="432" t="str">
        <f>IF(LEN(VLOOKUP(AA52,suvaha!$D$8:$H$158,4,FALSE))&lt;7,"",LEFT(RIGHT(VLOOKUP(AA52,suvaha!$D$8:$H$158,4,FALSE),7),1))</f>
        <v/>
      </c>
      <c r="BK54" s="818"/>
      <c r="BL54" s="818"/>
      <c r="BM54" s="432" t="str">
        <f>IF(LEN(VLOOKUP(AA52,suvaha!$D$8:$H$158,4,FALSE))&lt;6,"",LEFT(RIGHT(VLOOKUP(AA52,suvaha!$D$8:$H$158,4,FALSE),6),1))</f>
        <v/>
      </c>
      <c r="BN54" s="434"/>
      <c r="BO54" s="432" t="str">
        <f>IF(LEN(VLOOKUP(AA52,suvaha!$D$8:$H$158,4,FALSE))&lt;5,"",LEFT(RIGHT(VLOOKUP(AA52,suvaha!$D$8:$H$158,4,FALSE),5),1))</f>
        <v/>
      </c>
      <c r="BP54" s="434"/>
      <c r="BQ54" s="432" t="str">
        <f>IF(LEN(VLOOKUP(AA52,suvaha!$D$8:$H$158,4,FALSE))&lt;4,"",LEFT(RIGHT(VLOOKUP(AA52,suvaha!$D$8:$H$158,4,FALSE),4),1))</f>
        <v>2</v>
      </c>
      <c r="BR54" s="819"/>
      <c r="BS54" s="432" t="str">
        <f>IF(LEN(VLOOKUP(AA52,suvaha!$D$8:$H$158,4,FALSE))&lt;3,"",LEFT(RIGHT(VLOOKUP(AA52,suvaha!$D$8:$H$158,4,FALSE),3),1))</f>
        <v>1</v>
      </c>
      <c r="BT54" s="434"/>
      <c r="BU54" s="432" t="str">
        <f>IF(LEN(VLOOKUP(AA52,suvaha!$D$8:$H$158,4,FALSE))&lt;2,"",LEFT(RIGHT(VLOOKUP(AA52,suvaha!$D$8:$H$158,4,FALSE),2),1))</f>
        <v>8</v>
      </c>
      <c r="BV54" s="434"/>
      <c r="BW54" s="432" t="str">
        <f>IF(VLOOKUP(AA52,suvaha!$D$8:$H$85,4,FALSE)=0,"",IF(LEN(VLOOKUP(AA52,suvaha!$D$8:$H$158,4,FALSE))&lt;1,"",LEFT(RIGHT(VLOOKUP(AA52,suvaha!$D$8:$H$158,4,FALSE),1),1)))</f>
        <v>2</v>
      </c>
      <c r="BX54" s="441"/>
      <c r="BY54" s="442"/>
      <c r="BZ54" s="442"/>
      <c r="CA54" s="442"/>
      <c r="CB54" s="442"/>
      <c r="CC54" s="442"/>
      <c r="CD54" s="442"/>
      <c r="CE54" s="442"/>
      <c r="CF54" s="442"/>
      <c r="CG54" s="442"/>
      <c r="CH54" s="285"/>
      <c r="CI54" s="220"/>
      <c r="CJ54" s="220"/>
    </row>
    <row r="55" spans="1:88" ht="3" customHeight="1">
      <c r="B55" s="879"/>
      <c r="C55" s="879"/>
      <c r="D55" s="879"/>
      <c r="E55" s="877"/>
      <c r="F55" s="877"/>
      <c r="G55" s="862"/>
      <c r="H55" s="864"/>
      <c r="I55" s="864"/>
      <c r="J55" s="864"/>
      <c r="K55" s="864"/>
      <c r="L55" s="864"/>
      <c r="M55" s="864"/>
      <c r="N55" s="864"/>
      <c r="O55" s="864"/>
      <c r="P55" s="864"/>
      <c r="Q55" s="864"/>
      <c r="R55" s="864"/>
      <c r="S55" s="864"/>
      <c r="T55" s="864"/>
      <c r="U55" s="864"/>
      <c r="V55" s="864"/>
      <c r="W55" s="864"/>
      <c r="X55" s="864"/>
      <c r="Y55" s="864"/>
      <c r="Z55" s="864"/>
      <c r="AA55" s="866"/>
      <c r="AB55" s="866"/>
      <c r="AC55" s="866"/>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6"/>
      <c r="BB55" s="846"/>
      <c r="BC55" s="846"/>
      <c r="BD55" s="846"/>
      <c r="BE55" s="846"/>
      <c r="BF55" s="846"/>
      <c r="BG55" s="846"/>
      <c r="BH55" s="846"/>
      <c r="BI55" s="846"/>
      <c r="BJ55" s="846"/>
      <c r="BK55" s="846"/>
      <c r="BL55" s="846"/>
      <c r="BM55" s="846"/>
      <c r="BN55" s="846"/>
      <c r="BO55" s="846"/>
      <c r="BP55" s="846"/>
      <c r="BQ55" s="846"/>
      <c r="BR55" s="846"/>
      <c r="BS55" s="310"/>
      <c r="BT55" s="310"/>
      <c r="BU55" s="310"/>
      <c r="BV55" s="310"/>
      <c r="BW55" s="310"/>
      <c r="BX55" s="443"/>
      <c r="BY55" s="310"/>
      <c r="BZ55" s="310"/>
      <c r="CA55" s="310"/>
      <c r="CB55" s="310"/>
      <c r="CC55" s="310"/>
      <c r="CD55" s="310"/>
      <c r="CE55" s="310"/>
      <c r="CF55" s="310"/>
      <c r="CG55" s="310"/>
      <c r="CH55" s="286"/>
      <c r="CI55" s="220"/>
      <c r="CJ55" s="220"/>
    </row>
    <row r="56" spans="1:88" ht="3" customHeight="1">
      <c r="B56" s="879"/>
      <c r="C56" s="879"/>
      <c r="D56" s="879"/>
      <c r="E56" s="877"/>
      <c r="F56" s="877"/>
      <c r="G56" s="862"/>
      <c r="H56" s="864"/>
      <c r="I56" s="864"/>
      <c r="J56" s="864"/>
      <c r="K56" s="864"/>
      <c r="L56" s="864"/>
      <c r="M56" s="864"/>
      <c r="N56" s="864"/>
      <c r="O56" s="864"/>
      <c r="P56" s="864"/>
      <c r="Q56" s="864"/>
      <c r="R56" s="864"/>
      <c r="S56" s="864"/>
      <c r="T56" s="864"/>
      <c r="U56" s="864"/>
      <c r="V56" s="864"/>
      <c r="W56" s="864"/>
      <c r="X56" s="864"/>
      <c r="Y56" s="864"/>
      <c r="Z56" s="864"/>
      <c r="AA56" s="866"/>
      <c r="AB56" s="866"/>
      <c r="AC56" s="866"/>
      <c r="AD56" s="825"/>
      <c r="AE56" s="825"/>
      <c r="AF56" s="825"/>
      <c r="AG56" s="825"/>
      <c r="AH56" s="825"/>
      <c r="AI56" s="825"/>
      <c r="AJ56" s="825"/>
      <c r="AK56" s="825"/>
      <c r="AL56" s="825"/>
      <c r="AM56" s="825"/>
      <c r="AN56" s="825"/>
      <c r="AO56" s="825"/>
      <c r="AP56" s="825"/>
      <c r="AQ56" s="825"/>
      <c r="AR56" s="825"/>
      <c r="AS56" s="825"/>
      <c r="AT56" s="825"/>
      <c r="AU56" s="825"/>
      <c r="AV56" s="825"/>
      <c r="AW56" s="825"/>
      <c r="AX56" s="825"/>
      <c r="AY56" s="825"/>
      <c r="AZ56" s="825"/>
      <c r="BA56" s="875"/>
      <c r="BB56" s="875"/>
      <c r="BC56" s="875"/>
      <c r="BD56" s="875"/>
      <c r="BE56" s="875"/>
      <c r="BF56" s="875"/>
      <c r="BG56" s="875"/>
      <c r="BH56" s="875"/>
      <c r="BI56" s="875"/>
      <c r="BJ56" s="875"/>
      <c r="BK56" s="304"/>
      <c r="BL56" s="304"/>
      <c r="BM56" s="304"/>
      <c r="BN56" s="304"/>
      <c r="BO56" s="304"/>
      <c r="BP56" s="304"/>
      <c r="BQ56" s="304"/>
      <c r="BR56" s="304"/>
      <c r="BS56" s="304"/>
      <c r="BT56" s="304"/>
      <c r="BU56" s="304"/>
      <c r="BV56" s="304"/>
      <c r="BW56" s="304"/>
      <c r="BX56" s="304"/>
      <c r="BY56" s="304"/>
      <c r="BZ56" s="304"/>
      <c r="CA56" s="304"/>
      <c r="CB56" s="304"/>
      <c r="CC56" s="304"/>
      <c r="CD56" s="304"/>
      <c r="CE56" s="304"/>
      <c r="CF56" s="304"/>
      <c r="CG56" s="304"/>
      <c r="CH56" s="284"/>
      <c r="CI56" s="220"/>
      <c r="CJ56" s="220"/>
    </row>
    <row r="57" spans="1:88" ht="3" customHeight="1">
      <c r="B57" s="879"/>
      <c r="C57" s="879"/>
      <c r="D57" s="879"/>
      <c r="E57" s="877"/>
      <c r="F57" s="877"/>
      <c r="G57" s="862"/>
      <c r="H57" s="864"/>
      <c r="I57" s="864"/>
      <c r="J57" s="864"/>
      <c r="K57" s="864"/>
      <c r="L57" s="864"/>
      <c r="M57" s="864"/>
      <c r="N57" s="864"/>
      <c r="O57" s="864"/>
      <c r="P57" s="864"/>
      <c r="Q57" s="864"/>
      <c r="R57" s="864"/>
      <c r="S57" s="864"/>
      <c r="T57" s="864"/>
      <c r="U57" s="864"/>
      <c r="V57" s="864"/>
      <c r="W57" s="864"/>
      <c r="X57" s="864"/>
      <c r="Y57" s="864"/>
      <c r="Z57" s="864"/>
      <c r="AA57" s="866"/>
      <c r="AB57" s="866"/>
      <c r="AC57" s="866"/>
      <c r="AD57" s="826"/>
      <c r="AE57" s="820"/>
      <c r="AF57" s="820"/>
      <c r="AG57" s="820"/>
      <c r="AH57" s="435"/>
      <c r="AI57" s="821"/>
      <c r="AJ57" s="821"/>
      <c r="AK57" s="821"/>
      <c r="AL57" s="821"/>
      <c r="AM57" s="821"/>
      <c r="AN57" s="818" t="s">
        <v>965</v>
      </c>
      <c r="AO57" s="822"/>
      <c r="AP57" s="822"/>
      <c r="AQ57" s="822"/>
      <c r="AR57" s="822"/>
      <c r="AS57" s="822"/>
      <c r="AT57" s="818" t="s">
        <v>965</v>
      </c>
      <c r="AU57" s="822"/>
      <c r="AV57" s="822"/>
      <c r="AW57" s="822"/>
      <c r="AX57" s="822"/>
      <c r="AY57" s="822"/>
      <c r="AZ57" s="827"/>
      <c r="BA57" s="875"/>
      <c r="BB57" s="875"/>
      <c r="BC57" s="875"/>
      <c r="BD57" s="875"/>
      <c r="BE57" s="875"/>
      <c r="BF57" s="875"/>
      <c r="BG57" s="875"/>
      <c r="BH57" s="875"/>
      <c r="BI57" s="875"/>
      <c r="BJ57" s="875"/>
      <c r="BK57" s="442"/>
      <c r="BL57" s="442"/>
      <c r="BM57" s="820"/>
      <c r="BN57" s="820"/>
      <c r="BO57" s="820"/>
      <c r="BP57" s="442"/>
      <c r="BQ57" s="444"/>
      <c r="BR57" s="444"/>
      <c r="BS57" s="444"/>
      <c r="BT57" s="444"/>
      <c r="BU57" s="444"/>
      <c r="BV57" s="442"/>
      <c r="BW57" s="444"/>
      <c r="BX57" s="444"/>
      <c r="BY57" s="444"/>
      <c r="BZ57" s="444"/>
      <c r="CA57" s="444"/>
      <c r="CB57" s="445"/>
      <c r="CC57" s="444"/>
      <c r="CD57" s="444"/>
      <c r="CE57" s="444"/>
      <c r="CF57" s="444"/>
      <c r="CG57" s="444"/>
      <c r="CH57" s="287"/>
      <c r="CI57" s="220"/>
      <c r="CJ57" s="220"/>
    </row>
    <row r="58" spans="1:88" ht="15" customHeight="1">
      <c r="B58" s="879"/>
      <c r="C58" s="879"/>
      <c r="D58" s="879"/>
      <c r="E58" s="877"/>
      <c r="F58" s="877"/>
      <c r="G58" s="862"/>
      <c r="H58" s="864"/>
      <c r="I58" s="864"/>
      <c r="J58" s="864"/>
      <c r="K58" s="864"/>
      <c r="L58" s="864"/>
      <c r="M58" s="864"/>
      <c r="N58" s="864"/>
      <c r="O58" s="864"/>
      <c r="P58" s="864"/>
      <c r="Q58" s="864"/>
      <c r="R58" s="864"/>
      <c r="S58" s="864"/>
      <c r="T58" s="864"/>
      <c r="U58" s="864"/>
      <c r="V58" s="864"/>
      <c r="W58" s="864"/>
      <c r="X58" s="864"/>
      <c r="Y58" s="864"/>
      <c r="Z58" s="864"/>
      <c r="AA58" s="866"/>
      <c r="AB58" s="866"/>
      <c r="AC58" s="866"/>
      <c r="AD58" s="826"/>
      <c r="AE58" s="432" t="str">
        <f>IF(LEN(VLOOKUP(AA52,suvaha!$D$8:$H$158,3,FALSE))&lt;11,"",LEFT(RIGHT(VLOOKUP(AA52,suvaha!$D$8:$H$158,3,FALSE),11),1))</f>
        <v/>
      </c>
      <c r="AF58" s="255" t="s">
        <v>965</v>
      </c>
      <c r="AG58" s="432" t="str">
        <f>IF(LEN(VLOOKUP(AA52,suvaha!$D$8:$H$158,3,FALSE))&lt;10,"",LEFT(RIGHT(VLOOKUP(AA52,suvaha!$D$8:$H$158,3,FALSE),10),1))</f>
        <v/>
      </c>
      <c r="AH58" s="434" t="s">
        <v>965</v>
      </c>
      <c r="AI58" s="432" t="str">
        <f>IF(LEN(VLOOKUP(AA52,suvaha!$D$8:$H$158,3,FALSE))&lt;9,"",LEFT(RIGHT(VLOOKUP(AA52,suvaha!$D$8:$H$158,3,FALSE),9),1))</f>
        <v/>
      </c>
      <c r="AJ58" s="255" t="s">
        <v>965</v>
      </c>
      <c r="AK58" s="432" t="str">
        <f>IF(LEN(VLOOKUP(AA52,suvaha!$D$8:$H$158,3,FALSE))&lt;8,"",LEFT(RIGHT(VLOOKUP(AA52,suvaha!$D$8:$H$158,3,FALSE),8),1))</f>
        <v/>
      </c>
      <c r="AL58" s="434" t="s">
        <v>965</v>
      </c>
      <c r="AM58" s="432" t="str">
        <f>IF(LEN(VLOOKUP(AA52,suvaha!$D$8:$H$158,3,FALSE))&lt;7,"",LEFT(RIGHT(VLOOKUP(AA52,suvaha!$D$8:$H$158,3,FALSE),7),1))</f>
        <v/>
      </c>
      <c r="AN58" s="818"/>
      <c r="AO58" s="432" t="str">
        <f>IF(LEN(VLOOKUP(AA52,suvaha!$D$8:$H$158,3,FALSE))&lt;6,"",LEFT(RIGHT(VLOOKUP(AA52,suvaha!$D$8:$H$158,3,FALSE),6),1))</f>
        <v/>
      </c>
      <c r="AP58" s="434" t="s">
        <v>965</v>
      </c>
      <c r="AQ58" s="432" t="str">
        <f>IF(LEN(VLOOKUP(AA52,suvaha!$D$8:$H$158,3,FALSE))&lt;5,"",LEFT(RIGHT(VLOOKUP(AA52,suvaha!$D$8:$H$158,3,FALSE),5),1))</f>
        <v/>
      </c>
      <c r="AR58" s="434" t="s">
        <v>965</v>
      </c>
      <c r="AS58" s="432" t="str">
        <f>IF(LEN(VLOOKUP(AA52,suvaha!$D$8:$H$158,3,FALSE))&lt;4,"",LEFT(RIGHT(VLOOKUP(AA52,suvaha!$D$8:$H$158,3,FALSE),4),1))</f>
        <v/>
      </c>
      <c r="AT58" s="818"/>
      <c r="AU58" s="432" t="str">
        <f>IF(LEN(VLOOKUP(AA52,suvaha!$D$8:$H$158,3,FALSE))&lt;3,"",LEFT(RIGHT(VLOOKUP(AA52,suvaha!$D$8:$H$158,3,FALSE),3),1))</f>
        <v/>
      </c>
      <c r="AV58" s="434" t="s">
        <v>965</v>
      </c>
      <c r="AW58" s="432" t="str">
        <f>IF(LEN(VLOOKUP(AA52,suvaha!$D$8:$H$158,3,FALSE))&lt;2,"",LEFT(RIGHT(VLOOKUP(AA52,suvaha!$D$8:$H$158,3,FALSE),2),1))</f>
        <v/>
      </c>
      <c r="AX58" s="434" t="s">
        <v>965</v>
      </c>
      <c r="AY58" s="432" t="str">
        <f>IF(VLOOKUP(AA52,suvaha!$D$8:$H$85,3,FALSE)=0,"",IF(LEN(VLOOKUP(AA52,suvaha!$D$8:$H$158,3,FALSE))&lt;1,"",LEFT(RIGHT(VLOOKUP(AA52,suvaha!$D$8:$H$158,3,FALSE),1),1)))</f>
        <v/>
      </c>
      <c r="AZ58" s="827"/>
      <c r="BA58" s="875"/>
      <c r="BB58" s="875"/>
      <c r="BC58" s="875"/>
      <c r="BD58" s="875"/>
      <c r="BE58" s="875"/>
      <c r="BF58" s="875"/>
      <c r="BG58" s="875"/>
      <c r="BH58" s="875"/>
      <c r="BI58" s="875"/>
      <c r="BJ58" s="875"/>
      <c r="BK58" s="442"/>
      <c r="BL58" s="442"/>
      <c r="BM58" s="432" t="str">
        <f>IF(LEN(VLOOKUP(AA52,suvaha!$D$8:$H$158,5,FALSE))&lt;11,"",LEFT(RIGHT(VLOOKUP(AA52,suvaha!$D$8:$H$158,5,FALSE),11),1))</f>
        <v/>
      </c>
      <c r="BN58" s="255" t="s">
        <v>965</v>
      </c>
      <c r="BO58" s="432" t="str">
        <f>IF(LEN(VLOOKUP(AA52,suvaha!$D$8:$H$158,5,FALSE))&lt;10,"",LEFT(RIGHT(VLOOKUP(AA52,suvaha!$D$8:$H$158,5,FALSE),10),1))</f>
        <v/>
      </c>
      <c r="BP58" s="442" t="s">
        <v>965</v>
      </c>
      <c r="BQ58" s="432" t="str">
        <f>IF(LEN(VLOOKUP(AA52,suvaha!$D$8:$H$158,5,FALSE))&lt;9,"",LEFT(RIGHT(VLOOKUP(AA52,suvaha!$D$8:$H$158,5,FALSE),9),1))</f>
        <v/>
      </c>
      <c r="BR58" s="434" t="s">
        <v>965</v>
      </c>
      <c r="BS58" s="432" t="str">
        <f>IF(LEN(VLOOKUP(AA52,suvaha!$D$8:$H$158,5,FALSE))&lt;8,"",LEFT(RIGHT(VLOOKUP(AA52,suvaha!$D$8:$H$158,5,FALSE),8),1))</f>
        <v/>
      </c>
      <c r="BT58" s="434" t="s">
        <v>965</v>
      </c>
      <c r="BU58" s="432" t="str">
        <f>IF(LEN(VLOOKUP(AA52,suvaha!$D$8:$H$158,5,FALSE))&lt;7,"",LEFT(RIGHT(VLOOKUP(AA52,suvaha!$D$8:$H$158,5,FALSE),7),1))</f>
        <v/>
      </c>
      <c r="BV58" s="442" t="s">
        <v>965</v>
      </c>
      <c r="BW58" s="432" t="str">
        <f>IF(LEN(VLOOKUP(AA52,suvaha!$D$8:$H$158,5,FALSE))&lt;6,"",LEFT(RIGHT(VLOOKUP(AA52,suvaha!$D$8:$H$158,5,FALSE),6),1))</f>
        <v/>
      </c>
      <c r="BX58" s="434" t="s">
        <v>965</v>
      </c>
      <c r="BY58" s="432" t="str">
        <f>IF(LEN(VLOOKUP(AA52,suvaha!$D$8:$H$158,5,FALSE))&lt;5,"",LEFT(RIGHT(VLOOKUP(AA52,suvaha!$D$8:$H$158,5,FALSE),5),1))</f>
        <v/>
      </c>
      <c r="BZ58" s="434" t="s">
        <v>965</v>
      </c>
      <c r="CA58" s="432" t="str">
        <f>IF(LEN(VLOOKUP(AA52,suvaha!$D$8:$H$158,5,FALSE))&lt;4,"",LEFT(RIGHT(VLOOKUP(AA52,suvaha!$D$8:$H$158,5,FALSE),4),1))</f>
        <v/>
      </c>
      <c r="CB58" s="445" t="s">
        <v>965</v>
      </c>
      <c r="CC58" s="432" t="str">
        <f>IF(LEN(VLOOKUP(AA52,suvaha!$D$8:$H$158,5,FALSE))&lt;3,"",LEFT(RIGHT(VLOOKUP(AA52,suvaha!$D$8:$H$158,5,FALSE),3),1))</f>
        <v>3</v>
      </c>
      <c r="CD58" s="434" t="s">
        <v>965</v>
      </c>
      <c r="CE58" s="432" t="str">
        <f>IF(LEN(VLOOKUP(AA52,suvaha!$D$8:$H$158,5,FALSE))&lt;2,"",LEFT(RIGHT(VLOOKUP(AA52,suvaha!$D$8:$H$158,5,FALSE),2),1))</f>
        <v>0</v>
      </c>
      <c r="CF58" s="434" t="s">
        <v>1540</v>
      </c>
      <c r="CG58" s="432" t="str">
        <f>IF(VLOOKUP(AA52,suvaha!$D$8:$H$85,5,FALSE)=0,"",IF(LEN(VLOOKUP(AA52,suvaha!$D$8:$H$158,5,FALSE))&lt;1,"",LEFT(RIGHT(VLOOKUP(AA52,suvaha!$D$8:$H$158,5,FALSE),1),1)))</f>
        <v>2</v>
      </c>
      <c r="CH58" s="287"/>
      <c r="CI58" s="220"/>
      <c r="CJ58" s="220"/>
    </row>
    <row r="59" spans="1:88" ht="3" customHeight="1">
      <c r="B59" s="879"/>
      <c r="C59" s="879"/>
      <c r="D59" s="879"/>
      <c r="E59" s="877"/>
      <c r="F59" s="877"/>
      <c r="G59" s="862"/>
      <c r="H59" s="864"/>
      <c r="I59" s="864"/>
      <c r="J59" s="864"/>
      <c r="K59" s="864"/>
      <c r="L59" s="864"/>
      <c r="M59" s="864"/>
      <c r="N59" s="864"/>
      <c r="O59" s="864"/>
      <c r="P59" s="864"/>
      <c r="Q59" s="864"/>
      <c r="R59" s="864"/>
      <c r="S59" s="864"/>
      <c r="T59" s="864"/>
      <c r="U59" s="864"/>
      <c r="V59" s="864"/>
      <c r="W59" s="864"/>
      <c r="X59" s="864"/>
      <c r="Y59" s="864"/>
      <c r="Z59" s="864"/>
      <c r="AA59" s="866"/>
      <c r="AB59" s="866"/>
      <c r="AC59" s="866"/>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75"/>
      <c r="BB59" s="875"/>
      <c r="BC59" s="875"/>
      <c r="BD59" s="875"/>
      <c r="BE59" s="875"/>
      <c r="BF59" s="875"/>
      <c r="BG59" s="875"/>
      <c r="BH59" s="875"/>
      <c r="BI59" s="875"/>
      <c r="BJ59" s="875"/>
      <c r="BK59" s="310"/>
      <c r="BL59" s="310"/>
      <c r="BM59" s="310"/>
      <c r="BN59" s="310"/>
      <c r="BO59" s="310"/>
      <c r="BP59" s="310"/>
      <c r="BQ59" s="310"/>
      <c r="BR59" s="310"/>
      <c r="BS59" s="310"/>
      <c r="BT59" s="310"/>
      <c r="BU59" s="310"/>
      <c r="BV59" s="310"/>
      <c r="BW59" s="310"/>
      <c r="BX59" s="310"/>
      <c r="BY59" s="310"/>
      <c r="BZ59" s="310"/>
      <c r="CA59" s="310"/>
      <c r="CB59" s="310"/>
      <c r="CC59" s="310"/>
      <c r="CD59" s="310"/>
      <c r="CE59" s="310"/>
      <c r="CF59" s="310"/>
      <c r="CG59" s="310"/>
      <c r="CH59" s="286"/>
      <c r="CI59" s="220"/>
      <c r="CJ59" s="220"/>
    </row>
    <row r="60" spans="1:88" s="250" customFormat="1" ht="3" customHeight="1">
      <c r="A60" s="220"/>
      <c r="B60" s="879"/>
      <c r="C60" s="879"/>
      <c r="D60" s="879"/>
      <c r="E60" s="877" t="s">
        <v>1543</v>
      </c>
      <c r="F60" s="877"/>
      <c r="G60" s="862"/>
      <c r="H60" s="864" t="str">
        <f>Index!C128</f>
        <v>Príjmy budúcich období dlhodobé (385A)</v>
      </c>
      <c r="I60" s="864"/>
      <c r="J60" s="864"/>
      <c r="K60" s="864"/>
      <c r="L60" s="864"/>
      <c r="M60" s="864"/>
      <c r="N60" s="864"/>
      <c r="O60" s="864"/>
      <c r="P60" s="864"/>
      <c r="Q60" s="864"/>
      <c r="R60" s="864"/>
      <c r="S60" s="864"/>
      <c r="T60" s="864"/>
      <c r="U60" s="864"/>
      <c r="V60" s="864"/>
      <c r="W60" s="864"/>
      <c r="X60" s="864"/>
      <c r="Y60" s="864"/>
      <c r="Z60" s="864"/>
      <c r="AA60" s="866" t="s">
        <v>1642</v>
      </c>
      <c r="AB60" s="866"/>
      <c r="AC60" s="866"/>
      <c r="AD60" s="825"/>
      <c r="AE60" s="825"/>
      <c r="AF60" s="825"/>
      <c r="AG60" s="825"/>
      <c r="AH60" s="825"/>
      <c r="AI60" s="825"/>
      <c r="AJ60" s="825"/>
      <c r="AK60" s="825"/>
      <c r="AL60" s="825"/>
      <c r="AM60" s="825"/>
      <c r="AN60" s="825"/>
      <c r="AO60" s="825"/>
      <c r="AP60" s="825"/>
      <c r="AQ60" s="825"/>
      <c r="AR60" s="825"/>
      <c r="AS60" s="825"/>
      <c r="AT60" s="825"/>
      <c r="AU60" s="825"/>
      <c r="AV60" s="825"/>
      <c r="AW60" s="825"/>
      <c r="AX60" s="825"/>
      <c r="AY60" s="825"/>
      <c r="AZ60" s="825"/>
      <c r="BA60" s="867"/>
      <c r="BB60" s="867"/>
      <c r="BC60" s="867"/>
      <c r="BD60" s="867"/>
      <c r="BE60" s="867"/>
      <c r="BF60" s="867"/>
      <c r="BG60" s="867"/>
      <c r="BH60" s="867"/>
      <c r="BI60" s="867"/>
      <c r="BJ60" s="867"/>
      <c r="BK60" s="867"/>
      <c r="BL60" s="867"/>
      <c r="BM60" s="867"/>
      <c r="BN60" s="867"/>
      <c r="BO60" s="867"/>
      <c r="BP60" s="867"/>
      <c r="BQ60" s="867"/>
      <c r="BR60" s="867"/>
      <c r="BS60" s="304"/>
      <c r="BT60" s="304"/>
      <c r="BU60" s="304"/>
      <c r="BV60" s="304"/>
      <c r="BW60" s="304"/>
      <c r="BX60" s="446"/>
      <c r="BY60" s="304"/>
      <c r="BZ60" s="304"/>
      <c r="CA60" s="304"/>
      <c r="CB60" s="304"/>
      <c r="CC60" s="304"/>
      <c r="CD60" s="304"/>
      <c r="CE60" s="304"/>
      <c r="CF60" s="304"/>
      <c r="CG60" s="304"/>
      <c r="CH60" s="284"/>
      <c r="CI60" s="288"/>
      <c r="CJ60" s="288"/>
    </row>
    <row r="61" spans="1:88" s="250" customFormat="1" ht="3" customHeight="1">
      <c r="A61" s="220"/>
      <c r="B61" s="879"/>
      <c r="C61" s="879"/>
      <c r="D61" s="879"/>
      <c r="E61" s="877"/>
      <c r="F61" s="877"/>
      <c r="G61" s="862"/>
      <c r="H61" s="864"/>
      <c r="I61" s="864"/>
      <c r="J61" s="864"/>
      <c r="K61" s="864"/>
      <c r="L61" s="864"/>
      <c r="M61" s="864"/>
      <c r="N61" s="864"/>
      <c r="O61" s="864"/>
      <c r="P61" s="864"/>
      <c r="Q61" s="864"/>
      <c r="R61" s="864"/>
      <c r="S61" s="864"/>
      <c r="T61" s="864"/>
      <c r="U61" s="864"/>
      <c r="V61" s="864"/>
      <c r="W61" s="864"/>
      <c r="X61" s="864"/>
      <c r="Y61" s="864"/>
      <c r="Z61" s="864"/>
      <c r="AA61" s="866"/>
      <c r="AB61" s="866"/>
      <c r="AC61" s="866"/>
      <c r="AD61" s="826"/>
      <c r="AE61" s="820"/>
      <c r="AF61" s="820"/>
      <c r="AG61" s="820"/>
      <c r="AH61" s="435"/>
      <c r="AI61" s="821"/>
      <c r="AJ61" s="821"/>
      <c r="AK61" s="821"/>
      <c r="AL61" s="821"/>
      <c r="AM61" s="821"/>
      <c r="AN61" s="818"/>
      <c r="AO61" s="822"/>
      <c r="AP61" s="822"/>
      <c r="AQ61" s="822"/>
      <c r="AR61" s="822"/>
      <c r="AS61" s="822"/>
      <c r="AT61" s="818"/>
      <c r="AU61" s="822"/>
      <c r="AV61" s="822"/>
      <c r="AW61" s="822"/>
      <c r="AX61" s="822"/>
      <c r="AY61" s="822"/>
      <c r="AZ61" s="827"/>
      <c r="BA61" s="826"/>
      <c r="BB61" s="820"/>
      <c r="BC61" s="820"/>
      <c r="BD61" s="820"/>
      <c r="BE61" s="435"/>
      <c r="BF61" s="821"/>
      <c r="BG61" s="821"/>
      <c r="BH61" s="821"/>
      <c r="BI61" s="821"/>
      <c r="BJ61" s="821"/>
      <c r="BK61" s="818"/>
      <c r="BL61" s="818"/>
      <c r="BM61" s="822"/>
      <c r="BN61" s="822"/>
      <c r="BO61" s="822"/>
      <c r="BP61" s="822"/>
      <c r="BQ61" s="822"/>
      <c r="BR61" s="819"/>
      <c r="BS61" s="822"/>
      <c r="BT61" s="822"/>
      <c r="BU61" s="822"/>
      <c r="BV61" s="822"/>
      <c r="BW61" s="822"/>
      <c r="BX61" s="441"/>
      <c r="BY61" s="442"/>
      <c r="BZ61" s="442"/>
      <c r="CA61" s="442"/>
      <c r="CB61" s="442"/>
      <c r="CC61" s="442"/>
      <c r="CD61" s="442"/>
      <c r="CE61" s="442"/>
      <c r="CF61" s="442"/>
      <c r="CG61" s="442"/>
      <c r="CH61" s="285"/>
      <c r="CI61" s="288"/>
      <c r="CJ61" s="288"/>
    </row>
    <row r="62" spans="1:88" ht="15" customHeight="1">
      <c r="B62" s="879"/>
      <c r="C62" s="879"/>
      <c r="D62" s="879"/>
      <c r="E62" s="877"/>
      <c r="F62" s="877"/>
      <c r="G62" s="862"/>
      <c r="H62" s="864"/>
      <c r="I62" s="864"/>
      <c r="J62" s="864"/>
      <c r="K62" s="864"/>
      <c r="L62" s="864"/>
      <c r="M62" s="864"/>
      <c r="N62" s="864"/>
      <c r="O62" s="864"/>
      <c r="P62" s="864"/>
      <c r="Q62" s="864"/>
      <c r="R62" s="864"/>
      <c r="S62" s="864"/>
      <c r="T62" s="864"/>
      <c r="U62" s="864"/>
      <c r="V62" s="864"/>
      <c r="W62" s="864"/>
      <c r="X62" s="864"/>
      <c r="Y62" s="864"/>
      <c r="Z62" s="864"/>
      <c r="AA62" s="866"/>
      <c r="AB62" s="866"/>
      <c r="AC62" s="866"/>
      <c r="AD62" s="826"/>
      <c r="AE62" s="432" t="str">
        <f>IF(LEN(VLOOKUP(AA60,suvaha!$D$8:$H$158,2,FALSE))&lt;11,"",LEFT(RIGHT(VLOOKUP(AA60,suvaha!$D$8:$H$158,2,FALSE),11),1))</f>
        <v/>
      </c>
      <c r="AF62" s="255"/>
      <c r="AG62" s="432" t="str">
        <f>IF(LEN(VLOOKUP(AA60,suvaha!$D$8:$H$158,2,FALSE))&lt;10,"",LEFT(RIGHT(VLOOKUP(AA60,suvaha!$D$8:$H$158,2,FALSE),10),1))</f>
        <v/>
      </c>
      <c r="AH62" s="434"/>
      <c r="AI62" s="432" t="str">
        <f>IF(LEN(VLOOKUP(AA60,suvaha!$D$8:$H$158,2,FALSE))&lt;9,"",LEFT(RIGHT(VLOOKUP(AA60,suvaha!$D$8:$H$158,2,FALSE),9),1))</f>
        <v/>
      </c>
      <c r="AJ62" s="255"/>
      <c r="AK62" s="432" t="str">
        <f>IF(LEN(VLOOKUP(AA60,suvaha!$D$8:$H$158,2,FALSE))&lt;8,"",LEFT(RIGHT(VLOOKUP(AA60,suvaha!$D$8:$H$158,2,FALSE),8),1))</f>
        <v/>
      </c>
      <c r="AL62" s="434"/>
      <c r="AM62" s="432" t="str">
        <f>IF(LEN(VLOOKUP(AA60,suvaha!$D$8:$H$158,2,FALSE))&lt;7,"",LEFT(RIGHT(VLOOKUP(AA60,suvaha!$D$8:$H$158,2,FALSE),7),1))</f>
        <v/>
      </c>
      <c r="AN62" s="818"/>
      <c r="AO62" s="432" t="str">
        <f>IF(LEN(VLOOKUP(AA60,suvaha!$D$8:$H$158,2,FALSE))&lt;6,"",LEFT(RIGHT(VLOOKUP(AA60,suvaha!$D$8:$H$158,2,FALSE),6),1))</f>
        <v/>
      </c>
      <c r="AP62" s="434"/>
      <c r="AQ62" s="432" t="str">
        <f>IF(LEN(VLOOKUP(AA60,suvaha!$D$8:$H$158,2,FALSE))&lt;5,"",LEFT(RIGHT(VLOOKUP(AA60,suvaha!$D$8:$H$158,2,FALSE),5),1))</f>
        <v/>
      </c>
      <c r="AR62" s="434"/>
      <c r="AS62" s="432" t="str">
        <f>IF(LEN(VLOOKUP(AA60,suvaha!$D$8:$H$158,2,FALSE))&lt;4,"",LEFT(RIGHT(VLOOKUP(AA60,suvaha!$D$8:$H$158,2,FALSE),4),1))</f>
        <v/>
      </c>
      <c r="AT62" s="818"/>
      <c r="AU62" s="432" t="str">
        <f>IF(LEN(VLOOKUP(AA60,suvaha!$D$8:$H$158,2,FALSE))&lt;3,"",LEFT(RIGHT(VLOOKUP(AA60,suvaha!$D$8:$H$158,2,FALSE),3),1))</f>
        <v/>
      </c>
      <c r="AV62" s="434"/>
      <c r="AW62" s="432" t="str">
        <f>IF(LEN(VLOOKUP(AA60,suvaha!$D$8:$H$158,2,FALSE))&lt;2,"",LEFT(RIGHT(VLOOKUP(AA60,suvaha!$D$8:$H$158,2,FALSE),2),1))</f>
        <v/>
      </c>
      <c r="AX62" s="434"/>
      <c r="AY62" s="432" t="str">
        <f>IF(VLOOKUP(AA60,suvaha!$D$8:$H$85,2,FALSE)=0,"",IF(LEN(VLOOKUP(AA60,suvaha!$D$8:$H$158,2,FALSE))&lt;1,"",LEFT(RIGHT(VLOOKUP(AA60,suvaha!$D$8:$H$158,2,FALSE),1),1)))</f>
        <v/>
      </c>
      <c r="AZ62" s="827"/>
      <c r="BA62" s="826"/>
      <c r="BB62" s="432" t="str">
        <f>IF(LEN(VLOOKUP(AA60,suvaha!$D$8:$H$158,4,FALSE))&lt;11,"",LEFT(RIGHT(VLOOKUP(AA60,suvaha!$D$8:$H$158,4,FALSE),11),1))</f>
        <v/>
      </c>
      <c r="BC62" s="255"/>
      <c r="BD62" s="432" t="str">
        <f>IF(LEN(VLOOKUP(AA60,suvaha!$D$8:$H$158,4,FALSE))&lt;10,"",LEFT(RIGHT(VLOOKUP(AA60,suvaha!$D$8:$H$158,4,FALSE),10),1))</f>
        <v/>
      </c>
      <c r="BE62" s="434"/>
      <c r="BF62" s="432" t="str">
        <f>IF(LEN(VLOOKUP(AA60,suvaha!$D$8:$H$158,4,FALSE))&lt;9,"",LEFT(RIGHT(VLOOKUP(AA60,suvaha!$D$8:$H$158,4,FALSE),9),1))</f>
        <v/>
      </c>
      <c r="BG62" s="255"/>
      <c r="BH62" s="432" t="str">
        <f>IF(LEN(VLOOKUP(AA60,suvaha!$D$8:$H$158,4,FALSE))&lt;8,"",LEFT(RIGHT(VLOOKUP(AA60,suvaha!$D$8:$H$158,4,FALSE),8),1))</f>
        <v/>
      </c>
      <c r="BI62" s="434"/>
      <c r="BJ62" s="432" t="str">
        <f>IF(LEN(VLOOKUP(AA60,suvaha!$D$8:$H$158,4,FALSE))&lt;7,"",LEFT(RIGHT(VLOOKUP(AA60,suvaha!$D$8:$H$158,4,FALSE),7),1))</f>
        <v/>
      </c>
      <c r="BK62" s="818"/>
      <c r="BL62" s="818"/>
      <c r="BM62" s="432" t="str">
        <f>IF(LEN(VLOOKUP(AA60,suvaha!$D$8:$H$158,4,FALSE))&lt;6,"",LEFT(RIGHT(VLOOKUP(AA60,suvaha!$D$8:$H$158,4,FALSE),6),1))</f>
        <v/>
      </c>
      <c r="BN62" s="434"/>
      <c r="BO62" s="432" t="str">
        <f>IF(LEN(VLOOKUP(AA60,suvaha!$D$8:$H$158,4,FALSE))&lt;5,"",LEFT(RIGHT(VLOOKUP(AA60,suvaha!$D$8:$H$158,4,FALSE),5),1))</f>
        <v/>
      </c>
      <c r="BP62" s="434"/>
      <c r="BQ62" s="432" t="str">
        <f>IF(LEN(VLOOKUP(AA60,suvaha!$D$8:$H$158,4,FALSE))&lt;4,"",LEFT(RIGHT(VLOOKUP(AA60,suvaha!$D$8:$H$158,4,FALSE),4),1))</f>
        <v/>
      </c>
      <c r="BR62" s="819"/>
      <c r="BS62" s="432" t="str">
        <f>IF(LEN(VLOOKUP(AA60,suvaha!$D$8:$H$158,4,FALSE))&lt;3,"",LEFT(RIGHT(VLOOKUP(AA60,suvaha!$D$8:$H$158,4,FALSE),3),1))</f>
        <v/>
      </c>
      <c r="BT62" s="434"/>
      <c r="BU62" s="432" t="str">
        <f>IF(LEN(VLOOKUP(AA60,suvaha!$D$8:$H$158,4,FALSE))&lt;2,"",LEFT(RIGHT(VLOOKUP(AA60,suvaha!$D$8:$H$158,4,FALSE),2),1))</f>
        <v/>
      </c>
      <c r="BV62" s="434"/>
      <c r="BW62" s="432" t="str">
        <f>IF(VLOOKUP(AA60,suvaha!$D$8:$H$85,4,FALSE)=0,"",IF(LEN(VLOOKUP(AA60,suvaha!$D$8:$H$158,4,FALSE))&lt;1,"",LEFT(RIGHT(VLOOKUP(AA60,suvaha!$D$8:$H$158,4,FALSE),1),1)))</f>
        <v/>
      </c>
      <c r="BX62" s="441"/>
      <c r="BY62" s="442"/>
      <c r="BZ62" s="442"/>
      <c r="CA62" s="442"/>
      <c r="CB62" s="442"/>
      <c r="CC62" s="442"/>
      <c r="CD62" s="442"/>
      <c r="CE62" s="442"/>
      <c r="CF62" s="442"/>
      <c r="CG62" s="442"/>
      <c r="CH62" s="285"/>
      <c r="CI62" s="220"/>
      <c r="CJ62" s="220"/>
    </row>
    <row r="63" spans="1:88" ht="3" customHeight="1">
      <c r="B63" s="879"/>
      <c r="C63" s="879"/>
      <c r="D63" s="879"/>
      <c r="E63" s="877"/>
      <c r="F63" s="877"/>
      <c r="G63" s="862"/>
      <c r="H63" s="864"/>
      <c r="I63" s="864"/>
      <c r="J63" s="864"/>
      <c r="K63" s="864"/>
      <c r="L63" s="864"/>
      <c r="M63" s="864"/>
      <c r="N63" s="864"/>
      <c r="O63" s="864"/>
      <c r="P63" s="864"/>
      <c r="Q63" s="864"/>
      <c r="R63" s="864"/>
      <c r="S63" s="864"/>
      <c r="T63" s="864"/>
      <c r="U63" s="864"/>
      <c r="V63" s="864"/>
      <c r="W63" s="864"/>
      <c r="X63" s="864"/>
      <c r="Y63" s="864"/>
      <c r="Z63" s="864"/>
      <c r="AA63" s="866"/>
      <c r="AB63" s="866"/>
      <c r="AC63" s="866"/>
      <c r="AD63" s="845"/>
      <c r="AE63" s="845"/>
      <c r="AF63" s="845"/>
      <c r="AG63" s="845"/>
      <c r="AH63" s="845"/>
      <c r="AI63" s="845"/>
      <c r="AJ63" s="845"/>
      <c r="AK63" s="845"/>
      <c r="AL63" s="845"/>
      <c r="AM63" s="845"/>
      <c r="AN63" s="845"/>
      <c r="AO63" s="845"/>
      <c r="AP63" s="845"/>
      <c r="AQ63" s="845"/>
      <c r="AR63" s="845"/>
      <c r="AS63" s="845"/>
      <c r="AT63" s="845"/>
      <c r="AU63" s="845"/>
      <c r="AV63" s="845"/>
      <c r="AW63" s="845"/>
      <c r="AX63" s="845"/>
      <c r="AY63" s="845"/>
      <c r="AZ63" s="845"/>
      <c r="BA63" s="846"/>
      <c r="BB63" s="846"/>
      <c r="BC63" s="846"/>
      <c r="BD63" s="846"/>
      <c r="BE63" s="846"/>
      <c r="BF63" s="846"/>
      <c r="BG63" s="846"/>
      <c r="BH63" s="846"/>
      <c r="BI63" s="846"/>
      <c r="BJ63" s="846"/>
      <c r="BK63" s="846"/>
      <c r="BL63" s="846"/>
      <c r="BM63" s="846"/>
      <c r="BN63" s="846"/>
      <c r="BO63" s="846"/>
      <c r="BP63" s="846"/>
      <c r="BQ63" s="846"/>
      <c r="BR63" s="846"/>
      <c r="BS63" s="310"/>
      <c r="BT63" s="310"/>
      <c r="BU63" s="310"/>
      <c r="BV63" s="310"/>
      <c r="BW63" s="310"/>
      <c r="BX63" s="443"/>
      <c r="BY63" s="310"/>
      <c r="BZ63" s="310"/>
      <c r="CA63" s="310"/>
      <c r="CB63" s="310"/>
      <c r="CC63" s="310"/>
      <c r="CD63" s="310"/>
      <c r="CE63" s="310"/>
      <c r="CF63" s="310"/>
      <c r="CG63" s="310"/>
      <c r="CH63" s="286"/>
      <c r="CI63" s="220"/>
      <c r="CJ63" s="220"/>
    </row>
    <row r="64" spans="1:88" ht="3" customHeight="1">
      <c r="B64" s="879"/>
      <c r="C64" s="879"/>
      <c r="D64" s="879"/>
      <c r="E64" s="877"/>
      <c r="F64" s="877"/>
      <c r="G64" s="862"/>
      <c r="H64" s="864"/>
      <c r="I64" s="864"/>
      <c r="J64" s="864"/>
      <c r="K64" s="864"/>
      <c r="L64" s="864"/>
      <c r="M64" s="864"/>
      <c r="N64" s="864"/>
      <c r="O64" s="864"/>
      <c r="P64" s="864"/>
      <c r="Q64" s="864"/>
      <c r="R64" s="864"/>
      <c r="S64" s="864"/>
      <c r="T64" s="864"/>
      <c r="U64" s="864"/>
      <c r="V64" s="864"/>
      <c r="W64" s="864"/>
      <c r="X64" s="864"/>
      <c r="Y64" s="864"/>
      <c r="Z64" s="864"/>
      <c r="AA64" s="866"/>
      <c r="AB64" s="866"/>
      <c r="AC64" s="866"/>
      <c r="AD64" s="825"/>
      <c r="AE64" s="825"/>
      <c r="AF64" s="825"/>
      <c r="AG64" s="825"/>
      <c r="AH64" s="825"/>
      <c r="AI64" s="825"/>
      <c r="AJ64" s="825"/>
      <c r="AK64" s="825"/>
      <c r="AL64" s="825"/>
      <c r="AM64" s="825"/>
      <c r="AN64" s="825"/>
      <c r="AO64" s="825"/>
      <c r="AP64" s="825"/>
      <c r="AQ64" s="825"/>
      <c r="AR64" s="825"/>
      <c r="AS64" s="825"/>
      <c r="AT64" s="825"/>
      <c r="AU64" s="825"/>
      <c r="AV64" s="825"/>
      <c r="AW64" s="825"/>
      <c r="AX64" s="825"/>
      <c r="AY64" s="825"/>
      <c r="AZ64" s="825"/>
      <c r="BA64" s="875"/>
      <c r="BB64" s="875"/>
      <c r="BC64" s="875"/>
      <c r="BD64" s="875"/>
      <c r="BE64" s="875"/>
      <c r="BF64" s="875"/>
      <c r="BG64" s="875"/>
      <c r="BH64" s="875"/>
      <c r="BI64" s="875"/>
      <c r="BJ64" s="875"/>
      <c r="BK64" s="304"/>
      <c r="BL64" s="304"/>
      <c r="BM64" s="304"/>
      <c r="BN64" s="304"/>
      <c r="BO64" s="304"/>
      <c r="BP64" s="304"/>
      <c r="BQ64" s="304"/>
      <c r="BR64" s="304"/>
      <c r="BS64" s="304"/>
      <c r="BT64" s="304"/>
      <c r="BU64" s="304"/>
      <c r="BV64" s="304"/>
      <c r="BW64" s="304"/>
      <c r="BX64" s="304"/>
      <c r="BY64" s="304"/>
      <c r="BZ64" s="304"/>
      <c r="CA64" s="304"/>
      <c r="CB64" s="304"/>
      <c r="CC64" s="304"/>
      <c r="CD64" s="304"/>
      <c r="CE64" s="304"/>
      <c r="CF64" s="304"/>
      <c r="CG64" s="304"/>
      <c r="CH64" s="284"/>
      <c r="CI64" s="220"/>
      <c r="CJ64" s="220"/>
    </row>
    <row r="65" spans="1:88" ht="3" customHeight="1">
      <c r="B65" s="879"/>
      <c r="C65" s="879"/>
      <c r="D65" s="879"/>
      <c r="E65" s="877"/>
      <c r="F65" s="877"/>
      <c r="G65" s="862"/>
      <c r="H65" s="864"/>
      <c r="I65" s="864"/>
      <c r="J65" s="864"/>
      <c r="K65" s="864"/>
      <c r="L65" s="864"/>
      <c r="M65" s="864"/>
      <c r="N65" s="864"/>
      <c r="O65" s="864"/>
      <c r="P65" s="864"/>
      <c r="Q65" s="864"/>
      <c r="R65" s="864"/>
      <c r="S65" s="864"/>
      <c r="T65" s="864"/>
      <c r="U65" s="864"/>
      <c r="V65" s="864"/>
      <c r="W65" s="864"/>
      <c r="X65" s="864"/>
      <c r="Y65" s="864"/>
      <c r="Z65" s="864"/>
      <c r="AA65" s="866"/>
      <c r="AB65" s="866"/>
      <c r="AC65" s="866"/>
      <c r="AD65" s="826"/>
      <c r="AE65" s="820"/>
      <c r="AF65" s="820"/>
      <c r="AG65" s="820"/>
      <c r="AH65" s="435"/>
      <c r="AI65" s="821"/>
      <c r="AJ65" s="821"/>
      <c r="AK65" s="821"/>
      <c r="AL65" s="821"/>
      <c r="AM65" s="821"/>
      <c r="AN65" s="818" t="s">
        <v>965</v>
      </c>
      <c r="AO65" s="822"/>
      <c r="AP65" s="822"/>
      <c r="AQ65" s="822"/>
      <c r="AR65" s="822"/>
      <c r="AS65" s="822"/>
      <c r="AT65" s="818" t="s">
        <v>965</v>
      </c>
      <c r="AU65" s="822"/>
      <c r="AV65" s="822"/>
      <c r="AW65" s="822"/>
      <c r="AX65" s="822"/>
      <c r="AY65" s="822"/>
      <c r="AZ65" s="827"/>
      <c r="BA65" s="875"/>
      <c r="BB65" s="875"/>
      <c r="BC65" s="875"/>
      <c r="BD65" s="875"/>
      <c r="BE65" s="875"/>
      <c r="BF65" s="875"/>
      <c r="BG65" s="875"/>
      <c r="BH65" s="875"/>
      <c r="BI65" s="875"/>
      <c r="BJ65" s="875"/>
      <c r="BK65" s="442"/>
      <c r="BL65" s="442"/>
      <c r="BM65" s="820"/>
      <c r="BN65" s="820"/>
      <c r="BO65" s="820"/>
      <c r="BP65" s="442"/>
      <c r="BQ65" s="444"/>
      <c r="BR65" s="444"/>
      <c r="BS65" s="444"/>
      <c r="BT65" s="444"/>
      <c r="BU65" s="444"/>
      <c r="BV65" s="442"/>
      <c r="BW65" s="444"/>
      <c r="BX65" s="444"/>
      <c r="BY65" s="444"/>
      <c r="BZ65" s="444"/>
      <c r="CA65" s="444"/>
      <c r="CB65" s="445"/>
      <c r="CC65" s="444"/>
      <c r="CD65" s="444"/>
      <c r="CE65" s="444"/>
      <c r="CF65" s="444"/>
      <c r="CG65" s="444"/>
      <c r="CH65" s="287"/>
      <c r="CI65" s="220"/>
      <c r="CJ65" s="220"/>
    </row>
    <row r="66" spans="1:88" ht="15" customHeight="1">
      <c r="B66" s="879"/>
      <c r="C66" s="879"/>
      <c r="D66" s="879"/>
      <c r="E66" s="877"/>
      <c r="F66" s="877"/>
      <c r="G66" s="862"/>
      <c r="H66" s="864"/>
      <c r="I66" s="864"/>
      <c r="J66" s="864"/>
      <c r="K66" s="864"/>
      <c r="L66" s="864"/>
      <c r="M66" s="864"/>
      <c r="N66" s="864"/>
      <c r="O66" s="864"/>
      <c r="P66" s="864"/>
      <c r="Q66" s="864"/>
      <c r="R66" s="864"/>
      <c r="S66" s="864"/>
      <c r="T66" s="864"/>
      <c r="U66" s="864"/>
      <c r="V66" s="864"/>
      <c r="W66" s="864"/>
      <c r="X66" s="864"/>
      <c r="Y66" s="864"/>
      <c r="Z66" s="864"/>
      <c r="AA66" s="866"/>
      <c r="AB66" s="866"/>
      <c r="AC66" s="866"/>
      <c r="AD66" s="826"/>
      <c r="AE66" s="432" t="str">
        <f>IF(LEN(VLOOKUP(AA60,suvaha!$D$8:$H$158,3,FALSE))&lt;11,"",LEFT(RIGHT(VLOOKUP(AA60,suvaha!$D$8:$H$158,3,FALSE),11),1))</f>
        <v/>
      </c>
      <c r="AF66" s="255" t="s">
        <v>965</v>
      </c>
      <c r="AG66" s="432" t="str">
        <f>IF(LEN(VLOOKUP(AA60,suvaha!$D$8:$H$158,3,FALSE))&lt;10,"",LEFT(RIGHT(VLOOKUP(AA60,suvaha!$D$8:$H$158,3,FALSE),10),1))</f>
        <v/>
      </c>
      <c r="AH66" s="434" t="s">
        <v>965</v>
      </c>
      <c r="AI66" s="432" t="str">
        <f>IF(LEN(VLOOKUP(AA60,suvaha!$D$8:$H$158,3,FALSE))&lt;9,"",LEFT(RIGHT(VLOOKUP(AA60,suvaha!$D$8:$H$158,3,FALSE),9),1))</f>
        <v/>
      </c>
      <c r="AJ66" s="255" t="s">
        <v>965</v>
      </c>
      <c r="AK66" s="432" t="str">
        <f>IF(LEN(VLOOKUP(AA60,suvaha!$D$8:$H$158,3,FALSE))&lt;8,"",LEFT(RIGHT(VLOOKUP(AA60,suvaha!$D$8:$H$158,3,FALSE),8),1))</f>
        <v/>
      </c>
      <c r="AL66" s="434" t="s">
        <v>965</v>
      </c>
      <c r="AM66" s="432" t="str">
        <f>IF(LEN(VLOOKUP(AA60,suvaha!$D$8:$H$158,3,FALSE))&lt;7,"",LEFT(RIGHT(VLOOKUP(AA60,suvaha!$D$8:$H$158,3,FALSE),7),1))</f>
        <v/>
      </c>
      <c r="AN66" s="818"/>
      <c r="AO66" s="432" t="str">
        <f>IF(LEN(VLOOKUP(AA60,suvaha!$D$8:$H$158,3,FALSE))&lt;6,"",LEFT(RIGHT(VLOOKUP(AA60,suvaha!$D$8:$H$158,3,FALSE),6),1))</f>
        <v/>
      </c>
      <c r="AP66" s="434" t="s">
        <v>965</v>
      </c>
      <c r="AQ66" s="432" t="str">
        <f>IF(LEN(VLOOKUP(AA60,suvaha!$D$8:$H$158,3,FALSE))&lt;5,"",LEFT(RIGHT(VLOOKUP(AA60,suvaha!$D$8:$H$158,3,FALSE),5),1))</f>
        <v/>
      </c>
      <c r="AR66" s="434" t="s">
        <v>965</v>
      </c>
      <c r="AS66" s="432" t="str">
        <f>IF(LEN(VLOOKUP(AA60,suvaha!$D$8:$H$158,3,FALSE))&lt;4,"",LEFT(RIGHT(VLOOKUP(AA60,suvaha!$D$8:$H$158,3,FALSE),4),1))</f>
        <v/>
      </c>
      <c r="AT66" s="818"/>
      <c r="AU66" s="432" t="str">
        <f>IF(LEN(VLOOKUP(AA60,suvaha!$D$8:$H$158,3,FALSE))&lt;3,"",LEFT(RIGHT(VLOOKUP(AA60,suvaha!$D$8:$H$158,3,FALSE),3),1))</f>
        <v/>
      </c>
      <c r="AV66" s="434" t="s">
        <v>965</v>
      </c>
      <c r="AW66" s="432" t="str">
        <f>IF(LEN(VLOOKUP(AA60,suvaha!$D$8:$H$158,3,FALSE))&lt;2,"",LEFT(RIGHT(VLOOKUP(AA60,suvaha!$D$8:$H$158,3,FALSE),2),1))</f>
        <v/>
      </c>
      <c r="AX66" s="434" t="s">
        <v>965</v>
      </c>
      <c r="AY66" s="432" t="str">
        <f>IF(VLOOKUP(AA60,suvaha!$D$8:$H$85,3,FALSE)=0,"",IF(LEN(VLOOKUP(AA60,suvaha!$D$8:$H$158,3,FALSE))&lt;1,"",LEFT(RIGHT(VLOOKUP(AA60,suvaha!$D$8:$H$158,3,FALSE),1),1)))</f>
        <v/>
      </c>
      <c r="AZ66" s="827"/>
      <c r="BA66" s="875"/>
      <c r="BB66" s="875"/>
      <c r="BC66" s="875"/>
      <c r="BD66" s="875"/>
      <c r="BE66" s="875"/>
      <c r="BF66" s="875"/>
      <c r="BG66" s="875"/>
      <c r="BH66" s="875"/>
      <c r="BI66" s="875"/>
      <c r="BJ66" s="875"/>
      <c r="BK66" s="442"/>
      <c r="BL66" s="442"/>
      <c r="BM66" s="432" t="str">
        <f>IF(LEN(VLOOKUP(AA60,suvaha!$D$8:$H$158,5,FALSE))&lt;11,"",LEFT(RIGHT(VLOOKUP(AA60,suvaha!$D$8:$H$158,5,FALSE),11),1))</f>
        <v/>
      </c>
      <c r="BN66" s="255" t="s">
        <v>965</v>
      </c>
      <c r="BO66" s="432" t="str">
        <f>IF(LEN(VLOOKUP(AA60,suvaha!$D$8:$H$158,5,FALSE))&lt;10,"",LEFT(RIGHT(VLOOKUP(AA60,suvaha!$D$8:$H$158,5,FALSE),10),1))</f>
        <v/>
      </c>
      <c r="BP66" s="442" t="s">
        <v>965</v>
      </c>
      <c r="BQ66" s="432" t="str">
        <f>IF(LEN(VLOOKUP(AA60,suvaha!$D$8:$H$158,5,FALSE))&lt;9,"",LEFT(RIGHT(VLOOKUP(AA60,suvaha!$D$8:$H$158,5,FALSE),9),1))</f>
        <v/>
      </c>
      <c r="BR66" s="434" t="s">
        <v>965</v>
      </c>
      <c r="BS66" s="432" t="str">
        <f>IF(LEN(VLOOKUP(AA60,suvaha!$D$8:$H$158,5,FALSE))&lt;8,"",LEFT(RIGHT(VLOOKUP(AA60,suvaha!$D$8:$H$158,5,FALSE),8),1))</f>
        <v/>
      </c>
      <c r="BT66" s="434" t="s">
        <v>965</v>
      </c>
      <c r="BU66" s="432" t="str">
        <f>IF(LEN(VLOOKUP(AA60,suvaha!$D$8:$H$158,5,FALSE))&lt;7,"",LEFT(RIGHT(VLOOKUP(AA60,suvaha!$D$8:$H$158,5,FALSE),7),1))</f>
        <v/>
      </c>
      <c r="BV66" s="442" t="s">
        <v>965</v>
      </c>
      <c r="BW66" s="432" t="str">
        <f>IF(LEN(VLOOKUP(AA60,suvaha!$D$8:$H$158,5,FALSE))&lt;6,"",LEFT(RIGHT(VLOOKUP(AA60,suvaha!$D$8:$H$158,5,FALSE),6),1))</f>
        <v/>
      </c>
      <c r="BX66" s="434" t="s">
        <v>965</v>
      </c>
      <c r="BY66" s="432" t="str">
        <f>IF(LEN(VLOOKUP(AA60,suvaha!$D$8:$H$158,5,FALSE))&lt;5,"",LEFT(RIGHT(VLOOKUP(AA60,suvaha!$D$8:$H$158,5,FALSE),5),1))</f>
        <v/>
      </c>
      <c r="BZ66" s="434" t="s">
        <v>965</v>
      </c>
      <c r="CA66" s="432" t="str">
        <f>IF(LEN(VLOOKUP(AA60,suvaha!$D$8:$H$158,5,FALSE))&lt;4,"",LEFT(RIGHT(VLOOKUP(AA60,suvaha!$D$8:$H$158,5,FALSE),4),1))</f>
        <v/>
      </c>
      <c r="CB66" s="445" t="s">
        <v>965</v>
      </c>
      <c r="CC66" s="432" t="str">
        <f>IF(LEN(VLOOKUP(AA60,suvaha!$D$8:$H$158,5,FALSE))&lt;3,"",LEFT(RIGHT(VLOOKUP(AA60,suvaha!$D$8:$H$158,5,FALSE),3),1))</f>
        <v/>
      </c>
      <c r="CD66" s="434" t="s">
        <v>965</v>
      </c>
      <c r="CE66" s="432" t="str">
        <f>IF(LEN(VLOOKUP(AA60,suvaha!$D$8:$H$158,5,FALSE))&lt;2,"",LEFT(RIGHT(VLOOKUP(AA60,suvaha!$D$8:$H$158,5,FALSE),2),1))</f>
        <v/>
      </c>
      <c r="CF66" s="434" t="s">
        <v>1540</v>
      </c>
      <c r="CG66" s="432" t="str">
        <f>IF(VLOOKUP(AA60,suvaha!$D$8:$H$85,5,FALSE)=0,"",IF(LEN(VLOOKUP(AA60,suvaha!$D$8:$H$158,5,FALSE))&lt;1,"",LEFT(RIGHT(VLOOKUP(AA60,suvaha!$D$8:$H$158,5,FALSE),1),1)))</f>
        <v/>
      </c>
      <c r="CH66" s="287"/>
      <c r="CI66" s="220"/>
      <c r="CJ66" s="220"/>
    </row>
    <row r="67" spans="1:88" ht="3" customHeight="1">
      <c r="B67" s="879"/>
      <c r="C67" s="879"/>
      <c r="D67" s="879"/>
      <c r="E67" s="877"/>
      <c r="F67" s="877"/>
      <c r="G67" s="862"/>
      <c r="H67" s="864"/>
      <c r="I67" s="864"/>
      <c r="J67" s="864"/>
      <c r="K67" s="864"/>
      <c r="L67" s="864"/>
      <c r="M67" s="864"/>
      <c r="N67" s="864"/>
      <c r="O67" s="864"/>
      <c r="P67" s="864"/>
      <c r="Q67" s="864"/>
      <c r="R67" s="864"/>
      <c r="S67" s="864"/>
      <c r="T67" s="864"/>
      <c r="U67" s="864"/>
      <c r="V67" s="864"/>
      <c r="W67" s="864"/>
      <c r="X67" s="864"/>
      <c r="Y67" s="864"/>
      <c r="Z67" s="864"/>
      <c r="AA67" s="866"/>
      <c r="AB67" s="866"/>
      <c r="AC67" s="866"/>
      <c r="AD67" s="845"/>
      <c r="AE67" s="845"/>
      <c r="AF67" s="845"/>
      <c r="AG67" s="845"/>
      <c r="AH67" s="845"/>
      <c r="AI67" s="845"/>
      <c r="AJ67" s="845"/>
      <c r="AK67" s="845"/>
      <c r="AL67" s="845"/>
      <c r="AM67" s="845"/>
      <c r="AN67" s="845"/>
      <c r="AO67" s="845"/>
      <c r="AP67" s="845"/>
      <c r="AQ67" s="845"/>
      <c r="AR67" s="845"/>
      <c r="AS67" s="845"/>
      <c r="AT67" s="845"/>
      <c r="AU67" s="845"/>
      <c r="AV67" s="845"/>
      <c r="AW67" s="845"/>
      <c r="AX67" s="845"/>
      <c r="AY67" s="845"/>
      <c r="AZ67" s="845"/>
      <c r="BA67" s="875"/>
      <c r="BB67" s="875"/>
      <c r="BC67" s="875"/>
      <c r="BD67" s="875"/>
      <c r="BE67" s="875"/>
      <c r="BF67" s="875"/>
      <c r="BG67" s="875"/>
      <c r="BH67" s="875"/>
      <c r="BI67" s="875"/>
      <c r="BJ67" s="875"/>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310"/>
      <c r="CH67" s="286"/>
      <c r="CI67" s="220"/>
      <c r="CJ67" s="220"/>
    </row>
    <row r="68" spans="1:88" s="250" customFormat="1" ht="3" customHeight="1" thickBot="1">
      <c r="A68" s="220"/>
      <c r="B68" s="879"/>
      <c r="C68" s="879"/>
      <c r="D68" s="879"/>
      <c r="E68" s="937" t="s">
        <v>1544</v>
      </c>
      <c r="F68" s="937"/>
      <c r="G68" s="835"/>
      <c r="H68" s="838" t="str">
        <f>Index!C129</f>
        <v>Príjmy budúcich období krátkodobé (385A)</v>
      </c>
      <c r="I68" s="838"/>
      <c r="J68" s="838"/>
      <c r="K68" s="838"/>
      <c r="L68" s="838"/>
      <c r="M68" s="838"/>
      <c r="N68" s="838"/>
      <c r="O68" s="838"/>
      <c r="P68" s="838"/>
      <c r="Q68" s="838"/>
      <c r="R68" s="838"/>
      <c r="S68" s="838"/>
      <c r="T68" s="838"/>
      <c r="U68" s="838"/>
      <c r="V68" s="838"/>
      <c r="W68" s="838"/>
      <c r="X68" s="838"/>
      <c r="Y68" s="838"/>
      <c r="Z68" s="838"/>
      <c r="AA68" s="841" t="s">
        <v>1643</v>
      </c>
      <c r="AB68" s="841"/>
      <c r="AC68" s="841"/>
      <c r="AD68" s="825"/>
      <c r="AE68" s="825"/>
      <c r="AF68" s="825"/>
      <c r="AG68" s="825"/>
      <c r="AH68" s="825"/>
      <c r="AI68" s="825"/>
      <c r="AJ68" s="825"/>
      <c r="AK68" s="825"/>
      <c r="AL68" s="825"/>
      <c r="AM68" s="825"/>
      <c r="AN68" s="825"/>
      <c r="AO68" s="825"/>
      <c r="AP68" s="825"/>
      <c r="AQ68" s="825"/>
      <c r="AR68" s="825"/>
      <c r="AS68" s="825"/>
      <c r="AT68" s="825"/>
      <c r="AU68" s="825"/>
      <c r="AV68" s="825"/>
      <c r="AW68" s="825"/>
      <c r="AX68" s="825"/>
      <c r="AY68" s="825"/>
      <c r="AZ68" s="825"/>
      <c r="BA68" s="867"/>
      <c r="BB68" s="867"/>
      <c r="BC68" s="867"/>
      <c r="BD68" s="867"/>
      <c r="BE68" s="867"/>
      <c r="BF68" s="867"/>
      <c r="BG68" s="867"/>
      <c r="BH68" s="867"/>
      <c r="BI68" s="867"/>
      <c r="BJ68" s="867"/>
      <c r="BK68" s="867"/>
      <c r="BL68" s="867"/>
      <c r="BM68" s="867"/>
      <c r="BN68" s="867"/>
      <c r="BO68" s="867"/>
      <c r="BP68" s="867"/>
      <c r="BQ68" s="867"/>
      <c r="BR68" s="867"/>
      <c r="BS68" s="304"/>
      <c r="BT68" s="304"/>
      <c r="BU68" s="304"/>
      <c r="BV68" s="304"/>
      <c r="BW68" s="304"/>
      <c r="BX68" s="446"/>
      <c r="BY68" s="304"/>
      <c r="BZ68" s="304"/>
      <c r="CA68" s="304"/>
      <c r="CB68" s="304"/>
      <c r="CC68" s="304"/>
      <c r="CD68" s="304"/>
      <c r="CE68" s="304"/>
      <c r="CF68" s="304"/>
      <c r="CG68" s="304"/>
      <c r="CH68" s="284"/>
      <c r="CI68" s="288"/>
      <c r="CJ68" s="288"/>
    </row>
    <row r="69" spans="1:88" s="250" customFormat="1" ht="3" customHeight="1" thickBot="1">
      <c r="A69" s="220"/>
      <c r="B69" s="879"/>
      <c r="C69" s="879"/>
      <c r="D69" s="879"/>
      <c r="E69" s="937"/>
      <c r="F69" s="937"/>
      <c r="G69" s="835"/>
      <c r="H69" s="838"/>
      <c r="I69" s="838"/>
      <c r="J69" s="838"/>
      <c r="K69" s="838"/>
      <c r="L69" s="838"/>
      <c r="M69" s="838"/>
      <c r="N69" s="838"/>
      <c r="O69" s="838"/>
      <c r="P69" s="838"/>
      <c r="Q69" s="838"/>
      <c r="R69" s="838"/>
      <c r="S69" s="838"/>
      <c r="T69" s="838"/>
      <c r="U69" s="838"/>
      <c r="V69" s="838"/>
      <c r="W69" s="838"/>
      <c r="X69" s="838"/>
      <c r="Y69" s="838"/>
      <c r="Z69" s="838"/>
      <c r="AA69" s="841"/>
      <c r="AB69" s="841"/>
      <c r="AC69" s="841"/>
      <c r="AD69" s="826"/>
      <c r="AE69" s="820"/>
      <c r="AF69" s="820"/>
      <c r="AG69" s="820"/>
      <c r="AH69" s="435"/>
      <c r="AI69" s="821"/>
      <c r="AJ69" s="821"/>
      <c r="AK69" s="821"/>
      <c r="AL69" s="821"/>
      <c r="AM69" s="821"/>
      <c r="AN69" s="818"/>
      <c r="AO69" s="822"/>
      <c r="AP69" s="822"/>
      <c r="AQ69" s="822"/>
      <c r="AR69" s="822"/>
      <c r="AS69" s="822"/>
      <c r="AT69" s="818"/>
      <c r="AU69" s="822"/>
      <c r="AV69" s="822"/>
      <c r="AW69" s="822"/>
      <c r="AX69" s="822"/>
      <c r="AY69" s="822"/>
      <c r="AZ69" s="827"/>
      <c r="BA69" s="826"/>
      <c r="BB69" s="820"/>
      <c r="BC69" s="820"/>
      <c r="BD69" s="820"/>
      <c r="BE69" s="435"/>
      <c r="BF69" s="821"/>
      <c r="BG69" s="821"/>
      <c r="BH69" s="821"/>
      <c r="BI69" s="821"/>
      <c r="BJ69" s="821"/>
      <c r="BK69" s="818"/>
      <c r="BL69" s="818"/>
      <c r="BM69" s="822"/>
      <c r="BN69" s="822"/>
      <c r="BO69" s="822"/>
      <c r="BP69" s="822"/>
      <c r="BQ69" s="822"/>
      <c r="BR69" s="819"/>
      <c r="BS69" s="822"/>
      <c r="BT69" s="822"/>
      <c r="BU69" s="822"/>
      <c r="BV69" s="822"/>
      <c r="BW69" s="822"/>
      <c r="BX69" s="441"/>
      <c r="BY69" s="442"/>
      <c r="BZ69" s="442"/>
      <c r="CA69" s="442"/>
      <c r="CB69" s="442"/>
      <c r="CC69" s="442"/>
      <c r="CD69" s="442"/>
      <c r="CE69" s="442"/>
      <c r="CF69" s="442"/>
      <c r="CG69" s="442"/>
      <c r="CH69" s="285"/>
      <c r="CI69" s="288"/>
      <c r="CJ69" s="288"/>
    </row>
    <row r="70" spans="1:88" ht="15" customHeight="1" thickBot="1">
      <c r="E70" s="937"/>
      <c r="F70" s="937"/>
      <c r="G70" s="835"/>
      <c r="H70" s="838"/>
      <c r="I70" s="838"/>
      <c r="J70" s="838"/>
      <c r="K70" s="838"/>
      <c r="L70" s="838"/>
      <c r="M70" s="838"/>
      <c r="N70" s="838"/>
      <c r="O70" s="838"/>
      <c r="P70" s="838"/>
      <c r="Q70" s="838"/>
      <c r="R70" s="838"/>
      <c r="S70" s="838"/>
      <c r="T70" s="838"/>
      <c r="U70" s="838"/>
      <c r="V70" s="838"/>
      <c r="W70" s="838"/>
      <c r="X70" s="838"/>
      <c r="Y70" s="838"/>
      <c r="Z70" s="838"/>
      <c r="AA70" s="841"/>
      <c r="AB70" s="841"/>
      <c r="AC70" s="841"/>
      <c r="AD70" s="826"/>
      <c r="AE70" s="432" t="str">
        <f>IF(LEN(VLOOKUP(AA68,suvaha!$D$8:$H$158,2,FALSE))&lt;11,"",LEFT(RIGHT(VLOOKUP(AA68,suvaha!$D$8:$H$158,2,FALSE),11),1))</f>
        <v/>
      </c>
      <c r="AF70" s="255"/>
      <c r="AG70" s="432" t="str">
        <f>IF(LEN(VLOOKUP(AA68,suvaha!$D$8:$H$158,2,FALSE))&lt;10,"",LEFT(RIGHT(VLOOKUP(AA68,suvaha!$D$8:$H$158,2,FALSE),10),1))</f>
        <v/>
      </c>
      <c r="AH70" s="434"/>
      <c r="AI70" s="432" t="str">
        <f>IF(LEN(VLOOKUP(AA68,suvaha!$D$8:$H$158,2,FALSE))&lt;9,"",LEFT(RIGHT(VLOOKUP(AA68,suvaha!$D$8:$H$158,2,FALSE),9),1))</f>
        <v/>
      </c>
      <c r="AJ70" s="255"/>
      <c r="AK70" s="432" t="str">
        <f>IF(LEN(VLOOKUP(AA68,suvaha!$D$8:$H$158,2,FALSE))&lt;8,"",LEFT(RIGHT(VLOOKUP(AA68,suvaha!$D$8:$H$158,2,FALSE),8),1))</f>
        <v/>
      </c>
      <c r="AL70" s="434"/>
      <c r="AM70" s="432" t="str">
        <f>IF(LEN(VLOOKUP(AA68,suvaha!$D$8:$H$158,2,FALSE))&lt;7,"",LEFT(RIGHT(VLOOKUP(AA68,suvaha!$D$8:$H$158,2,FALSE),7),1))</f>
        <v/>
      </c>
      <c r="AN70" s="818"/>
      <c r="AO70" s="432" t="str">
        <f>IF(LEN(VLOOKUP(AA68,suvaha!$D$8:$H$158,2,FALSE))&lt;6,"",LEFT(RIGHT(VLOOKUP(AA68,suvaha!$D$8:$H$158,2,FALSE),6),1))</f>
        <v/>
      </c>
      <c r="AP70" s="434"/>
      <c r="AQ70" s="432" t="str">
        <f>IF(LEN(VLOOKUP(AA68,suvaha!$D$8:$H$158,2,FALSE))&lt;5,"",LEFT(RIGHT(VLOOKUP(AA68,suvaha!$D$8:$H$158,2,FALSE),5),1))</f>
        <v>4</v>
      </c>
      <c r="AR70" s="434"/>
      <c r="AS70" s="432" t="str">
        <f>IF(LEN(VLOOKUP(AA68,suvaha!$D$8:$H$158,2,FALSE))&lt;4,"",LEFT(RIGHT(VLOOKUP(AA68,suvaha!$D$8:$H$158,2,FALSE),4),1))</f>
        <v>3</v>
      </c>
      <c r="AT70" s="818"/>
      <c r="AU70" s="432" t="str">
        <f>IF(LEN(VLOOKUP(AA68,suvaha!$D$8:$H$158,2,FALSE))&lt;3,"",LEFT(RIGHT(VLOOKUP(AA68,suvaha!$D$8:$H$158,2,FALSE),3),1))</f>
        <v>8</v>
      </c>
      <c r="AV70" s="434"/>
      <c r="AW70" s="432" t="str">
        <f>IF(LEN(VLOOKUP(AA68,suvaha!$D$8:$H$158,2,FALSE))&lt;2,"",LEFT(RIGHT(VLOOKUP(AA68,suvaha!$D$8:$H$158,2,FALSE),2),1))</f>
        <v>8</v>
      </c>
      <c r="AX70" s="434"/>
      <c r="AY70" s="432" t="str">
        <f>IF(VLOOKUP(AA68,suvaha!$D$8:$H$85,2,FALSE)=0,"",IF(LEN(VLOOKUP(AA68,suvaha!$D$8:$H$158,2,FALSE))&lt;1,"",LEFT(RIGHT(VLOOKUP(AA68,suvaha!$D$8:$H$158,2,FALSE),1),1)))</f>
        <v>3</v>
      </c>
      <c r="AZ70" s="827"/>
      <c r="BA70" s="826"/>
      <c r="BB70" s="432" t="str">
        <f>IF(LEN(VLOOKUP(AA68,suvaha!$D$8:$H$158,4,FALSE))&lt;11,"",LEFT(RIGHT(VLOOKUP(AA68,suvaha!$D$8:$H$158,4,FALSE),11),1))</f>
        <v/>
      </c>
      <c r="BC70" s="255"/>
      <c r="BD70" s="432" t="str">
        <f>IF(LEN(VLOOKUP(AA68,suvaha!$D$8:$H$158,4,FALSE))&lt;10,"",LEFT(RIGHT(VLOOKUP(AA68,suvaha!$D$8:$H$158,4,FALSE),10),1))</f>
        <v/>
      </c>
      <c r="BE70" s="434"/>
      <c r="BF70" s="432" t="str">
        <f>IF(LEN(VLOOKUP(AA68,suvaha!$D$8:$H$158,4,FALSE))&lt;9,"",LEFT(RIGHT(VLOOKUP(AA68,suvaha!$D$8:$H$158,4,FALSE),9),1))</f>
        <v/>
      </c>
      <c r="BG70" s="255"/>
      <c r="BH70" s="432" t="str">
        <f>IF(LEN(VLOOKUP(AA68,suvaha!$D$8:$H$158,4,FALSE))&lt;8,"",LEFT(RIGHT(VLOOKUP(AA68,suvaha!$D$8:$H$158,4,FALSE),8),1))</f>
        <v/>
      </c>
      <c r="BI70" s="434"/>
      <c r="BJ70" s="432" t="str">
        <f>IF(LEN(VLOOKUP(AA68,suvaha!$D$8:$H$158,4,FALSE))&lt;7,"",LEFT(RIGHT(VLOOKUP(AA68,suvaha!$D$8:$H$158,4,FALSE),7),1))</f>
        <v/>
      </c>
      <c r="BK70" s="818"/>
      <c r="BL70" s="818"/>
      <c r="BM70" s="432" t="str">
        <f>IF(LEN(VLOOKUP(AA68,suvaha!$D$8:$H$158,4,FALSE))&lt;6,"",LEFT(RIGHT(VLOOKUP(AA68,suvaha!$D$8:$H$158,4,FALSE),6),1))</f>
        <v/>
      </c>
      <c r="BN70" s="434"/>
      <c r="BO70" s="432" t="str">
        <f>IF(LEN(VLOOKUP(AA68,suvaha!$D$8:$H$158,4,FALSE))&lt;5,"",LEFT(RIGHT(VLOOKUP(AA68,suvaha!$D$8:$H$158,4,FALSE),5),1))</f>
        <v>4</v>
      </c>
      <c r="BP70" s="434"/>
      <c r="BQ70" s="432" t="str">
        <f>IF(LEN(VLOOKUP(AA68,suvaha!$D$8:$H$158,4,FALSE))&lt;4,"",LEFT(RIGHT(VLOOKUP(AA68,suvaha!$D$8:$H$158,4,FALSE),4),1))</f>
        <v>3</v>
      </c>
      <c r="BR70" s="819"/>
      <c r="BS70" s="432" t="str">
        <f>IF(LEN(VLOOKUP(AA68,suvaha!$D$8:$H$158,4,FALSE))&lt;3,"",LEFT(RIGHT(VLOOKUP(AA68,suvaha!$D$8:$H$158,4,FALSE),3),1))</f>
        <v>8</v>
      </c>
      <c r="BT70" s="434"/>
      <c r="BU70" s="432" t="str">
        <f>IF(LEN(VLOOKUP(AA68,suvaha!$D$8:$H$158,4,FALSE))&lt;2,"",LEFT(RIGHT(VLOOKUP(AA68,suvaha!$D$8:$H$158,4,FALSE),2),1))</f>
        <v>8</v>
      </c>
      <c r="BV70" s="434"/>
      <c r="BW70" s="432" t="str">
        <f>IF(VLOOKUP(AA68,suvaha!$D$8:$H$85,4,FALSE)=0,"",IF(LEN(VLOOKUP(AA68,suvaha!$D$8:$H$158,4,FALSE))&lt;1,"",LEFT(RIGHT(VLOOKUP(AA68,suvaha!$D$8:$H$158,4,FALSE),1),1)))</f>
        <v>3</v>
      </c>
      <c r="BX70" s="441"/>
      <c r="BY70" s="442"/>
      <c r="BZ70" s="442"/>
      <c r="CA70" s="442"/>
      <c r="CB70" s="442"/>
      <c r="CC70" s="442"/>
      <c r="CD70" s="442"/>
      <c r="CE70" s="442"/>
      <c r="CF70" s="442"/>
      <c r="CG70" s="442"/>
      <c r="CH70" s="285"/>
      <c r="CI70" s="220"/>
      <c r="CJ70" s="220"/>
    </row>
    <row r="71" spans="1:88" ht="3" customHeight="1" thickBot="1">
      <c r="E71" s="937"/>
      <c r="F71" s="937"/>
      <c r="G71" s="835"/>
      <c r="H71" s="838"/>
      <c r="I71" s="838"/>
      <c r="J71" s="838"/>
      <c r="K71" s="838"/>
      <c r="L71" s="838"/>
      <c r="M71" s="838"/>
      <c r="N71" s="838"/>
      <c r="O71" s="838"/>
      <c r="P71" s="838"/>
      <c r="Q71" s="838"/>
      <c r="R71" s="838"/>
      <c r="S71" s="838"/>
      <c r="T71" s="838"/>
      <c r="U71" s="838"/>
      <c r="V71" s="838"/>
      <c r="W71" s="838"/>
      <c r="X71" s="838"/>
      <c r="Y71" s="838"/>
      <c r="Z71" s="838"/>
      <c r="AA71" s="841"/>
      <c r="AB71" s="841"/>
      <c r="AC71" s="841"/>
      <c r="AD71" s="845"/>
      <c r="AE71" s="845"/>
      <c r="AF71" s="845"/>
      <c r="AG71" s="845"/>
      <c r="AH71" s="845"/>
      <c r="AI71" s="845"/>
      <c r="AJ71" s="845"/>
      <c r="AK71" s="845"/>
      <c r="AL71" s="845"/>
      <c r="AM71" s="845"/>
      <c r="AN71" s="845"/>
      <c r="AO71" s="845"/>
      <c r="AP71" s="845"/>
      <c r="AQ71" s="845"/>
      <c r="AR71" s="845"/>
      <c r="AS71" s="845"/>
      <c r="AT71" s="845"/>
      <c r="AU71" s="845"/>
      <c r="AV71" s="845"/>
      <c r="AW71" s="845"/>
      <c r="AX71" s="845"/>
      <c r="AY71" s="845"/>
      <c r="AZ71" s="845"/>
      <c r="BA71" s="846"/>
      <c r="BB71" s="846"/>
      <c r="BC71" s="846"/>
      <c r="BD71" s="846"/>
      <c r="BE71" s="846"/>
      <c r="BF71" s="846"/>
      <c r="BG71" s="846"/>
      <c r="BH71" s="846"/>
      <c r="BI71" s="846"/>
      <c r="BJ71" s="846"/>
      <c r="BK71" s="846"/>
      <c r="BL71" s="846"/>
      <c r="BM71" s="846"/>
      <c r="BN71" s="846"/>
      <c r="BO71" s="846"/>
      <c r="BP71" s="846"/>
      <c r="BQ71" s="846"/>
      <c r="BR71" s="846"/>
      <c r="BS71" s="310"/>
      <c r="BT71" s="310"/>
      <c r="BU71" s="310"/>
      <c r="BV71" s="310"/>
      <c r="BW71" s="310"/>
      <c r="BX71" s="443"/>
      <c r="BY71" s="310"/>
      <c r="BZ71" s="310"/>
      <c r="CA71" s="310"/>
      <c r="CB71" s="310"/>
      <c r="CC71" s="310"/>
      <c r="CD71" s="310"/>
      <c r="CE71" s="310"/>
      <c r="CF71" s="310"/>
      <c r="CG71" s="310"/>
      <c r="CH71" s="286"/>
      <c r="CI71" s="220"/>
      <c r="CJ71" s="220"/>
    </row>
    <row r="72" spans="1:88" ht="3" customHeight="1" thickBot="1">
      <c r="E72" s="937"/>
      <c r="F72" s="937"/>
      <c r="G72" s="835"/>
      <c r="H72" s="838"/>
      <c r="I72" s="838"/>
      <c r="J72" s="838"/>
      <c r="K72" s="838"/>
      <c r="L72" s="838"/>
      <c r="M72" s="838"/>
      <c r="N72" s="838"/>
      <c r="O72" s="838"/>
      <c r="P72" s="838"/>
      <c r="Q72" s="838"/>
      <c r="R72" s="838"/>
      <c r="S72" s="838"/>
      <c r="T72" s="838"/>
      <c r="U72" s="838"/>
      <c r="V72" s="838"/>
      <c r="W72" s="838"/>
      <c r="X72" s="838"/>
      <c r="Y72" s="838"/>
      <c r="Z72" s="838"/>
      <c r="AA72" s="841"/>
      <c r="AB72" s="841"/>
      <c r="AC72" s="841"/>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25"/>
      <c r="BA72" s="875"/>
      <c r="BB72" s="875"/>
      <c r="BC72" s="875"/>
      <c r="BD72" s="875"/>
      <c r="BE72" s="875"/>
      <c r="BF72" s="875"/>
      <c r="BG72" s="875"/>
      <c r="BH72" s="875"/>
      <c r="BI72" s="875"/>
      <c r="BJ72" s="875"/>
      <c r="BK72" s="304"/>
      <c r="BL72" s="304"/>
      <c r="BM72" s="304"/>
      <c r="BN72" s="304"/>
      <c r="BO72" s="304"/>
      <c r="BP72" s="304"/>
      <c r="BQ72" s="304"/>
      <c r="BR72" s="304"/>
      <c r="BS72" s="304"/>
      <c r="BT72" s="304"/>
      <c r="BU72" s="304"/>
      <c r="BV72" s="304"/>
      <c r="BW72" s="304"/>
      <c r="BX72" s="304"/>
      <c r="BY72" s="304"/>
      <c r="BZ72" s="304"/>
      <c r="CA72" s="304"/>
      <c r="CB72" s="304"/>
      <c r="CC72" s="304"/>
      <c r="CD72" s="304"/>
      <c r="CE72" s="304"/>
      <c r="CF72" s="304"/>
      <c r="CG72" s="304"/>
      <c r="CH72" s="284"/>
      <c r="CI72" s="220"/>
      <c r="CJ72" s="220"/>
    </row>
    <row r="73" spans="1:88" ht="3" customHeight="1" thickBot="1">
      <c r="E73" s="937"/>
      <c r="F73" s="937"/>
      <c r="G73" s="835"/>
      <c r="H73" s="838"/>
      <c r="I73" s="838"/>
      <c r="J73" s="838"/>
      <c r="K73" s="838"/>
      <c r="L73" s="838"/>
      <c r="M73" s="838"/>
      <c r="N73" s="838"/>
      <c r="O73" s="838"/>
      <c r="P73" s="838"/>
      <c r="Q73" s="838"/>
      <c r="R73" s="838"/>
      <c r="S73" s="838"/>
      <c r="T73" s="838"/>
      <c r="U73" s="838"/>
      <c r="V73" s="838"/>
      <c r="W73" s="838"/>
      <c r="X73" s="838"/>
      <c r="Y73" s="838"/>
      <c r="Z73" s="838"/>
      <c r="AA73" s="841"/>
      <c r="AB73" s="841"/>
      <c r="AC73" s="841"/>
      <c r="AD73" s="826"/>
      <c r="AE73" s="820"/>
      <c r="AF73" s="820"/>
      <c r="AG73" s="820"/>
      <c r="AH73" s="435"/>
      <c r="AI73" s="821"/>
      <c r="AJ73" s="821"/>
      <c r="AK73" s="821"/>
      <c r="AL73" s="821"/>
      <c r="AM73" s="821"/>
      <c r="AN73" s="818" t="s">
        <v>965</v>
      </c>
      <c r="AO73" s="822"/>
      <c r="AP73" s="822"/>
      <c r="AQ73" s="822"/>
      <c r="AR73" s="822"/>
      <c r="AS73" s="822"/>
      <c r="AT73" s="818" t="s">
        <v>965</v>
      </c>
      <c r="AU73" s="822"/>
      <c r="AV73" s="822"/>
      <c r="AW73" s="822"/>
      <c r="AX73" s="822"/>
      <c r="AY73" s="822"/>
      <c r="AZ73" s="827"/>
      <c r="BA73" s="875"/>
      <c r="BB73" s="875"/>
      <c r="BC73" s="875"/>
      <c r="BD73" s="875"/>
      <c r="BE73" s="875"/>
      <c r="BF73" s="875"/>
      <c r="BG73" s="875"/>
      <c r="BH73" s="875"/>
      <c r="BI73" s="875"/>
      <c r="BJ73" s="875"/>
      <c r="BK73" s="442"/>
      <c r="BL73" s="442"/>
      <c r="BM73" s="820"/>
      <c r="BN73" s="820"/>
      <c r="BO73" s="820"/>
      <c r="BP73" s="435"/>
      <c r="BQ73" s="821"/>
      <c r="BR73" s="821"/>
      <c r="BS73" s="821"/>
      <c r="BT73" s="821"/>
      <c r="BU73" s="821"/>
      <c r="BV73" s="818"/>
      <c r="BW73" s="822"/>
      <c r="BX73" s="822"/>
      <c r="BY73" s="822"/>
      <c r="BZ73" s="822"/>
      <c r="CA73" s="822"/>
      <c r="CB73" s="818"/>
      <c r="CC73" s="822"/>
      <c r="CD73" s="822"/>
      <c r="CE73" s="822"/>
      <c r="CF73" s="822"/>
      <c r="CG73" s="822"/>
      <c r="CH73" s="287"/>
      <c r="CI73" s="220"/>
      <c r="CJ73" s="220"/>
    </row>
    <row r="74" spans="1:88" ht="15" customHeight="1" thickBot="1">
      <c r="E74" s="937"/>
      <c r="F74" s="937"/>
      <c r="G74" s="835"/>
      <c r="H74" s="838"/>
      <c r="I74" s="838"/>
      <c r="J74" s="838"/>
      <c r="K74" s="838"/>
      <c r="L74" s="838"/>
      <c r="M74" s="838"/>
      <c r="N74" s="838"/>
      <c r="O74" s="838"/>
      <c r="P74" s="838"/>
      <c r="Q74" s="838"/>
      <c r="R74" s="838"/>
      <c r="S74" s="838"/>
      <c r="T74" s="838"/>
      <c r="U74" s="838"/>
      <c r="V74" s="838"/>
      <c r="W74" s="838"/>
      <c r="X74" s="838"/>
      <c r="Y74" s="838"/>
      <c r="Z74" s="838"/>
      <c r="AA74" s="841"/>
      <c r="AB74" s="841"/>
      <c r="AC74" s="841"/>
      <c r="AD74" s="826"/>
      <c r="AE74" s="432" t="str">
        <f>IF(LEN(VLOOKUP(AA68,suvaha!$D$8:$H$158,3,FALSE))&lt;11,"",LEFT(RIGHT(VLOOKUP(AA68,suvaha!$D$8:$H$158,3,FALSE),11),1))</f>
        <v/>
      </c>
      <c r="AF74" s="255" t="s">
        <v>965</v>
      </c>
      <c r="AG74" s="432" t="str">
        <f>IF(LEN(VLOOKUP(AA68,suvaha!$D$8:$H$158,3,FALSE))&lt;10,"",LEFT(RIGHT(VLOOKUP(AA68,suvaha!$D$8:$H$158,3,FALSE),10),1))</f>
        <v/>
      </c>
      <c r="AH74" s="434" t="s">
        <v>965</v>
      </c>
      <c r="AI74" s="432" t="str">
        <f>IF(LEN(VLOOKUP(AA68,suvaha!$D$8:$H$158,3,FALSE))&lt;9,"",LEFT(RIGHT(VLOOKUP(AA68,suvaha!$D$8:$H$158,3,FALSE),9),1))</f>
        <v/>
      </c>
      <c r="AJ74" s="255" t="s">
        <v>965</v>
      </c>
      <c r="AK74" s="432" t="str">
        <f>IF(LEN(VLOOKUP(AA68,suvaha!$D$8:$H$158,3,FALSE))&lt;8,"",LEFT(RIGHT(VLOOKUP(AA68,suvaha!$D$8:$H$158,3,FALSE),8),1))</f>
        <v/>
      </c>
      <c r="AL74" s="434" t="s">
        <v>965</v>
      </c>
      <c r="AM74" s="432" t="str">
        <f>IF(LEN(VLOOKUP(AA68,suvaha!$D$8:$H$158,3,FALSE))&lt;7,"",LEFT(RIGHT(VLOOKUP(AA68,suvaha!$D$8:$H$158,3,FALSE),7),1))</f>
        <v/>
      </c>
      <c r="AN74" s="818"/>
      <c r="AO74" s="432" t="str">
        <f>IF(LEN(VLOOKUP(AA68,suvaha!$D$8:$H$158,3,FALSE))&lt;6,"",LEFT(RIGHT(VLOOKUP(AA68,suvaha!$D$8:$H$158,3,FALSE),6),1))</f>
        <v/>
      </c>
      <c r="AP74" s="434" t="s">
        <v>965</v>
      </c>
      <c r="AQ74" s="432" t="str">
        <f>IF(LEN(VLOOKUP(AA68,suvaha!$D$8:$H$158,3,FALSE))&lt;5,"",LEFT(RIGHT(VLOOKUP(AA68,suvaha!$D$8:$H$158,3,FALSE),5),1))</f>
        <v/>
      </c>
      <c r="AR74" s="434" t="s">
        <v>965</v>
      </c>
      <c r="AS74" s="432" t="str">
        <f>IF(LEN(VLOOKUP(AA68,suvaha!$D$8:$H$158,3,FALSE))&lt;4,"",LEFT(RIGHT(VLOOKUP(AA68,suvaha!$D$8:$H$158,3,FALSE),4),1))</f>
        <v/>
      </c>
      <c r="AT74" s="818"/>
      <c r="AU74" s="432" t="str">
        <f>IF(LEN(VLOOKUP(AA68,suvaha!$D$8:$H$158,3,FALSE))&lt;3,"",LEFT(RIGHT(VLOOKUP(AA68,suvaha!$D$8:$H$158,3,FALSE),3),1))</f>
        <v/>
      </c>
      <c r="AV74" s="434" t="s">
        <v>965</v>
      </c>
      <c r="AW74" s="432" t="str">
        <f>IF(LEN(VLOOKUP(AA68,suvaha!$D$8:$H$158,3,FALSE))&lt;2,"",LEFT(RIGHT(VLOOKUP(AA68,suvaha!$D$8:$H$158,3,FALSE),2),1))</f>
        <v/>
      </c>
      <c r="AX74" s="434" t="s">
        <v>965</v>
      </c>
      <c r="AY74" s="432" t="str">
        <f>IF(VLOOKUP(AA68,suvaha!$D$8:$H$85,3,FALSE)=0,"",IF(LEN(VLOOKUP(AA68,suvaha!$D$8:$H$158,3,FALSE))&lt;1,"",LEFT(RIGHT(VLOOKUP(AA68,suvaha!$D$8:$H$158,3,FALSE),1),1)))</f>
        <v/>
      </c>
      <c r="AZ74" s="827"/>
      <c r="BA74" s="875"/>
      <c r="BB74" s="875"/>
      <c r="BC74" s="875"/>
      <c r="BD74" s="875"/>
      <c r="BE74" s="875"/>
      <c r="BF74" s="875"/>
      <c r="BG74" s="875"/>
      <c r="BH74" s="875"/>
      <c r="BI74" s="875"/>
      <c r="BJ74" s="875"/>
      <c r="BK74" s="442"/>
      <c r="BL74" s="442"/>
      <c r="BM74" s="432" t="str">
        <f>IF(LEN(VLOOKUP(AA68,suvaha!$D$8:$H$158,5,FALSE))&lt;11,"",LEFT(RIGHT(VLOOKUP(AA68,suvaha!$D$8:$H$158,5,FALSE),11),1))</f>
        <v/>
      </c>
      <c r="BN74" s="255" t="s">
        <v>965</v>
      </c>
      <c r="BO74" s="432" t="str">
        <f>IF(LEN(VLOOKUP(AA68,suvaha!$D$8:$H$158,5,FALSE))&lt;10,"",LEFT(RIGHT(VLOOKUP(AA68,suvaha!$D$8:$H$158,5,FALSE),10),1))</f>
        <v/>
      </c>
      <c r="BP74" s="434" t="s">
        <v>965</v>
      </c>
      <c r="BQ74" s="432" t="str">
        <f>IF(LEN(VLOOKUP(AA68,suvaha!$D$8:$H$158,5,FALSE))&lt;9,"",LEFT(RIGHT(VLOOKUP(AA68,suvaha!$D$8:$H$158,5,FALSE),9),1))</f>
        <v/>
      </c>
      <c r="BR74" s="255" t="s">
        <v>965</v>
      </c>
      <c r="BS74" s="432" t="str">
        <f>IF(LEN(VLOOKUP(AA68,suvaha!$D$8:$H$158,5,FALSE))&lt;8,"",LEFT(RIGHT(VLOOKUP(AA68,suvaha!$D$8:$H$158,5,FALSE),8),1))</f>
        <v/>
      </c>
      <c r="BT74" s="434" t="s">
        <v>965</v>
      </c>
      <c r="BU74" s="432" t="str">
        <f>IF(LEN(VLOOKUP(AA68,suvaha!$D$8:$H$158,5,FALSE))&lt;7,"",LEFT(RIGHT(VLOOKUP(AA68,suvaha!$D$8:$H$158,5,FALSE),7),1))</f>
        <v/>
      </c>
      <c r="BV74" s="818" t="s">
        <v>965</v>
      </c>
      <c r="BW74" s="432" t="str">
        <f>IF(LEN(VLOOKUP(AA68,suvaha!$D$8:$H$158,5,FALSE))&lt;6,"",LEFT(RIGHT(VLOOKUP(AA68,suvaha!$D$8:$H$158,5,FALSE),6),1))</f>
        <v>2</v>
      </c>
      <c r="BX74" s="434" t="s">
        <v>965</v>
      </c>
      <c r="BY74" s="432" t="str">
        <f>IF(LEN(VLOOKUP(AA68,suvaha!$D$8:$H$158,5,FALSE))&lt;5,"",LEFT(RIGHT(VLOOKUP(AA68,suvaha!$D$8:$H$158,5,FALSE),5),1))</f>
        <v>3</v>
      </c>
      <c r="BZ74" s="434" t="s">
        <v>965</v>
      </c>
      <c r="CA74" s="432" t="str">
        <f>IF(LEN(VLOOKUP(AA68,suvaha!$D$8:$H$158,5,FALSE))&lt;4,"",LEFT(RIGHT(VLOOKUP(AA68,suvaha!$D$8:$H$158,5,FALSE),4),1))</f>
        <v>7</v>
      </c>
      <c r="CB74" s="818" t="s">
        <v>965</v>
      </c>
      <c r="CC74" s="432" t="str">
        <f>IF(LEN(VLOOKUP(AA68,suvaha!$D$8:$H$158,5,FALSE))&lt;3,"",LEFT(RIGHT(VLOOKUP(AA68,suvaha!$D$8:$H$158,5,FALSE),3),1))</f>
        <v>0</v>
      </c>
      <c r="CD74" s="434" t="s">
        <v>965</v>
      </c>
      <c r="CE74" s="432" t="str">
        <f>IF(LEN(VLOOKUP(AA68,suvaha!$D$8:$H$158,5,FALSE))&lt;2,"",LEFT(RIGHT(VLOOKUP(AA68,suvaha!$D$8:$H$158,5,FALSE),2),1))</f>
        <v>2</v>
      </c>
      <c r="CF74" s="434" t="s">
        <v>1540</v>
      </c>
      <c r="CG74" s="432" t="str">
        <f>IF(VLOOKUP(AA68,suvaha!$D$8:$H$85,5,FALSE)=0,"",IF(LEN(VLOOKUP(AA68,suvaha!$D$8:$H$158,5,FALSE))&lt;1,"",LEFT(RIGHT(VLOOKUP(AA68,suvaha!$D$8:$H$158,5,FALSE),1),1)))</f>
        <v>9</v>
      </c>
      <c r="CH74" s="287"/>
      <c r="CI74" s="220"/>
      <c r="CJ74" s="220"/>
    </row>
    <row r="75" spans="1:88" ht="3" customHeight="1" thickBot="1">
      <c r="E75" s="937"/>
      <c r="F75" s="937"/>
      <c r="G75" s="835"/>
      <c r="H75" s="838"/>
      <c r="I75" s="838"/>
      <c r="J75" s="838"/>
      <c r="K75" s="838"/>
      <c r="L75" s="838"/>
      <c r="M75" s="838"/>
      <c r="N75" s="838"/>
      <c r="O75" s="838"/>
      <c r="P75" s="838"/>
      <c r="Q75" s="838"/>
      <c r="R75" s="838"/>
      <c r="S75" s="838"/>
      <c r="T75" s="838"/>
      <c r="U75" s="838"/>
      <c r="V75" s="838"/>
      <c r="W75" s="838"/>
      <c r="X75" s="838"/>
      <c r="Y75" s="838"/>
      <c r="Z75" s="838"/>
      <c r="AA75" s="841"/>
      <c r="AB75" s="841"/>
      <c r="AC75" s="841"/>
      <c r="AD75" s="845"/>
      <c r="AE75" s="845"/>
      <c r="AF75" s="845"/>
      <c r="AG75" s="845"/>
      <c r="AH75" s="845"/>
      <c r="AI75" s="845"/>
      <c r="AJ75" s="845"/>
      <c r="AK75" s="845"/>
      <c r="AL75" s="845"/>
      <c r="AM75" s="845"/>
      <c r="AN75" s="845"/>
      <c r="AO75" s="845"/>
      <c r="AP75" s="845"/>
      <c r="AQ75" s="845"/>
      <c r="AR75" s="845"/>
      <c r="AS75" s="845"/>
      <c r="AT75" s="845"/>
      <c r="AU75" s="845"/>
      <c r="AV75" s="845"/>
      <c r="AW75" s="845"/>
      <c r="AX75" s="845"/>
      <c r="AY75" s="845"/>
      <c r="AZ75" s="845"/>
      <c r="BA75" s="875"/>
      <c r="BB75" s="875"/>
      <c r="BC75" s="875"/>
      <c r="BD75" s="875"/>
      <c r="BE75" s="875"/>
      <c r="BF75" s="875"/>
      <c r="BG75" s="875"/>
      <c r="BH75" s="875"/>
      <c r="BI75" s="875"/>
      <c r="BJ75" s="875"/>
      <c r="BK75" s="310"/>
      <c r="BL75" s="310"/>
      <c r="BM75" s="310"/>
      <c r="BN75" s="310"/>
      <c r="BO75" s="310"/>
      <c r="BP75" s="310"/>
      <c r="BQ75" s="310"/>
      <c r="BR75" s="310"/>
      <c r="BS75" s="310"/>
      <c r="BT75" s="310"/>
      <c r="BU75" s="310"/>
      <c r="BV75" s="310"/>
      <c r="BW75" s="310"/>
      <c r="BX75" s="310"/>
      <c r="BY75" s="310"/>
      <c r="BZ75" s="310"/>
      <c r="CA75" s="310"/>
      <c r="CB75" s="310"/>
      <c r="CC75" s="310"/>
      <c r="CD75" s="310"/>
      <c r="CE75" s="310"/>
      <c r="CF75" s="310"/>
      <c r="CG75" s="310"/>
      <c r="CH75" s="286"/>
      <c r="CI75" s="220"/>
      <c r="CJ75" s="220"/>
    </row>
    <row r="76" spans="1:88" ht="6" customHeight="1" thickBot="1">
      <c r="D76" s="220"/>
      <c r="E76" s="268"/>
      <c r="F76" s="268"/>
      <c r="G76" s="268"/>
      <c r="H76" s="240"/>
      <c r="I76" s="240"/>
      <c r="J76" s="240"/>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220"/>
      <c r="CJ76" s="220"/>
    </row>
    <row r="77" spans="1:88" ht="12.75" customHeight="1" thickBot="1">
      <c r="C77" s="224"/>
      <c r="D77" s="224"/>
      <c r="E77" s="1000" t="str">
        <f>Index!C410</f>
        <v>Ozna-čenie</v>
      </c>
      <c r="F77" s="1000"/>
      <c r="G77" s="1001" t="str">
        <f>Index!C432</f>
        <v>STRANA PASÍV</v>
      </c>
      <c r="H77" s="1001"/>
      <c r="I77" s="1001"/>
      <c r="J77" s="1001"/>
      <c r="K77" s="1001"/>
      <c r="L77" s="1001"/>
      <c r="M77" s="1001"/>
      <c r="N77" s="1001"/>
      <c r="O77" s="1001"/>
      <c r="P77" s="1001"/>
      <c r="Q77" s="1001"/>
      <c r="R77" s="1001"/>
      <c r="S77" s="1001"/>
      <c r="T77" s="1001"/>
      <c r="U77" s="1001"/>
      <c r="V77" s="1001"/>
      <c r="W77" s="1001"/>
      <c r="X77" s="1001"/>
      <c r="Y77" s="1001"/>
      <c r="Z77" s="1001"/>
      <c r="AA77" s="1001"/>
      <c r="AB77" s="1001"/>
      <c r="AC77" s="1001"/>
      <c r="AD77" s="1001"/>
      <c r="AE77" s="1001"/>
      <c r="AF77" s="1001"/>
      <c r="AG77" s="1001"/>
      <c r="AH77" s="1001"/>
      <c r="AI77" s="1001"/>
      <c r="AJ77" s="1001"/>
      <c r="AK77" s="1002" t="str">
        <f>Index!C433</f>
        <v>Číslo riadku</v>
      </c>
      <c r="AL77" s="1002"/>
      <c r="AM77" s="1002"/>
      <c r="AN77" s="1001" t="str">
        <f>Index!C414</f>
        <v>Bežné účtovné obdobie</v>
      </c>
      <c r="AO77" s="1001"/>
      <c r="AP77" s="1001"/>
      <c r="AQ77" s="1001"/>
      <c r="AR77" s="1001"/>
      <c r="AS77" s="1001"/>
      <c r="AT77" s="1001"/>
      <c r="AU77" s="1001"/>
      <c r="AV77" s="1001"/>
      <c r="AW77" s="1001"/>
      <c r="AX77" s="1001"/>
      <c r="AY77" s="1001"/>
      <c r="AZ77" s="1001"/>
      <c r="BA77" s="1001"/>
      <c r="BB77" s="1001"/>
      <c r="BC77" s="1001"/>
      <c r="BD77" s="1001"/>
      <c r="BE77" s="1001"/>
      <c r="BF77" s="1001"/>
      <c r="BG77" s="1001"/>
      <c r="BH77" s="1001"/>
      <c r="BI77" s="1001"/>
      <c r="BJ77" s="1003"/>
      <c r="BK77" s="368"/>
      <c r="BL77" s="1004" t="str">
        <f>Index!C415</f>
        <v>Bezprostredne predchádzajúce účtovné obdobie</v>
      </c>
      <c r="BM77" s="1004"/>
      <c r="BN77" s="1004"/>
      <c r="BO77" s="1004"/>
      <c r="BP77" s="1004"/>
      <c r="BQ77" s="1004"/>
      <c r="BR77" s="1004"/>
      <c r="BS77" s="1004"/>
      <c r="BT77" s="1004"/>
      <c r="BU77" s="1004"/>
      <c r="BV77" s="1004"/>
      <c r="BW77" s="1004"/>
      <c r="BX77" s="1004"/>
      <c r="BY77" s="1004"/>
      <c r="BZ77" s="1004"/>
      <c r="CA77" s="1004"/>
      <c r="CB77" s="1004"/>
      <c r="CC77" s="1004"/>
      <c r="CD77" s="1004"/>
      <c r="CE77" s="1004"/>
      <c r="CF77" s="1004"/>
      <c r="CG77" s="1004"/>
      <c r="CH77" s="1004"/>
      <c r="CI77" s="220"/>
      <c r="CJ77" s="220"/>
    </row>
    <row r="78" spans="1:88" ht="11.25" customHeight="1">
      <c r="B78" s="878"/>
      <c r="C78" s="878"/>
      <c r="D78" s="878"/>
      <c r="E78" s="1000"/>
      <c r="F78" s="1000"/>
      <c r="G78" s="1001"/>
      <c r="H78" s="1001"/>
      <c r="I78" s="1001"/>
      <c r="J78" s="1001"/>
      <c r="K78" s="1001"/>
      <c r="L78" s="1001"/>
      <c r="M78" s="1001"/>
      <c r="N78" s="1001"/>
      <c r="O78" s="1001"/>
      <c r="P78" s="1001"/>
      <c r="Q78" s="1001"/>
      <c r="R78" s="1001"/>
      <c r="S78" s="1001"/>
      <c r="T78" s="1001"/>
      <c r="U78" s="1001"/>
      <c r="V78" s="1001"/>
      <c r="W78" s="1001"/>
      <c r="X78" s="1001"/>
      <c r="Y78" s="1001"/>
      <c r="Z78" s="1001"/>
      <c r="AA78" s="1001"/>
      <c r="AB78" s="1001"/>
      <c r="AC78" s="1001"/>
      <c r="AD78" s="1001"/>
      <c r="AE78" s="1001"/>
      <c r="AF78" s="1001"/>
      <c r="AG78" s="1001"/>
      <c r="AH78" s="1001"/>
      <c r="AI78" s="1001"/>
      <c r="AJ78" s="1001"/>
      <c r="AK78" s="1002"/>
      <c r="AL78" s="1002"/>
      <c r="AM78" s="1002"/>
      <c r="AN78" s="1001"/>
      <c r="AO78" s="1001"/>
      <c r="AP78" s="1001"/>
      <c r="AQ78" s="1001"/>
      <c r="AR78" s="1001"/>
      <c r="AS78" s="1001"/>
      <c r="AT78" s="1001"/>
      <c r="AU78" s="1001"/>
      <c r="AV78" s="1001"/>
      <c r="AW78" s="1001"/>
      <c r="AX78" s="1001"/>
      <c r="AY78" s="1001"/>
      <c r="AZ78" s="1001"/>
      <c r="BA78" s="1001"/>
      <c r="BB78" s="1001"/>
      <c r="BC78" s="1001"/>
      <c r="BD78" s="1001"/>
      <c r="BE78" s="1001"/>
      <c r="BF78" s="1001"/>
      <c r="BG78" s="1001"/>
      <c r="BH78" s="1001"/>
      <c r="BI78" s="1001"/>
      <c r="BJ78" s="1003"/>
      <c r="BK78" s="297"/>
      <c r="BL78" s="1004"/>
      <c r="BM78" s="1004"/>
      <c r="BN78" s="1004"/>
      <c r="BO78" s="1004"/>
      <c r="BP78" s="1004"/>
      <c r="BQ78" s="1004"/>
      <c r="BR78" s="1004"/>
      <c r="BS78" s="1004"/>
      <c r="BT78" s="1004"/>
      <c r="BU78" s="1004"/>
      <c r="BV78" s="1004"/>
      <c r="BW78" s="1004"/>
      <c r="BX78" s="1004"/>
      <c r="BY78" s="1004"/>
      <c r="BZ78" s="1004"/>
      <c r="CA78" s="1004"/>
      <c r="CB78" s="1004"/>
      <c r="CC78" s="1004"/>
      <c r="CD78" s="1004"/>
      <c r="CE78" s="1004"/>
      <c r="CF78" s="1004"/>
      <c r="CG78" s="1004"/>
      <c r="CH78" s="1004"/>
      <c r="CI78" s="220"/>
      <c r="CJ78" s="220"/>
    </row>
    <row r="79" spans="1:88" s="301" customFormat="1" ht="9" customHeight="1">
      <c r="A79" s="298"/>
      <c r="B79" s="996"/>
      <c r="C79" s="996"/>
      <c r="D79" s="298"/>
      <c r="E79" s="997" t="s">
        <v>491</v>
      </c>
      <c r="F79" s="997"/>
      <c r="G79" s="998" t="s">
        <v>492</v>
      </c>
      <c r="H79" s="998"/>
      <c r="I79" s="998"/>
      <c r="J79" s="998"/>
      <c r="K79" s="998"/>
      <c r="L79" s="998"/>
      <c r="M79" s="998"/>
      <c r="N79" s="998"/>
      <c r="O79" s="998"/>
      <c r="P79" s="998"/>
      <c r="Q79" s="998"/>
      <c r="R79" s="998"/>
      <c r="S79" s="998"/>
      <c r="T79" s="998"/>
      <c r="U79" s="998"/>
      <c r="V79" s="998"/>
      <c r="W79" s="998"/>
      <c r="X79" s="998"/>
      <c r="Y79" s="998"/>
      <c r="Z79" s="998"/>
      <c r="AA79" s="998"/>
      <c r="AB79" s="998"/>
      <c r="AC79" s="998"/>
      <c r="AD79" s="998"/>
      <c r="AE79" s="998"/>
      <c r="AF79" s="998"/>
      <c r="AG79" s="998"/>
      <c r="AH79" s="998"/>
      <c r="AI79" s="998"/>
      <c r="AJ79" s="998"/>
      <c r="AK79" s="998" t="s">
        <v>493</v>
      </c>
      <c r="AL79" s="998"/>
      <c r="AM79" s="998"/>
      <c r="AN79" s="998">
        <v>4</v>
      </c>
      <c r="AO79" s="998"/>
      <c r="AP79" s="998"/>
      <c r="AQ79" s="998"/>
      <c r="AR79" s="998"/>
      <c r="AS79" s="998"/>
      <c r="AT79" s="998"/>
      <c r="AU79" s="998"/>
      <c r="AV79" s="998"/>
      <c r="AW79" s="998"/>
      <c r="AX79" s="998"/>
      <c r="AY79" s="998"/>
      <c r="AZ79" s="998"/>
      <c r="BA79" s="998"/>
      <c r="BB79" s="998"/>
      <c r="BC79" s="998"/>
      <c r="BD79" s="998"/>
      <c r="BE79" s="998"/>
      <c r="BF79" s="998"/>
      <c r="BG79" s="998"/>
      <c r="BH79" s="998"/>
      <c r="BI79" s="998"/>
      <c r="BJ79" s="999"/>
      <c r="BK79" s="299"/>
      <c r="BL79" s="994">
        <v>5</v>
      </c>
      <c r="BM79" s="994"/>
      <c r="BN79" s="994"/>
      <c r="BO79" s="994"/>
      <c r="BP79" s="994"/>
      <c r="BQ79" s="994"/>
      <c r="BR79" s="994"/>
      <c r="BS79" s="994"/>
      <c r="BT79" s="994"/>
      <c r="BU79" s="994"/>
      <c r="BV79" s="994"/>
      <c r="BW79" s="994"/>
      <c r="BX79" s="994"/>
      <c r="BY79" s="994"/>
      <c r="BZ79" s="994"/>
      <c r="CA79" s="994"/>
      <c r="CB79" s="994"/>
      <c r="CC79" s="994"/>
      <c r="CD79" s="994"/>
      <c r="CE79" s="994"/>
      <c r="CF79" s="994"/>
      <c r="CG79" s="994"/>
      <c r="CH79" s="994"/>
      <c r="CI79" s="300"/>
      <c r="CJ79" s="300"/>
    </row>
    <row r="80" spans="1:88" s="250" customFormat="1" ht="3" customHeight="1">
      <c r="A80" s="220"/>
      <c r="B80" s="220"/>
      <c r="C80" s="224"/>
      <c r="D80" s="224"/>
      <c r="E80" s="995"/>
      <c r="F80" s="995"/>
      <c r="G80" s="992" t="str">
        <f>Index!C130</f>
        <v>Spolu vlastné imanie a záväzky r. 80 + r. 101 + r. 141</v>
      </c>
      <c r="H80" s="992"/>
      <c r="I80" s="992"/>
      <c r="J80" s="992"/>
      <c r="K80" s="992"/>
      <c r="L80" s="992"/>
      <c r="M80" s="992"/>
      <c r="N80" s="992"/>
      <c r="O80" s="992"/>
      <c r="P80" s="992"/>
      <c r="Q80" s="992"/>
      <c r="R80" s="992"/>
      <c r="S80" s="992"/>
      <c r="T80" s="992"/>
      <c r="U80" s="992"/>
      <c r="V80" s="992"/>
      <c r="W80" s="992"/>
      <c r="X80" s="992"/>
      <c r="Y80" s="992"/>
      <c r="Z80" s="992"/>
      <c r="AA80" s="992"/>
      <c r="AB80" s="992"/>
      <c r="AC80" s="992"/>
      <c r="AD80" s="992"/>
      <c r="AE80" s="992"/>
      <c r="AF80" s="992"/>
      <c r="AG80" s="992"/>
      <c r="AH80" s="992"/>
      <c r="AI80" s="992"/>
      <c r="AJ80" s="992"/>
      <c r="AK80" s="993" t="s">
        <v>1645</v>
      </c>
      <c r="AL80" s="993"/>
      <c r="AM80" s="993"/>
      <c r="AN80" s="357"/>
      <c r="AO80" s="361"/>
      <c r="AP80" s="361"/>
      <c r="AQ80" s="361"/>
      <c r="AR80" s="361"/>
      <c r="AS80" s="361"/>
      <c r="AT80" s="361"/>
      <c r="AU80" s="361"/>
      <c r="AV80" s="361"/>
      <c r="AW80" s="361"/>
      <c r="AX80" s="361"/>
      <c r="AY80" s="361"/>
      <c r="AZ80" s="361"/>
      <c r="BA80" s="361"/>
      <c r="BB80" s="361"/>
      <c r="BC80" s="361"/>
      <c r="BD80" s="361"/>
      <c r="BE80" s="251"/>
      <c r="BF80" s="251"/>
      <c r="BG80" s="251"/>
      <c r="BH80" s="251"/>
      <c r="BI80" s="251"/>
      <c r="BJ80" s="251"/>
      <c r="BK80" s="251"/>
      <c r="BL80" s="844"/>
      <c r="BM80" s="844"/>
      <c r="BN80" s="844"/>
      <c r="BO80" s="844"/>
      <c r="BP80" s="844"/>
      <c r="BQ80" s="844"/>
      <c r="BR80" s="844"/>
      <c r="BS80" s="844"/>
      <c r="BT80" s="844"/>
      <c r="BU80" s="844"/>
      <c r="BV80" s="844"/>
      <c r="BW80" s="844"/>
      <c r="BX80" s="844"/>
      <c r="BY80" s="844"/>
      <c r="BZ80" s="844"/>
      <c r="CA80" s="844"/>
      <c r="CB80" s="844"/>
      <c r="CC80" s="251"/>
      <c r="CD80" s="251"/>
      <c r="CE80" s="251"/>
      <c r="CF80" s="251"/>
      <c r="CG80" s="251"/>
      <c r="CH80" s="284"/>
      <c r="CI80" s="288"/>
      <c r="CJ80" s="288"/>
    </row>
    <row r="81" spans="1:88" s="250" customFormat="1" ht="3" customHeight="1">
      <c r="A81" s="220"/>
      <c r="B81" s="220"/>
      <c r="C81" s="220"/>
      <c r="D81" s="220"/>
      <c r="E81" s="995"/>
      <c r="F81" s="995"/>
      <c r="G81" s="992"/>
      <c r="H81" s="992"/>
      <c r="I81" s="992"/>
      <c r="J81" s="992"/>
      <c r="K81" s="992"/>
      <c r="L81" s="992"/>
      <c r="M81" s="992"/>
      <c r="N81" s="992"/>
      <c r="O81" s="992"/>
      <c r="P81" s="992"/>
      <c r="Q81" s="992"/>
      <c r="R81" s="992"/>
      <c r="S81" s="992"/>
      <c r="T81" s="992"/>
      <c r="U81" s="992"/>
      <c r="V81" s="992"/>
      <c r="W81" s="992"/>
      <c r="X81" s="992"/>
      <c r="Y81" s="992"/>
      <c r="Z81" s="992"/>
      <c r="AA81" s="992"/>
      <c r="AB81" s="992"/>
      <c r="AC81" s="992"/>
      <c r="AD81" s="992"/>
      <c r="AE81" s="992"/>
      <c r="AF81" s="992"/>
      <c r="AG81" s="992"/>
      <c r="AH81" s="992"/>
      <c r="AI81" s="992"/>
      <c r="AJ81" s="992"/>
      <c r="AK81" s="993"/>
      <c r="AL81" s="993"/>
      <c r="AM81" s="993"/>
      <c r="AN81" s="355"/>
      <c r="AO81" s="436"/>
      <c r="AP81" s="436"/>
      <c r="AQ81" s="436"/>
      <c r="AR81" s="435"/>
      <c r="AS81" s="439"/>
      <c r="AT81" s="439"/>
      <c r="AU81" s="439"/>
      <c r="AV81" s="439"/>
      <c r="AW81" s="439"/>
      <c r="AX81" s="440"/>
      <c r="AY81" s="821"/>
      <c r="AZ81" s="821"/>
      <c r="BA81" s="821"/>
      <c r="BB81" s="821"/>
      <c r="BC81" s="821"/>
      <c r="BD81" s="821"/>
      <c r="BE81" s="434"/>
      <c r="BF81" s="968"/>
      <c r="BG81" s="968"/>
      <c r="BH81" s="968"/>
      <c r="BI81" s="968"/>
      <c r="BJ81" s="968"/>
      <c r="BK81" s="851"/>
      <c r="BL81" s="826"/>
      <c r="BM81" s="820"/>
      <c r="BN81" s="820"/>
      <c r="BO81" s="820"/>
      <c r="BP81" s="435"/>
      <c r="BQ81" s="821"/>
      <c r="BR81" s="821"/>
      <c r="BS81" s="821"/>
      <c r="BT81" s="821"/>
      <c r="BU81" s="821"/>
      <c r="BV81" s="818"/>
      <c r="BW81" s="822"/>
      <c r="BX81" s="822"/>
      <c r="BY81" s="822"/>
      <c r="BZ81" s="822"/>
      <c r="CA81" s="822"/>
      <c r="CB81" s="819"/>
      <c r="CC81" s="822"/>
      <c r="CD81" s="822"/>
      <c r="CE81" s="822"/>
      <c r="CF81" s="822"/>
      <c r="CG81" s="822"/>
      <c r="CH81" s="285"/>
      <c r="CI81" s="288"/>
      <c r="CJ81" s="288"/>
    </row>
    <row r="82" spans="1:88" ht="15" customHeight="1">
      <c r="E82" s="995"/>
      <c r="F82" s="995"/>
      <c r="G82" s="992"/>
      <c r="H82" s="992"/>
      <c r="I82" s="992"/>
      <c r="J82" s="992"/>
      <c r="K82" s="992"/>
      <c r="L82" s="992"/>
      <c r="M82" s="992"/>
      <c r="N82" s="992"/>
      <c r="O82" s="992"/>
      <c r="P82" s="992"/>
      <c r="Q82" s="992"/>
      <c r="R82" s="992"/>
      <c r="S82" s="992"/>
      <c r="T82" s="992"/>
      <c r="U82" s="992"/>
      <c r="V82" s="992"/>
      <c r="W82" s="992"/>
      <c r="X82" s="992"/>
      <c r="Y82" s="992"/>
      <c r="Z82" s="992"/>
      <c r="AA82" s="992"/>
      <c r="AB82" s="992"/>
      <c r="AC82" s="992"/>
      <c r="AD82" s="992"/>
      <c r="AE82" s="992"/>
      <c r="AF82" s="992"/>
      <c r="AG82" s="992"/>
      <c r="AH82" s="992"/>
      <c r="AI82" s="992"/>
      <c r="AJ82" s="992"/>
      <c r="AK82" s="993"/>
      <c r="AL82" s="993"/>
      <c r="AM82" s="993"/>
      <c r="AN82" s="355"/>
      <c r="AO82" s="432" t="str">
        <f>IF(LEN(VLOOKUP(AK80,suvaha!$D$92:$H$158,2,FALSE))&lt;11,"",LEFT(RIGHT(VLOOKUP(AK80,suvaha!$D$92:$H$158,2,FALSE),11),1))</f>
        <v>6</v>
      </c>
      <c r="AP82" s="255"/>
      <c r="AQ82" s="432" t="str">
        <f>IF(LEN(VLOOKUP(AK80,suvaha!$D$92:$H$158,2,FALSE))&lt;10,"",LEFT(RIGHT(VLOOKUP(AK80,suvaha!$D$92:$H$158,2,FALSE),10),1))</f>
        <v>4</v>
      </c>
      <c r="AR82" s="434"/>
      <c r="AS82" s="432" t="str">
        <f>IF(LEN(VLOOKUP(AK80,suvaha!$D$92:$H$158,2,FALSE))&lt;9,"",LEFT(RIGHT(VLOOKUP(AK80,suvaha!$D$92:$H$158,2,FALSE),9),1))</f>
        <v>2</v>
      </c>
      <c r="AT82" s="255"/>
      <c r="AU82" s="432" t="str">
        <f>IF(LEN(VLOOKUP(AK80,suvaha!$D$92:$H$158,2,FALSE))&lt;8,"",LEFT(RIGHT(VLOOKUP(AK80,suvaha!$D$92:$H$158,2,FALSE),8),1))</f>
        <v>0</v>
      </c>
      <c r="AV82" s="434"/>
      <c r="AW82" s="432" t="str">
        <f>IF(LEN(VLOOKUP(AK80,suvaha!$D$92:$H$158,2,FALSE))&lt;7,"",LEFT(RIGHT(VLOOKUP(AK80,suvaha!$D$92:$H$158,2,FALSE),7),1))</f>
        <v>4</v>
      </c>
      <c r="AX82" s="440"/>
      <c r="AY82" s="432" t="str">
        <f>IF(LEN(VLOOKUP(AK80,suvaha!$D$92:$H$158,2,FALSE))&lt;6,"",LEFT(RIGHT(VLOOKUP(AK80,suvaha!$D$92:$H$158,2,FALSE),6),1))</f>
        <v>5</v>
      </c>
      <c r="AZ82" s="255"/>
      <c r="BA82" s="961" t="str">
        <f>IF(LEN(VLOOKUP(AK80,suvaha!$D$92:$H$158,2,FALSE))&lt;5,"",LEFT(RIGHT(VLOOKUP(AK80,suvaha!$D$92:$H$158,2,FALSE),5),1))</f>
        <v>0</v>
      </c>
      <c r="BB82" s="961" t="e">
        <f>IF(LEN(#REF!)&lt;5,"",LEFT(RIGHT(#REF!,5),1))</f>
        <v>#REF!</v>
      </c>
      <c r="BC82" s="434"/>
      <c r="BD82" s="432" t="str">
        <f>IF(LEN(VLOOKUP(AK80,suvaha!$D$92:$H$158,2,FALSE))&lt;4,"",LEFT(RIGHT(VLOOKUP(AK80,suvaha!$D$92:$H$158,2,FALSE),4),1))</f>
        <v>8</v>
      </c>
      <c r="BE82" s="434"/>
      <c r="BF82" s="432" t="str">
        <f>IF(LEN(VLOOKUP(AK80,suvaha!$D$92:$H$158,2,FALSE))&lt;3,"",LEFT(RIGHT(VLOOKUP(AK80,suvaha!$D$92:$H$158,2,FALSE),3),1))</f>
        <v>,</v>
      </c>
      <c r="BG82" s="434"/>
      <c r="BH82" s="432" t="str">
        <f>IF(LEN(VLOOKUP(AK80,suvaha!$D$92:$H$158,2,FALSE))&lt;2,"",LEFT(RIGHT(VLOOKUP(AK80,suvaha!$D$92:$H$158,2,FALSE),2),1))</f>
        <v>5</v>
      </c>
      <c r="BI82" s="434"/>
      <c r="BJ82" s="432" t="str">
        <f>IF(VLOOKUP(AK80,suvaha!$D$92:$H$158,2,FALSE)=0,"",IF(LEN(VLOOKUP(AK80,suvaha!$D$92:$H$158,2,FALSE))&lt;1,"",LEFT(RIGHT(VLOOKUP(AK80,suvaha!$D$92:$H$158,2,FALSE),1),1)))</f>
        <v>3</v>
      </c>
      <c r="BK82" s="851"/>
      <c r="BL82" s="826"/>
      <c r="BM82" s="432" t="str">
        <f>IF(LEN(VLOOKUP(AK80,suvaha!$D$92:$H$158,4,FALSE))&lt;11,"",LEFT(RIGHT(VLOOKUP(AK80,suvaha!$D$92:$H$158,4,FALSE),11),1))</f>
        <v/>
      </c>
      <c r="BN82" s="255"/>
      <c r="BO82" s="432" t="str">
        <f>IF(LEN(VLOOKUP(AK80,suvaha!$D$92:$H$158,4,FALSE))&lt;10,"",LEFT(RIGHT(VLOOKUP(AK80,suvaha!$D$92:$H$158,4,FALSE),10),1))</f>
        <v/>
      </c>
      <c r="BP82" s="434"/>
      <c r="BQ82" s="432" t="str">
        <f>IF(LEN(VLOOKUP(AK80,suvaha!$D$92:$H$158,4,FALSE))&lt;9,"",LEFT(RIGHT(VLOOKUP(AK80,suvaha!$D$92:$H$158,4,FALSE),9),1))</f>
        <v/>
      </c>
      <c r="BR82" s="255"/>
      <c r="BS82" s="432" t="str">
        <f>IF(LEN(VLOOKUP(AK80,suvaha!$D$92:$H$158,4,FALSE))&lt;8,"",LEFT(RIGHT(VLOOKUP(AK80,suvaha!$D$92:$H$158,4,FALSE),8),1))</f>
        <v>4</v>
      </c>
      <c r="BT82" s="434"/>
      <c r="BU82" s="432" t="str">
        <f>IF(LEN(VLOOKUP(AK80,suvaha!$D$92:$H$158,4,FALSE))&lt;7,"",LEFT(RIGHT(VLOOKUP(AK80,suvaha!$D$92:$H$158,4,FALSE),7),1))</f>
        <v>7</v>
      </c>
      <c r="BV82" s="818"/>
      <c r="BW82" s="432" t="str">
        <f>IF(LEN(VLOOKUP(AK80,suvaha!$D$92:$H$158,4,FALSE))&lt;6,"",LEFT(RIGHT(VLOOKUP(AK80,suvaha!$D$92:$H$158,4,FALSE),6),1))</f>
        <v>2</v>
      </c>
      <c r="BX82" s="434"/>
      <c r="BY82" s="432" t="str">
        <f>IF(LEN(VLOOKUP(AK80,suvaha!$D$92:$H$158,4,FALSE))&lt;5,"",LEFT(RIGHT(VLOOKUP(AK80,suvaha!$D$92:$H$158,4,FALSE),5),1))</f>
        <v>5</v>
      </c>
      <c r="BZ82" s="434"/>
      <c r="CA82" s="432" t="str">
        <f>IF(LEN(VLOOKUP(AK80,suvaha!$D$92:$H$158,4,FALSE))&lt;4,"",LEFT(RIGHT(VLOOKUP(AK80,suvaha!$D$92:$H$158,4,FALSE),4),1))</f>
        <v>7</v>
      </c>
      <c r="CB82" s="819"/>
      <c r="CC82" s="432" t="str">
        <f>IF(LEN(VLOOKUP(AK80,suvaha!$D$92:$H$158,4,FALSE))&lt;3,"",LEFT(RIGHT(VLOOKUP(AK80,suvaha!$D$92:$H$158,4,FALSE),3),1))</f>
        <v>7</v>
      </c>
      <c r="CD82" s="434"/>
      <c r="CE82" s="432" t="str">
        <f>IF(LEN(VLOOKUP(AK80,suvaha!$D$92:$H$158,4,FALSE))&lt;2,"",LEFT(RIGHT(VLOOKUP(AK80,suvaha!$D$92:$H$158,4,FALSE),2),1))</f>
        <v>3</v>
      </c>
      <c r="CF82" s="434"/>
      <c r="CG82" s="432" t="str">
        <f>IF(VLOOKUP(AK80,suvaha!$D$92:$H$158,4,FALSE)=0,"",IF(LEN(VLOOKUP(AK80,suvaha!$D$92:$H$158,4,FALSE))&lt;1,"",LEFT(RIGHT(VLOOKUP(AK80,suvaha!$D$92:$H$158,4,FALSE),1),1)))</f>
        <v>7</v>
      </c>
      <c r="CH82" s="285"/>
      <c r="CI82" s="220"/>
      <c r="CJ82" s="220"/>
    </row>
    <row r="83" spans="1:88" ht="3" customHeight="1">
      <c r="E83" s="995"/>
      <c r="F83" s="995"/>
      <c r="G83" s="992"/>
      <c r="H83" s="992"/>
      <c r="I83" s="992"/>
      <c r="J83" s="992"/>
      <c r="K83" s="992"/>
      <c r="L83" s="992"/>
      <c r="M83" s="992"/>
      <c r="N83" s="992"/>
      <c r="O83" s="992"/>
      <c r="P83" s="992"/>
      <c r="Q83" s="992"/>
      <c r="R83" s="992"/>
      <c r="S83" s="992"/>
      <c r="T83" s="992"/>
      <c r="U83" s="992"/>
      <c r="V83" s="992"/>
      <c r="W83" s="992"/>
      <c r="X83" s="992"/>
      <c r="Y83" s="992"/>
      <c r="Z83" s="992"/>
      <c r="AA83" s="992"/>
      <c r="AB83" s="992"/>
      <c r="AC83" s="992"/>
      <c r="AD83" s="992"/>
      <c r="AE83" s="992"/>
      <c r="AF83" s="992"/>
      <c r="AG83" s="992"/>
      <c r="AH83" s="992"/>
      <c r="AI83" s="992"/>
      <c r="AJ83" s="992"/>
      <c r="AK83" s="993"/>
      <c r="AL83" s="993"/>
      <c r="AM83" s="993"/>
      <c r="AN83" s="358"/>
      <c r="AO83" s="365"/>
      <c r="AP83" s="365"/>
      <c r="AQ83" s="365"/>
      <c r="AR83" s="365"/>
      <c r="AS83" s="365"/>
      <c r="AT83" s="365"/>
      <c r="AU83" s="365"/>
      <c r="AV83" s="365"/>
      <c r="AW83" s="365"/>
      <c r="AX83" s="365"/>
      <c r="AY83" s="365"/>
      <c r="AZ83" s="365"/>
      <c r="BA83" s="365"/>
      <c r="BB83" s="365"/>
      <c r="BC83" s="365"/>
      <c r="BD83" s="365"/>
      <c r="BE83" s="310"/>
      <c r="BF83" s="310"/>
      <c r="BG83" s="310"/>
      <c r="BH83" s="310"/>
      <c r="BI83" s="310"/>
      <c r="BJ83" s="310"/>
      <c r="BK83" s="310"/>
      <c r="BL83" s="846"/>
      <c r="BM83" s="846"/>
      <c r="BN83" s="846"/>
      <c r="BO83" s="846"/>
      <c r="BP83" s="846"/>
      <c r="BQ83" s="846"/>
      <c r="BR83" s="846"/>
      <c r="BS83" s="846"/>
      <c r="BT83" s="846"/>
      <c r="BU83" s="846"/>
      <c r="BV83" s="846"/>
      <c r="BW83" s="846"/>
      <c r="BX83" s="846"/>
      <c r="BY83" s="846"/>
      <c r="BZ83" s="846"/>
      <c r="CA83" s="846"/>
      <c r="CB83" s="846"/>
      <c r="CC83" s="310"/>
      <c r="CD83" s="310"/>
      <c r="CE83" s="310"/>
      <c r="CF83" s="310"/>
      <c r="CG83" s="310"/>
      <c r="CH83" s="286"/>
      <c r="CI83" s="220"/>
      <c r="CJ83" s="220"/>
    </row>
    <row r="84" spans="1:88" s="250" customFormat="1" ht="3" customHeight="1">
      <c r="A84" s="220"/>
      <c r="B84" s="220"/>
      <c r="C84" s="224"/>
      <c r="D84" s="224"/>
      <c r="E84" s="991" t="s">
        <v>495</v>
      </c>
      <c r="F84" s="991"/>
      <c r="G84" s="992" t="str">
        <f>Index!C131</f>
        <v>Vlastné imanie (r. 81 + r. 85 + r. 86 + r. 87 + r. 90 + r. 93 + r. 97 + r. 100)</v>
      </c>
      <c r="H84" s="992"/>
      <c r="I84" s="992"/>
      <c r="J84" s="992"/>
      <c r="K84" s="992"/>
      <c r="L84" s="992"/>
      <c r="M84" s="992"/>
      <c r="N84" s="992"/>
      <c r="O84" s="992"/>
      <c r="P84" s="992"/>
      <c r="Q84" s="992"/>
      <c r="R84" s="992"/>
      <c r="S84" s="992"/>
      <c r="T84" s="992"/>
      <c r="U84" s="992"/>
      <c r="V84" s="992"/>
      <c r="W84" s="992"/>
      <c r="X84" s="992"/>
      <c r="Y84" s="992"/>
      <c r="Z84" s="992"/>
      <c r="AA84" s="992"/>
      <c r="AB84" s="992"/>
      <c r="AC84" s="992"/>
      <c r="AD84" s="992"/>
      <c r="AE84" s="992"/>
      <c r="AF84" s="992"/>
      <c r="AG84" s="992"/>
      <c r="AH84" s="992"/>
      <c r="AI84" s="992"/>
      <c r="AJ84" s="992"/>
      <c r="AK84" s="993" t="s">
        <v>1646</v>
      </c>
      <c r="AL84" s="993"/>
      <c r="AM84" s="993"/>
      <c r="AN84" s="357"/>
      <c r="AO84" s="366"/>
      <c r="AP84" s="366"/>
      <c r="AQ84" s="366"/>
      <c r="AR84" s="366"/>
      <c r="AS84" s="366"/>
      <c r="AT84" s="366"/>
      <c r="AU84" s="366"/>
      <c r="AV84" s="366"/>
      <c r="AW84" s="366"/>
      <c r="AX84" s="366"/>
      <c r="AY84" s="366"/>
      <c r="AZ84" s="366"/>
      <c r="BA84" s="366"/>
      <c r="BB84" s="366"/>
      <c r="BC84" s="366"/>
      <c r="BD84" s="366"/>
      <c r="BE84" s="304"/>
      <c r="BF84" s="304"/>
      <c r="BG84" s="304"/>
      <c r="BH84" s="304"/>
      <c r="BI84" s="304"/>
      <c r="BJ84" s="304"/>
      <c r="BK84" s="304"/>
      <c r="BL84" s="867"/>
      <c r="BM84" s="867"/>
      <c r="BN84" s="867"/>
      <c r="BO84" s="867"/>
      <c r="BP84" s="867"/>
      <c r="BQ84" s="867"/>
      <c r="BR84" s="867"/>
      <c r="BS84" s="867"/>
      <c r="BT84" s="867"/>
      <c r="BU84" s="867"/>
      <c r="BV84" s="867"/>
      <c r="BW84" s="867"/>
      <c r="BX84" s="867"/>
      <c r="BY84" s="867"/>
      <c r="BZ84" s="867"/>
      <c r="CA84" s="867"/>
      <c r="CB84" s="867"/>
      <c r="CC84" s="304"/>
      <c r="CD84" s="304"/>
      <c r="CE84" s="304"/>
      <c r="CF84" s="304"/>
      <c r="CG84" s="304"/>
      <c r="CH84" s="284"/>
      <c r="CI84" s="288"/>
      <c r="CJ84" s="288"/>
    </row>
    <row r="85" spans="1:88" s="250" customFormat="1" ht="3" customHeight="1">
      <c r="A85" s="220"/>
      <c r="B85" s="220"/>
      <c r="C85" s="220"/>
      <c r="D85" s="220"/>
      <c r="E85" s="991"/>
      <c r="F85" s="991"/>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3"/>
      <c r="AL85" s="993"/>
      <c r="AM85" s="993"/>
      <c r="AN85" s="355"/>
      <c r="AO85" s="436"/>
      <c r="AP85" s="436"/>
      <c r="AQ85" s="436"/>
      <c r="AR85" s="435"/>
      <c r="AS85" s="439"/>
      <c r="AT85" s="439"/>
      <c r="AU85" s="439"/>
      <c r="AV85" s="439"/>
      <c r="AW85" s="439"/>
      <c r="AX85" s="440"/>
      <c r="AY85" s="821"/>
      <c r="AZ85" s="821"/>
      <c r="BA85" s="821"/>
      <c r="BB85" s="821"/>
      <c r="BC85" s="821"/>
      <c r="BD85" s="821"/>
      <c r="BE85" s="434"/>
      <c r="BF85" s="968"/>
      <c r="BG85" s="968"/>
      <c r="BH85" s="968"/>
      <c r="BI85" s="968"/>
      <c r="BJ85" s="968"/>
      <c r="BK85" s="851"/>
      <c r="BL85" s="826"/>
      <c r="BM85" s="820"/>
      <c r="BN85" s="820"/>
      <c r="BO85" s="820"/>
      <c r="BP85" s="435"/>
      <c r="BQ85" s="821"/>
      <c r="BR85" s="821"/>
      <c r="BS85" s="821"/>
      <c r="BT85" s="821"/>
      <c r="BU85" s="821"/>
      <c r="BV85" s="818"/>
      <c r="BW85" s="822"/>
      <c r="BX85" s="822"/>
      <c r="BY85" s="822"/>
      <c r="BZ85" s="822"/>
      <c r="CA85" s="822"/>
      <c r="CB85" s="819"/>
      <c r="CC85" s="822"/>
      <c r="CD85" s="822"/>
      <c r="CE85" s="822"/>
      <c r="CF85" s="822"/>
      <c r="CG85" s="822"/>
      <c r="CH85" s="285"/>
      <c r="CI85" s="288"/>
      <c r="CJ85" s="288"/>
    </row>
    <row r="86" spans="1:88" ht="15" customHeight="1">
      <c r="E86" s="991"/>
      <c r="F86" s="991"/>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3"/>
      <c r="AL86" s="993"/>
      <c r="AM86" s="993"/>
      <c r="AN86" s="355"/>
      <c r="AO86" s="432" t="str">
        <f>IF(LEN(VLOOKUP(AK84,suvaha!$D$92:$H$158,2,FALSE))&lt;11,"",LEFT(RIGHT(VLOOKUP(AK84,suvaha!$D$92:$H$158,2,FALSE),11),1))</f>
        <v>4</v>
      </c>
      <c r="AP86" s="255"/>
      <c r="AQ86" s="432" t="str">
        <f>IF(LEN(VLOOKUP(AK84,suvaha!$D$92:$H$158,2,FALSE))&lt;10,"",LEFT(RIGHT(VLOOKUP(AK84,suvaha!$D$92:$H$158,2,FALSE),10),1))</f>
        <v>8</v>
      </c>
      <c r="AR86" s="434"/>
      <c r="AS86" s="432" t="str">
        <f>IF(LEN(VLOOKUP(AK84,suvaha!$D$92:$H$158,2,FALSE))&lt;9,"",LEFT(RIGHT(VLOOKUP(AK84,suvaha!$D$92:$H$158,2,FALSE),9),1))</f>
        <v>6</v>
      </c>
      <c r="AT86" s="255"/>
      <c r="AU86" s="432" t="str">
        <f>IF(LEN(VLOOKUP(AK84,suvaha!$D$92:$H$158,2,FALSE))&lt;8,"",LEFT(RIGHT(VLOOKUP(AK84,suvaha!$D$92:$H$158,2,FALSE),8),1))</f>
        <v>3</v>
      </c>
      <c r="AV86" s="434"/>
      <c r="AW86" s="432" t="str">
        <f>IF(LEN(VLOOKUP(AK84,suvaha!$D$92:$H$158,2,FALSE))&lt;7,"",LEFT(RIGHT(VLOOKUP(AK84,suvaha!$D$92:$H$158,2,FALSE),7),1))</f>
        <v>9</v>
      </c>
      <c r="AX86" s="440"/>
      <c r="AY86" s="432" t="str">
        <f>IF(LEN(VLOOKUP(AK84,suvaha!$D$92:$H$158,2,FALSE))&lt;6,"",LEFT(RIGHT(VLOOKUP(AK84,suvaha!$D$92:$H$158,2,FALSE),6),1))</f>
        <v>4</v>
      </c>
      <c r="AZ86" s="255"/>
      <c r="BA86" s="961" t="str">
        <f>IF(LEN(VLOOKUP(AK84,suvaha!$D$92:$H$158,2,FALSE))&lt;5,"",LEFT(RIGHT(VLOOKUP(AK84,suvaha!$D$92:$H$158,2,FALSE),5),1))</f>
        <v>2</v>
      </c>
      <c r="BB86" s="961" t="e">
        <f>IF(LEN(#REF!)&lt;5,"",LEFT(RIGHT(#REF!,5),1))</f>
        <v>#REF!</v>
      </c>
      <c r="BC86" s="434"/>
      <c r="BD86" s="432" t="str">
        <f>IF(LEN(VLOOKUP(AK84,suvaha!$D$92:$H$158,2,FALSE))&lt;4,"",LEFT(RIGHT(VLOOKUP(AK84,suvaha!$D$92:$H$158,2,FALSE),4),1))</f>
        <v>6</v>
      </c>
      <c r="BE86" s="434"/>
      <c r="BF86" s="432" t="str">
        <f>IF(LEN(VLOOKUP(AK84,suvaha!$D$92:$H$158,2,FALSE))&lt;3,"",LEFT(RIGHT(VLOOKUP(AK84,suvaha!$D$92:$H$158,2,FALSE),3),1))</f>
        <v>,</v>
      </c>
      <c r="BG86" s="434"/>
      <c r="BH86" s="432" t="str">
        <f>IF(LEN(VLOOKUP(AK84,suvaha!$D$92:$H$158,2,FALSE))&lt;2,"",LEFT(RIGHT(VLOOKUP(AK84,suvaha!$D$92:$H$158,2,FALSE),2),1))</f>
        <v>5</v>
      </c>
      <c r="BI86" s="434"/>
      <c r="BJ86" s="432" t="str">
        <f>IF(VLOOKUP(AK84,suvaha!$D$92:$H$158,2,FALSE)=0,"",IF(LEN(VLOOKUP(AK84,suvaha!$D$92:$H$158,2,FALSE))&lt;1,"",LEFT(RIGHT(VLOOKUP(AK84,suvaha!$D$92:$H$158,2,FALSE),1),1)))</f>
        <v>3</v>
      </c>
      <c r="BK86" s="851"/>
      <c r="BL86" s="826"/>
      <c r="BM86" s="432" t="str">
        <f>IF(LEN(VLOOKUP(AK84,suvaha!$D$92:$H$158,4,FALSE))&lt;11,"",LEFT(RIGHT(VLOOKUP(AK84,suvaha!$D$92:$H$158,4,FALSE),11),1))</f>
        <v/>
      </c>
      <c r="BN86" s="255"/>
      <c r="BO86" s="432" t="str">
        <f>IF(LEN(VLOOKUP(AK84,suvaha!$D$92:$H$158,4,FALSE))&lt;10,"",LEFT(RIGHT(VLOOKUP(AK84,suvaha!$D$92:$H$158,4,FALSE),10),1))</f>
        <v/>
      </c>
      <c r="BP86" s="434"/>
      <c r="BQ86" s="432" t="str">
        <f>IF(LEN(VLOOKUP(AK84,suvaha!$D$92:$H$158,4,FALSE))&lt;9,"",LEFT(RIGHT(VLOOKUP(AK84,suvaha!$D$92:$H$158,4,FALSE),9),1))</f>
        <v/>
      </c>
      <c r="BR86" s="255"/>
      <c r="BS86" s="432" t="str">
        <f>IF(LEN(VLOOKUP(AK84,suvaha!$D$92:$H$158,4,FALSE))&lt;8,"",LEFT(RIGHT(VLOOKUP(AK84,suvaha!$D$92:$H$158,4,FALSE),8),1))</f>
        <v>2</v>
      </c>
      <c r="BT86" s="434"/>
      <c r="BU86" s="432" t="str">
        <f>IF(LEN(VLOOKUP(AK84,suvaha!$D$92:$H$158,4,FALSE))&lt;7,"",LEFT(RIGHT(VLOOKUP(AK84,suvaha!$D$92:$H$158,4,FALSE),7),1))</f>
        <v>6</v>
      </c>
      <c r="BV86" s="818"/>
      <c r="BW86" s="432" t="str">
        <f>IF(LEN(VLOOKUP(AK84,suvaha!$D$92:$H$158,4,FALSE))&lt;6,"",LEFT(RIGHT(VLOOKUP(AK84,suvaha!$D$92:$H$158,4,FALSE),6),1))</f>
        <v>2</v>
      </c>
      <c r="BX86" s="434"/>
      <c r="BY86" s="432" t="str">
        <f>IF(LEN(VLOOKUP(AK84,suvaha!$D$92:$H$158,4,FALSE))&lt;5,"",LEFT(RIGHT(VLOOKUP(AK84,suvaha!$D$92:$H$158,4,FALSE),5),1))</f>
        <v>6</v>
      </c>
      <c r="BZ86" s="434"/>
      <c r="CA86" s="432" t="str">
        <f>IF(LEN(VLOOKUP(AK84,suvaha!$D$92:$H$158,4,FALSE))&lt;4,"",LEFT(RIGHT(VLOOKUP(AK84,suvaha!$D$92:$H$158,4,FALSE),4),1))</f>
        <v>3</v>
      </c>
      <c r="CB86" s="819"/>
      <c r="CC86" s="432" t="str">
        <f>IF(LEN(VLOOKUP(AK84,suvaha!$D$92:$H$158,4,FALSE))&lt;3,"",LEFT(RIGHT(VLOOKUP(AK84,suvaha!$D$92:$H$158,4,FALSE),3),1))</f>
        <v>1</v>
      </c>
      <c r="CD86" s="434"/>
      <c r="CE86" s="432" t="str">
        <f>IF(LEN(VLOOKUP(AK84,suvaha!$D$92:$H$158,4,FALSE))&lt;2,"",LEFT(RIGHT(VLOOKUP(AK84,suvaha!$D$92:$H$158,4,FALSE),2),1))</f>
        <v>9</v>
      </c>
      <c r="CF86" s="434"/>
      <c r="CG86" s="432" t="str">
        <f>IF(VLOOKUP(AK84,suvaha!$D$92:$H$158,4,FALSE)=0,"",IF(LEN(VLOOKUP(AK84,suvaha!$D$92:$H$158,4,FALSE))&lt;1,"",LEFT(RIGHT(VLOOKUP(AK84,suvaha!$D$92:$H$158,4,FALSE),1),1)))</f>
        <v>7</v>
      </c>
      <c r="CH86" s="285"/>
      <c r="CI86" s="220"/>
      <c r="CJ86" s="220"/>
    </row>
    <row r="87" spans="1:88" ht="3" customHeight="1">
      <c r="E87" s="991"/>
      <c r="F87" s="991"/>
      <c r="G87" s="992"/>
      <c r="H87" s="992"/>
      <c r="I87" s="992"/>
      <c r="J87" s="992"/>
      <c r="K87" s="992"/>
      <c r="L87" s="992"/>
      <c r="M87" s="992"/>
      <c r="N87" s="992"/>
      <c r="O87" s="992"/>
      <c r="P87" s="992"/>
      <c r="Q87" s="992"/>
      <c r="R87" s="992"/>
      <c r="S87" s="992"/>
      <c r="T87" s="992"/>
      <c r="U87" s="992"/>
      <c r="V87" s="992"/>
      <c r="W87" s="992"/>
      <c r="X87" s="992"/>
      <c r="Y87" s="992"/>
      <c r="Z87" s="992"/>
      <c r="AA87" s="992"/>
      <c r="AB87" s="992"/>
      <c r="AC87" s="992"/>
      <c r="AD87" s="992"/>
      <c r="AE87" s="992"/>
      <c r="AF87" s="992"/>
      <c r="AG87" s="992"/>
      <c r="AH87" s="992"/>
      <c r="AI87" s="992"/>
      <c r="AJ87" s="992"/>
      <c r="AK87" s="993"/>
      <c r="AL87" s="993"/>
      <c r="AM87" s="993"/>
      <c r="AN87" s="358"/>
      <c r="AO87" s="365"/>
      <c r="AP87" s="365"/>
      <c r="AQ87" s="365"/>
      <c r="AR87" s="365"/>
      <c r="AS87" s="365"/>
      <c r="AT87" s="365"/>
      <c r="AU87" s="365"/>
      <c r="AV87" s="365"/>
      <c r="AW87" s="365"/>
      <c r="AX87" s="365"/>
      <c r="AY87" s="365"/>
      <c r="AZ87" s="365"/>
      <c r="BA87" s="365"/>
      <c r="BB87" s="365"/>
      <c r="BC87" s="365"/>
      <c r="BD87" s="365"/>
      <c r="BE87" s="310"/>
      <c r="BF87" s="310"/>
      <c r="BG87" s="310"/>
      <c r="BH87" s="310"/>
      <c r="BI87" s="310"/>
      <c r="BJ87" s="310"/>
      <c r="BK87" s="310"/>
      <c r="BL87" s="846"/>
      <c r="BM87" s="846"/>
      <c r="BN87" s="846"/>
      <c r="BO87" s="846"/>
      <c r="BP87" s="846"/>
      <c r="BQ87" s="846"/>
      <c r="BR87" s="846"/>
      <c r="BS87" s="846"/>
      <c r="BT87" s="846"/>
      <c r="BU87" s="846"/>
      <c r="BV87" s="846"/>
      <c r="BW87" s="846"/>
      <c r="BX87" s="846"/>
      <c r="BY87" s="846"/>
      <c r="BZ87" s="846"/>
      <c r="CA87" s="846"/>
      <c r="CB87" s="846"/>
      <c r="CC87" s="310"/>
      <c r="CD87" s="310"/>
      <c r="CE87" s="310"/>
      <c r="CF87" s="310"/>
      <c r="CG87" s="310"/>
      <c r="CH87" s="286"/>
      <c r="CI87" s="220"/>
      <c r="CJ87" s="220"/>
    </row>
    <row r="88" spans="1:88" s="250" customFormat="1" ht="3" customHeight="1">
      <c r="A88" s="220"/>
      <c r="B88" s="220"/>
      <c r="C88" s="224"/>
      <c r="D88" s="224"/>
      <c r="E88" s="991" t="s">
        <v>496</v>
      </c>
      <c r="F88" s="991"/>
      <c r="G88" s="992" t="str">
        <f>Index!C132</f>
        <v>Základné imanie súčet (r. 82 až r. 84)</v>
      </c>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3" t="s">
        <v>1647</v>
      </c>
      <c r="AL88" s="993"/>
      <c r="AM88" s="993"/>
      <c r="AN88" s="357"/>
      <c r="AO88" s="366"/>
      <c r="AP88" s="366"/>
      <c r="AQ88" s="366"/>
      <c r="AR88" s="366"/>
      <c r="AS88" s="366"/>
      <c r="AT88" s="366"/>
      <c r="AU88" s="366"/>
      <c r="AV88" s="366"/>
      <c r="AW88" s="366"/>
      <c r="AX88" s="366"/>
      <c r="AY88" s="366"/>
      <c r="AZ88" s="366"/>
      <c r="BA88" s="366"/>
      <c r="BB88" s="366"/>
      <c r="BC88" s="366"/>
      <c r="BD88" s="366"/>
      <c r="BE88" s="304"/>
      <c r="BF88" s="304"/>
      <c r="BG88" s="304"/>
      <c r="BH88" s="304"/>
      <c r="BI88" s="304"/>
      <c r="BJ88" s="304"/>
      <c r="BK88" s="304"/>
      <c r="BL88" s="867"/>
      <c r="BM88" s="867"/>
      <c r="BN88" s="867"/>
      <c r="BO88" s="867"/>
      <c r="BP88" s="867"/>
      <c r="BQ88" s="867"/>
      <c r="BR88" s="867"/>
      <c r="BS88" s="867"/>
      <c r="BT88" s="867"/>
      <c r="BU88" s="867"/>
      <c r="BV88" s="867"/>
      <c r="BW88" s="867"/>
      <c r="BX88" s="867"/>
      <c r="BY88" s="867"/>
      <c r="BZ88" s="867"/>
      <c r="CA88" s="867"/>
      <c r="CB88" s="867"/>
      <c r="CC88" s="304"/>
      <c r="CD88" s="304"/>
      <c r="CE88" s="304"/>
      <c r="CF88" s="304"/>
      <c r="CG88" s="304"/>
      <c r="CH88" s="284"/>
      <c r="CI88" s="288"/>
      <c r="CJ88" s="288"/>
    </row>
    <row r="89" spans="1:88" s="250" customFormat="1" ht="3" customHeight="1">
      <c r="A89" s="220"/>
      <c r="B89" s="220"/>
      <c r="C89" s="220"/>
      <c r="D89" s="220"/>
      <c r="E89" s="991"/>
      <c r="F89" s="991"/>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3"/>
      <c r="AL89" s="993"/>
      <c r="AM89" s="993"/>
      <c r="AN89" s="355"/>
      <c r="AO89" s="436"/>
      <c r="AP89" s="436"/>
      <c r="AQ89" s="436"/>
      <c r="AR89" s="435"/>
      <c r="AS89" s="439"/>
      <c r="AT89" s="439"/>
      <c r="AU89" s="439"/>
      <c r="AV89" s="439"/>
      <c r="AW89" s="439"/>
      <c r="AX89" s="440"/>
      <c r="AY89" s="821"/>
      <c r="AZ89" s="821"/>
      <c r="BA89" s="821"/>
      <c r="BB89" s="821"/>
      <c r="BC89" s="821"/>
      <c r="BD89" s="821"/>
      <c r="BE89" s="434"/>
      <c r="BF89" s="968"/>
      <c r="BG89" s="968"/>
      <c r="BH89" s="968"/>
      <c r="BI89" s="968"/>
      <c r="BJ89" s="968"/>
      <c r="BK89" s="851"/>
      <c r="BL89" s="826"/>
      <c r="BM89" s="820"/>
      <c r="BN89" s="820"/>
      <c r="BO89" s="820"/>
      <c r="BP89" s="435"/>
      <c r="BQ89" s="821"/>
      <c r="BR89" s="821"/>
      <c r="BS89" s="821"/>
      <c r="BT89" s="821"/>
      <c r="BU89" s="821"/>
      <c r="BV89" s="818"/>
      <c r="BW89" s="822"/>
      <c r="BX89" s="822"/>
      <c r="BY89" s="822"/>
      <c r="BZ89" s="822"/>
      <c r="CA89" s="822"/>
      <c r="CB89" s="819"/>
      <c r="CC89" s="822"/>
      <c r="CD89" s="822"/>
      <c r="CE89" s="822"/>
      <c r="CF89" s="822"/>
      <c r="CG89" s="822"/>
      <c r="CH89" s="285"/>
      <c r="CI89" s="288"/>
      <c r="CJ89" s="288"/>
    </row>
    <row r="90" spans="1:88" ht="15" customHeight="1">
      <c r="E90" s="991"/>
      <c r="F90" s="991"/>
      <c r="G90" s="992"/>
      <c r="H90" s="992"/>
      <c r="I90" s="992"/>
      <c r="J90" s="992"/>
      <c r="K90" s="992"/>
      <c r="L90" s="992"/>
      <c r="M90" s="992"/>
      <c r="N90" s="992"/>
      <c r="O90" s="992"/>
      <c r="P90" s="992"/>
      <c r="Q90" s="992"/>
      <c r="R90" s="992"/>
      <c r="S90" s="992"/>
      <c r="T90" s="992"/>
      <c r="U90" s="992"/>
      <c r="V90" s="992"/>
      <c r="W90" s="992"/>
      <c r="X90" s="992"/>
      <c r="Y90" s="992"/>
      <c r="Z90" s="992"/>
      <c r="AA90" s="992"/>
      <c r="AB90" s="992"/>
      <c r="AC90" s="992"/>
      <c r="AD90" s="992"/>
      <c r="AE90" s="992"/>
      <c r="AF90" s="992"/>
      <c r="AG90" s="992"/>
      <c r="AH90" s="992"/>
      <c r="AI90" s="992"/>
      <c r="AJ90" s="992"/>
      <c r="AK90" s="993"/>
      <c r="AL90" s="993"/>
      <c r="AM90" s="993"/>
      <c r="AN90" s="355"/>
      <c r="AO90" s="432" t="str">
        <f>IF(LEN(VLOOKUP(AK88,suvaha!$D$92:$H$158,2,FALSE))&lt;11,"",LEFT(RIGHT(VLOOKUP(AK88,suvaha!$D$92:$H$158,2,FALSE),11),1))</f>
        <v/>
      </c>
      <c r="AP90" s="255"/>
      <c r="AQ90" s="432" t="str">
        <f>IF(LEN(VLOOKUP(AK88,suvaha!$D$92:$H$158,2,FALSE))&lt;10,"",LEFT(RIGHT(VLOOKUP(AK88,suvaha!$D$92:$H$158,2,FALSE),10),1))</f>
        <v/>
      </c>
      <c r="AR90" s="434"/>
      <c r="AS90" s="432" t="str">
        <f>IF(LEN(VLOOKUP(AK88,suvaha!$D$92:$H$158,2,FALSE))&lt;9,"",LEFT(RIGHT(VLOOKUP(AK88,suvaha!$D$92:$H$158,2,FALSE),9),1))</f>
        <v/>
      </c>
      <c r="AT90" s="255"/>
      <c r="AU90" s="432" t="str">
        <f>IF(LEN(VLOOKUP(AK88,suvaha!$D$92:$H$158,2,FALSE))&lt;8,"",LEFT(RIGHT(VLOOKUP(AK88,suvaha!$D$92:$H$158,2,FALSE),8),1))</f>
        <v/>
      </c>
      <c r="AV90" s="434"/>
      <c r="AW90" s="432" t="str">
        <f>IF(LEN(VLOOKUP(AK88,suvaha!$D$92:$H$158,2,FALSE))&lt;7,"",LEFT(RIGHT(VLOOKUP(AK88,suvaha!$D$92:$H$158,2,FALSE),7),1))</f>
        <v/>
      </c>
      <c r="AX90" s="440"/>
      <c r="AY90" s="432" t="str">
        <f>IF(LEN(VLOOKUP(AK88,suvaha!$D$92:$H$158,2,FALSE))&lt;6,"",LEFT(RIGHT(VLOOKUP(AK88,suvaha!$D$92:$H$158,2,FALSE),6),1))</f>
        <v>1</v>
      </c>
      <c r="AZ90" s="255"/>
      <c r="BA90" s="961" t="str">
        <f>IF(LEN(VLOOKUP(AK88,suvaha!$D$92:$H$158,2,FALSE))&lt;5,"",LEFT(RIGHT(VLOOKUP(AK88,suvaha!$D$92:$H$158,2,FALSE),5),1))</f>
        <v>7</v>
      </c>
      <c r="BB90" s="961" t="e">
        <f>IF(LEN(#REF!)&lt;5,"",LEFT(RIGHT(#REF!,5),1))</f>
        <v>#REF!</v>
      </c>
      <c r="BC90" s="434"/>
      <c r="BD90" s="432" t="str">
        <f>IF(LEN(VLOOKUP(AK88,suvaha!$D$92:$H$158,2,FALSE))&lt;4,"",LEFT(RIGHT(VLOOKUP(AK88,suvaha!$D$92:$H$158,2,FALSE),4),1))</f>
        <v>9</v>
      </c>
      <c r="BE90" s="434"/>
      <c r="BF90" s="432" t="str">
        <f>IF(LEN(VLOOKUP(AK88,suvaha!$D$92:$H$158,2,FALSE))&lt;3,"",LEFT(RIGHT(VLOOKUP(AK88,suvaha!$D$92:$H$158,2,FALSE),3),1))</f>
        <v>2</v>
      </c>
      <c r="BG90" s="434"/>
      <c r="BH90" s="432" t="str">
        <f>IF(LEN(VLOOKUP(AK88,suvaha!$D$92:$H$158,2,FALSE))&lt;2,"",LEFT(RIGHT(VLOOKUP(AK88,suvaha!$D$92:$H$158,2,FALSE),2),1))</f>
        <v>4</v>
      </c>
      <c r="BI90" s="434"/>
      <c r="BJ90" s="432" t="str">
        <f>IF(VLOOKUP(AK88,suvaha!$D$92:$H$158,2,FALSE)=0,"",IF(LEN(VLOOKUP(AK88,suvaha!$D$92:$H$158,2,FALSE))&lt;1,"",LEFT(RIGHT(VLOOKUP(AK88,suvaha!$D$92:$H$158,2,FALSE),1),1)))</f>
        <v>9</v>
      </c>
      <c r="BK90" s="851"/>
      <c r="BL90" s="826"/>
      <c r="BM90" s="432" t="str">
        <f>IF(LEN(VLOOKUP(AK88,suvaha!$D$92:$H$158,4,FALSE))&lt;11,"",LEFT(RIGHT(VLOOKUP(AK88,suvaha!$D$92:$H$158,4,FALSE),11),1))</f>
        <v/>
      </c>
      <c r="BN90" s="255"/>
      <c r="BO90" s="432" t="str">
        <f>IF(LEN(VLOOKUP(AK88,suvaha!$D$92:$H$158,4,FALSE))&lt;10,"",LEFT(RIGHT(VLOOKUP(AK88,suvaha!$D$92:$H$158,4,FALSE),10),1))</f>
        <v/>
      </c>
      <c r="BP90" s="434"/>
      <c r="BQ90" s="432" t="str">
        <f>IF(LEN(VLOOKUP(AK88,suvaha!$D$92:$H$158,4,FALSE))&lt;9,"",LEFT(RIGHT(VLOOKUP(AK88,suvaha!$D$92:$H$158,4,FALSE),9),1))</f>
        <v/>
      </c>
      <c r="BR90" s="255"/>
      <c r="BS90" s="432" t="str">
        <f>IF(LEN(VLOOKUP(AK88,suvaha!$D$92:$H$158,4,FALSE))&lt;8,"",LEFT(RIGHT(VLOOKUP(AK88,suvaha!$D$92:$H$158,4,FALSE),8),1))</f>
        <v/>
      </c>
      <c r="BT90" s="434"/>
      <c r="BU90" s="432" t="str">
        <f>IF(LEN(VLOOKUP(AK88,suvaha!$D$92:$H$158,4,FALSE))&lt;7,"",LEFT(RIGHT(VLOOKUP(AK88,suvaha!$D$92:$H$158,4,FALSE),7),1))</f>
        <v/>
      </c>
      <c r="BV90" s="818"/>
      <c r="BW90" s="432" t="str">
        <f>IF(LEN(VLOOKUP(AK88,suvaha!$D$92:$H$158,4,FALSE))&lt;6,"",LEFT(RIGHT(VLOOKUP(AK88,suvaha!$D$92:$H$158,4,FALSE),6),1))</f>
        <v>1</v>
      </c>
      <c r="BX90" s="434"/>
      <c r="BY90" s="432" t="str">
        <f>IF(LEN(VLOOKUP(AK88,suvaha!$D$92:$H$158,4,FALSE))&lt;5,"",LEFT(RIGHT(VLOOKUP(AK88,suvaha!$D$92:$H$158,4,FALSE),5),1))</f>
        <v>7</v>
      </c>
      <c r="BZ90" s="434"/>
      <c r="CA90" s="432" t="str">
        <f>IF(LEN(VLOOKUP(AK88,suvaha!$D$92:$H$158,4,FALSE))&lt;4,"",LEFT(RIGHT(VLOOKUP(AK88,suvaha!$D$92:$H$158,4,FALSE),4),1))</f>
        <v>9</v>
      </c>
      <c r="CB90" s="819"/>
      <c r="CC90" s="432" t="str">
        <f>IF(LEN(VLOOKUP(AK88,suvaha!$D$92:$H$158,4,FALSE))&lt;3,"",LEFT(RIGHT(VLOOKUP(AK88,suvaha!$D$92:$H$158,4,FALSE),3),1))</f>
        <v>2</v>
      </c>
      <c r="CD90" s="434"/>
      <c r="CE90" s="432" t="str">
        <f>IF(LEN(VLOOKUP(AK88,suvaha!$D$92:$H$158,4,FALSE))&lt;2,"",LEFT(RIGHT(VLOOKUP(AK88,suvaha!$D$92:$H$158,4,FALSE),2),1))</f>
        <v>4</v>
      </c>
      <c r="CF90" s="434"/>
      <c r="CG90" s="432" t="str">
        <f>IF(VLOOKUP(AK88,suvaha!$D$92:$H$158,4,FALSE)=0,"",IF(LEN(VLOOKUP(AK88,suvaha!$D$92:$H$158,4,FALSE))&lt;1,"",LEFT(RIGHT(VLOOKUP(AK88,suvaha!$D$92:$H$158,4,FALSE),1),1)))</f>
        <v>9</v>
      </c>
      <c r="CH90" s="285"/>
      <c r="CI90" s="220"/>
      <c r="CJ90" s="220"/>
    </row>
    <row r="91" spans="1:88" ht="3" customHeight="1">
      <c r="E91" s="991"/>
      <c r="F91" s="991"/>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3"/>
      <c r="AL91" s="993"/>
      <c r="AM91" s="993"/>
      <c r="AN91" s="358"/>
      <c r="AO91" s="365"/>
      <c r="AP91" s="365"/>
      <c r="AQ91" s="365"/>
      <c r="AR91" s="365"/>
      <c r="AS91" s="365"/>
      <c r="AT91" s="365"/>
      <c r="AU91" s="365"/>
      <c r="AV91" s="365"/>
      <c r="AW91" s="365"/>
      <c r="AX91" s="365"/>
      <c r="AY91" s="365"/>
      <c r="AZ91" s="365"/>
      <c r="BA91" s="365"/>
      <c r="BB91" s="365"/>
      <c r="BC91" s="365"/>
      <c r="BD91" s="365"/>
      <c r="BE91" s="310"/>
      <c r="BF91" s="310"/>
      <c r="BG91" s="310"/>
      <c r="BH91" s="310"/>
      <c r="BI91" s="310"/>
      <c r="BJ91" s="310"/>
      <c r="BK91" s="310"/>
      <c r="BL91" s="846"/>
      <c r="BM91" s="846"/>
      <c r="BN91" s="846"/>
      <c r="BO91" s="846"/>
      <c r="BP91" s="846"/>
      <c r="BQ91" s="846"/>
      <c r="BR91" s="846"/>
      <c r="BS91" s="846"/>
      <c r="BT91" s="846"/>
      <c r="BU91" s="846"/>
      <c r="BV91" s="846"/>
      <c r="BW91" s="846"/>
      <c r="BX91" s="846"/>
      <c r="BY91" s="846"/>
      <c r="BZ91" s="846"/>
      <c r="CA91" s="846"/>
      <c r="CB91" s="846"/>
      <c r="CC91" s="310"/>
      <c r="CD91" s="310"/>
      <c r="CE91" s="310"/>
      <c r="CF91" s="310"/>
      <c r="CG91" s="310"/>
      <c r="CH91" s="286"/>
      <c r="CI91" s="220"/>
      <c r="CJ91" s="220"/>
    </row>
    <row r="92" spans="1:88" s="250" customFormat="1" ht="3" customHeight="1">
      <c r="A92" s="220"/>
      <c r="B92" s="220"/>
      <c r="C92" s="224"/>
      <c r="D92" s="224"/>
      <c r="E92" s="985" t="s">
        <v>586</v>
      </c>
      <c r="F92" s="986"/>
      <c r="G92" s="984" t="str">
        <f>Index!C133</f>
        <v>Základné imanie (411 alebo +/- 491)</v>
      </c>
      <c r="H92" s="984"/>
      <c r="I92" s="984"/>
      <c r="J92" s="984"/>
      <c r="K92" s="984"/>
      <c r="L92" s="984"/>
      <c r="M92" s="984"/>
      <c r="N92" s="984"/>
      <c r="O92" s="984"/>
      <c r="P92" s="984"/>
      <c r="Q92" s="984"/>
      <c r="R92" s="984"/>
      <c r="S92" s="984"/>
      <c r="T92" s="984"/>
      <c r="U92" s="984"/>
      <c r="V92" s="984"/>
      <c r="W92" s="984"/>
      <c r="X92" s="984"/>
      <c r="Y92" s="984"/>
      <c r="Z92" s="984"/>
      <c r="AA92" s="984"/>
      <c r="AB92" s="984"/>
      <c r="AC92" s="984"/>
      <c r="AD92" s="984"/>
      <c r="AE92" s="984"/>
      <c r="AF92" s="984"/>
      <c r="AG92" s="984"/>
      <c r="AH92" s="984"/>
      <c r="AI92" s="984"/>
      <c r="AJ92" s="984"/>
      <c r="AK92" s="973" t="s">
        <v>1648</v>
      </c>
      <c r="AL92" s="973"/>
      <c r="AM92" s="973"/>
      <c r="AN92" s="357"/>
      <c r="AO92" s="366"/>
      <c r="AP92" s="366"/>
      <c r="AQ92" s="366"/>
      <c r="AR92" s="366"/>
      <c r="AS92" s="366"/>
      <c r="AT92" s="366"/>
      <c r="AU92" s="366"/>
      <c r="AV92" s="366"/>
      <c r="AW92" s="366"/>
      <c r="AX92" s="366"/>
      <c r="AY92" s="366"/>
      <c r="AZ92" s="366"/>
      <c r="BA92" s="366"/>
      <c r="BB92" s="366"/>
      <c r="BC92" s="366"/>
      <c r="BD92" s="366"/>
      <c r="BE92" s="304"/>
      <c r="BF92" s="304"/>
      <c r="BG92" s="304"/>
      <c r="BH92" s="304"/>
      <c r="BI92" s="304"/>
      <c r="BJ92" s="304"/>
      <c r="BK92" s="304"/>
      <c r="BL92" s="867"/>
      <c r="BM92" s="867"/>
      <c r="BN92" s="867"/>
      <c r="BO92" s="867"/>
      <c r="BP92" s="867"/>
      <c r="BQ92" s="867"/>
      <c r="BR92" s="867"/>
      <c r="BS92" s="867"/>
      <c r="BT92" s="867"/>
      <c r="BU92" s="867"/>
      <c r="BV92" s="867"/>
      <c r="BW92" s="867"/>
      <c r="BX92" s="867"/>
      <c r="BY92" s="867"/>
      <c r="BZ92" s="867"/>
      <c r="CA92" s="867"/>
      <c r="CB92" s="867"/>
      <c r="CC92" s="304"/>
      <c r="CD92" s="304"/>
      <c r="CE92" s="304"/>
      <c r="CF92" s="304"/>
      <c r="CG92" s="304"/>
      <c r="CH92" s="284"/>
      <c r="CI92" s="288"/>
      <c r="CJ92" s="288"/>
    </row>
    <row r="93" spans="1:88" s="250" customFormat="1" ht="3" customHeight="1">
      <c r="A93" s="220"/>
      <c r="B93" s="220"/>
      <c r="C93" s="220"/>
      <c r="D93" s="220"/>
      <c r="E93" s="987"/>
      <c r="F93" s="988"/>
      <c r="G93" s="984"/>
      <c r="H93" s="984"/>
      <c r="I93" s="984"/>
      <c r="J93" s="984"/>
      <c r="K93" s="984"/>
      <c r="L93" s="984"/>
      <c r="M93" s="984"/>
      <c r="N93" s="984"/>
      <c r="O93" s="984"/>
      <c r="P93" s="984"/>
      <c r="Q93" s="984"/>
      <c r="R93" s="984"/>
      <c r="S93" s="984"/>
      <c r="T93" s="984"/>
      <c r="U93" s="984"/>
      <c r="V93" s="984"/>
      <c r="W93" s="984"/>
      <c r="X93" s="984"/>
      <c r="Y93" s="984"/>
      <c r="Z93" s="984"/>
      <c r="AA93" s="984"/>
      <c r="AB93" s="984"/>
      <c r="AC93" s="984"/>
      <c r="AD93" s="984"/>
      <c r="AE93" s="984"/>
      <c r="AF93" s="984"/>
      <c r="AG93" s="984"/>
      <c r="AH93" s="984"/>
      <c r="AI93" s="984"/>
      <c r="AJ93" s="984"/>
      <c r="AK93" s="973"/>
      <c r="AL93" s="973"/>
      <c r="AM93" s="973"/>
      <c r="AN93" s="355"/>
      <c r="AO93" s="436"/>
      <c r="AP93" s="436"/>
      <c r="AQ93" s="436"/>
      <c r="AR93" s="435"/>
      <c r="AS93" s="439"/>
      <c r="AT93" s="439"/>
      <c r="AU93" s="439"/>
      <c r="AV93" s="439"/>
      <c r="AW93" s="439"/>
      <c r="AX93" s="440"/>
      <c r="AY93" s="821"/>
      <c r="AZ93" s="821"/>
      <c r="BA93" s="821"/>
      <c r="BB93" s="821"/>
      <c r="BC93" s="821"/>
      <c r="BD93" s="821"/>
      <c r="BE93" s="434"/>
      <c r="BF93" s="968"/>
      <c r="BG93" s="968"/>
      <c r="BH93" s="968"/>
      <c r="BI93" s="968"/>
      <c r="BJ93" s="968"/>
      <c r="BK93" s="851"/>
      <c r="BL93" s="826"/>
      <c r="BM93" s="820"/>
      <c r="BN93" s="820"/>
      <c r="BO93" s="820"/>
      <c r="BP93" s="435"/>
      <c r="BQ93" s="821"/>
      <c r="BR93" s="821"/>
      <c r="BS93" s="821"/>
      <c r="BT93" s="821"/>
      <c r="BU93" s="821"/>
      <c r="BV93" s="818"/>
      <c r="BW93" s="822"/>
      <c r="BX93" s="822"/>
      <c r="BY93" s="822"/>
      <c r="BZ93" s="822"/>
      <c r="CA93" s="822"/>
      <c r="CB93" s="819"/>
      <c r="CC93" s="822"/>
      <c r="CD93" s="822"/>
      <c r="CE93" s="822"/>
      <c r="CF93" s="822"/>
      <c r="CG93" s="822"/>
      <c r="CH93" s="285"/>
      <c r="CI93" s="288"/>
      <c r="CJ93" s="288"/>
    </row>
    <row r="94" spans="1:88" ht="15" customHeight="1">
      <c r="E94" s="987"/>
      <c r="F94" s="988"/>
      <c r="G94" s="984"/>
      <c r="H94" s="984"/>
      <c r="I94" s="984"/>
      <c r="J94" s="984"/>
      <c r="K94" s="984"/>
      <c r="L94" s="984"/>
      <c r="M94" s="984"/>
      <c r="N94" s="984"/>
      <c r="O94" s="984"/>
      <c r="P94" s="984"/>
      <c r="Q94" s="984"/>
      <c r="R94" s="984"/>
      <c r="S94" s="984"/>
      <c r="T94" s="984"/>
      <c r="U94" s="984"/>
      <c r="V94" s="984"/>
      <c r="W94" s="984"/>
      <c r="X94" s="984"/>
      <c r="Y94" s="984"/>
      <c r="Z94" s="984"/>
      <c r="AA94" s="984"/>
      <c r="AB94" s="984"/>
      <c r="AC94" s="984"/>
      <c r="AD94" s="984"/>
      <c r="AE94" s="984"/>
      <c r="AF94" s="984"/>
      <c r="AG94" s="984"/>
      <c r="AH94" s="984"/>
      <c r="AI94" s="984"/>
      <c r="AJ94" s="984"/>
      <c r="AK94" s="973"/>
      <c r="AL94" s="973"/>
      <c r="AM94" s="973"/>
      <c r="AN94" s="355"/>
      <c r="AO94" s="432" t="str">
        <f>IF(LEN(VLOOKUP(AK92,suvaha!$D$92:$H$158,2,FALSE))&lt;11,"",LEFT(RIGHT(VLOOKUP(AK92,suvaha!$D$92:$H$158,2,FALSE),11),1))</f>
        <v/>
      </c>
      <c r="AP94" s="255"/>
      <c r="AQ94" s="432" t="str">
        <f>IF(LEN(VLOOKUP(AK92,suvaha!$D$92:$H$158,2,FALSE))&lt;10,"",LEFT(RIGHT(VLOOKUP(AK92,suvaha!$D$92:$H$158,2,FALSE),10),1))</f>
        <v/>
      </c>
      <c r="AR94" s="434"/>
      <c r="AS94" s="432" t="str">
        <f>IF(LEN(VLOOKUP(AK92,suvaha!$D$92:$H$158,2,FALSE))&lt;9,"",LEFT(RIGHT(VLOOKUP(AK92,suvaha!$D$92:$H$158,2,FALSE),9),1))</f>
        <v/>
      </c>
      <c r="AT94" s="255"/>
      <c r="AU94" s="432" t="str">
        <f>IF(LEN(VLOOKUP(AK92,suvaha!$D$92:$H$158,2,FALSE))&lt;8,"",LEFT(RIGHT(VLOOKUP(AK92,suvaha!$D$92:$H$158,2,FALSE),8),1))</f>
        <v/>
      </c>
      <c r="AV94" s="434"/>
      <c r="AW94" s="432" t="str">
        <f>IF(LEN(VLOOKUP(AK92,suvaha!$D$92:$H$158,2,FALSE))&lt;7,"",LEFT(RIGHT(VLOOKUP(AK92,suvaha!$D$92:$H$158,2,FALSE),7),1))</f>
        <v/>
      </c>
      <c r="AX94" s="440"/>
      <c r="AY94" s="432" t="str">
        <f>IF(LEN(VLOOKUP(AK92,suvaha!$D$92:$H$158,2,FALSE))&lt;6,"",LEFT(RIGHT(VLOOKUP(AK92,suvaha!$D$92:$H$158,2,FALSE),6),1))</f>
        <v>1</v>
      </c>
      <c r="AZ94" s="255"/>
      <c r="BA94" s="961" t="str">
        <f>IF(LEN(VLOOKUP(AK92,suvaha!$D$92:$H$158,2,FALSE))&lt;5,"",LEFT(RIGHT(VLOOKUP(AK92,suvaha!$D$92:$H$158,2,FALSE),5),1))</f>
        <v>7</v>
      </c>
      <c r="BB94" s="961" t="e">
        <f>IF(LEN(#REF!)&lt;5,"",LEFT(RIGHT(#REF!,5),1))</f>
        <v>#REF!</v>
      </c>
      <c r="BC94" s="434"/>
      <c r="BD94" s="432" t="str">
        <f>IF(LEN(VLOOKUP(AK92,suvaha!$D$92:$H$158,2,FALSE))&lt;4,"",LEFT(RIGHT(VLOOKUP(AK92,suvaha!$D$92:$H$158,2,FALSE),4),1))</f>
        <v>9</v>
      </c>
      <c r="BE94" s="434"/>
      <c r="BF94" s="432" t="str">
        <f>IF(LEN(VLOOKUP(AK92,suvaha!$D$92:$H$158,2,FALSE))&lt;3,"",LEFT(RIGHT(VLOOKUP(AK92,suvaha!$D$92:$H$158,2,FALSE),3),1))</f>
        <v>2</v>
      </c>
      <c r="BG94" s="434"/>
      <c r="BH94" s="432" t="str">
        <f>IF(LEN(VLOOKUP(AK92,suvaha!$D$92:$H$158,2,FALSE))&lt;2,"",LEFT(RIGHT(VLOOKUP(AK92,suvaha!$D$92:$H$158,2,FALSE),2),1))</f>
        <v>4</v>
      </c>
      <c r="BI94" s="434"/>
      <c r="BJ94" s="432" t="str">
        <f>IF(VLOOKUP(AK92,suvaha!$D$92:$H$158,2,FALSE)=0,"",IF(LEN(VLOOKUP(AK92,suvaha!$D$92:$H$158,2,FALSE))&lt;1,"",LEFT(RIGHT(VLOOKUP(AK92,suvaha!$D$92:$H$158,2,FALSE),1),1)))</f>
        <v>9</v>
      </c>
      <c r="BK94" s="851"/>
      <c r="BL94" s="826"/>
      <c r="BM94" s="432" t="str">
        <f>IF(LEN(VLOOKUP(AK92,suvaha!$D$92:$H$158,4,FALSE))&lt;11,"",LEFT(RIGHT(VLOOKUP(AK92,suvaha!$D$92:$H$158,4,FALSE),11),1))</f>
        <v/>
      </c>
      <c r="BN94" s="255"/>
      <c r="BO94" s="432" t="str">
        <f>IF(LEN(VLOOKUP(AK92,suvaha!$D$92:$H$158,4,FALSE))&lt;10,"",LEFT(RIGHT(VLOOKUP(AK92,suvaha!$D$92:$H$158,4,FALSE),10),1))</f>
        <v/>
      </c>
      <c r="BP94" s="434"/>
      <c r="BQ94" s="432" t="str">
        <f>IF(LEN(VLOOKUP(AK92,suvaha!$D$92:$H$158,4,FALSE))&lt;9,"",LEFT(RIGHT(VLOOKUP(AK92,suvaha!$D$92:$H$158,4,FALSE),9),1))</f>
        <v/>
      </c>
      <c r="BR94" s="255"/>
      <c r="BS94" s="432" t="str">
        <f>IF(LEN(VLOOKUP(AK92,suvaha!$D$92:$H$158,4,FALSE))&lt;8,"",LEFT(RIGHT(VLOOKUP(AK92,suvaha!$D$92:$H$158,4,FALSE),8),1))</f>
        <v/>
      </c>
      <c r="BT94" s="434"/>
      <c r="BU94" s="432" t="str">
        <f>IF(LEN(VLOOKUP(AK92,suvaha!$D$92:$H$158,4,FALSE))&lt;7,"",LEFT(RIGHT(VLOOKUP(AK92,suvaha!$D$92:$H$158,4,FALSE),7),1))</f>
        <v/>
      </c>
      <c r="BV94" s="818"/>
      <c r="BW94" s="432" t="str">
        <f>IF(LEN(VLOOKUP(AK92,suvaha!$D$92:$H$158,4,FALSE))&lt;6,"",LEFT(RIGHT(VLOOKUP(AK92,suvaha!$D$92:$H$158,4,FALSE),6),1))</f>
        <v>1</v>
      </c>
      <c r="BX94" s="434"/>
      <c r="BY94" s="432" t="str">
        <f>IF(LEN(VLOOKUP(AK92,suvaha!$D$92:$H$158,4,FALSE))&lt;5,"",LEFT(RIGHT(VLOOKUP(AK92,suvaha!$D$92:$H$158,4,FALSE),5),1))</f>
        <v>7</v>
      </c>
      <c r="BZ94" s="434"/>
      <c r="CA94" s="432" t="str">
        <f>IF(LEN(VLOOKUP(AK92,suvaha!$D$92:$H$158,4,FALSE))&lt;4,"",LEFT(RIGHT(VLOOKUP(AK92,suvaha!$D$92:$H$158,4,FALSE),4),1))</f>
        <v>9</v>
      </c>
      <c r="CB94" s="819"/>
      <c r="CC94" s="432" t="str">
        <f>IF(LEN(VLOOKUP(AK92,suvaha!$D$92:$H$158,4,FALSE))&lt;3,"",LEFT(RIGHT(VLOOKUP(AK92,suvaha!$D$92:$H$158,4,FALSE),3),1))</f>
        <v>2</v>
      </c>
      <c r="CD94" s="434"/>
      <c r="CE94" s="432" t="str">
        <f>IF(LEN(VLOOKUP(AK92,suvaha!$D$92:$H$158,4,FALSE))&lt;2,"",LEFT(RIGHT(VLOOKUP(AK92,suvaha!$D$92:$H$158,4,FALSE),2),1))</f>
        <v>4</v>
      </c>
      <c r="CF94" s="434"/>
      <c r="CG94" s="432" t="str">
        <f>IF(VLOOKUP(AK92,suvaha!$D$92:$H$158,4,FALSE)=0,"",IF(LEN(VLOOKUP(AK92,suvaha!$D$92:$H$158,4,FALSE))&lt;1,"",LEFT(RIGHT(VLOOKUP(AK92,suvaha!$D$92:$H$158,4,FALSE),1),1)))</f>
        <v>9</v>
      </c>
      <c r="CH94" s="285"/>
      <c r="CI94" s="220"/>
      <c r="CJ94" s="220"/>
    </row>
    <row r="95" spans="1:88" ht="3" customHeight="1">
      <c r="E95" s="989"/>
      <c r="F95" s="990"/>
      <c r="G95" s="984"/>
      <c r="H95" s="984"/>
      <c r="I95" s="984"/>
      <c r="J95" s="984"/>
      <c r="K95" s="984"/>
      <c r="L95" s="984"/>
      <c r="M95" s="984"/>
      <c r="N95" s="984"/>
      <c r="O95" s="984"/>
      <c r="P95" s="984"/>
      <c r="Q95" s="984"/>
      <c r="R95" s="984"/>
      <c r="S95" s="984"/>
      <c r="T95" s="984"/>
      <c r="U95" s="984"/>
      <c r="V95" s="984"/>
      <c r="W95" s="984"/>
      <c r="X95" s="984"/>
      <c r="Y95" s="984"/>
      <c r="Z95" s="984"/>
      <c r="AA95" s="984"/>
      <c r="AB95" s="984"/>
      <c r="AC95" s="984"/>
      <c r="AD95" s="984"/>
      <c r="AE95" s="984"/>
      <c r="AF95" s="984"/>
      <c r="AG95" s="984"/>
      <c r="AH95" s="984"/>
      <c r="AI95" s="984"/>
      <c r="AJ95" s="984"/>
      <c r="AK95" s="973"/>
      <c r="AL95" s="973"/>
      <c r="AM95" s="973"/>
      <c r="AN95" s="358"/>
      <c r="AO95" s="365"/>
      <c r="AP95" s="365"/>
      <c r="AQ95" s="365"/>
      <c r="AR95" s="365"/>
      <c r="AS95" s="365"/>
      <c r="AT95" s="365"/>
      <c r="AU95" s="365"/>
      <c r="AV95" s="365"/>
      <c r="AW95" s="365"/>
      <c r="AX95" s="365"/>
      <c r="AY95" s="365"/>
      <c r="AZ95" s="365"/>
      <c r="BA95" s="365"/>
      <c r="BB95" s="365"/>
      <c r="BC95" s="365"/>
      <c r="BD95" s="365"/>
      <c r="BE95" s="310"/>
      <c r="BF95" s="310"/>
      <c r="BG95" s="310"/>
      <c r="BH95" s="310"/>
      <c r="BI95" s="310"/>
      <c r="BJ95" s="310"/>
      <c r="BK95" s="310"/>
      <c r="BL95" s="846"/>
      <c r="BM95" s="846"/>
      <c r="BN95" s="846"/>
      <c r="BO95" s="846"/>
      <c r="BP95" s="846"/>
      <c r="BQ95" s="846"/>
      <c r="BR95" s="846"/>
      <c r="BS95" s="846"/>
      <c r="BT95" s="846"/>
      <c r="BU95" s="846"/>
      <c r="BV95" s="846"/>
      <c r="BW95" s="846"/>
      <c r="BX95" s="846"/>
      <c r="BY95" s="846"/>
      <c r="BZ95" s="846"/>
      <c r="CA95" s="846"/>
      <c r="CB95" s="846"/>
      <c r="CC95" s="310"/>
      <c r="CD95" s="310"/>
      <c r="CE95" s="310"/>
      <c r="CF95" s="310"/>
      <c r="CG95" s="310"/>
      <c r="CH95" s="286"/>
      <c r="CI95" s="220"/>
      <c r="CJ95" s="220"/>
    </row>
    <row r="96" spans="1:88" s="250" customFormat="1" ht="3" customHeight="1">
      <c r="A96" s="220"/>
      <c r="B96" s="220"/>
      <c r="C96" s="224"/>
      <c r="D96" s="224"/>
      <c r="E96" s="983" t="s">
        <v>1542</v>
      </c>
      <c r="F96" s="983"/>
      <c r="G96" s="972" t="str">
        <f>Index!C134</f>
        <v>Zmena základného imania +/- 419</v>
      </c>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3" t="s">
        <v>1649</v>
      </c>
      <c r="AL96" s="973"/>
      <c r="AM96" s="973"/>
      <c r="AN96" s="357"/>
      <c r="AO96" s="366"/>
      <c r="AP96" s="366"/>
      <c r="AQ96" s="366"/>
      <c r="AR96" s="366"/>
      <c r="AS96" s="366"/>
      <c r="AT96" s="366"/>
      <c r="AU96" s="366"/>
      <c r="AV96" s="366"/>
      <c r="AW96" s="366"/>
      <c r="AX96" s="366"/>
      <c r="AY96" s="366"/>
      <c r="AZ96" s="366"/>
      <c r="BA96" s="366"/>
      <c r="BB96" s="366"/>
      <c r="BC96" s="366"/>
      <c r="BD96" s="366"/>
      <c r="BE96" s="304"/>
      <c r="BF96" s="304"/>
      <c r="BG96" s="304"/>
      <c r="BH96" s="304"/>
      <c r="BI96" s="304"/>
      <c r="BJ96" s="304"/>
      <c r="BK96" s="304"/>
      <c r="BL96" s="867"/>
      <c r="BM96" s="867"/>
      <c r="BN96" s="867"/>
      <c r="BO96" s="867"/>
      <c r="BP96" s="867"/>
      <c r="BQ96" s="867"/>
      <c r="BR96" s="867"/>
      <c r="BS96" s="867"/>
      <c r="BT96" s="867"/>
      <c r="BU96" s="867"/>
      <c r="BV96" s="867"/>
      <c r="BW96" s="867"/>
      <c r="BX96" s="867"/>
      <c r="BY96" s="867"/>
      <c r="BZ96" s="867"/>
      <c r="CA96" s="867"/>
      <c r="CB96" s="867"/>
      <c r="CC96" s="304"/>
      <c r="CD96" s="304"/>
      <c r="CE96" s="304"/>
      <c r="CF96" s="304"/>
      <c r="CG96" s="304"/>
      <c r="CH96" s="284"/>
      <c r="CI96" s="288"/>
      <c r="CJ96" s="288"/>
    </row>
    <row r="97" spans="1:88" s="250" customFormat="1" ht="3" customHeight="1">
      <c r="A97" s="220"/>
      <c r="B97" s="220"/>
      <c r="C97" s="220"/>
      <c r="D97" s="220"/>
      <c r="E97" s="983"/>
      <c r="F97" s="983"/>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3"/>
      <c r="AL97" s="973"/>
      <c r="AM97" s="973"/>
      <c r="AN97" s="355"/>
      <c r="AO97" s="436"/>
      <c r="AP97" s="436"/>
      <c r="AQ97" s="436"/>
      <c r="AR97" s="435"/>
      <c r="AS97" s="439"/>
      <c r="AT97" s="439"/>
      <c r="AU97" s="439"/>
      <c r="AV97" s="439"/>
      <c r="AW97" s="439"/>
      <c r="AX97" s="440"/>
      <c r="AY97" s="821"/>
      <c r="AZ97" s="821"/>
      <c r="BA97" s="821"/>
      <c r="BB97" s="821"/>
      <c r="BC97" s="821"/>
      <c r="BD97" s="821"/>
      <c r="BE97" s="434"/>
      <c r="BF97" s="968"/>
      <c r="BG97" s="968"/>
      <c r="BH97" s="968"/>
      <c r="BI97" s="968"/>
      <c r="BJ97" s="968"/>
      <c r="BK97" s="851"/>
      <c r="BL97" s="826"/>
      <c r="BM97" s="820"/>
      <c r="BN97" s="820"/>
      <c r="BO97" s="820"/>
      <c r="BP97" s="435"/>
      <c r="BQ97" s="821"/>
      <c r="BR97" s="821"/>
      <c r="BS97" s="821"/>
      <c r="BT97" s="821"/>
      <c r="BU97" s="821"/>
      <c r="BV97" s="818"/>
      <c r="BW97" s="822"/>
      <c r="BX97" s="822"/>
      <c r="BY97" s="822"/>
      <c r="BZ97" s="822"/>
      <c r="CA97" s="822"/>
      <c r="CB97" s="819"/>
      <c r="CC97" s="822"/>
      <c r="CD97" s="822"/>
      <c r="CE97" s="822"/>
      <c r="CF97" s="822"/>
      <c r="CG97" s="822"/>
      <c r="CH97" s="285"/>
      <c r="CI97" s="288"/>
      <c r="CJ97" s="288"/>
    </row>
    <row r="98" spans="1:88" ht="15" customHeight="1">
      <c r="E98" s="983"/>
      <c r="F98" s="983"/>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3"/>
      <c r="AL98" s="973"/>
      <c r="AM98" s="973"/>
      <c r="AN98" s="355"/>
      <c r="AO98" s="432" t="str">
        <f>IF(LEN(VLOOKUP(AK96,suvaha!$D$92:$H$158,2,FALSE))&lt;11,"",LEFT(RIGHT(VLOOKUP(AK96,suvaha!$D$92:$H$158,2,FALSE),11),1))</f>
        <v/>
      </c>
      <c r="AP98" s="255"/>
      <c r="AQ98" s="432" t="str">
        <f>IF(LEN(VLOOKUP(AK96,suvaha!$D$92:$H$158,2,FALSE))&lt;10,"",LEFT(RIGHT(VLOOKUP(AK96,suvaha!$D$92:$H$158,2,FALSE),10),1))</f>
        <v/>
      </c>
      <c r="AR98" s="434"/>
      <c r="AS98" s="432" t="str">
        <f>IF(LEN(VLOOKUP(AK96,suvaha!$D$92:$H$158,2,FALSE))&lt;9,"",LEFT(RIGHT(VLOOKUP(AK96,suvaha!$D$92:$H$158,2,FALSE),9),1))</f>
        <v/>
      </c>
      <c r="AT98" s="255"/>
      <c r="AU98" s="432" t="str">
        <f>IF(LEN(VLOOKUP(AK96,suvaha!$D$92:$H$158,2,FALSE))&lt;8,"",LEFT(RIGHT(VLOOKUP(AK96,suvaha!$D$92:$H$158,2,FALSE),8),1))</f>
        <v/>
      </c>
      <c r="AV98" s="434"/>
      <c r="AW98" s="432" t="str">
        <f>IF(LEN(VLOOKUP(AK96,suvaha!$D$92:$H$158,2,FALSE))&lt;7,"",LEFT(RIGHT(VLOOKUP(AK96,suvaha!$D$92:$H$158,2,FALSE),7),1))</f>
        <v/>
      </c>
      <c r="AX98" s="440"/>
      <c r="AY98" s="432" t="str">
        <f>IF(LEN(VLOOKUP(AK96,suvaha!$D$92:$H$158,2,FALSE))&lt;6,"",LEFT(RIGHT(VLOOKUP(AK96,suvaha!$D$92:$H$158,2,FALSE),6),1))</f>
        <v/>
      </c>
      <c r="AZ98" s="255"/>
      <c r="BA98" s="961" t="str">
        <f>IF(LEN(VLOOKUP(AK96,suvaha!$D$92:$H$158,2,FALSE))&lt;5,"",LEFT(RIGHT(VLOOKUP(AK96,suvaha!$D$92:$H$158,2,FALSE),5),1))</f>
        <v/>
      </c>
      <c r="BB98" s="961" t="e">
        <f>IF(LEN(#REF!)&lt;5,"",LEFT(RIGHT(#REF!,5),1))</f>
        <v>#REF!</v>
      </c>
      <c r="BC98" s="434"/>
      <c r="BD98" s="432" t="str">
        <f>IF(LEN(VLOOKUP(AK96,suvaha!$D$92:$H$158,2,FALSE))&lt;4,"",LEFT(RIGHT(VLOOKUP(AK96,suvaha!$D$92:$H$158,2,FALSE),4),1))</f>
        <v/>
      </c>
      <c r="BE98" s="434"/>
      <c r="BF98" s="432" t="str">
        <f>IF(LEN(VLOOKUP(AK96,suvaha!$D$92:$H$158,2,FALSE))&lt;3,"",LEFT(RIGHT(VLOOKUP(AK96,suvaha!$D$92:$H$158,2,FALSE),3),1))</f>
        <v/>
      </c>
      <c r="BG98" s="434"/>
      <c r="BH98" s="432" t="str">
        <f>IF(LEN(VLOOKUP(AK96,suvaha!$D$92:$H$158,2,FALSE))&lt;2,"",LEFT(RIGHT(VLOOKUP(AK96,suvaha!$D$92:$H$158,2,FALSE),2),1))</f>
        <v/>
      </c>
      <c r="BI98" s="434"/>
      <c r="BJ98" s="432" t="str">
        <f>IF(VLOOKUP(AK96,suvaha!$D$92:$H$158,2,FALSE)=0,"",IF(LEN(VLOOKUP(AK96,suvaha!$D$92:$H$158,2,FALSE))&lt;1,"",LEFT(RIGHT(VLOOKUP(AK96,suvaha!$D$92:$H$158,2,FALSE),1),1)))</f>
        <v/>
      </c>
      <c r="BK98" s="851"/>
      <c r="BL98" s="826"/>
      <c r="BM98" s="432" t="str">
        <f>IF(LEN(VLOOKUP(AK96,suvaha!$D$92:$H$158,4,FALSE))&lt;11,"",LEFT(RIGHT(VLOOKUP(AK96,suvaha!$D$92:$H$158,4,FALSE),11),1))</f>
        <v/>
      </c>
      <c r="BN98" s="255"/>
      <c r="BO98" s="432" t="str">
        <f>IF(LEN(VLOOKUP(AK96,suvaha!$D$92:$H$158,4,FALSE))&lt;10,"",LEFT(RIGHT(VLOOKUP(AK96,suvaha!$D$92:$H$158,4,FALSE),10),1))</f>
        <v/>
      </c>
      <c r="BP98" s="434"/>
      <c r="BQ98" s="432" t="str">
        <f>IF(LEN(VLOOKUP(AK96,suvaha!$D$92:$H$158,4,FALSE))&lt;9,"",LEFT(RIGHT(VLOOKUP(AK96,suvaha!$D$92:$H$158,4,FALSE),9),1))</f>
        <v/>
      </c>
      <c r="BR98" s="255"/>
      <c r="BS98" s="432" t="str">
        <f>IF(LEN(VLOOKUP(AK96,suvaha!$D$92:$H$158,4,FALSE))&lt;8,"",LEFT(RIGHT(VLOOKUP(AK96,suvaha!$D$92:$H$158,4,FALSE),8),1))</f>
        <v/>
      </c>
      <c r="BT98" s="434"/>
      <c r="BU98" s="432" t="str">
        <f>IF(LEN(VLOOKUP(AK96,suvaha!$D$92:$H$158,4,FALSE))&lt;7,"",LEFT(RIGHT(VLOOKUP(AK96,suvaha!$D$92:$H$158,4,FALSE),7),1))</f>
        <v/>
      </c>
      <c r="BV98" s="818"/>
      <c r="BW98" s="432" t="str">
        <f>IF(LEN(VLOOKUP(AK96,suvaha!$D$92:$H$158,4,FALSE))&lt;6,"",LEFT(RIGHT(VLOOKUP(AK96,suvaha!$D$92:$H$158,4,FALSE),6),1))</f>
        <v/>
      </c>
      <c r="BX98" s="434"/>
      <c r="BY98" s="432" t="str">
        <f>IF(LEN(VLOOKUP(AK96,suvaha!$D$92:$H$158,4,FALSE))&lt;5,"",LEFT(RIGHT(VLOOKUP(AK96,suvaha!$D$92:$H$158,4,FALSE),5),1))</f>
        <v/>
      </c>
      <c r="BZ98" s="434"/>
      <c r="CA98" s="432" t="str">
        <f>IF(LEN(VLOOKUP(AK96,suvaha!$D$92:$H$158,4,FALSE))&lt;4,"",LEFT(RIGHT(VLOOKUP(AK96,suvaha!$D$92:$H$158,4,FALSE),4),1))</f>
        <v/>
      </c>
      <c r="CB98" s="819"/>
      <c r="CC98" s="432" t="str">
        <f>IF(LEN(VLOOKUP(AK96,suvaha!$D$92:$H$158,4,FALSE))&lt;3,"",LEFT(RIGHT(VLOOKUP(AK96,suvaha!$D$92:$H$158,4,FALSE),3),1))</f>
        <v/>
      </c>
      <c r="CD98" s="434"/>
      <c r="CE98" s="432" t="str">
        <f>IF(LEN(VLOOKUP(AK96,suvaha!$D$92:$H$158,4,FALSE))&lt;2,"",LEFT(RIGHT(VLOOKUP(AK96,suvaha!$D$92:$H$158,4,FALSE),2),1))</f>
        <v/>
      </c>
      <c r="CF98" s="434"/>
      <c r="CG98" s="432" t="str">
        <f>IF(VLOOKUP(AK96,suvaha!$D$92:$H$158,4,FALSE)=0,"",IF(LEN(VLOOKUP(AK96,suvaha!$D$92:$H$158,4,FALSE))&lt;1,"",LEFT(RIGHT(VLOOKUP(AK96,suvaha!$D$92:$H$158,4,FALSE),1),1)))</f>
        <v/>
      </c>
      <c r="CH98" s="285"/>
      <c r="CI98" s="220"/>
      <c r="CJ98" s="220"/>
    </row>
    <row r="99" spans="1:88" ht="3" customHeight="1">
      <c r="E99" s="983"/>
      <c r="F99" s="983"/>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3"/>
      <c r="AL99" s="973"/>
      <c r="AM99" s="973"/>
      <c r="AN99" s="358"/>
      <c r="AO99" s="365"/>
      <c r="AP99" s="365"/>
      <c r="AQ99" s="365"/>
      <c r="AR99" s="365"/>
      <c r="AS99" s="365"/>
      <c r="AT99" s="365"/>
      <c r="AU99" s="365"/>
      <c r="AV99" s="365"/>
      <c r="AW99" s="365"/>
      <c r="AX99" s="365"/>
      <c r="AY99" s="365"/>
      <c r="AZ99" s="365"/>
      <c r="BA99" s="365"/>
      <c r="BB99" s="365"/>
      <c r="BC99" s="365"/>
      <c r="BD99" s="365"/>
      <c r="BE99" s="310"/>
      <c r="BF99" s="310"/>
      <c r="BG99" s="310"/>
      <c r="BH99" s="310"/>
      <c r="BI99" s="310"/>
      <c r="BJ99" s="310"/>
      <c r="BK99" s="310"/>
      <c r="BL99" s="846"/>
      <c r="BM99" s="846"/>
      <c r="BN99" s="846"/>
      <c r="BO99" s="846"/>
      <c r="BP99" s="846"/>
      <c r="BQ99" s="846"/>
      <c r="BR99" s="846"/>
      <c r="BS99" s="846"/>
      <c r="BT99" s="846"/>
      <c r="BU99" s="846"/>
      <c r="BV99" s="846"/>
      <c r="BW99" s="846"/>
      <c r="BX99" s="846"/>
      <c r="BY99" s="846"/>
      <c r="BZ99" s="846"/>
      <c r="CA99" s="846"/>
      <c r="CB99" s="846"/>
      <c r="CC99" s="310"/>
      <c r="CD99" s="310"/>
      <c r="CE99" s="310"/>
      <c r="CF99" s="310"/>
      <c r="CG99" s="310"/>
      <c r="CH99" s="286"/>
      <c r="CI99" s="220"/>
      <c r="CJ99" s="220"/>
    </row>
    <row r="100" spans="1:88" s="250" customFormat="1" ht="3" customHeight="1">
      <c r="A100" s="220"/>
      <c r="B100" s="220"/>
      <c r="C100" s="224"/>
      <c r="D100" s="224"/>
      <c r="E100" s="983" t="s">
        <v>1543</v>
      </c>
      <c r="F100" s="983"/>
      <c r="G100" s="972" t="str">
        <f>Index!C135</f>
        <v>Pohľadávky za upísané vlastné imanie (/-/353)</v>
      </c>
      <c r="H100" s="984"/>
      <c r="I100" s="984"/>
      <c r="J100" s="984"/>
      <c r="K100" s="984"/>
      <c r="L100" s="984"/>
      <c r="M100" s="984"/>
      <c r="N100" s="984"/>
      <c r="O100" s="984"/>
      <c r="P100" s="984"/>
      <c r="Q100" s="984"/>
      <c r="R100" s="984"/>
      <c r="S100" s="984"/>
      <c r="T100" s="984"/>
      <c r="U100" s="984"/>
      <c r="V100" s="984"/>
      <c r="W100" s="984"/>
      <c r="X100" s="984"/>
      <c r="Y100" s="984"/>
      <c r="Z100" s="984"/>
      <c r="AA100" s="984"/>
      <c r="AB100" s="984"/>
      <c r="AC100" s="984"/>
      <c r="AD100" s="984"/>
      <c r="AE100" s="984"/>
      <c r="AF100" s="984"/>
      <c r="AG100" s="984"/>
      <c r="AH100" s="984"/>
      <c r="AI100" s="984"/>
      <c r="AJ100" s="984"/>
      <c r="AK100" s="973" t="s">
        <v>1650</v>
      </c>
      <c r="AL100" s="973"/>
      <c r="AM100" s="973"/>
      <c r="AN100" s="357"/>
      <c r="AO100" s="366"/>
      <c r="AP100" s="366"/>
      <c r="AQ100" s="366"/>
      <c r="AR100" s="366"/>
      <c r="AS100" s="366"/>
      <c r="AT100" s="366"/>
      <c r="AU100" s="366"/>
      <c r="AV100" s="366"/>
      <c r="AW100" s="366"/>
      <c r="AX100" s="366"/>
      <c r="AY100" s="366"/>
      <c r="AZ100" s="366"/>
      <c r="BA100" s="366"/>
      <c r="BB100" s="366"/>
      <c r="BC100" s="366"/>
      <c r="BD100" s="366"/>
      <c r="BE100" s="304"/>
      <c r="BF100" s="304"/>
      <c r="BG100" s="304"/>
      <c r="BH100" s="304"/>
      <c r="BI100" s="304"/>
      <c r="BJ100" s="304"/>
      <c r="BK100" s="304"/>
      <c r="BL100" s="867"/>
      <c r="BM100" s="867"/>
      <c r="BN100" s="867"/>
      <c r="BO100" s="867"/>
      <c r="BP100" s="867"/>
      <c r="BQ100" s="867"/>
      <c r="BR100" s="867"/>
      <c r="BS100" s="867"/>
      <c r="BT100" s="867"/>
      <c r="BU100" s="867"/>
      <c r="BV100" s="867"/>
      <c r="BW100" s="867"/>
      <c r="BX100" s="867"/>
      <c r="BY100" s="867"/>
      <c r="BZ100" s="867"/>
      <c r="CA100" s="867"/>
      <c r="CB100" s="867"/>
      <c r="CC100" s="304"/>
      <c r="CD100" s="304"/>
      <c r="CE100" s="304"/>
      <c r="CF100" s="304"/>
      <c r="CG100" s="304"/>
      <c r="CH100" s="284"/>
      <c r="CI100" s="288"/>
      <c r="CJ100" s="288"/>
    </row>
    <row r="101" spans="1:88" s="250" customFormat="1" ht="3" customHeight="1">
      <c r="A101" s="220"/>
      <c r="B101" s="220"/>
      <c r="C101" s="220"/>
      <c r="D101" s="220"/>
      <c r="E101" s="983"/>
      <c r="F101" s="983"/>
      <c r="G101" s="984"/>
      <c r="H101" s="984"/>
      <c r="I101" s="984"/>
      <c r="J101" s="984"/>
      <c r="K101" s="984"/>
      <c r="L101" s="984"/>
      <c r="M101" s="984"/>
      <c r="N101" s="984"/>
      <c r="O101" s="984"/>
      <c r="P101" s="984"/>
      <c r="Q101" s="984"/>
      <c r="R101" s="984"/>
      <c r="S101" s="984"/>
      <c r="T101" s="984"/>
      <c r="U101" s="984"/>
      <c r="V101" s="984"/>
      <c r="W101" s="984"/>
      <c r="X101" s="984"/>
      <c r="Y101" s="984"/>
      <c r="Z101" s="984"/>
      <c r="AA101" s="984"/>
      <c r="AB101" s="984"/>
      <c r="AC101" s="984"/>
      <c r="AD101" s="984"/>
      <c r="AE101" s="984"/>
      <c r="AF101" s="984"/>
      <c r="AG101" s="984"/>
      <c r="AH101" s="984"/>
      <c r="AI101" s="984"/>
      <c r="AJ101" s="984"/>
      <c r="AK101" s="973"/>
      <c r="AL101" s="973"/>
      <c r="AM101" s="973"/>
      <c r="AN101" s="355"/>
      <c r="AO101" s="436"/>
      <c r="AP101" s="436"/>
      <c r="AQ101" s="436"/>
      <c r="AR101" s="435"/>
      <c r="AS101" s="439"/>
      <c r="AT101" s="439"/>
      <c r="AU101" s="439"/>
      <c r="AV101" s="439"/>
      <c r="AW101" s="439"/>
      <c r="AX101" s="440"/>
      <c r="AY101" s="821"/>
      <c r="AZ101" s="821"/>
      <c r="BA101" s="821"/>
      <c r="BB101" s="821"/>
      <c r="BC101" s="821"/>
      <c r="BD101" s="821"/>
      <c r="BE101" s="434"/>
      <c r="BF101" s="968"/>
      <c r="BG101" s="968"/>
      <c r="BH101" s="968"/>
      <c r="BI101" s="968"/>
      <c r="BJ101" s="968"/>
      <c r="BK101" s="851"/>
      <c r="BL101" s="826"/>
      <c r="BM101" s="820"/>
      <c r="BN101" s="820"/>
      <c r="BO101" s="820"/>
      <c r="BP101" s="435"/>
      <c r="BQ101" s="821"/>
      <c r="BR101" s="821"/>
      <c r="BS101" s="821"/>
      <c r="BT101" s="821"/>
      <c r="BU101" s="821"/>
      <c r="BV101" s="818"/>
      <c r="BW101" s="822"/>
      <c r="BX101" s="822"/>
      <c r="BY101" s="822"/>
      <c r="BZ101" s="822"/>
      <c r="CA101" s="822"/>
      <c r="CB101" s="819"/>
      <c r="CC101" s="822"/>
      <c r="CD101" s="822"/>
      <c r="CE101" s="822"/>
      <c r="CF101" s="822"/>
      <c r="CG101" s="822"/>
      <c r="CH101" s="285"/>
      <c r="CI101" s="288"/>
      <c r="CJ101" s="288"/>
    </row>
    <row r="102" spans="1:88" ht="15" customHeight="1">
      <c r="E102" s="983"/>
      <c r="F102" s="983"/>
      <c r="G102" s="984"/>
      <c r="H102" s="984"/>
      <c r="I102" s="984"/>
      <c r="J102" s="984"/>
      <c r="K102" s="984"/>
      <c r="L102" s="984"/>
      <c r="M102" s="984"/>
      <c r="N102" s="984"/>
      <c r="O102" s="984"/>
      <c r="P102" s="984"/>
      <c r="Q102" s="984"/>
      <c r="R102" s="984"/>
      <c r="S102" s="984"/>
      <c r="T102" s="984"/>
      <c r="U102" s="984"/>
      <c r="V102" s="984"/>
      <c r="W102" s="984"/>
      <c r="X102" s="984"/>
      <c r="Y102" s="984"/>
      <c r="Z102" s="984"/>
      <c r="AA102" s="984"/>
      <c r="AB102" s="984"/>
      <c r="AC102" s="984"/>
      <c r="AD102" s="984"/>
      <c r="AE102" s="984"/>
      <c r="AF102" s="984"/>
      <c r="AG102" s="984"/>
      <c r="AH102" s="984"/>
      <c r="AI102" s="984"/>
      <c r="AJ102" s="984"/>
      <c r="AK102" s="973"/>
      <c r="AL102" s="973"/>
      <c r="AM102" s="973"/>
      <c r="AN102" s="355"/>
      <c r="AO102" s="432" t="str">
        <f>IF(LEN(VLOOKUP(AK100,suvaha!$D$92:$H$158,2,FALSE))&lt;11,"",LEFT(RIGHT(VLOOKUP(AK100,suvaha!$D$92:$H$158,2,FALSE),11),1))</f>
        <v/>
      </c>
      <c r="AP102" s="255"/>
      <c r="AQ102" s="432" t="str">
        <f>IF(LEN(VLOOKUP(AK100,suvaha!$D$92:$H$158,2,FALSE))&lt;10,"",LEFT(RIGHT(VLOOKUP(AK100,suvaha!$D$92:$H$158,2,FALSE),10),1))</f>
        <v/>
      </c>
      <c r="AR102" s="434"/>
      <c r="AS102" s="432" t="str">
        <f>IF(LEN(VLOOKUP(AK100,suvaha!$D$92:$H$158,2,FALSE))&lt;9,"",LEFT(RIGHT(VLOOKUP(AK100,suvaha!$D$92:$H$158,2,FALSE),9),1))</f>
        <v/>
      </c>
      <c r="AT102" s="255"/>
      <c r="AU102" s="432" t="str">
        <f>IF(LEN(VLOOKUP(AK100,suvaha!$D$92:$H$158,2,FALSE))&lt;8,"",LEFT(RIGHT(VLOOKUP(AK100,suvaha!$D$92:$H$158,2,FALSE),8),1))</f>
        <v/>
      </c>
      <c r="AV102" s="434"/>
      <c r="AW102" s="432" t="str">
        <f>IF(LEN(VLOOKUP(AK100,suvaha!$D$92:$H$158,2,FALSE))&lt;7,"",LEFT(RIGHT(VLOOKUP(AK100,suvaha!$D$92:$H$158,2,FALSE),7),1))</f>
        <v/>
      </c>
      <c r="AX102" s="440"/>
      <c r="AY102" s="432" t="str">
        <f>IF(LEN(VLOOKUP(AK100,suvaha!$D$92:$H$158,2,FALSE))&lt;6,"",LEFT(RIGHT(VLOOKUP(AK100,suvaha!$D$92:$H$158,2,FALSE),6),1))</f>
        <v/>
      </c>
      <c r="AZ102" s="255"/>
      <c r="BA102" s="961" t="str">
        <f>IF(LEN(VLOOKUP(AK100,suvaha!$D$92:$H$158,2,FALSE))&lt;5,"",LEFT(RIGHT(VLOOKUP(AK100,suvaha!$D$92:$H$158,2,FALSE),5),1))</f>
        <v/>
      </c>
      <c r="BB102" s="961" t="e">
        <f>IF(LEN(#REF!)&lt;5,"",LEFT(RIGHT(#REF!,5),1))</f>
        <v>#REF!</v>
      </c>
      <c r="BC102" s="434"/>
      <c r="BD102" s="432" t="str">
        <f>IF(LEN(VLOOKUP(AK100,suvaha!$D$92:$H$158,2,FALSE))&lt;4,"",LEFT(RIGHT(VLOOKUP(AK100,suvaha!$D$92:$H$158,2,FALSE),4),1))</f>
        <v/>
      </c>
      <c r="BE102" s="434"/>
      <c r="BF102" s="432" t="str">
        <f>IF(LEN(VLOOKUP(AK100,suvaha!$D$92:$H$158,2,FALSE))&lt;3,"",LEFT(RIGHT(VLOOKUP(AK100,suvaha!$D$92:$H$158,2,FALSE),3),1))</f>
        <v/>
      </c>
      <c r="BG102" s="434"/>
      <c r="BH102" s="432" t="str">
        <f>IF(LEN(VLOOKUP(AK100,suvaha!$D$92:$H$158,2,FALSE))&lt;2,"",LEFT(RIGHT(VLOOKUP(AK100,suvaha!$D$92:$H$158,2,FALSE),2),1))</f>
        <v/>
      </c>
      <c r="BI102" s="434"/>
      <c r="BJ102" s="432" t="str">
        <f>IF(VLOOKUP(AK100,suvaha!$D$92:$H$158,2,FALSE)=0,"",IF(LEN(VLOOKUP(AK100,suvaha!$D$92:$H$158,2,FALSE))&lt;1,"",LEFT(RIGHT(VLOOKUP(AK100,suvaha!$D$92:$H$158,2,FALSE),1),1)))</f>
        <v/>
      </c>
      <c r="BK102" s="851"/>
      <c r="BL102" s="826"/>
      <c r="BM102" s="432" t="str">
        <f>IF(LEN(VLOOKUP(AK100,suvaha!$D$92:$H$158,4,FALSE))&lt;11,"",LEFT(RIGHT(VLOOKUP(AK100,suvaha!$D$92:$H$158,4,FALSE),11),1))</f>
        <v/>
      </c>
      <c r="BN102" s="255"/>
      <c r="BO102" s="432" t="str">
        <f>IF(LEN(VLOOKUP(AK100,suvaha!$D$92:$H$158,4,FALSE))&lt;10,"",LEFT(RIGHT(VLOOKUP(AK100,suvaha!$D$92:$H$158,4,FALSE),10),1))</f>
        <v/>
      </c>
      <c r="BP102" s="434"/>
      <c r="BQ102" s="432" t="str">
        <f>IF(LEN(VLOOKUP(AK100,suvaha!$D$92:$H$158,4,FALSE))&lt;9,"",LEFT(RIGHT(VLOOKUP(AK100,suvaha!$D$92:$H$158,4,FALSE),9),1))</f>
        <v/>
      </c>
      <c r="BR102" s="255"/>
      <c r="BS102" s="432" t="str">
        <f>IF(LEN(VLOOKUP(AK100,suvaha!$D$92:$H$158,4,FALSE))&lt;8,"",LEFT(RIGHT(VLOOKUP(AK100,suvaha!$D$92:$H$158,4,FALSE),8),1))</f>
        <v/>
      </c>
      <c r="BT102" s="434"/>
      <c r="BU102" s="432" t="str">
        <f>IF(LEN(VLOOKUP(AK100,suvaha!$D$92:$H$158,4,FALSE))&lt;7,"",LEFT(RIGHT(VLOOKUP(AK100,suvaha!$D$92:$H$158,4,FALSE),7),1))</f>
        <v/>
      </c>
      <c r="BV102" s="818"/>
      <c r="BW102" s="432" t="str">
        <f>IF(LEN(VLOOKUP(AK100,suvaha!$D$92:$H$158,4,FALSE))&lt;6,"",LEFT(RIGHT(VLOOKUP(AK100,suvaha!$D$92:$H$158,4,FALSE),6),1))</f>
        <v/>
      </c>
      <c r="BX102" s="434"/>
      <c r="BY102" s="432" t="str">
        <f>IF(LEN(VLOOKUP(AK100,suvaha!$D$92:$H$158,4,FALSE))&lt;5,"",LEFT(RIGHT(VLOOKUP(AK100,suvaha!$D$92:$H$158,4,FALSE),5),1))</f>
        <v/>
      </c>
      <c r="BZ102" s="434"/>
      <c r="CA102" s="432" t="str">
        <f>IF(LEN(VLOOKUP(AK100,suvaha!$D$92:$H$158,4,FALSE))&lt;4,"",LEFT(RIGHT(VLOOKUP(AK100,suvaha!$D$92:$H$158,4,FALSE),4),1))</f>
        <v/>
      </c>
      <c r="CB102" s="819"/>
      <c r="CC102" s="432" t="str">
        <f>IF(LEN(VLOOKUP(AK100,suvaha!$D$92:$H$158,4,FALSE))&lt;3,"",LEFT(RIGHT(VLOOKUP(AK100,suvaha!$D$92:$H$158,4,FALSE),3),1))</f>
        <v/>
      </c>
      <c r="CD102" s="434"/>
      <c r="CE102" s="432" t="str">
        <f>IF(LEN(VLOOKUP(AK100,suvaha!$D$92:$H$158,4,FALSE))&lt;2,"",LEFT(RIGHT(VLOOKUP(AK100,suvaha!$D$92:$H$158,4,FALSE),2),1))</f>
        <v/>
      </c>
      <c r="CF102" s="434"/>
      <c r="CG102" s="432" t="str">
        <f>IF(VLOOKUP(AK100,suvaha!$D$92:$H$158,4,FALSE)=0,"",IF(LEN(VLOOKUP(AK100,suvaha!$D$92:$H$158,4,FALSE))&lt;1,"",LEFT(RIGHT(VLOOKUP(AK100,suvaha!$D$92:$H$158,4,FALSE),1),1)))</f>
        <v/>
      </c>
      <c r="CH102" s="285"/>
      <c r="CI102" s="220"/>
      <c r="CJ102" s="220"/>
    </row>
    <row r="103" spans="1:88" ht="3" customHeight="1">
      <c r="E103" s="983"/>
      <c r="F103" s="983"/>
      <c r="G103" s="984"/>
      <c r="H103" s="984"/>
      <c r="I103" s="984"/>
      <c r="J103" s="984"/>
      <c r="K103" s="984"/>
      <c r="L103" s="984"/>
      <c r="M103" s="984"/>
      <c r="N103" s="984"/>
      <c r="O103" s="984"/>
      <c r="P103" s="984"/>
      <c r="Q103" s="984"/>
      <c r="R103" s="984"/>
      <c r="S103" s="984"/>
      <c r="T103" s="984"/>
      <c r="U103" s="984"/>
      <c r="V103" s="984"/>
      <c r="W103" s="984"/>
      <c r="X103" s="984"/>
      <c r="Y103" s="984"/>
      <c r="Z103" s="984"/>
      <c r="AA103" s="984"/>
      <c r="AB103" s="984"/>
      <c r="AC103" s="984"/>
      <c r="AD103" s="984"/>
      <c r="AE103" s="984"/>
      <c r="AF103" s="984"/>
      <c r="AG103" s="984"/>
      <c r="AH103" s="984"/>
      <c r="AI103" s="984"/>
      <c r="AJ103" s="984"/>
      <c r="AK103" s="973"/>
      <c r="AL103" s="973"/>
      <c r="AM103" s="973"/>
      <c r="AN103" s="358"/>
      <c r="AO103" s="365"/>
      <c r="AP103" s="365"/>
      <c r="AQ103" s="365"/>
      <c r="AR103" s="365"/>
      <c r="AS103" s="365"/>
      <c r="AT103" s="365"/>
      <c r="AU103" s="365"/>
      <c r="AV103" s="365"/>
      <c r="AW103" s="365"/>
      <c r="AX103" s="365"/>
      <c r="AY103" s="365"/>
      <c r="AZ103" s="365"/>
      <c r="BA103" s="365"/>
      <c r="BB103" s="365"/>
      <c r="BC103" s="365"/>
      <c r="BD103" s="365"/>
      <c r="BE103" s="310"/>
      <c r="BF103" s="310"/>
      <c r="BG103" s="310"/>
      <c r="BH103" s="310"/>
      <c r="BI103" s="310"/>
      <c r="BJ103" s="310"/>
      <c r="BK103" s="310"/>
      <c r="BL103" s="846"/>
      <c r="BM103" s="846"/>
      <c r="BN103" s="846"/>
      <c r="BO103" s="846"/>
      <c r="BP103" s="846"/>
      <c r="BQ103" s="846"/>
      <c r="BR103" s="846"/>
      <c r="BS103" s="846"/>
      <c r="BT103" s="846"/>
      <c r="BU103" s="846"/>
      <c r="BV103" s="846"/>
      <c r="BW103" s="846"/>
      <c r="BX103" s="846"/>
      <c r="BY103" s="846"/>
      <c r="BZ103" s="846"/>
      <c r="CA103" s="846"/>
      <c r="CB103" s="846"/>
      <c r="CC103" s="310"/>
      <c r="CD103" s="310"/>
      <c r="CE103" s="310"/>
      <c r="CF103" s="310"/>
      <c r="CG103" s="310"/>
      <c r="CH103" s="286"/>
      <c r="CI103" s="220"/>
      <c r="CJ103" s="220"/>
    </row>
    <row r="104" spans="1:88" s="250" customFormat="1" ht="3" customHeight="1" thickBot="1">
      <c r="A104" s="220"/>
      <c r="B104" s="220"/>
      <c r="C104" s="224"/>
      <c r="D104" s="224"/>
      <c r="E104" s="978" t="s">
        <v>509</v>
      </c>
      <c r="F104" s="978"/>
      <c r="G104" s="976" t="str">
        <f>Index!C136</f>
        <v>Emisné ážio (412)</v>
      </c>
      <c r="H104" s="976"/>
      <c r="I104" s="976"/>
      <c r="J104" s="976"/>
      <c r="K104" s="976"/>
      <c r="L104" s="976"/>
      <c r="M104" s="976"/>
      <c r="N104" s="976"/>
      <c r="O104" s="976"/>
      <c r="P104" s="976"/>
      <c r="Q104" s="976"/>
      <c r="R104" s="976"/>
      <c r="S104" s="976"/>
      <c r="T104" s="976"/>
      <c r="U104" s="976"/>
      <c r="V104" s="976"/>
      <c r="W104" s="976"/>
      <c r="X104" s="976"/>
      <c r="Y104" s="976"/>
      <c r="Z104" s="976"/>
      <c r="AA104" s="976"/>
      <c r="AB104" s="976"/>
      <c r="AC104" s="976"/>
      <c r="AD104" s="976"/>
      <c r="AE104" s="976"/>
      <c r="AF104" s="976"/>
      <c r="AG104" s="976"/>
      <c r="AH104" s="976"/>
      <c r="AI104" s="976"/>
      <c r="AJ104" s="976"/>
      <c r="AK104" s="981" t="s">
        <v>1651</v>
      </c>
      <c r="AL104" s="981"/>
      <c r="AM104" s="981"/>
      <c r="AN104" s="357"/>
      <c r="AO104" s="366"/>
      <c r="AP104" s="366"/>
      <c r="AQ104" s="366"/>
      <c r="AR104" s="366"/>
      <c r="AS104" s="366"/>
      <c r="AT104" s="366"/>
      <c r="AU104" s="366"/>
      <c r="AV104" s="366"/>
      <c r="AW104" s="366"/>
      <c r="AX104" s="366"/>
      <c r="AY104" s="366"/>
      <c r="AZ104" s="366"/>
      <c r="BA104" s="366"/>
      <c r="BB104" s="366"/>
      <c r="BC104" s="366"/>
      <c r="BD104" s="366"/>
      <c r="BE104" s="304"/>
      <c r="BF104" s="304"/>
      <c r="BG104" s="304"/>
      <c r="BH104" s="304"/>
      <c r="BI104" s="304"/>
      <c r="BJ104" s="304"/>
      <c r="BK104" s="304"/>
      <c r="BL104" s="867"/>
      <c r="BM104" s="867"/>
      <c r="BN104" s="867"/>
      <c r="BO104" s="867"/>
      <c r="BP104" s="867"/>
      <c r="BQ104" s="867"/>
      <c r="BR104" s="867"/>
      <c r="BS104" s="867"/>
      <c r="BT104" s="867"/>
      <c r="BU104" s="867"/>
      <c r="BV104" s="867"/>
      <c r="BW104" s="867"/>
      <c r="BX104" s="867"/>
      <c r="BY104" s="867"/>
      <c r="BZ104" s="867"/>
      <c r="CA104" s="867"/>
      <c r="CB104" s="867"/>
      <c r="CC104" s="304"/>
      <c r="CD104" s="304"/>
      <c r="CE104" s="304"/>
      <c r="CF104" s="304"/>
      <c r="CG104" s="304"/>
      <c r="CH104" s="284"/>
      <c r="CI104" s="288"/>
      <c r="CJ104" s="288"/>
    </row>
    <row r="105" spans="1:88" s="250" customFormat="1" ht="3" customHeight="1" thickBot="1">
      <c r="A105" s="220"/>
      <c r="B105" s="220"/>
      <c r="C105" s="220"/>
      <c r="D105" s="220"/>
      <c r="E105" s="978"/>
      <c r="F105" s="978"/>
      <c r="G105" s="976"/>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81"/>
      <c r="AL105" s="981"/>
      <c r="AM105" s="981"/>
      <c r="AN105" s="355"/>
      <c r="AO105" s="436"/>
      <c r="AP105" s="436"/>
      <c r="AQ105" s="436"/>
      <c r="AR105" s="435"/>
      <c r="AS105" s="439"/>
      <c r="AT105" s="439"/>
      <c r="AU105" s="439"/>
      <c r="AV105" s="439"/>
      <c r="AW105" s="439"/>
      <c r="AX105" s="440"/>
      <c r="AY105" s="821"/>
      <c r="AZ105" s="821"/>
      <c r="BA105" s="821"/>
      <c r="BB105" s="821"/>
      <c r="BC105" s="821"/>
      <c r="BD105" s="821"/>
      <c r="BE105" s="434"/>
      <c r="BF105" s="968"/>
      <c r="BG105" s="968"/>
      <c r="BH105" s="968"/>
      <c r="BI105" s="968"/>
      <c r="BJ105" s="968"/>
      <c r="BK105" s="851"/>
      <c r="BL105" s="826"/>
      <c r="BM105" s="820"/>
      <c r="BN105" s="820"/>
      <c r="BO105" s="820"/>
      <c r="BP105" s="435"/>
      <c r="BQ105" s="821"/>
      <c r="BR105" s="821"/>
      <c r="BS105" s="821"/>
      <c r="BT105" s="821"/>
      <c r="BU105" s="821"/>
      <c r="BV105" s="818"/>
      <c r="BW105" s="822"/>
      <c r="BX105" s="822"/>
      <c r="BY105" s="822"/>
      <c r="BZ105" s="822"/>
      <c r="CA105" s="822"/>
      <c r="CB105" s="819"/>
      <c r="CC105" s="822"/>
      <c r="CD105" s="822"/>
      <c r="CE105" s="822"/>
      <c r="CF105" s="822"/>
      <c r="CG105" s="822"/>
      <c r="CH105" s="285"/>
      <c r="CI105" s="288"/>
      <c r="CJ105" s="288"/>
    </row>
    <row r="106" spans="1:88" ht="15" customHeight="1" thickBot="1">
      <c r="E106" s="978"/>
      <c r="F106" s="978"/>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81"/>
      <c r="AL106" s="981"/>
      <c r="AM106" s="981"/>
      <c r="AN106" s="355"/>
      <c r="AO106" s="432" t="str">
        <f>IF(LEN(VLOOKUP(AK104,suvaha!$D$92:$H$158,2,FALSE))&lt;11,"",LEFT(RIGHT(VLOOKUP(AK104,suvaha!$D$92:$H$158,2,FALSE),11),1))</f>
        <v/>
      </c>
      <c r="AP106" s="255"/>
      <c r="AQ106" s="432" t="str">
        <f>IF(LEN(VLOOKUP(AK104,suvaha!$D$92:$H$158,2,FALSE))&lt;10,"",LEFT(RIGHT(VLOOKUP(AK104,suvaha!$D$92:$H$158,2,FALSE),10),1))</f>
        <v/>
      </c>
      <c r="AR106" s="434"/>
      <c r="AS106" s="432" t="str">
        <f>IF(LEN(VLOOKUP(AK104,suvaha!$D$92:$H$158,2,FALSE))&lt;9,"",LEFT(RIGHT(VLOOKUP(AK104,suvaha!$D$92:$H$158,2,FALSE),9),1))</f>
        <v/>
      </c>
      <c r="AT106" s="255"/>
      <c r="AU106" s="432" t="str">
        <f>IF(LEN(VLOOKUP(AK104,suvaha!$D$92:$H$158,2,FALSE))&lt;8,"",LEFT(RIGHT(VLOOKUP(AK104,suvaha!$D$92:$H$158,2,FALSE),8),1))</f>
        <v/>
      </c>
      <c r="AV106" s="434"/>
      <c r="AW106" s="432" t="str">
        <f>IF(LEN(VLOOKUP(AK104,suvaha!$D$92:$H$158,2,FALSE))&lt;7,"",LEFT(RIGHT(VLOOKUP(AK104,suvaha!$D$92:$H$158,2,FALSE),7),1))</f>
        <v/>
      </c>
      <c r="AX106" s="440"/>
      <c r="AY106" s="432" t="str">
        <f>IF(LEN(VLOOKUP(AK104,suvaha!$D$92:$H$158,2,FALSE))&lt;6,"",LEFT(RIGHT(VLOOKUP(AK104,suvaha!$D$92:$H$158,2,FALSE),6),1))</f>
        <v/>
      </c>
      <c r="AZ106" s="255"/>
      <c r="BA106" s="961" t="str">
        <f>IF(LEN(VLOOKUP(AK104,suvaha!$D$92:$H$158,2,FALSE))&lt;5,"",LEFT(RIGHT(VLOOKUP(AK104,suvaha!$D$92:$H$158,2,FALSE),5),1))</f>
        <v/>
      </c>
      <c r="BB106" s="961" t="e">
        <f>IF(LEN(#REF!)&lt;5,"",LEFT(RIGHT(#REF!,5),1))</f>
        <v>#REF!</v>
      </c>
      <c r="BC106" s="434"/>
      <c r="BD106" s="432" t="str">
        <f>IF(LEN(VLOOKUP(AK104,suvaha!$D$92:$H$158,2,FALSE))&lt;4,"",LEFT(RIGHT(VLOOKUP(AK104,suvaha!$D$92:$H$158,2,FALSE),4),1))</f>
        <v/>
      </c>
      <c r="BE106" s="434"/>
      <c r="BF106" s="432" t="str">
        <f>IF(LEN(VLOOKUP(AK104,suvaha!$D$92:$H$158,2,FALSE))&lt;3,"",LEFT(RIGHT(VLOOKUP(AK104,suvaha!$D$92:$H$158,2,FALSE),3),1))</f>
        <v/>
      </c>
      <c r="BG106" s="434"/>
      <c r="BH106" s="432" t="str">
        <f>IF(LEN(VLOOKUP(AK104,suvaha!$D$92:$H$158,2,FALSE))&lt;2,"",LEFT(RIGHT(VLOOKUP(AK104,suvaha!$D$92:$H$158,2,FALSE),2),1))</f>
        <v/>
      </c>
      <c r="BI106" s="434"/>
      <c r="BJ106" s="432" t="str">
        <f>IF(VLOOKUP(AK104,suvaha!$D$92:$H$158,2,FALSE)=0,"",IF(LEN(VLOOKUP(AK104,suvaha!$D$92:$H$158,2,FALSE))&lt;1,"",LEFT(RIGHT(VLOOKUP(AK104,suvaha!$D$92:$H$158,2,FALSE),1),1)))</f>
        <v/>
      </c>
      <c r="BK106" s="851"/>
      <c r="BL106" s="826"/>
      <c r="BM106" s="432" t="str">
        <f>IF(LEN(VLOOKUP(AK104,suvaha!$D$92:$H$158,4,FALSE))&lt;11,"",LEFT(RIGHT(VLOOKUP(AK104,suvaha!$D$92:$H$158,4,FALSE),11),1))</f>
        <v/>
      </c>
      <c r="BN106" s="255"/>
      <c r="BO106" s="432" t="str">
        <f>IF(LEN(VLOOKUP(AK104,suvaha!$D$92:$H$158,4,FALSE))&lt;10,"",LEFT(RIGHT(VLOOKUP(AK104,suvaha!$D$92:$H$158,4,FALSE),10),1))</f>
        <v/>
      </c>
      <c r="BP106" s="434"/>
      <c r="BQ106" s="432" t="str">
        <f>IF(LEN(VLOOKUP(AK104,suvaha!$D$92:$H$158,4,FALSE))&lt;9,"",LEFT(RIGHT(VLOOKUP(AK104,suvaha!$D$92:$H$158,4,FALSE),9),1))</f>
        <v/>
      </c>
      <c r="BR106" s="255"/>
      <c r="BS106" s="432" t="str">
        <f>IF(LEN(VLOOKUP(AK104,suvaha!$D$92:$H$158,4,FALSE))&lt;8,"",LEFT(RIGHT(VLOOKUP(AK104,suvaha!$D$92:$H$158,4,FALSE),8),1))</f>
        <v/>
      </c>
      <c r="BT106" s="434"/>
      <c r="BU106" s="432" t="str">
        <f>IF(LEN(VLOOKUP(AK104,suvaha!$D$92:$H$158,4,FALSE))&lt;7,"",LEFT(RIGHT(VLOOKUP(AK104,suvaha!$D$92:$H$158,4,FALSE),7),1))</f>
        <v/>
      </c>
      <c r="BV106" s="818"/>
      <c r="BW106" s="432" t="str">
        <f>IF(LEN(VLOOKUP(AK104,suvaha!$D$92:$H$158,4,FALSE))&lt;6,"",LEFT(RIGHT(VLOOKUP(AK104,suvaha!$D$92:$H$158,4,FALSE),6),1))</f>
        <v/>
      </c>
      <c r="BX106" s="434"/>
      <c r="BY106" s="432" t="str">
        <f>IF(LEN(VLOOKUP(AK104,suvaha!$D$92:$H$158,4,FALSE))&lt;5,"",LEFT(RIGHT(VLOOKUP(AK104,suvaha!$D$92:$H$158,4,FALSE),5),1))</f>
        <v/>
      </c>
      <c r="BZ106" s="434"/>
      <c r="CA106" s="432" t="str">
        <f>IF(LEN(VLOOKUP(AK104,suvaha!$D$92:$H$158,4,FALSE))&lt;4,"",LEFT(RIGHT(VLOOKUP(AK104,suvaha!$D$92:$H$158,4,FALSE),4),1))</f>
        <v/>
      </c>
      <c r="CB106" s="819"/>
      <c r="CC106" s="432" t="str">
        <f>IF(LEN(VLOOKUP(AK104,suvaha!$D$92:$H$158,4,FALSE))&lt;3,"",LEFT(RIGHT(VLOOKUP(AK104,suvaha!$D$92:$H$158,4,FALSE),3),1))</f>
        <v/>
      </c>
      <c r="CD106" s="434"/>
      <c r="CE106" s="432" t="str">
        <f>IF(LEN(VLOOKUP(AK104,suvaha!$D$92:$H$158,4,FALSE))&lt;2,"",LEFT(RIGHT(VLOOKUP(AK104,suvaha!$D$92:$H$158,4,FALSE),2),1))</f>
        <v/>
      </c>
      <c r="CF106" s="434"/>
      <c r="CG106" s="432" t="str">
        <f>IF(VLOOKUP(AK104,suvaha!$D$92:$H$158,4,FALSE)=0,"",IF(LEN(VLOOKUP(AK104,suvaha!$D$92:$H$158,4,FALSE))&lt;1,"",LEFT(RIGHT(VLOOKUP(AK104,suvaha!$D$92:$H$158,4,FALSE),1),1)))</f>
        <v/>
      </c>
      <c r="CH106" s="285"/>
      <c r="CI106" s="220"/>
      <c r="CJ106" s="220"/>
    </row>
    <row r="107" spans="1:88" ht="3" customHeight="1">
      <c r="E107" s="979"/>
      <c r="F107" s="979"/>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2"/>
      <c r="AL107" s="982"/>
      <c r="AM107" s="982"/>
      <c r="AN107" s="358"/>
      <c r="AO107" s="365"/>
      <c r="AP107" s="365"/>
      <c r="AQ107" s="365"/>
      <c r="AR107" s="365"/>
      <c r="AS107" s="365"/>
      <c r="AT107" s="365"/>
      <c r="AU107" s="365"/>
      <c r="AV107" s="365"/>
      <c r="AW107" s="365"/>
      <c r="AX107" s="365"/>
      <c r="AY107" s="365"/>
      <c r="AZ107" s="365"/>
      <c r="BA107" s="365"/>
      <c r="BB107" s="365"/>
      <c r="BC107" s="365"/>
      <c r="BD107" s="365"/>
      <c r="BE107" s="310"/>
      <c r="BF107" s="310"/>
      <c r="BG107" s="310"/>
      <c r="BH107" s="310"/>
      <c r="BI107" s="310"/>
      <c r="BJ107" s="310"/>
      <c r="BK107" s="310"/>
      <c r="BL107" s="846"/>
      <c r="BM107" s="846"/>
      <c r="BN107" s="846"/>
      <c r="BO107" s="846"/>
      <c r="BP107" s="846"/>
      <c r="BQ107" s="846"/>
      <c r="BR107" s="846"/>
      <c r="BS107" s="846"/>
      <c r="BT107" s="846"/>
      <c r="BU107" s="846"/>
      <c r="BV107" s="846"/>
      <c r="BW107" s="846"/>
      <c r="BX107" s="846"/>
      <c r="BY107" s="846"/>
      <c r="BZ107" s="846"/>
      <c r="CA107" s="846"/>
      <c r="CB107" s="846"/>
      <c r="CC107" s="310"/>
      <c r="CD107" s="310"/>
      <c r="CE107" s="310"/>
      <c r="CF107" s="310"/>
      <c r="CG107" s="310"/>
      <c r="CH107" s="286"/>
      <c r="CI107" s="220"/>
      <c r="CJ107" s="220"/>
    </row>
    <row r="108" spans="1:88" s="250" customFormat="1" ht="3" customHeight="1">
      <c r="A108" s="220"/>
      <c r="B108" s="220"/>
      <c r="C108" s="224"/>
      <c r="D108" s="224"/>
      <c r="E108" s="974" t="s">
        <v>527</v>
      </c>
      <c r="F108" s="975"/>
      <c r="G108" s="976" t="str">
        <f>Index!C137</f>
        <v>Ostatné kapitálové fondy (413)</v>
      </c>
      <c r="H108" s="976"/>
      <c r="I108" s="976"/>
      <c r="J108" s="976"/>
      <c r="K108" s="976"/>
      <c r="L108" s="976"/>
      <c r="M108" s="976"/>
      <c r="N108" s="976"/>
      <c r="O108" s="976"/>
      <c r="P108" s="976"/>
      <c r="Q108" s="976"/>
      <c r="R108" s="976"/>
      <c r="S108" s="976"/>
      <c r="T108" s="976"/>
      <c r="U108" s="976"/>
      <c r="V108" s="976"/>
      <c r="W108" s="976"/>
      <c r="X108" s="976"/>
      <c r="Y108" s="976"/>
      <c r="Z108" s="976"/>
      <c r="AA108" s="976"/>
      <c r="AB108" s="976"/>
      <c r="AC108" s="976"/>
      <c r="AD108" s="976"/>
      <c r="AE108" s="976"/>
      <c r="AF108" s="976"/>
      <c r="AG108" s="976"/>
      <c r="AH108" s="976"/>
      <c r="AI108" s="976"/>
      <c r="AJ108" s="976"/>
      <c r="AK108" s="977" t="s">
        <v>1652</v>
      </c>
      <c r="AL108" s="977"/>
      <c r="AM108" s="977"/>
      <c r="AN108" s="357"/>
      <c r="AO108" s="366"/>
      <c r="AP108" s="366"/>
      <c r="AQ108" s="366"/>
      <c r="AR108" s="366"/>
      <c r="AS108" s="366"/>
      <c r="AT108" s="366"/>
      <c r="AU108" s="366"/>
      <c r="AV108" s="366"/>
      <c r="AW108" s="366"/>
      <c r="AX108" s="366"/>
      <c r="AY108" s="366"/>
      <c r="AZ108" s="366"/>
      <c r="BA108" s="366"/>
      <c r="BB108" s="366"/>
      <c r="BC108" s="366"/>
      <c r="BD108" s="366"/>
      <c r="BE108" s="304"/>
      <c r="BF108" s="304"/>
      <c r="BG108" s="304"/>
      <c r="BH108" s="304"/>
      <c r="BI108" s="304"/>
      <c r="BJ108" s="304"/>
      <c r="BK108" s="304"/>
      <c r="BL108" s="867"/>
      <c r="BM108" s="867"/>
      <c r="BN108" s="867"/>
      <c r="BO108" s="867"/>
      <c r="BP108" s="867"/>
      <c r="BQ108" s="867"/>
      <c r="BR108" s="867"/>
      <c r="BS108" s="867"/>
      <c r="BT108" s="867"/>
      <c r="BU108" s="867"/>
      <c r="BV108" s="867"/>
      <c r="BW108" s="867"/>
      <c r="BX108" s="867"/>
      <c r="BY108" s="867"/>
      <c r="BZ108" s="867"/>
      <c r="CA108" s="867"/>
      <c r="CB108" s="867"/>
      <c r="CC108" s="304"/>
      <c r="CD108" s="304"/>
      <c r="CE108" s="304"/>
      <c r="CF108" s="304"/>
      <c r="CG108" s="304"/>
      <c r="CH108" s="284"/>
      <c r="CI108" s="288"/>
      <c r="CJ108" s="288"/>
    </row>
    <row r="109" spans="1:88" s="250" customFormat="1" ht="3" customHeight="1">
      <c r="A109" s="220"/>
      <c r="B109" s="220"/>
      <c r="C109" s="220"/>
      <c r="D109" s="220"/>
      <c r="E109" s="974"/>
      <c r="F109" s="975"/>
      <c r="G109" s="976"/>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7"/>
      <c r="AL109" s="977"/>
      <c r="AM109" s="977"/>
      <c r="AN109" s="355"/>
      <c r="AO109" s="436"/>
      <c r="AP109" s="436"/>
      <c r="AQ109" s="436"/>
      <c r="AR109" s="435"/>
      <c r="AS109" s="439"/>
      <c r="AT109" s="439"/>
      <c r="AU109" s="439"/>
      <c r="AV109" s="439"/>
      <c r="AW109" s="439"/>
      <c r="AX109" s="440"/>
      <c r="AY109" s="821"/>
      <c r="AZ109" s="821"/>
      <c r="BA109" s="821"/>
      <c r="BB109" s="821"/>
      <c r="BC109" s="821"/>
      <c r="BD109" s="821"/>
      <c r="BE109" s="434"/>
      <c r="BF109" s="968"/>
      <c r="BG109" s="968"/>
      <c r="BH109" s="968"/>
      <c r="BI109" s="968"/>
      <c r="BJ109" s="968"/>
      <c r="BK109" s="851"/>
      <c r="BL109" s="826"/>
      <c r="BM109" s="820"/>
      <c r="BN109" s="820"/>
      <c r="BO109" s="820"/>
      <c r="BP109" s="435"/>
      <c r="BQ109" s="821"/>
      <c r="BR109" s="821"/>
      <c r="BS109" s="821"/>
      <c r="BT109" s="821"/>
      <c r="BU109" s="821"/>
      <c r="BV109" s="818"/>
      <c r="BW109" s="822"/>
      <c r="BX109" s="822"/>
      <c r="BY109" s="822"/>
      <c r="BZ109" s="822"/>
      <c r="CA109" s="822"/>
      <c r="CB109" s="819"/>
      <c r="CC109" s="822"/>
      <c r="CD109" s="822"/>
      <c r="CE109" s="822"/>
      <c r="CF109" s="822"/>
      <c r="CG109" s="822"/>
      <c r="CH109" s="285"/>
      <c r="CI109" s="288"/>
      <c r="CJ109" s="288"/>
    </row>
    <row r="110" spans="1:88" ht="15" customHeight="1">
      <c r="E110" s="974"/>
      <c r="F110" s="97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7"/>
      <c r="AL110" s="977"/>
      <c r="AM110" s="977"/>
      <c r="AN110" s="355"/>
      <c r="AO110" s="432" t="str">
        <f>IF(LEN(VLOOKUP(AK108,suvaha!$D$92:$H$158,2,FALSE))&lt;11,"",LEFT(RIGHT(VLOOKUP(AK108,suvaha!$D$92:$H$158,2,FALSE),11),1))</f>
        <v/>
      </c>
      <c r="AP110" s="255"/>
      <c r="AQ110" s="432" t="str">
        <f>IF(LEN(VLOOKUP(AK108,suvaha!$D$92:$H$158,2,FALSE))&lt;10,"",LEFT(RIGHT(VLOOKUP(AK108,suvaha!$D$92:$H$158,2,FALSE),10),1))</f>
        <v/>
      </c>
      <c r="AR110" s="434"/>
      <c r="AS110" s="432" t="str">
        <f>IF(LEN(VLOOKUP(AK108,suvaha!$D$92:$H$158,2,FALSE))&lt;9,"",LEFT(RIGHT(VLOOKUP(AK108,suvaha!$D$92:$H$158,2,FALSE),9),1))</f>
        <v/>
      </c>
      <c r="AT110" s="255"/>
      <c r="AU110" s="432" t="str">
        <f>IF(LEN(VLOOKUP(AK108,suvaha!$D$92:$H$158,2,FALSE))&lt;8,"",LEFT(RIGHT(VLOOKUP(AK108,suvaha!$D$92:$H$158,2,FALSE),8),1))</f>
        <v/>
      </c>
      <c r="AV110" s="434"/>
      <c r="AW110" s="432" t="str">
        <f>IF(LEN(VLOOKUP(AK108,suvaha!$D$92:$H$158,2,FALSE))&lt;7,"",LEFT(RIGHT(VLOOKUP(AK108,suvaha!$D$92:$H$158,2,FALSE),7),1))</f>
        <v>1</v>
      </c>
      <c r="AX110" s="440"/>
      <c r="AY110" s="432" t="str">
        <f>IF(LEN(VLOOKUP(AK108,suvaha!$D$92:$H$158,2,FALSE))&lt;6,"",LEFT(RIGHT(VLOOKUP(AK108,suvaha!$D$92:$H$158,2,FALSE),6),1))</f>
        <v>5</v>
      </c>
      <c r="AZ110" s="255"/>
      <c r="BA110" s="961" t="str">
        <f>IF(LEN(VLOOKUP(AK108,suvaha!$D$92:$H$158,2,FALSE))&lt;5,"",LEFT(RIGHT(VLOOKUP(AK108,suvaha!$D$92:$H$158,2,FALSE),5),1))</f>
        <v>0</v>
      </c>
      <c r="BB110" s="961" t="e">
        <f>IF(LEN(#REF!)&lt;5,"",LEFT(RIGHT(#REF!,5),1))</f>
        <v>#REF!</v>
      </c>
      <c r="BC110" s="434"/>
      <c r="BD110" s="432" t="str">
        <f>IF(LEN(VLOOKUP(AK108,suvaha!$D$92:$H$158,2,FALSE))&lt;4,"",LEFT(RIGHT(VLOOKUP(AK108,suvaha!$D$92:$H$158,2,FALSE),4),1))</f>
        <v>0</v>
      </c>
      <c r="BE110" s="434"/>
      <c r="BF110" s="432" t="str">
        <f>IF(LEN(VLOOKUP(AK108,suvaha!$D$92:$H$158,2,FALSE))&lt;3,"",LEFT(RIGHT(VLOOKUP(AK108,suvaha!$D$92:$H$158,2,FALSE),3),1))</f>
        <v>0</v>
      </c>
      <c r="BG110" s="434"/>
      <c r="BH110" s="432" t="str">
        <f>IF(LEN(VLOOKUP(AK108,suvaha!$D$92:$H$158,2,FALSE))&lt;2,"",LEFT(RIGHT(VLOOKUP(AK108,suvaha!$D$92:$H$158,2,FALSE),2),1))</f>
        <v>0</v>
      </c>
      <c r="BI110" s="434"/>
      <c r="BJ110" s="432" t="str">
        <f>IF(VLOOKUP(AK108,suvaha!$D$92:$H$158,2,FALSE)=0,"",IF(LEN(VLOOKUP(AK108,suvaha!$D$92:$H$158,2,FALSE))&lt;1,"",LEFT(RIGHT(VLOOKUP(AK108,suvaha!$D$92:$H$158,2,FALSE),1),1)))</f>
        <v>0</v>
      </c>
      <c r="BK110" s="851"/>
      <c r="BL110" s="826"/>
      <c r="BM110" s="432" t="str">
        <f>IF(LEN(VLOOKUP(AK108,suvaha!$D$92:$H$158,4,FALSE))&lt;11,"",LEFT(RIGHT(VLOOKUP(AK108,suvaha!$D$92:$H$158,4,FALSE),11),1))</f>
        <v/>
      </c>
      <c r="BN110" s="255"/>
      <c r="BO110" s="432" t="str">
        <f>IF(LEN(VLOOKUP(AK108,suvaha!$D$92:$H$158,4,FALSE))&lt;10,"",LEFT(RIGHT(VLOOKUP(AK108,suvaha!$D$92:$H$158,4,FALSE),10),1))</f>
        <v/>
      </c>
      <c r="BP110" s="434"/>
      <c r="BQ110" s="432" t="str">
        <f>IF(LEN(VLOOKUP(AK108,suvaha!$D$92:$H$158,4,FALSE))&lt;9,"",LEFT(RIGHT(VLOOKUP(AK108,suvaha!$D$92:$H$158,4,FALSE),9),1))</f>
        <v/>
      </c>
      <c r="BR110" s="255"/>
      <c r="BS110" s="432" t="str">
        <f>IF(LEN(VLOOKUP(AK108,suvaha!$D$92:$H$158,4,FALSE))&lt;8,"",LEFT(RIGHT(VLOOKUP(AK108,suvaha!$D$92:$H$158,4,FALSE),8),1))</f>
        <v/>
      </c>
      <c r="BT110" s="434"/>
      <c r="BU110" s="432" t="str">
        <f>IF(LEN(VLOOKUP(AK108,suvaha!$D$92:$H$158,4,FALSE))&lt;7,"",LEFT(RIGHT(VLOOKUP(AK108,suvaha!$D$92:$H$158,4,FALSE),7),1))</f>
        <v>1</v>
      </c>
      <c r="BV110" s="818"/>
      <c r="BW110" s="432" t="str">
        <f>IF(LEN(VLOOKUP(AK108,suvaha!$D$92:$H$158,4,FALSE))&lt;6,"",LEFT(RIGHT(VLOOKUP(AK108,suvaha!$D$92:$H$158,4,FALSE),6),1))</f>
        <v>5</v>
      </c>
      <c r="BX110" s="434"/>
      <c r="BY110" s="432" t="str">
        <f>IF(LEN(VLOOKUP(AK108,suvaha!$D$92:$H$158,4,FALSE))&lt;5,"",LEFT(RIGHT(VLOOKUP(AK108,suvaha!$D$92:$H$158,4,FALSE),5),1))</f>
        <v>0</v>
      </c>
      <c r="BZ110" s="434"/>
      <c r="CA110" s="432" t="str">
        <f>IF(LEN(VLOOKUP(AK108,suvaha!$D$92:$H$158,4,FALSE))&lt;4,"",LEFT(RIGHT(VLOOKUP(AK108,suvaha!$D$92:$H$158,4,FALSE),4),1))</f>
        <v>0</v>
      </c>
      <c r="CB110" s="819"/>
      <c r="CC110" s="432" t="str">
        <f>IF(LEN(VLOOKUP(AK108,suvaha!$D$92:$H$158,4,FALSE))&lt;3,"",LEFT(RIGHT(VLOOKUP(AK108,suvaha!$D$92:$H$158,4,FALSE),3),1))</f>
        <v>0</v>
      </c>
      <c r="CD110" s="434"/>
      <c r="CE110" s="432" t="str">
        <f>IF(LEN(VLOOKUP(AK108,suvaha!$D$92:$H$158,4,FALSE))&lt;2,"",LEFT(RIGHT(VLOOKUP(AK108,suvaha!$D$92:$H$158,4,FALSE),2),1))</f>
        <v>0</v>
      </c>
      <c r="CF110" s="434"/>
      <c r="CG110" s="432" t="str">
        <f>IF(VLOOKUP(AK108,suvaha!$D$92:$H$158,4,FALSE)=0,"",IF(LEN(VLOOKUP(AK108,suvaha!$D$92:$H$158,4,FALSE))&lt;1,"",LEFT(RIGHT(VLOOKUP(AK108,suvaha!$D$92:$H$158,4,FALSE),1),1)))</f>
        <v>0</v>
      </c>
      <c r="CH110" s="285"/>
      <c r="CI110" s="220"/>
      <c r="CJ110" s="220"/>
    </row>
    <row r="111" spans="1:88" ht="3" customHeight="1">
      <c r="E111" s="974"/>
      <c r="F111" s="975"/>
      <c r="G111" s="976"/>
      <c r="H111" s="976"/>
      <c r="I111" s="976"/>
      <c r="J111" s="976"/>
      <c r="K111" s="976"/>
      <c r="L111" s="976"/>
      <c r="M111" s="976"/>
      <c r="N111" s="976"/>
      <c r="O111" s="976"/>
      <c r="P111" s="976"/>
      <c r="Q111" s="976"/>
      <c r="R111" s="976"/>
      <c r="S111" s="976"/>
      <c r="T111" s="976"/>
      <c r="U111" s="976"/>
      <c r="V111" s="976"/>
      <c r="W111" s="976"/>
      <c r="X111" s="976"/>
      <c r="Y111" s="976"/>
      <c r="Z111" s="976"/>
      <c r="AA111" s="976"/>
      <c r="AB111" s="976"/>
      <c r="AC111" s="976"/>
      <c r="AD111" s="976"/>
      <c r="AE111" s="976"/>
      <c r="AF111" s="976"/>
      <c r="AG111" s="976"/>
      <c r="AH111" s="976"/>
      <c r="AI111" s="976"/>
      <c r="AJ111" s="976"/>
      <c r="AK111" s="977"/>
      <c r="AL111" s="977"/>
      <c r="AM111" s="977"/>
      <c r="AN111" s="358"/>
      <c r="AO111" s="365"/>
      <c r="AP111" s="365"/>
      <c r="AQ111" s="365"/>
      <c r="AR111" s="365"/>
      <c r="AS111" s="365"/>
      <c r="AT111" s="365"/>
      <c r="AU111" s="365"/>
      <c r="AV111" s="365"/>
      <c r="AW111" s="365"/>
      <c r="AX111" s="365"/>
      <c r="AY111" s="365"/>
      <c r="AZ111" s="365"/>
      <c r="BA111" s="365"/>
      <c r="BB111" s="365"/>
      <c r="BC111" s="365"/>
      <c r="BD111" s="365"/>
      <c r="BE111" s="310"/>
      <c r="BF111" s="310"/>
      <c r="BG111" s="310"/>
      <c r="BH111" s="310"/>
      <c r="BI111" s="310"/>
      <c r="BJ111" s="310"/>
      <c r="BK111" s="310"/>
      <c r="BL111" s="846"/>
      <c r="BM111" s="846"/>
      <c r="BN111" s="846"/>
      <c r="BO111" s="846"/>
      <c r="BP111" s="846"/>
      <c r="BQ111" s="846"/>
      <c r="BR111" s="846"/>
      <c r="BS111" s="846"/>
      <c r="BT111" s="846"/>
      <c r="BU111" s="846"/>
      <c r="BV111" s="846"/>
      <c r="BW111" s="846"/>
      <c r="BX111" s="846"/>
      <c r="BY111" s="846"/>
      <c r="BZ111" s="846"/>
      <c r="CA111" s="846"/>
      <c r="CB111" s="846"/>
      <c r="CC111" s="310"/>
      <c r="CD111" s="310"/>
      <c r="CE111" s="310"/>
      <c r="CF111" s="310"/>
      <c r="CG111" s="310"/>
      <c r="CH111" s="286"/>
      <c r="CI111" s="220"/>
      <c r="CJ111" s="220"/>
    </row>
    <row r="112" spans="1:88" s="250" customFormat="1" ht="3" customHeight="1">
      <c r="A112" s="220"/>
      <c r="B112" s="220"/>
      <c r="C112" s="224"/>
      <c r="D112" s="224"/>
      <c r="E112" s="974" t="s">
        <v>595</v>
      </c>
      <c r="F112" s="975"/>
      <c r="G112" s="976" t="str">
        <f>Index!C138</f>
        <v>Zákonné rezervné fondy r. 88 + r. 89</v>
      </c>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7" t="s">
        <v>1654</v>
      </c>
      <c r="AL112" s="977"/>
      <c r="AM112" s="977"/>
      <c r="AN112" s="357"/>
      <c r="AO112" s="366"/>
      <c r="AP112" s="366"/>
      <c r="AQ112" s="366"/>
      <c r="AR112" s="366"/>
      <c r="AS112" s="366"/>
      <c r="AT112" s="366"/>
      <c r="AU112" s="366"/>
      <c r="AV112" s="366"/>
      <c r="AW112" s="366"/>
      <c r="AX112" s="366"/>
      <c r="AY112" s="366"/>
      <c r="AZ112" s="366"/>
      <c r="BA112" s="366"/>
      <c r="BB112" s="366"/>
      <c r="BC112" s="366"/>
      <c r="BD112" s="366"/>
      <c r="BE112" s="304"/>
      <c r="BF112" s="304"/>
      <c r="BG112" s="304"/>
      <c r="BH112" s="304"/>
      <c r="BI112" s="304"/>
      <c r="BJ112" s="304"/>
      <c r="BK112" s="304"/>
      <c r="BL112" s="867"/>
      <c r="BM112" s="867"/>
      <c r="BN112" s="867"/>
      <c r="BO112" s="867"/>
      <c r="BP112" s="867"/>
      <c r="BQ112" s="867"/>
      <c r="BR112" s="867"/>
      <c r="BS112" s="867"/>
      <c r="BT112" s="867"/>
      <c r="BU112" s="867"/>
      <c r="BV112" s="867"/>
      <c r="BW112" s="867"/>
      <c r="BX112" s="867"/>
      <c r="BY112" s="867"/>
      <c r="BZ112" s="867"/>
      <c r="CA112" s="867"/>
      <c r="CB112" s="867"/>
      <c r="CC112" s="304"/>
      <c r="CD112" s="304"/>
      <c r="CE112" s="304"/>
      <c r="CF112" s="304"/>
      <c r="CG112" s="304"/>
      <c r="CH112" s="284"/>
      <c r="CI112" s="288"/>
      <c r="CJ112" s="288"/>
    </row>
    <row r="113" spans="1:88" s="250" customFormat="1" ht="3" customHeight="1">
      <c r="A113" s="220"/>
      <c r="B113" s="220"/>
      <c r="C113" s="220"/>
      <c r="D113" s="220"/>
      <c r="E113" s="974"/>
      <c r="F113" s="975"/>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7"/>
      <c r="AL113" s="977"/>
      <c r="AM113" s="977"/>
      <c r="AN113" s="355"/>
      <c r="AO113" s="436"/>
      <c r="AP113" s="436"/>
      <c r="AQ113" s="436"/>
      <c r="AR113" s="435"/>
      <c r="AS113" s="439"/>
      <c r="AT113" s="439"/>
      <c r="AU113" s="439"/>
      <c r="AV113" s="439"/>
      <c r="AW113" s="439"/>
      <c r="AX113" s="440"/>
      <c r="AY113" s="821"/>
      <c r="AZ113" s="821"/>
      <c r="BA113" s="821"/>
      <c r="BB113" s="821"/>
      <c r="BC113" s="821"/>
      <c r="BD113" s="821"/>
      <c r="BE113" s="434"/>
      <c r="BF113" s="968"/>
      <c r="BG113" s="968"/>
      <c r="BH113" s="968"/>
      <c r="BI113" s="968"/>
      <c r="BJ113" s="968"/>
      <c r="BK113" s="851"/>
      <c r="BL113" s="826"/>
      <c r="BM113" s="820"/>
      <c r="BN113" s="820"/>
      <c r="BO113" s="820"/>
      <c r="BP113" s="435"/>
      <c r="BQ113" s="821"/>
      <c r="BR113" s="821"/>
      <c r="BS113" s="821"/>
      <c r="BT113" s="821"/>
      <c r="BU113" s="821"/>
      <c r="BV113" s="818"/>
      <c r="BW113" s="822"/>
      <c r="BX113" s="822"/>
      <c r="BY113" s="822"/>
      <c r="BZ113" s="822"/>
      <c r="CA113" s="822"/>
      <c r="CB113" s="819"/>
      <c r="CC113" s="822"/>
      <c r="CD113" s="822"/>
      <c r="CE113" s="822"/>
      <c r="CF113" s="822"/>
      <c r="CG113" s="822"/>
      <c r="CH113" s="285"/>
      <c r="CI113" s="288"/>
      <c r="CJ113" s="288"/>
    </row>
    <row r="114" spans="1:88" ht="15" customHeight="1">
      <c r="E114" s="974"/>
      <c r="F114" s="975"/>
      <c r="G114" s="976"/>
      <c r="H114" s="976"/>
      <c r="I114" s="976"/>
      <c r="J114" s="976"/>
      <c r="K114" s="976"/>
      <c r="L114" s="976"/>
      <c r="M114" s="976"/>
      <c r="N114" s="976"/>
      <c r="O114" s="976"/>
      <c r="P114" s="976"/>
      <c r="Q114" s="976"/>
      <c r="R114" s="976"/>
      <c r="S114" s="976"/>
      <c r="T114" s="976"/>
      <c r="U114" s="976"/>
      <c r="V114" s="976"/>
      <c r="W114" s="976"/>
      <c r="X114" s="976"/>
      <c r="Y114" s="976"/>
      <c r="Z114" s="976"/>
      <c r="AA114" s="976"/>
      <c r="AB114" s="976"/>
      <c r="AC114" s="976"/>
      <c r="AD114" s="976"/>
      <c r="AE114" s="976"/>
      <c r="AF114" s="976"/>
      <c r="AG114" s="976"/>
      <c r="AH114" s="976"/>
      <c r="AI114" s="976"/>
      <c r="AJ114" s="976"/>
      <c r="AK114" s="977"/>
      <c r="AL114" s="977"/>
      <c r="AM114" s="977"/>
      <c r="AN114" s="355"/>
      <c r="AO114" s="432" t="str">
        <f>IF(LEN(VLOOKUP(AK112,suvaha!$D$92:$H$158,2,FALSE))&lt;11,"",LEFT(RIGHT(VLOOKUP(AK112,suvaha!$D$92:$H$158,2,FALSE),11),1))</f>
        <v/>
      </c>
      <c r="AP114" s="255"/>
      <c r="AQ114" s="432" t="str">
        <f>IF(LEN(VLOOKUP(AK112,suvaha!$D$92:$H$158,2,FALSE))&lt;10,"",LEFT(RIGHT(VLOOKUP(AK112,suvaha!$D$92:$H$158,2,FALSE),10),1))</f>
        <v/>
      </c>
      <c r="AR114" s="434"/>
      <c r="AS114" s="432" t="str">
        <f>IF(LEN(VLOOKUP(AK112,suvaha!$D$92:$H$158,2,FALSE))&lt;9,"",LEFT(RIGHT(VLOOKUP(AK112,suvaha!$D$92:$H$158,2,FALSE),9),1))</f>
        <v/>
      </c>
      <c r="AT114" s="255"/>
      <c r="AU114" s="432" t="str">
        <f>IF(LEN(VLOOKUP(AK112,suvaha!$D$92:$H$158,2,FALSE))&lt;8,"",LEFT(RIGHT(VLOOKUP(AK112,suvaha!$D$92:$H$158,2,FALSE),8),1))</f>
        <v/>
      </c>
      <c r="AV114" s="434"/>
      <c r="AW114" s="432" t="str">
        <f>IF(LEN(VLOOKUP(AK112,suvaha!$D$92:$H$158,2,FALSE))&lt;7,"",LEFT(RIGHT(VLOOKUP(AK112,suvaha!$D$92:$H$158,2,FALSE),7),1))</f>
        <v/>
      </c>
      <c r="AX114" s="440"/>
      <c r="AY114" s="432" t="str">
        <f>IF(LEN(VLOOKUP(AK112,suvaha!$D$92:$H$158,2,FALSE))&lt;6,"",LEFT(RIGHT(VLOOKUP(AK112,suvaha!$D$92:$H$158,2,FALSE),6),1))</f>
        <v/>
      </c>
      <c r="AZ114" s="255"/>
      <c r="BA114" s="961" t="str">
        <f>IF(LEN(VLOOKUP(AK112,suvaha!$D$92:$H$158,2,FALSE))&lt;5,"",LEFT(RIGHT(VLOOKUP(AK112,suvaha!$D$92:$H$158,2,FALSE),5),1))</f>
        <v>1</v>
      </c>
      <c r="BB114" s="961" t="e">
        <f>IF(LEN(#REF!)&lt;5,"",LEFT(RIGHT(#REF!,5),1))</f>
        <v>#REF!</v>
      </c>
      <c r="BC114" s="434"/>
      <c r="BD114" s="432" t="str">
        <f>IF(LEN(VLOOKUP(AK112,suvaha!$D$92:$H$158,2,FALSE))&lt;4,"",LEFT(RIGHT(VLOOKUP(AK112,suvaha!$D$92:$H$158,2,FALSE),4),1))</f>
        <v>7</v>
      </c>
      <c r="BE114" s="434"/>
      <c r="BF114" s="432" t="str">
        <f>IF(LEN(VLOOKUP(AK112,suvaha!$D$92:$H$158,2,FALSE))&lt;3,"",LEFT(RIGHT(VLOOKUP(AK112,suvaha!$D$92:$H$158,2,FALSE),3),1))</f>
        <v>9</v>
      </c>
      <c r="BG114" s="434"/>
      <c r="BH114" s="432" t="str">
        <f>IF(LEN(VLOOKUP(AK112,suvaha!$D$92:$H$158,2,FALSE))&lt;2,"",LEFT(RIGHT(VLOOKUP(AK112,suvaha!$D$92:$H$158,2,FALSE),2),1))</f>
        <v>3</v>
      </c>
      <c r="BI114" s="434"/>
      <c r="BJ114" s="432" t="str">
        <f>IF(VLOOKUP(AK112,suvaha!$D$92:$H$158,2,FALSE)=0,"",IF(LEN(VLOOKUP(AK112,suvaha!$D$92:$H$158,2,FALSE))&lt;1,"",LEFT(RIGHT(VLOOKUP(AK112,suvaha!$D$92:$H$158,2,FALSE),1),1)))</f>
        <v>0</v>
      </c>
      <c r="BK114" s="851"/>
      <c r="BL114" s="826"/>
      <c r="BM114" s="432" t="str">
        <f>IF(LEN(VLOOKUP(AK112,suvaha!$D$92:$H$158,4,FALSE))&lt;11,"",LEFT(RIGHT(VLOOKUP(AK112,suvaha!$D$92:$H$158,4,FALSE),11),1))</f>
        <v/>
      </c>
      <c r="BN114" s="255"/>
      <c r="BO114" s="432" t="str">
        <f>IF(LEN(VLOOKUP(AK112,suvaha!$D$92:$H$158,4,FALSE))&lt;10,"",LEFT(RIGHT(VLOOKUP(AK112,suvaha!$D$92:$H$158,4,FALSE),10),1))</f>
        <v/>
      </c>
      <c r="BP114" s="434"/>
      <c r="BQ114" s="432" t="str">
        <f>IF(LEN(VLOOKUP(AK112,suvaha!$D$92:$H$158,4,FALSE))&lt;9,"",LEFT(RIGHT(VLOOKUP(AK112,suvaha!$D$92:$H$158,4,FALSE),9),1))</f>
        <v/>
      </c>
      <c r="BR114" s="255"/>
      <c r="BS114" s="432" t="str">
        <f>IF(LEN(VLOOKUP(AK112,suvaha!$D$92:$H$158,4,FALSE))&lt;8,"",LEFT(RIGHT(VLOOKUP(AK112,suvaha!$D$92:$H$158,4,FALSE),8),1))</f>
        <v/>
      </c>
      <c r="BT114" s="434"/>
      <c r="BU114" s="432" t="str">
        <f>IF(LEN(VLOOKUP(AK112,suvaha!$D$92:$H$158,4,FALSE))&lt;7,"",LEFT(RIGHT(VLOOKUP(AK112,suvaha!$D$92:$H$158,4,FALSE),7),1))</f>
        <v/>
      </c>
      <c r="BV114" s="818"/>
      <c r="BW114" s="432" t="str">
        <f>IF(LEN(VLOOKUP(AK112,suvaha!$D$92:$H$158,4,FALSE))&lt;6,"",LEFT(RIGHT(VLOOKUP(AK112,suvaha!$D$92:$H$158,4,FALSE),6),1))</f>
        <v/>
      </c>
      <c r="BX114" s="434"/>
      <c r="BY114" s="432" t="str">
        <f>IF(LEN(VLOOKUP(AK112,suvaha!$D$92:$H$158,4,FALSE))&lt;5,"",LEFT(RIGHT(VLOOKUP(AK112,suvaha!$D$92:$H$158,4,FALSE),5),1))</f>
        <v>1</v>
      </c>
      <c r="BZ114" s="434"/>
      <c r="CA114" s="432" t="str">
        <f>IF(LEN(VLOOKUP(AK112,suvaha!$D$92:$H$158,4,FALSE))&lt;4,"",LEFT(RIGHT(VLOOKUP(AK112,suvaha!$D$92:$H$158,4,FALSE),4),1))</f>
        <v>7</v>
      </c>
      <c r="CB114" s="819"/>
      <c r="CC114" s="432" t="str">
        <f>IF(LEN(VLOOKUP(AK112,suvaha!$D$92:$H$158,4,FALSE))&lt;3,"",LEFT(RIGHT(VLOOKUP(AK112,suvaha!$D$92:$H$158,4,FALSE),3),1))</f>
        <v>9</v>
      </c>
      <c r="CD114" s="434"/>
      <c r="CE114" s="432" t="str">
        <f>IF(LEN(VLOOKUP(AK112,suvaha!$D$92:$H$158,4,FALSE))&lt;2,"",LEFT(RIGHT(VLOOKUP(AK112,suvaha!$D$92:$H$158,4,FALSE),2),1))</f>
        <v>3</v>
      </c>
      <c r="CF114" s="434"/>
      <c r="CG114" s="432" t="str">
        <f>IF(VLOOKUP(AK112,suvaha!$D$92:$H$158,4,FALSE)=0,"",IF(LEN(VLOOKUP(AK112,suvaha!$D$92:$H$158,4,FALSE))&lt;1,"",LEFT(RIGHT(VLOOKUP(AK112,suvaha!$D$92:$H$158,4,FALSE),1),1)))</f>
        <v>0</v>
      </c>
      <c r="CH114" s="285"/>
      <c r="CI114" s="220"/>
      <c r="CJ114" s="220"/>
    </row>
    <row r="115" spans="1:88" ht="3" customHeight="1">
      <c r="E115" s="974"/>
      <c r="F115" s="975"/>
      <c r="G115" s="976"/>
      <c r="H115" s="976"/>
      <c r="I115" s="976"/>
      <c r="J115" s="976"/>
      <c r="K115" s="976"/>
      <c r="L115" s="976"/>
      <c r="M115" s="976"/>
      <c r="N115" s="976"/>
      <c r="O115" s="976"/>
      <c r="P115" s="976"/>
      <c r="Q115" s="976"/>
      <c r="R115" s="976"/>
      <c r="S115" s="976"/>
      <c r="T115" s="976"/>
      <c r="U115" s="976"/>
      <c r="V115" s="976"/>
      <c r="W115" s="976"/>
      <c r="X115" s="976"/>
      <c r="Y115" s="976"/>
      <c r="Z115" s="976"/>
      <c r="AA115" s="976"/>
      <c r="AB115" s="976"/>
      <c r="AC115" s="976"/>
      <c r="AD115" s="976"/>
      <c r="AE115" s="976"/>
      <c r="AF115" s="976"/>
      <c r="AG115" s="976"/>
      <c r="AH115" s="976"/>
      <c r="AI115" s="976"/>
      <c r="AJ115" s="976"/>
      <c r="AK115" s="977"/>
      <c r="AL115" s="977"/>
      <c r="AM115" s="977"/>
      <c r="AN115" s="358"/>
      <c r="AO115" s="365"/>
      <c r="AP115" s="365"/>
      <c r="AQ115" s="365"/>
      <c r="AR115" s="365"/>
      <c r="AS115" s="365"/>
      <c r="AT115" s="365"/>
      <c r="AU115" s="365"/>
      <c r="AV115" s="365"/>
      <c r="AW115" s="365"/>
      <c r="AX115" s="365"/>
      <c r="AY115" s="365"/>
      <c r="AZ115" s="365"/>
      <c r="BA115" s="365"/>
      <c r="BB115" s="365"/>
      <c r="BC115" s="365"/>
      <c r="BD115" s="365"/>
      <c r="BE115" s="310"/>
      <c r="BF115" s="310"/>
      <c r="BG115" s="310"/>
      <c r="BH115" s="310"/>
      <c r="BI115" s="310"/>
      <c r="BJ115" s="310"/>
      <c r="BK115" s="310"/>
      <c r="BL115" s="846"/>
      <c r="BM115" s="846"/>
      <c r="BN115" s="846"/>
      <c r="BO115" s="846"/>
      <c r="BP115" s="846"/>
      <c r="BQ115" s="846"/>
      <c r="BR115" s="846"/>
      <c r="BS115" s="846"/>
      <c r="BT115" s="846"/>
      <c r="BU115" s="846"/>
      <c r="BV115" s="846"/>
      <c r="BW115" s="846"/>
      <c r="BX115" s="846"/>
      <c r="BY115" s="846"/>
      <c r="BZ115" s="846"/>
      <c r="CA115" s="846"/>
      <c r="CB115" s="846"/>
      <c r="CC115" s="310"/>
      <c r="CD115" s="310"/>
      <c r="CE115" s="310"/>
      <c r="CF115" s="310"/>
      <c r="CG115" s="310"/>
      <c r="CH115" s="286"/>
      <c r="CI115" s="220"/>
      <c r="CJ115" s="220"/>
    </row>
    <row r="116" spans="1:88" s="250" customFormat="1" ht="3" customHeight="1">
      <c r="A116" s="220"/>
      <c r="B116" s="220"/>
      <c r="C116" s="224"/>
      <c r="D116" s="224"/>
      <c r="E116" s="970" t="s">
        <v>596</v>
      </c>
      <c r="F116" s="971"/>
      <c r="G116" s="972" t="str">
        <f>Index!C139</f>
        <v>Zákonný rezervný fond a nedeliteľný fond (417A, 418, 421A, 422)</v>
      </c>
      <c r="H116" s="972"/>
      <c r="I116" s="972"/>
      <c r="J116" s="972"/>
      <c r="K116" s="972"/>
      <c r="L116" s="972"/>
      <c r="M116" s="972"/>
      <c r="N116" s="972"/>
      <c r="O116" s="972"/>
      <c r="P116" s="972"/>
      <c r="Q116" s="972"/>
      <c r="R116" s="972"/>
      <c r="S116" s="972"/>
      <c r="T116" s="972"/>
      <c r="U116" s="972"/>
      <c r="V116" s="972"/>
      <c r="W116" s="972"/>
      <c r="X116" s="972"/>
      <c r="Y116" s="972"/>
      <c r="Z116" s="972"/>
      <c r="AA116" s="972"/>
      <c r="AB116" s="972"/>
      <c r="AC116" s="972"/>
      <c r="AD116" s="972"/>
      <c r="AE116" s="972"/>
      <c r="AF116" s="972"/>
      <c r="AG116" s="972"/>
      <c r="AH116" s="972"/>
      <c r="AI116" s="972"/>
      <c r="AJ116" s="972"/>
      <c r="AK116" s="973" t="s">
        <v>1656</v>
      </c>
      <c r="AL116" s="973"/>
      <c r="AM116" s="973"/>
      <c r="AN116" s="357"/>
      <c r="AO116" s="366"/>
      <c r="AP116" s="366"/>
      <c r="AQ116" s="366"/>
      <c r="AR116" s="366"/>
      <c r="AS116" s="366"/>
      <c r="AT116" s="366"/>
      <c r="AU116" s="366"/>
      <c r="AV116" s="366"/>
      <c r="AW116" s="366"/>
      <c r="AX116" s="366"/>
      <c r="AY116" s="366"/>
      <c r="AZ116" s="366"/>
      <c r="BA116" s="366"/>
      <c r="BB116" s="366"/>
      <c r="BC116" s="366"/>
      <c r="BD116" s="366"/>
      <c r="BE116" s="304"/>
      <c r="BF116" s="304"/>
      <c r="BG116" s="304"/>
      <c r="BH116" s="304"/>
      <c r="BI116" s="304"/>
      <c r="BJ116" s="304"/>
      <c r="BK116" s="304"/>
      <c r="BL116" s="867"/>
      <c r="BM116" s="867"/>
      <c r="BN116" s="867"/>
      <c r="BO116" s="867"/>
      <c r="BP116" s="867"/>
      <c r="BQ116" s="867"/>
      <c r="BR116" s="867"/>
      <c r="BS116" s="867"/>
      <c r="BT116" s="867"/>
      <c r="BU116" s="867"/>
      <c r="BV116" s="867"/>
      <c r="BW116" s="867"/>
      <c r="BX116" s="867"/>
      <c r="BY116" s="867"/>
      <c r="BZ116" s="867"/>
      <c r="CA116" s="867"/>
      <c r="CB116" s="867"/>
      <c r="CC116" s="304"/>
      <c r="CD116" s="304"/>
      <c r="CE116" s="304"/>
      <c r="CF116" s="304"/>
      <c r="CG116" s="304"/>
      <c r="CH116" s="284"/>
      <c r="CI116" s="288"/>
      <c r="CJ116" s="288"/>
    </row>
    <row r="117" spans="1:88" s="250" customFormat="1" ht="3" customHeight="1">
      <c r="A117" s="220"/>
      <c r="B117" s="220"/>
      <c r="C117" s="220"/>
      <c r="D117" s="220"/>
      <c r="E117" s="970"/>
      <c r="F117" s="971"/>
      <c r="G117" s="972"/>
      <c r="H117" s="972"/>
      <c r="I117" s="972"/>
      <c r="J117" s="972"/>
      <c r="K117" s="972"/>
      <c r="L117" s="972"/>
      <c r="M117" s="972"/>
      <c r="N117" s="972"/>
      <c r="O117" s="972"/>
      <c r="P117" s="972"/>
      <c r="Q117" s="972"/>
      <c r="R117" s="972"/>
      <c r="S117" s="972"/>
      <c r="T117" s="972"/>
      <c r="U117" s="972"/>
      <c r="V117" s="972"/>
      <c r="W117" s="972"/>
      <c r="X117" s="972"/>
      <c r="Y117" s="972"/>
      <c r="Z117" s="972"/>
      <c r="AA117" s="972"/>
      <c r="AB117" s="972"/>
      <c r="AC117" s="972"/>
      <c r="AD117" s="972"/>
      <c r="AE117" s="972"/>
      <c r="AF117" s="972"/>
      <c r="AG117" s="972"/>
      <c r="AH117" s="972"/>
      <c r="AI117" s="972"/>
      <c r="AJ117" s="972"/>
      <c r="AK117" s="973"/>
      <c r="AL117" s="973"/>
      <c r="AM117" s="973"/>
      <c r="AN117" s="355"/>
      <c r="AO117" s="436"/>
      <c r="AP117" s="436"/>
      <c r="AQ117" s="436"/>
      <c r="AR117" s="435"/>
      <c r="AS117" s="439"/>
      <c r="AT117" s="439"/>
      <c r="AU117" s="439"/>
      <c r="AV117" s="439"/>
      <c r="AW117" s="439"/>
      <c r="AX117" s="440"/>
      <c r="AY117" s="821"/>
      <c r="AZ117" s="821"/>
      <c r="BA117" s="821"/>
      <c r="BB117" s="821"/>
      <c r="BC117" s="821"/>
      <c r="BD117" s="821"/>
      <c r="BE117" s="434"/>
      <c r="BF117" s="968"/>
      <c r="BG117" s="968"/>
      <c r="BH117" s="968"/>
      <c r="BI117" s="968"/>
      <c r="BJ117" s="968"/>
      <c r="BK117" s="851"/>
      <c r="BL117" s="826"/>
      <c r="BM117" s="820"/>
      <c r="BN117" s="820"/>
      <c r="BO117" s="820"/>
      <c r="BP117" s="435"/>
      <c r="BQ117" s="821"/>
      <c r="BR117" s="821"/>
      <c r="BS117" s="821"/>
      <c r="BT117" s="821"/>
      <c r="BU117" s="821"/>
      <c r="BV117" s="818"/>
      <c r="BW117" s="822"/>
      <c r="BX117" s="822"/>
      <c r="BY117" s="822"/>
      <c r="BZ117" s="822"/>
      <c r="CA117" s="822"/>
      <c r="CB117" s="819"/>
      <c r="CC117" s="822"/>
      <c r="CD117" s="822"/>
      <c r="CE117" s="822"/>
      <c r="CF117" s="822"/>
      <c r="CG117" s="822"/>
      <c r="CH117" s="285"/>
      <c r="CI117" s="288"/>
      <c r="CJ117" s="288"/>
    </row>
    <row r="118" spans="1:88" ht="15" customHeight="1">
      <c r="E118" s="970"/>
      <c r="F118" s="971"/>
      <c r="G118" s="972"/>
      <c r="H118" s="972"/>
      <c r="I118" s="972"/>
      <c r="J118" s="972"/>
      <c r="K118" s="972"/>
      <c r="L118" s="972"/>
      <c r="M118" s="972"/>
      <c r="N118" s="972"/>
      <c r="O118" s="972"/>
      <c r="P118" s="972"/>
      <c r="Q118" s="972"/>
      <c r="R118" s="972"/>
      <c r="S118" s="972"/>
      <c r="T118" s="972"/>
      <c r="U118" s="972"/>
      <c r="V118" s="972"/>
      <c r="W118" s="972"/>
      <c r="X118" s="972"/>
      <c r="Y118" s="972"/>
      <c r="Z118" s="972"/>
      <c r="AA118" s="972"/>
      <c r="AB118" s="972"/>
      <c r="AC118" s="972"/>
      <c r="AD118" s="972"/>
      <c r="AE118" s="972"/>
      <c r="AF118" s="972"/>
      <c r="AG118" s="972"/>
      <c r="AH118" s="972"/>
      <c r="AI118" s="972"/>
      <c r="AJ118" s="972"/>
      <c r="AK118" s="973"/>
      <c r="AL118" s="973"/>
      <c r="AM118" s="973"/>
      <c r="AN118" s="355"/>
      <c r="AO118" s="432" t="str">
        <f>IF(LEN(VLOOKUP(AK116,suvaha!$D$92:$H$158,2,FALSE))&lt;11,"",LEFT(RIGHT(VLOOKUP(AK116,suvaha!$D$92:$H$158,2,FALSE),11),1))</f>
        <v/>
      </c>
      <c r="AP118" s="255"/>
      <c r="AQ118" s="432" t="str">
        <f>IF(LEN(VLOOKUP(AK116,suvaha!$D$92:$H$158,2,FALSE))&lt;10,"",LEFT(RIGHT(VLOOKUP(AK116,suvaha!$D$92:$H$158,2,FALSE),10),1))</f>
        <v/>
      </c>
      <c r="AR118" s="434"/>
      <c r="AS118" s="432" t="str">
        <f>IF(LEN(VLOOKUP(AK116,suvaha!$D$92:$H$158,2,FALSE))&lt;9,"",LEFT(RIGHT(VLOOKUP(AK116,suvaha!$D$92:$H$158,2,FALSE),9),1))</f>
        <v/>
      </c>
      <c r="AT118" s="255"/>
      <c r="AU118" s="432" t="str">
        <f>IF(LEN(VLOOKUP(AK116,suvaha!$D$92:$H$158,2,FALSE))&lt;8,"",LEFT(RIGHT(VLOOKUP(AK116,suvaha!$D$92:$H$158,2,FALSE),8),1))</f>
        <v/>
      </c>
      <c r="AV118" s="434"/>
      <c r="AW118" s="432" t="str">
        <f>IF(LEN(VLOOKUP(AK116,suvaha!$D$92:$H$158,2,FALSE))&lt;7,"",LEFT(RIGHT(VLOOKUP(AK116,suvaha!$D$92:$H$158,2,FALSE),7),1))</f>
        <v/>
      </c>
      <c r="AX118" s="440"/>
      <c r="AY118" s="432" t="str">
        <f>IF(LEN(VLOOKUP(AK116,suvaha!$D$92:$H$158,2,FALSE))&lt;6,"",LEFT(RIGHT(VLOOKUP(AK116,suvaha!$D$92:$H$158,2,FALSE),6),1))</f>
        <v/>
      </c>
      <c r="AZ118" s="255"/>
      <c r="BA118" s="961" t="str">
        <f>IF(LEN(VLOOKUP(AK116,suvaha!$D$92:$H$158,2,FALSE))&lt;5,"",LEFT(RIGHT(VLOOKUP(AK116,suvaha!$D$92:$H$158,2,FALSE),5),1))</f>
        <v>1</v>
      </c>
      <c r="BB118" s="961" t="e">
        <f>IF(LEN(#REF!)&lt;5,"",LEFT(RIGHT(#REF!,5),1))</f>
        <v>#REF!</v>
      </c>
      <c r="BC118" s="434"/>
      <c r="BD118" s="432" t="str">
        <f>IF(LEN(VLOOKUP(AK116,suvaha!$D$92:$H$158,2,FALSE))&lt;4,"",LEFT(RIGHT(VLOOKUP(AK116,suvaha!$D$92:$H$158,2,FALSE),4),1))</f>
        <v>7</v>
      </c>
      <c r="BE118" s="434"/>
      <c r="BF118" s="432" t="str">
        <f>IF(LEN(VLOOKUP(AK116,suvaha!$D$92:$H$158,2,FALSE))&lt;3,"",LEFT(RIGHT(VLOOKUP(AK116,suvaha!$D$92:$H$158,2,FALSE),3),1))</f>
        <v>9</v>
      </c>
      <c r="BG118" s="434"/>
      <c r="BH118" s="432" t="str">
        <f>IF(LEN(VLOOKUP(AK116,suvaha!$D$92:$H$158,2,FALSE))&lt;2,"",LEFT(RIGHT(VLOOKUP(AK116,suvaha!$D$92:$H$158,2,FALSE),2),1))</f>
        <v>3</v>
      </c>
      <c r="BI118" s="434"/>
      <c r="BJ118" s="432" t="str">
        <f>IF(VLOOKUP(AK116,suvaha!$D$92:$H$158,2,FALSE)=0,"",IF(LEN(VLOOKUP(AK116,suvaha!$D$92:$H$158,2,FALSE))&lt;1,"",LEFT(RIGHT(VLOOKUP(AK116,suvaha!$D$92:$H$158,2,FALSE),1),1)))</f>
        <v>0</v>
      </c>
      <c r="BK118" s="851"/>
      <c r="BL118" s="826"/>
      <c r="BM118" s="432" t="str">
        <f>IF(LEN(VLOOKUP(AK116,suvaha!$D$92:$H$158,4,FALSE))&lt;11,"",LEFT(RIGHT(VLOOKUP(AK116,suvaha!$D$92:$H$158,4,FALSE),11),1))</f>
        <v/>
      </c>
      <c r="BN118" s="255"/>
      <c r="BO118" s="432" t="str">
        <f>IF(LEN(VLOOKUP(AK116,suvaha!$D$92:$H$158,4,FALSE))&lt;10,"",LEFT(RIGHT(VLOOKUP(AK116,suvaha!$D$92:$H$158,4,FALSE),10),1))</f>
        <v/>
      </c>
      <c r="BP118" s="434"/>
      <c r="BQ118" s="432" t="str">
        <f>IF(LEN(VLOOKUP(AK116,suvaha!$D$92:$H$158,4,FALSE))&lt;9,"",LEFT(RIGHT(VLOOKUP(AK116,suvaha!$D$92:$H$158,4,FALSE),9),1))</f>
        <v/>
      </c>
      <c r="BR118" s="255"/>
      <c r="BS118" s="432" t="str">
        <f>IF(LEN(VLOOKUP(AK116,suvaha!$D$92:$H$158,4,FALSE))&lt;8,"",LEFT(RIGHT(VLOOKUP(AK116,suvaha!$D$92:$H$158,4,FALSE),8),1))</f>
        <v/>
      </c>
      <c r="BT118" s="434"/>
      <c r="BU118" s="432" t="str">
        <f>IF(LEN(VLOOKUP(AK116,suvaha!$D$92:$H$158,4,FALSE))&lt;7,"",LEFT(RIGHT(VLOOKUP(AK116,suvaha!$D$92:$H$158,4,FALSE),7),1))</f>
        <v/>
      </c>
      <c r="BV118" s="818"/>
      <c r="BW118" s="432" t="str">
        <f>IF(LEN(VLOOKUP(AK116,suvaha!$D$92:$H$158,4,FALSE))&lt;6,"",LEFT(RIGHT(VLOOKUP(AK116,suvaha!$D$92:$H$158,4,FALSE),6),1))</f>
        <v/>
      </c>
      <c r="BX118" s="434"/>
      <c r="BY118" s="432" t="str">
        <f>IF(LEN(VLOOKUP(AK116,suvaha!$D$92:$H$158,4,FALSE))&lt;5,"",LEFT(RIGHT(VLOOKUP(AK116,suvaha!$D$92:$H$158,4,FALSE),5),1))</f>
        <v>1</v>
      </c>
      <c r="BZ118" s="434"/>
      <c r="CA118" s="432" t="str">
        <f>IF(LEN(VLOOKUP(AK116,suvaha!$D$92:$H$158,4,FALSE))&lt;4,"",LEFT(RIGHT(VLOOKUP(AK116,suvaha!$D$92:$H$158,4,FALSE),4),1))</f>
        <v>7</v>
      </c>
      <c r="CB118" s="819"/>
      <c r="CC118" s="432" t="str">
        <f>IF(LEN(VLOOKUP(AK116,suvaha!$D$92:$H$158,4,FALSE))&lt;3,"",LEFT(RIGHT(VLOOKUP(AK116,suvaha!$D$92:$H$158,4,FALSE),3),1))</f>
        <v>9</v>
      </c>
      <c r="CD118" s="434"/>
      <c r="CE118" s="432" t="str">
        <f>IF(LEN(VLOOKUP(AK116,suvaha!$D$92:$H$158,4,FALSE))&lt;2,"",LEFT(RIGHT(VLOOKUP(AK116,suvaha!$D$92:$H$158,4,FALSE),2),1))</f>
        <v>3</v>
      </c>
      <c r="CF118" s="434"/>
      <c r="CG118" s="432" t="str">
        <f>IF(VLOOKUP(AK116,suvaha!$D$92:$H$158,4,FALSE)=0,"",IF(LEN(VLOOKUP(AK116,suvaha!$D$92:$H$158,4,FALSE))&lt;1,"",LEFT(RIGHT(VLOOKUP(AK116,suvaha!$D$92:$H$158,4,FALSE),1),1)))</f>
        <v>0</v>
      </c>
      <c r="CH118" s="285"/>
      <c r="CI118" s="220"/>
      <c r="CJ118" s="220"/>
    </row>
    <row r="119" spans="1:88" ht="3" customHeight="1">
      <c r="E119" s="970"/>
      <c r="F119" s="971"/>
      <c r="G119" s="972"/>
      <c r="H119" s="972"/>
      <c r="I119" s="972"/>
      <c r="J119" s="972"/>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2"/>
      <c r="AK119" s="973"/>
      <c r="AL119" s="973"/>
      <c r="AM119" s="973"/>
      <c r="AN119" s="358"/>
      <c r="AO119" s="365"/>
      <c r="AP119" s="365"/>
      <c r="AQ119" s="365"/>
      <c r="AR119" s="365"/>
      <c r="AS119" s="365"/>
      <c r="AT119" s="365"/>
      <c r="AU119" s="365"/>
      <c r="AV119" s="365"/>
      <c r="AW119" s="365"/>
      <c r="AX119" s="365"/>
      <c r="AY119" s="365"/>
      <c r="AZ119" s="365"/>
      <c r="BA119" s="365"/>
      <c r="BB119" s="365"/>
      <c r="BC119" s="365"/>
      <c r="BD119" s="365"/>
      <c r="BE119" s="310"/>
      <c r="BF119" s="310"/>
      <c r="BG119" s="310"/>
      <c r="BH119" s="310"/>
      <c r="BI119" s="310"/>
      <c r="BJ119" s="310"/>
      <c r="BK119" s="310"/>
      <c r="BL119" s="846"/>
      <c r="BM119" s="846"/>
      <c r="BN119" s="846"/>
      <c r="BO119" s="846"/>
      <c r="BP119" s="846"/>
      <c r="BQ119" s="846"/>
      <c r="BR119" s="846"/>
      <c r="BS119" s="846"/>
      <c r="BT119" s="846"/>
      <c r="BU119" s="846"/>
      <c r="BV119" s="846"/>
      <c r="BW119" s="846"/>
      <c r="BX119" s="846"/>
      <c r="BY119" s="846"/>
      <c r="BZ119" s="846"/>
      <c r="CA119" s="846"/>
      <c r="CB119" s="846"/>
      <c r="CC119" s="310"/>
      <c r="CD119" s="310"/>
      <c r="CE119" s="310"/>
      <c r="CF119" s="310"/>
      <c r="CG119" s="310"/>
      <c r="CH119" s="286"/>
      <c r="CI119" s="220"/>
      <c r="CJ119" s="220"/>
    </row>
    <row r="120" spans="1:88" s="250" customFormat="1" ht="3" customHeight="1" thickBot="1">
      <c r="A120" s="220"/>
      <c r="B120" s="220"/>
      <c r="C120" s="224"/>
      <c r="D120" s="224"/>
      <c r="E120" s="962" t="s">
        <v>1542</v>
      </c>
      <c r="F120" s="962"/>
      <c r="G120" s="964" t="str">
        <f>Index!C140</f>
        <v>Rezervný fond na vlastné akcie a vlastné podiely (417A, 421A)</v>
      </c>
      <c r="H120" s="964"/>
      <c r="I120" s="964"/>
      <c r="J120" s="964"/>
      <c r="K120" s="964"/>
      <c r="L120" s="964"/>
      <c r="M120" s="964"/>
      <c r="N120" s="964"/>
      <c r="O120" s="964"/>
      <c r="P120" s="964"/>
      <c r="Q120" s="964"/>
      <c r="R120" s="964"/>
      <c r="S120" s="964"/>
      <c r="T120" s="964"/>
      <c r="U120" s="964"/>
      <c r="V120" s="964"/>
      <c r="W120" s="964"/>
      <c r="X120" s="964"/>
      <c r="Y120" s="964"/>
      <c r="Z120" s="964"/>
      <c r="AA120" s="964"/>
      <c r="AB120" s="964"/>
      <c r="AC120" s="964"/>
      <c r="AD120" s="964"/>
      <c r="AE120" s="964"/>
      <c r="AF120" s="964"/>
      <c r="AG120" s="964"/>
      <c r="AH120" s="964"/>
      <c r="AI120" s="964"/>
      <c r="AJ120" s="964"/>
      <c r="AK120" s="966" t="s">
        <v>1658</v>
      </c>
      <c r="AL120" s="966"/>
      <c r="AM120" s="966"/>
      <c r="AN120" s="357"/>
      <c r="AO120" s="366"/>
      <c r="AP120" s="366"/>
      <c r="AQ120" s="366"/>
      <c r="AR120" s="366"/>
      <c r="AS120" s="366"/>
      <c r="AT120" s="366"/>
      <c r="AU120" s="366"/>
      <c r="AV120" s="366"/>
      <c r="AW120" s="366"/>
      <c r="AX120" s="366"/>
      <c r="AY120" s="366"/>
      <c r="AZ120" s="366"/>
      <c r="BA120" s="366"/>
      <c r="BB120" s="366"/>
      <c r="BC120" s="366"/>
      <c r="BD120" s="366"/>
      <c r="BE120" s="304"/>
      <c r="BF120" s="304"/>
      <c r="BG120" s="304"/>
      <c r="BH120" s="304"/>
      <c r="BI120" s="304"/>
      <c r="BJ120" s="304"/>
      <c r="BK120" s="304"/>
      <c r="BL120" s="867"/>
      <c r="BM120" s="867"/>
      <c r="BN120" s="867"/>
      <c r="BO120" s="867"/>
      <c r="BP120" s="867"/>
      <c r="BQ120" s="867"/>
      <c r="BR120" s="867"/>
      <c r="BS120" s="867"/>
      <c r="BT120" s="867"/>
      <c r="BU120" s="867"/>
      <c r="BV120" s="867"/>
      <c r="BW120" s="867"/>
      <c r="BX120" s="867"/>
      <c r="BY120" s="867"/>
      <c r="BZ120" s="867"/>
      <c r="CA120" s="867"/>
      <c r="CB120" s="867"/>
      <c r="CC120" s="304"/>
      <c r="CD120" s="304"/>
      <c r="CE120" s="304"/>
      <c r="CF120" s="304"/>
      <c r="CG120" s="304"/>
      <c r="CH120" s="284"/>
      <c r="CI120" s="288"/>
      <c r="CJ120" s="288"/>
    </row>
    <row r="121" spans="1:88" s="250" customFormat="1" ht="3" customHeight="1" thickBot="1">
      <c r="A121" s="220"/>
      <c r="B121" s="220"/>
      <c r="C121" s="220"/>
      <c r="D121" s="220"/>
      <c r="E121" s="963"/>
      <c r="F121" s="963"/>
      <c r="G121" s="965"/>
      <c r="H121" s="965"/>
      <c r="I121" s="965"/>
      <c r="J121" s="965"/>
      <c r="K121" s="965"/>
      <c r="L121" s="965"/>
      <c r="M121" s="965"/>
      <c r="N121" s="965"/>
      <c r="O121" s="965"/>
      <c r="P121" s="965"/>
      <c r="Q121" s="965"/>
      <c r="R121" s="965"/>
      <c r="S121" s="965"/>
      <c r="T121" s="965"/>
      <c r="U121" s="965"/>
      <c r="V121" s="965"/>
      <c r="W121" s="965"/>
      <c r="X121" s="965"/>
      <c r="Y121" s="965"/>
      <c r="Z121" s="965"/>
      <c r="AA121" s="965"/>
      <c r="AB121" s="965"/>
      <c r="AC121" s="965"/>
      <c r="AD121" s="965"/>
      <c r="AE121" s="965"/>
      <c r="AF121" s="965"/>
      <c r="AG121" s="965"/>
      <c r="AH121" s="965"/>
      <c r="AI121" s="965"/>
      <c r="AJ121" s="965"/>
      <c r="AK121" s="967"/>
      <c r="AL121" s="967"/>
      <c r="AM121" s="967"/>
      <c r="AN121" s="355"/>
      <c r="AO121" s="436"/>
      <c r="AP121" s="436"/>
      <c r="AQ121" s="436"/>
      <c r="AR121" s="435"/>
      <c r="AS121" s="439"/>
      <c r="AT121" s="439"/>
      <c r="AU121" s="439"/>
      <c r="AV121" s="439"/>
      <c r="AW121" s="439"/>
      <c r="AX121" s="440"/>
      <c r="AY121" s="821"/>
      <c r="AZ121" s="821"/>
      <c r="BA121" s="821"/>
      <c r="BB121" s="821"/>
      <c r="BC121" s="821"/>
      <c r="BD121" s="821"/>
      <c r="BE121" s="434"/>
      <c r="BF121" s="968"/>
      <c r="BG121" s="968"/>
      <c r="BH121" s="968"/>
      <c r="BI121" s="968"/>
      <c r="BJ121" s="968"/>
      <c r="BK121" s="851"/>
      <c r="BL121" s="826"/>
      <c r="BM121" s="820"/>
      <c r="BN121" s="820"/>
      <c r="BO121" s="820"/>
      <c r="BP121" s="435"/>
      <c r="BQ121" s="821"/>
      <c r="BR121" s="821"/>
      <c r="BS121" s="821"/>
      <c r="BT121" s="821"/>
      <c r="BU121" s="821"/>
      <c r="BV121" s="818"/>
      <c r="BW121" s="822"/>
      <c r="BX121" s="822"/>
      <c r="BY121" s="822"/>
      <c r="BZ121" s="822"/>
      <c r="CA121" s="822"/>
      <c r="CB121" s="819"/>
      <c r="CC121" s="822"/>
      <c r="CD121" s="822"/>
      <c r="CE121" s="822"/>
      <c r="CF121" s="822"/>
      <c r="CG121" s="822"/>
      <c r="CH121" s="285"/>
      <c r="CI121" s="288"/>
      <c r="CJ121" s="288"/>
    </row>
    <row r="122" spans="1:88" ht="15" customHeight="1" thickBot="1">
      <c r="E122" s="963"/>
      <c r="F122" s="963"/>
      <c r="G122" s="965"/>
      <c r="H122" s="965"/>
      <c r="I122" s="965"/>
      <c r="J122" s="965"/>
      <c r="K122" s="965"/>
      <c r="L122" s="965"/>
      <c r="M122" s="965"/>
      <c r="N122" s="965"/>
      <c r="O122" s="965"/>
      <c r="P122" s="965"/>
      <c r="Q122" s="965"/>
      <c r="R122" s="965"/>
      <c r="S122" s="965"/>
      <c r="T122" s="965"/>
      <c r="U122" s="965"/>
      <c r="V122" s="965"/>
      <c r="W122" s="965"/>
      <c r="X122" s="965"/>
      <c r="Y122" s="965"/>
      <c r="Z122" s="965"/>
      <c r="AA122" s="965"/>
      <c r="AB122" s="965"/>
      <c r="AC122" s="965"/>
      <c r="AD122" s="965"/>
      <c r="AE122" s="965"/>
      <c r="AF122" s="965"/>
      <c r="AG122" s="965"/>
      <c r="AH122" s="965"/>
      <c r="AI122" s="965"/>
      <c r="AJ122" s="965"/>
      <c r="AK122" s="967"/>
      <c r="AL122" s="967"/>
      <c r="AM122" s="967"/>
      <c r="AN122" s="355"/>
      <c r="AO122" s="432" t="str">
        <f>IF(LEN(VLOOKUP(AK120,suvaha!$D$92:$H$158,2,FALSE))&lt;11,"",LEFT(RIGHT(VLOOKUP(AK120,suvaha!$D$92:$H$158,2,FALSE),11),1))</f>
        <v/>
      </c>
      <c r="AP122" s="255"/>
      <c r="AQ122" s="432" t="str">
        <f>IF(LEN(VLOOKUP(AK120,suvaha!$D$92:$H$158,2,FALSE))&lt;10,"",LEFT(RIGHT(VLOOKUP(AK120,suvaha!$D$92:$H$158,2,FALSE),10),1))</f>
        <v/>
      </c>
      <c r="AR122" s="434"/>
      <c r="AS122" s="432" t="str">
        <f>IF(LEN(VLOOKUP(AK120,suvaha!$D$92:$H$158,2,FALSE))&lt;9,"",LEFT(RIGHT(VLOOKUP(AK120,suvaha!$D$92:$H$158,2,FALSE),9),1))</f>
        <v/>
      </c>
      <c r="AT122" s="255"/>
      <c r="AU122" s="432" t="str">
        <f>IF(LEN(VLOOKUP(AK120,suvaha!$D$92:$H$158,2,FALSE))&lt;8,"",LEFT(RIGHT(VLOOKUP(AK120,suvaha!$D$92:$H$158,2,FALSE),8),1))</f>
        <v/>
      </c>
      <c r="AV122" s="434"/>
      <c r="AW122" s="432" t="str">
        <f>IF(LEN(VLOOKUP(AK120,suvaha!$D$92:$H$158,2,FALSE))&lt;7,"",LEFT(RIGHT(VLOOKUP(AK120,suvaha!$D$92:$H$158,2,FALSE),7),1))</f>
        <v/>
      </c>
      <c r="AX122" s="440"/>
      <c r="AY122" s="432" t="str">
        <f>IF(LEN(VLOOKUP(AK120,suvaha!$D$92:$H$158,2,FALSE))&lt;6,"",LEFT(RIGHT(VLOOKUP(AK120,suvaha!$D$92:$H$158,2,FALSE),6),1))</f>
        <v/>
      </c>
      <c r="AZ122" s="255"/>
      <c r="BA122" s="961" t="str">
        <f>IF(LEN(VLOOKUP(AK120,suvaha!$D$92:$H$158,2,FALSE))&lt;5,"",LEFT(RIGHT(VLOOKUP(AK120,suvaha!$D$92:$H$158,2,FALSE),5),1))</f>
        <v/>
      </c>
      <c r="BB122" s="961" t="e">
        <f>IF(LEN(#REF!)&lt;5,"",LEFT(RIGHT(#REF!,5),1))</f>
        <v>#REF!</v>
      </c>
      <c r="BC122" s="434"/>
      <c r="BD122" s="432" t="str">
        <f>IF(LEN(VLOOKUP(AK120,suvaha!$D$92:$H$158,2,FALSE))&lt;4,"",LEFT(RIGHT(VLOOKUP(AK120,suvaha!$D$92:$H$158,2,FALSE),4),1))</f>
        <v/>
      </c>
      <c r="BE122" s="434"/>
      <c r="BF122" s="432" t="str">
        <f>IF(LEN(VLOOKUP(AK120,suvaha!$D$92:$H$158,2,FALSE))&lt;3,"",LEFT(RIGHT(VLOOKUP(AK120,suvaha!$D$92:$H$158,2,FALSE),3),1))</f>
        <v/>
      </c>
      <c r="BG122" s="434"/>
      <c r="BH122" s="432" t="str">
        <f>IF(LEN(VLOOKUP(AK120,suvaha!$D$92:$H$158,2,FALSE))&lt;2,"",LEFT(RIGHT(VLOOKUP(AK120,suvaha!$D$92:$H$158,2,FALSE),2),1))</f>
        <v/>
      </c>
      <c r="BI122" s="434"/>
      <c r="BJ122" s="432" t="str">
        <f>IF(VLOOKUP(AK120,suvaha!$D$92:$H$158,2,FALSE)=0,"",IF(LEN(VLOOKUP(AK120,suvaha!$D$92:$H$158,2,FALSE))&lt;1,"",LEFT(RIGHT(VLOOKUP(AK120,suvaha!$D$92:$H$158,2,FALSE),1),1)))</f>
        <v/>
      </c>
      <c r="BK122" s="851"/>
      <c r="BL122" s="826"/>
      <c r="BM122" s="432" t="str">
        <f>IF(LEN(VLOOKUP(AK120,suvaha!$D$92:$H$158,4,FALSE))&lt;11,"",LEFT(RIGHT(VLOOKUP(AK120,suvaha!$D$92:$H$158,4,FALSE),11),1))</f>
        <v/>
      </c>
      <c r="BN122" s="255"/>
      <c r="BO122" s="432" t="str">
        <f>IF(LEN(VLOOKUP(AK120,suvaha!$D$92:$H$158,4,FALSE))&lt;10,"",LEFT(RIGHT(VLOOKUP(AK120,suvaha!$D$92:$H$158,4,FALSE),10),1))</f>
        <v/>
      </c>
      <c r="BP122" s="434"/>
      <c r="BQ122" s="432" t="str">
        <f>IF(LEN(VLOOKUP(AK120,suvaha!$D$92:$H$158,4,FALSE))&lt;9,"",LEFT(RIGHT(VLOOKUP(AK120,suvaha!$D$92:$H$158,4,FALSE),9),1))</f>
        <v/>
      </c>
      <c r="BR122" s="255"/>
      <c r="BS122" s="432" t="str">
        <f>IF(LEN(VLOOKUP(AK120,suvaha!$D$92:$H$158,4,FALSE))&lt;8,"",LEFT(RIGHT(VLOOKUP(AK120,suvaha!$D$92:$H$158,4,FALSE),8),1))</f>
        <v/>
      </c>
      <c r="BT122" s="434"/>
      <c r="BU122" s="432" t="str">
        <f>IF(LEN(VLOOKUP(AK120,suvaha!$D$92:$H$158,4,FALSE))&lt;7,"",LEFT(RIGHT(VLOOKUP(AK120,suvaha!$D$92:$H$158,4,FALSE),7),1))</f>
        <v/>
      </c>
      <c r="BV122" s="818"/>
      <c r="BW122" s="432" t="str">
        <f>IF(LEN(VLOOKUP(AK120,suvaha!$D$92:$H$158,4,FALSE))&lt;6,"",LEFT(RIGHT(VLOOKUP(AK120,suvaha!$D$92:$H$158,4,FALSE),6),1))</f>
        <v/>
      </c>
      <c r="BX122" s="434"/>
      <c r="BY122" s="432" t="str">
        <f>IF(LEN(VLOOKUP(AK120,suvaha!$D$92:$H$158,4,FALSE))&lt;5,"",LEFT(RIGHT(VLOOKUP(AK120,suvaha!$D$92:$H$158,4,FALSE),5),1))</f>
        <v/>
      </c>
      <c r="BZ122" s="434"/>
      <c r="CA122" s="432" t="str">
        <f>IF(LEN(VLOOKUP(AK120,suvaha!$D$92:$H$158,4,FALSE))&lt;4,"",LEFT(RIGHT(VLOOKUP(AK120,suvaha!$D$92:$H$158,4,FALSE),4),1))</f>
        <v/>
      </c>
      <c r="CB122" s="819"/>
      <c r="CC122" s="432" t="str">
        <f>IF(LEN(VLOOKUP(AK120,suvaha!$D$92:$H$158,4,FALSE))&lt;3,"",LEFT(RIGHT(VLOOKUP(AK120,suvaha!$D$92:$H$158,4,FALSE),3),1))</f>
        <v/>
      </c>
      <c r="CD122" s="434"/>
      <c r="CE122" s="432" t="str">
        <f>IF(LEN(VLOOKUP(AK120,suvaha!$D$92:$H$158,4,FALSE))&lt;2,"",LEFT(RIGHT(VLOOKUP(AK120,suvaha!$D$92:$H$158,4,FALSE),2),1))</f>
        <v/>
      </c>
      <c r="CF122" s="434"/>
      <c r="CG122" s="432" t="str">
        <f>IF(VLOOKUP(AK120,suvaha!$D$92:$H$158,4,FALSE)=0,"",IF(LEN(VLOOKUP(AK120,suvaha!$D$92:$H$158,4,FALSE))&lt;1,"",LEFT(RIGHT(VLOOKUP(AK120,suvaha!$D$92:$H$158,4,FALSE),1),1)))</f>
        <v/>
      </c>
      <c r="CH122" s="285"/>
      <c r="CI122" s="220"/>
      <c r="CJ122" s="220"/>
    </row>
    <row r="123" spans="1:88" ht="3" customHeight="1" thickBot="1">
      <c r="E123" s="963"/>
      <c r="F123" s="963"/>
      <c r="G123" s="965"/>
      <c r="H123" s="965"/>
      <c r="I123" s="965"/>
      <c r="J123" s="965"/>
      <c r="K123" s="965"/>
      <c r="L123" s="965"/>
      <c r="M123" s="965"/>
      <c r="N123" s="965"/>
      <c r="O123" s="965"/>
      <c r="P123" s="965"/>
      <c r="Q123" s="965"/>
      <c r="R123" s="965"/>
      <c r="S123" s="965"/>
      <c r="T123" s="965"/>
      <c r="U123" s="965"/>
      <c r="V123" s="965"/>
      <c r="W123" s="965"/>
      <c r="X123" s="965"/>
      <c r="Y123" s="965"/>
      <c r="Z123" s="965"/>
      <c r="AA123" s="965"/>
      <c r="AB123" s="965"/>
      <c r="AC123" s="965"/>
      <c r="AD123" s="965"/>
      <c r="AE123" s="965"/>
      <c r="AF123" s="965"/>
      <c r="AG123" s="965"/>
      <c r="AH123" s="965"/>
      <c r="AI123" s="965"/>
      <c r="AJ123" s="965"/>
      <c r="AK123" s="967"/>
      <c r="AL123" s="967"/>
      <c r="AM123" s="967"/>
      <c r="AN123" s="358"/>
      <c r="AO123" s="360"/>
      <c r="AP123" s="360"/>
      <c r="AQ123" s="360"/>
      <c r="AR123" s="360"/>
      <c r="AS123" s="360"/>
      <c r="AT123" s="360"/>
      <c r="AU123" s="360"/>
      <c r="AV123" s="360"/>
      <c r="AW123" s="360"/>
      <c r="AX123" s="360"/>
      <c r="AY123" s="360"/>
      <c r="AZ123" s="360"/>
      <c r="BA123" s="360"/>
      <c r="BB123" s="360"/>
      <c r="BC123" s="360"/>
      <c r="BD123" s="360"/>
      <c r="BE123" s="256"/>
      <c r="BF123" s="256"/>
      <c r="BG123" s="256"/>
      <c r="BH123" s="256"/>
      <c r="BI123" s="256"/>
      <c r="BJ123" s="256"/>
      <c r="BK123" s="256"/>
      <c r="BL123" s="969"/>
      <c r="BM123" s="969"/>
      <c r="BN123" s="969"/>
      <c r="BO123" s="969"/>
      <c r="BP123" s="969"/>
      <c r="BQ123" s="969"/>
      <c r="BR123" s="969"/>
      <c r="BS123" s="969"/>
      <c r="BT123" s="969"/>
      <c r="BU123" s="969"/>
      <c r="BV123" s="969"/>
      <c r="BW123" s="969"/>
      <c r="BX123" s="969"/>
      <c r="BY123" s="969"/>
      <c r="BZ123" s="969"/>
      <c r="CA123" s="969"/>
      <c r="CB123" s="969"/>
      <c r="CC123" s="256"/>
      <c r="CD123" s="256"/>
      <c r="CE123" s="256"/>
      <c r="CF123" s="256"/>
      <c r="CG123" s="256"/>
      <c r="CH123" s="286"/>
      <c r="CI123" s="220"/>
      <c r="CJ123" s="220"/>
    </row>
    <row r="124" spans="1:88" ht="6" customHeight="1">
      <c r="D124" s="220"/>
      <c r="E124" s="268"/>
      <c r="F124" s="268"/>
      <c r="G124" s="268"/>
      <c r="H124" s="240"/>
      <c r="I124" s="240"/>
      <c r="J124" s="240"/>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356"/>
      <c r="CH124" s="356"/>
      <c r="CI124" s="220"/>
      <c r="CJ124" s="220"/>
    </row>
    <row r="125" spans="1:88" ht="13.5" thickBot="1">
      <c r="D125" s="220"/>
      <c r="E125" s="289"/>
      <c r="F125" s="268"/>
      <c r="G125" s="268"/>
      <c r="H125" s="98"/>
      <c r="I125" s="240"/>
      <c r="J125" s="240"/>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356"/>
      <c r="BZ125" s="356"/>
      <c r="CA125" s="356"/>
      <c r="CB125" s="356"/>
      <c r="CC125" s="356"/>
      <c r="CD125" s="356"/>
      <c r="CE125" s="356"/>
      <c r="CF125" s="356"/>
      <c r="CG125" s="959"/>
      <c r="CH125" s="959"/>
      <c r="CI125" s="220"/>
      <c r="CJ125" s="220"/>
    </row>
    <row r="126" spans="1:88" ht="8.25" customHeight="1" thickTop="1">
      <c r="D126" s="220"/>
      <c r="E126" s="268"/>
      <c r="F126" s="268"/>
      <c r="G126" s="268"/>
      <c r="H126" s="98" t="s">
        <v>1532</v>
      </c>
      <c r="I126" s="240"/>
      <c r="J126" s="240"/>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290"/>
      <c r="BZ126" s="356"/>
      <c r="CA126" s="415" t="str">
        <f>Index!C425</f>
        <v>Strana 7</v>
      </c>
      <c r="CB126" s="356"/>
      <c r="CC126" s="356"/>
      <c r="CD126" s="356"/>
      <c r="CE126" s="356"/>
      <c r="CF126" s="356"/>
      <c r="CG126" s="356"/>
      <c r="CH126" s="356"/>
    </row>
    <row r="127" spans="1:88" s="277" customFormat="1">
      <c r="A127" s="272"/>
      <c r="B127" s="272"/>
      <c r="C127" s="272"/>
      <c r="D127" s="272"/>
      <c r="E127" s="273"/>
      <c r="F127" s="273"/>
      <c r="G127" s="273"/>
      <c r="H127" s="274"/>
      <c r="I127" s="274"/>
      <c r="J127" s="274"/>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c r="BC127" s="275"/>
      <c r="BD127" s="275"/>
      <c r="BE127" s="275"/>
      <c r="BF127" s="275"/>
      <c r="BG127" s="275"/>
      <c r="BH127" s="275"/>
      <c r="BI127" s="275"/>
      <c r="BJ127" s="275"/>
      <c r="BK127" s="275"/>
      <c r="BL127" s="275"/>
      <c r="BM127" s="275"/>
      <c r="BN127" s="275"/>
      <c r="BO127" s="275"/>
      <c r="BP127" s="275"/>
      <c r="BQ127" s="275"/>
      <c r="BR127" s="275"/>
      <c r="BS127" s="275"/>
      <c r="BT127" s="275"/>
      <c r="BU127" s="275"/>
      <c r="BV127" s="275"/>
      <c r="BW127" s="275"/>
      <c r="BX127" s="275"/>
      <c r="BY127" s="275"/>
      <c r="BZ127" s="275"/>
      <c r="CA127" s="275"/>
      <c r="CB127" s="275"/>
      <c r="CC127" s="275"/>
      <c r="CD127" s="275"/>
      <c r="CE127" s="275"/>
      <c r="CF127" s="275"/>
      <c r="CG127" s="275"/>
      <c r="CH127" s="275"/>
    </row>
    <row r="128" spans="1:88" s="277" customFormat="1">
      <c r="A128" s="272"/>
      <c r="B128" s="272"/>
      <c r="C128" s="272"/>
      <c r="D128" s="272"/>
      <c r="E128" s="273"/>
      <c r="F128" s="273"/>
      <c r="G128" s="273"/>
      <c r="H128" s="274"/>
      <c r="I128" s="274"/>
      <c r="J128" s="274"/>
      <c r="K128" s="275"/>
      <c r="L128" s="275"/>
      <c r="M128" s="275"/>
      <c r="N128" s="275"/>
      <c r="O128" s="275"/>
      <c r="P128" s="275"/>
      <c r="Q128" s="275"/>
      <c r="R128" s="275"/>
      <c r="S128" s="275"/>
      <c r="T128" s="275"/>
      <c r="U128" s="275"/>
      <c r="V128" s="275"/>
      <c r="W128" s="275"/>
      <c r="X128" s="275"/>
      <c r="Y128" s="275"/>
      <c r="Z128" s="275"/>
      <c r="AA128" s="275"/>
      <c r="AB128" s="275"/>
      <c r="AC128" s="275"/>
      <c r="AD128" s="275"/>
      <c r="AE128" s="276">
        <v>10</v>
      </c>
      <c r="AF128" s="275"/>
      <c r="AG128" s="276">
        <v>9</v>
      </c>
      <c r="AH128" s="275"/>
      <c r="AI128" s="276">
        <v>8</v>
      </c>
      <c r="AJ128" s="275"/>
      <c r="AK128" s="276">
        <v>7</v>
      </c>
      <c r="AL128" s="275"/>
      <c r="AM128" s="276">
        <v>6</v>
      </c>
      <c r="AN128" s="275"/>
      <c r="AO128" s="276">
        <v>5</v>
      </c>
      <c r="AP128" s="275"/>
      <c r="AQ128" s="276">
        <v>4</v>
      </c>
      <c r="AR128" s="275"/>
      <c r="AS128" s="276">
        <v>3</v>
      </c>
      <c r="AT128" s="275"/>
      <c r="AU128" s="276">
        <v>2</v>
      </c>
      <c r="AV128" s="275"/>
      <c r="AW128" s="276">
        <v>1</v>
      </c>
      <c r="AX128" s="275"/>
      <c r="AY128" s="276">
        <v>0</v>
      </c>
      <c r="AZ128" s="275"/>
      <c r="BA128" s="275"/>
      <c r="BB128" s="276">
        <v>10</v>
      </c>
      <c r="BC128" s="275"/>
      <c r="BD128" s="276">
        <v>9</v>
      </c>
      <c r="BE128" s="275"/>
      <c r="BF128" s="276">
        <v>8</v>
      </c>
      <c r="BG128" s="275"/>
      <c r="BH128" s="276">
        <v>7</v>
      </c>
      <c r="BI128" s="275"/>
      <c r="BJ128" s="276">
        <v>6</v>
      </c>
      <c r="BK128" s="276">
        <v>5</v>
      </c>
      <c r="BL128" s="276">
        <v>5</v>
      </c>
      <c r="BM128" s="276">
        <v>5</v>
      </c>
      <c r="BN128" s="276"/>
      <c r="BO128" s="276">
        <v>4</v>
      </c>
      <c r="BP128" s="276"/>
      <c r="BQ128" s="276">
        <v>3</v>
      </c>
      <c r="BR128" s="276">
        <v>2</v>
      </c>
      <c r="BS128" s="276">
        <v>2</v>
      </c>
      <c r="BT128" s="276">
        <v>1</v>
      </c>
      <c r="BU128" s="276">
        <v>1</v>
      </c>
      <c r="BV128" s="276"/>
      <c r="BW128" s="276">
        <v>0</v>
      </c>
      <c r="BX128" s="275"/>
      <c r="BY128" s="275"/>
      <c r="BZ128" s="275"/>
      <c r="CA128" s="275"/>
      <c r="CB128" s="275"/>
      <c r="CC128" s="275"/>
      <c r="CD128" s="275"/>
      <c r="CE128" s="275"/>
      <c r="CF128" s="275"/>
      <c r="CG128" s="275"/>
      <c r="CH128" s="272"/>
      <c r="CI128" s="272"/>
      <c r="CJ128" s="272"/>
    </row>
    <row r="129" spans="1:88" s="277" customFormat="1">
      <c r="B129" s="272"/>
      <c r="C129" s="272"/>
      <c r="D129" s="272"/>
      <c r="E129" s="273"/>
      <c r="F129" s="273"/>
      <c r="G129" s="273"/>
      <c r="H129" s="274"/>
      <c r="I129" s="274"/>
      <c r="J129" s="274"/>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c r="AO129" s="276">
        <v>10</v>
      </c>
      <c r="AP129" s="276"/>
      <c r="AQ129" s="276">
        <v>9</v>
      </c>
      <c r="AR129" s="276"/>
      <c r="AS129" s="276">
        <v>8</v>
      </c>
      <c r="AT129" s="276"/>
      <c r="AU129" s="276">
        <v>7</v>
      </c>
      <c r="AV129" s="276"/>
      <c r="AW129" s="276">
        <v>6</v>
      </c>
      <c r="AX129" s="276"/>
      <c r="AY129" s="276">
        <v>5</v>
      </c>
      <c r="AZ129" s="276"/>
      <c r="BA129" s="276"/>
      <c r="BB129" s="276">
        <v>4</v>
      </c>
      <c r="BC129" s="276"/>
      <c r="BD129" s="276">
        <v>3</v>
      </c>
      <c r="BE129" s="276"/>
      <c r="BF129" s="276">
        <v>2</v>
      </c>
      <c r="BG129" s="276"/>
      <c r="BH129" s="276">
        <v>1</v>
      </c>
      <c r="BI129" s="276"/>
      <c r="BJ129" s="276">
        <v>0</v>
      </c>
      <c r="BK129" s="276">
        <v>10</v>
      </c>
      <c r="BL129" s="276">
        <v>10</v>
      </c>
      <c r="BM129" s="276">
        <v>10</v>
      </c>
      <c r="BN129" s="276"/>
      <c r="BO129" s="276">
        <v>9</v>
      </c>
      <c r="BP129" s="276"/>
      <c r="BQ129" s="276">
        <v>8</v>
      </c>
      <c r="BR129" s="276"/>
      <c r="BS129" s="276">
        <v>7</v>
      </c>
      <c r="BT129" s="276"/>
      <c r="BU129" s="276">
        <v>6</v>
      </c>
      <c r="BV129" s="276"/>
      <c r="BW129" s="276">
        <v>5</v>
      </c>
      <c r="BX129" s="276"/>
      <c r="BY129" s="276">
        <v>4</v>
      </c>
      <c r="BZ129" s="276"/>
      <c r="CA129" s="276">
        <v>3</v>
      </c>
      <c r="CB129" s="276"/>
      <c r="CC129" s="276">
        <v>2</v>
      </c>
      <c r="CD129" s="276"/>
      <c r="CE129" s="276">
        <v>1</v>
      </c>
      <c r="CF129" s="276"/>
      <c r="CG129" s="276">
        <v>0</v>
      </c>
      <c r="CH129" s="272"/>
      <c r="CJ129" s="272"/>
    </row>
    <row r="130" spans="1:88" s="293" customFormat="1">
      <c r="A130" s="292"/>
      <c r="B130" s="292"/>
      <c r="C130" s="292"/>
      <c r="E130" s="294"/>
      <c r="F130" s="294"/>
      <c r="G130" s="294"/>
      <c r="H130" s="295"/>
      <c r="I130" s="295"/>
      <c r="J130" s="295"/>
      <c r="K130" s="296"/>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c r="AG130" s="296"/>
      <c r="AH130" s="296"/>
      <c r="AI130" s="296"/>
      <c r="AJ130" s="296"/>
      <c r="AK130" s="296"/>
      <c r="AL130" s="296"/>
      <c r="AM130" s="296"/>
      <c r="AN130" s="296"/>
      <c r="AO130" s="296"/>
      <c r="AP130" s="296"/>
      <c r="AQ130" s="296"/>
      <c r="AR130" s="296"/>
      <c r="AS130" s="296"/>
      <c r="AT130" s="296"/>
      <c r="AU130" s="296"/>
      <c r="AV130" s="296"/>
      <c r="AW130" s="296"/>
      <c r="AX130" s="296"/>
      <c r="AY130" s="296"/>
      <c r="AZ130" s="296"/>
      <c r="BA130" s="296"/>
      <c r="BB130" s="296"/>
      <c r="BC130" s="296"/>
      <c r="BD130" s="296"/>
      <c r="BE130" s="296"/>
      <c r="BF130" s="296"/>
      <c r="BG130" s="296"/>
      <c r="BH130" s="296"/>
      <c r="BI130" s="296"/>
      <c r="BJ130" s="296"/>
      <c r="BK130" s="296"/>
      <c r="BL130" s="296"/>
      <c r="BM130" s="296"/>
      <c r="BN130" s="296"/>
      <c r="BO130" s="296"/>
      <c r="BP130" s="296"/>
      <c r="BQ130" s="296"/>
      <c r="BR130" s="296"/>
      <c r="BS130" s="296"/>
      <c r="BT130" s="296"/>
      <c r="BU130" s="296"/>
      <c r="BV130" s="296"/>
      <c r="BW130" s="296"/>
      <c r="BX130" s="296"/>
      <c r="BY130" s="296"/>
      <c r="BZ130" s="296"/>
      <c r="CA130" s="296"/>
      <c r="CB130" s="296"/>
      <c r="CC130" s="296"/>
      <c r="CD130" s="296"/>
      <c r="CE130" s="296"/>
      <c r="CF130" s="296"/>
      <c r="CG130" s="296"/>
      <c r="CH130" s="296"/>
    </row>
    <row r="131" spans="1:88">
      <c r="E131" s="268"/>
      <c r="F131" s="268"/>
      <c r="G131" s="268"/>
      <c r="H131" s="240"/>
      <c r="I131" s="240"/>
      <c r="J131" s="240"/>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row>
    <row r="132" spans="1:88">
      <c r="E132" s="268"/>
      <c r="F132" s="268"/>
      <c r="G132" s="268"/>
      <c r="H132" s="240"/>
      <c r="I132" s="240"/>
      <c r="J132" s="240"/>
      <c r="K132" s="356"/>
      <c r="L132" s="356"/>
      <c r="M132" s="356"/>
      <c r="N132" s="356"/>
      <c r="O132" s="356"/>
      <c r="P132" s="356"/>
      <c r="Q132" s="356"/>
      <c r="R132" s="356"/>
      <c r="S132" s="356"/>
      <c r="T132" s="356"/>
      <c r="U132" s="356"/>
      <c r="V132" s="356"/>
      <c r="W132" s="356"/>
      <c r="X132" s="356"/>
      <c r="Y132" s="356"/>
      <c r="Z132" s="356"/>
      <c r="AA132" s="356"/>
      <c r="AB132" s="356"/>
      <c r="AC132" s="356"/>
      <c r="AD132" s="356"/>
      <c r="AE132" s="356"/>
      <c r="AF132" s="356"/>
      <c r="AG132" s="356"/>
      <c r="AH132" s="356"/>
      <c r="AI132" s="356"/>
      <c r="AJ132" s="356"/>
      <c r="AK132" s="356"/>
      <c r="AL132" s="356"/>
      <c r="AM132" s="356"/>
      <c r="AN132" s="356"/>
      <c r="AO132" s="356"/>
      <c r="AP132" s="356"/>
      <c r="AQ132" s="356"/>
      <c r="AR132" s="356"/>
      <c r="AS132" s="356"/>
      <c r="AT132" s="356"/>
      <c r="AU132" s="356"/>
      <c r="AV132" s="356"/>
      <c r="AW132" s="356"/>
      <c r="AX132" s="356"/>
      <c r="AY132" s="356"/>
      <c r="AZ132" s="356"/>
      <c r="BA132" s="356"/>
      <c r="BB132" s="356"/>
      <c r="BC132" s="356"/>
      <c r="BD132" s="356"/>
      <c r="BE132" s="356"/>
      <c r="BF132" s="356"/>
      <c r="BG132" s="356"/>
      <c r="BH132" s="356"/>
      <c r="BI132" s="356"/>
      <c r="BJ132" s="356"/>
      <c r="BK132" s="356"/>
      <c r="BL132" s="356"/>
      <c r="BM132" s="356"/>
      <c r="BN132" s="356"/>
      <c r="BO132" s="356"/>
      <c r="BP132" s="356"/>
      <c r="BQ132" s="356"/>
      <c r="BR132" s="356"/>
      <c r="BS132" s="356"/>
      <c r="BT132" s="356"/>
      <c r="BU132" s="356"/>
      <c r="BV132" s="356"/>
      <c r="BW132" s="356"/>
      <c r="BX132" s="356"/>
      <c r="BY132" s="356"/>
      <c r="BZ132" s="356"/>
      <c r="CA132" s="356"/>
      <c r="CB132" s="356"/>
      <c r="CC132" s="356"/>
      <c r="CD132" s="356"/>
      <c r="CE132" s="356"/>
      <c r="CF132" s="356"/>
      <c r="CG132" s="356"/>
      <c r="CH132" s="356"/>
    </row>
  </sheetData>
  <sheetProtection sheet="1" objects="1" scenarios="1"/>
  <mergeCells count="519">
    <mergeCell ref="AB4:AC5"/>
    <mergeCell ref="AD4:AD5"/>
    <mergeCell ref="AR4:AR5"/>
    <mergeCell ref="E7:F10"/>
    <mergeCell ref="AD7:BR8"/>
    <mergeCell ref="BS7:CH10"/>
    <mergeCell ref="B8:D8"/>
    <mergeCell ref="G8:Z9"/>
    <mergeCell ref="B9:C11"/>
    <mergeCell ref="D9:D11"/>
    <mergeCell ref="AA9:AC9"/>
    <mergeCell ref="AD9:AF11"/>
    <mergeCell ref="AF4:AF5"/>
    <mergeCell ref="AH4:AH5"/>
    <mergeCell ref="AJ4:AJ5"/>
    <mergeCell ref="AL4:AL5"/>
    <mergeCell ref="AN4:AN5"/>
    <mergeCell ref="AP4:AP5"/>
    <mergeCell ref="H2:X4"/>
    <mergeCell ref="AB2:AX2"/>
    <mergeCell ref="AY2:AY5"/>
    <mergeCell ref="AZ2:BT2"/>
    <mergeCell ref="BU2:CE5"/>
    <mergeCell ref="AE3:AW3"/>
    <mergeCell ref="AZ3:BC4"/>
    <mergeCell ref="BD3:BS3"/>
    <mergeCell ref="AG9:AZ10"/>
    <mergeCell ref="BA9:BR10"/>
    <mergeCell ref="CI9:CI22"/>
    <mergeCell ref="AA10:AC10"/>
    <mergeCell ref="E11:F11"/>
    <mergeCell ref="G11:Z11"/>
    <mergeCell ref="AA11:AC11"/>
    <mergeCell ref="AG11:AZ11"/>
    <mergeCell ref="BA11:BR11"/>
    <mergeCell ref="BS11:CH11"/>
    <mergeCell ref="BA12:BR12"/>
    <mergeCell ref="BA13:BA14"/>
    <mergeCell ref="BS13:BW13"/>
    <mergeCell ref="BA15:BR15"/>
    <mergeCell ref="BA16:BJ19"/>
    <mergeCell ref="AO17:AS17"/>
    <mergeCell ref="BB13:BD13"/>
    <mergeCell ref="BF13:BJ13"/>
    <mergeCell ref="BK13:BK14"/>
    <mergeCell ref="BL13:BL14"/>
    <mergeCell ref="BM13:BQ13"/>
    <mergeCell ref="BR13:BR14"/>
    <mergeCell ref="AI13:AM13"/>
    <mergeCell ref="AN13:AN14"/>
    <mergeCell ref="AO13:AS13"/>
    <mergeCell ref="AT13:AT14"/>
    <mergeCell ref="AU13:AY13"/>
    <mergeCell ref="AZ13:AZ14"/>
    <mergeCell ref="AD15:AZ15"/>
    <mergeCell ref="AD16:AZ16"/>
    <mergeCell ref="AD17:AD18"/>
    <mergeCell ref="AE17:AG17"/>
    <mergeCell ref="AI17:AM17"/>
    <mergeCell ref="AN17:AN18"/>
    <mergeCell ref="BM17:BO17"/>
    <mergeCell ref="AD19:AZ19"/>
    <mergeCell ref="E20:F27"/>
    <mergeCell ref="G20:G27"/>
    <mergeCell ref="H20:Z27"/>
    <mergeCell ref="AA20:AC27"/>
    <mergeCell ref="AD20:AZ20"/>
    <mergeCell ref="BA20:BR20"/>
    <mergeCell ref="AD21:AD22"/>
    <mergeCell ref="AE21:AG21"/>
    <mergeCell ref="AZ25:AZ26"/>
    <mergeCell ref="BM25:BO25"/>
    <mergeCell ref="AD27:AZ27"/>
    <mergeCell ref="E12:F19"/>
    <mergeCell ref="G12:G19"/>
    <mergeCell ref="H12:Z19"/>
    <mergeCell ref="AA12:AC19"/>
    <mergeCell ref="AD12:AZ12"/>
    <mergeCell ref="AT17:AT18"/>
    <mergeCell ref="AU17:AY17"/>
    <mergeCell ref="AZ17:AZ18"/>
    <mergeCell ref="AI21:AM21"/>
    <mergeCell ref="AD13:AD14"/>
    <mergeCell ref="AE13:AG13"/>
    <mergeCell ref="BS21:BW21"/>
    <mergeCell ref="AD23:AZ23"/>
    <mergeCell ref="BA23:BR23"/>
    <mergeCell ref="AD24:AZ24"/>
    <mergeCell ref="BA24:BJ27"/>
    <mergeCell ref="AD25:AD26"/>
    <mergeCell ref="AE25:AG25"/>
    <mergeCell ref="AI25:AM25"/>
    <mergeCell ref="AN25:AN26"/>
    <mergeCell ref="AO25:AS25"/>
    <mergeCell ref="BB21:BD21"/>
    <mergeCell ref="BF21:BJ21"/>
    <mergeCell ref="BK21:BK22"/>
    <mergeCell ref="BL21:BL22"/>
    <mergeCell ref="BM21:BQ21"/>
    <mergeCell ref="BR21:BR22"/>
    <mergeCell ref="AN21:AN22"/>
    <mergeCell ref="AO21:AS21"/>
    <mergeCell ref="AT21:AT22"/>
    <mergeCell ref="AU21:AY21"/>
    <mergeCell ref="AZ21:AZ22"/>
    <mergeCell ref="BA21:BA22"/>
    <mergeCell ref="AT25:AT26"/>
    <mergeCell ref="AU25:AY25"/>
    <mergeCell ref="E28:F35"/>
    <mergeCell ref="G28:G35"/>
    <mergeCell ref="H28:Z35"/>
    <mergeCell ref="AA28:AC35"/>
    <mergeCell ref="AD28:AZ28"/>
    <mergeCell ref="BA28:BR28"/>
    <mergeCell ref="AD29:AD30"/>
    <mergeCell ref="AE29:AG29"/>
    <mergeCell ref="AI29:AM29"/>
    <mergeCell ref="AN29:AN30"/>
    <mergeCell ref="AO29:AS29"/>
    <mergeCell ref="AT29:AT30"/>
    <mergeCell ref="AU29:AY29"/>
    <mergeCell ref="AZ29:AZ30"/>
    <mergeCell ref="BA29:BA30"/>
    <mergeCell ref="BS29:BW29"/>
    <mergeCell ref="AD31:AZ31"/>
    <mergeCell ref="BA31:BR31"/>
    <mergeCell ref="AD32:AZ32"/>
    <mergeCell ref="BA32:BJ35"/>
    <mergeCell ref="AD33:AD34"/>
    <mergeCell ref="AE33:AG33"/>
    <mergeCell ref="AI33:AM33"/>
    <mergeCell ref="AN33:AN34"/>
    <mergeCell ref="AO33:AS33"/>
    <mergeCell ref="BB29:BD29"/>
    <mergeCell ref="BF29:BJ29"/>
    <mergeCell ref="BK29:BK30"/>
    <mergeCell ref="BL29:BL30"/>
    <mergeCell ref="BM29:BQ29"/>
    <mergeCell ref="BR29:BR30"/>
    <mergeCell ref="AT33:AT34"/>
    <mergeCell ref="AU33:AY33"/>
    <mergeCell ref="AZ33:AZ34"/>
    <mergeCell ref="BM33:BO33"/>
    <mergeCell ref="AD35:AZ35"/>
    <mergeCell ref="E36:F43"/>
    <mergeCell ref="G36:G43"/>
    <mergeCell ref="H36:Z43"/>
    <mergeCell ref="AA36:AC43"/>
    <mergeCell ref="AD36:AZ36"/>
    <mergeCell ref="BA36:BR36"/>
    <mergeCell ref="AD37:AD38"/>
    <mergeCell ref="AE37:AG37"/>
    <mergeCell ref="AI37:AM37"/>
    <mergeCell ref="AN37:AN38"/>
    <mergeCell ref="AO37:AS37"/>
    <mergeCell ref="AT37:AT38"/>
    <mergeCell ref="AU37:AY37"/>
    <mergeCell ref="AZ37:AZ38"/>
    <mergeCell ref="BA37:BA38"/>
    <mergeCell ref="BS37:BW37"/>
    <mergeCell ref="AD39:AZ39"/>
    <mergeCell ref="BA39:BR39"/>
    <mergeCell ref="AD40:AZ40"/>
    <mergeCell ref="BA40:BJ43"/>
    <mergeCell ref="AD41:AD42"/>
    <mergeCell ref="AE41:AG41"/>
    <mergeCell ref="AI41:AM41"/>
    <mergeCell ref="AN41:AN42"/>
    <mergeCell ref="AO41:AS41"/>
    <mergeCell ref="BB37:BD37"/>
    <mergeCell ref="BF37:BJ37"/>
    <mergeCell ref="BK37:BK38"/>
    <mergeCell ref="BL37:BL38"/>
    <mergeCell ref="BM37:BQ37"/>
    <mergeCell ref="BR37:BR38"/>
    <mergeCell ref="AT41:AT42"/>
    <mergeCell ref="AU41:AY41"/>
    <mergeCell ref="AZ41:AZ42"/>
    <mergeCell ref="BM41:BO41"/>
    <mergeCell ref="AD43:AZ43"/>
    <mergeCell ref="E44:F51"/>
    <mergeCell ref="G44:G51"/>
    <mergeCell ref="H44:Z51"/>
    <mergeCell ref="AA44:AC51"/>
    <mergeCell ref="AD44:AZ44"/>
    <mergeCell ref="BA44:BR44"/>
    <mergeCell ref="AD45:AD46"/>
    <mergeCell ref="AE45:AG45"/>
    <mergeCell ref="AI45:AM45"/>
    <mergeCell ref="AN45:AN46"/>
    <mergeCell ref="AO45:AS45"/>
    <mergeCell ref="AT45:AT46"/>
    <mergeCell ref="AU45:AY45"/>
    <mergeCell ref="AZ45:AZ46"/>
    <mergeCell ref="BA45:BA46"/>
    <mergeCell ref="BS45:BW45"/>
    <mergeCell ref="AD47:AZ47"/>
    <mergeCell ref="BA47:BR47"/>
    <mergeCell ref="AD48:AZ48"/>
    <mergeCell ref="BA48:BJ51"/>
    <mergeCell ref="AD49:AD50"/>
    <mergeCell ref="AE49:AG49"/>
    <mergeCell ref="AI49:AM49"/>
    <mergeCell ref="AN49:AN50"/>
    <mergeCell ref="AO49:AS49"/>
    <mergeCell ref="BB45:BD45"/>
    <mergeCell ref="BF45:BJ45"/>
    <mergeCell ref="BK45:BK46"/>
    <mergeCell ref="BL45:BL46"/>
    <mergeCell ref="BM45:BQ45"/>
    <mergeCell ref="BR45:BR46"/>
    <mergeCell ref="AT49:AT50"/>
    <mergeCell ref="AU49:AY49"/>
    <mergeCell ref="AZ49:AZ50"/>
    <mergeCell ref="BM49:BO49"/>
    <mergeCell ref="AD51:AZ51"/>
    <mergeCell ref="E52:F59"/>
    <mergeCell ref="G52:G59"/>
    <mergeCell ref="H52:Z59"/>
    <mergeCell ref="AA52:AC59"/>
    <mergeCell ref="AD52:AZ52"/>
    <mergeCell ref="BA52:BR52"/>
    <mergeCell ref="AD53:AD54"/>
    <mergeCell ref="AE53:AG53"/>
    <mergeCell ref="AI53:AM53"/>
    <mergeCell ref="AN53:AN54"/>
    <mergeCell ref="AO53:AS53"/>
    <mergeCell ref="AT53:AT54"/>
    <mergeCell ref="AU53:AY53"/>
    <mergeCell ref="AZ53:AZ54"/>
    <mergeCell ref="BA53:BA54"/>
    <mergeCell ref="BS53:BW53"/>
    <mergeCell ref="AD55:AZ55"/>
    <mergeCell ref="BA55:BR55"/>
    <mergeCell ref="AD56:AZ56"/>
    <mergeCell ref="BA56:BJ59"/>
    <mergeCell ref="AD57:AD58"/>
    <mergeCell ref="AE57:AG57"/>
    <mergeCell ref="AI57:AM57"/>
    <mergeCell ref="AN57:AN58"/>
    <mergeCell ref="AO57:AS57"/>
    <mergeCell ref="BB53:BD53"/>
    <mergeCell ref="BF53:BJ53"/>
    <mergeCell ref="BK53:BK54"/>
    <mergeCell ref="BL53:BL54"/>
    <mergeCell ref="BM53:BQ53"/>
    <mergeCell ref="BR53:BR54"/>
    <mergeCell ref="AT57:AT58"/>
    <mergeCell ref="AU57:AY57"/>
    <mergeCell ref="AZ57:AZ58"/>
    <mergeCell ref="BM57:BO57"/>
    <mergeCell ref="AD59:AZ59"/>
    <mergeCell ref="E60:F67"/>
    <mergeCell ref="G60:G67"/>
    <mergeCell ref="H60:Z67"/>
    <mergeCell ref="AA60:AC67"/>
    <mergeCell ref="AD60:AZ60"/>
    <mergeCell ref="BA60:BR60"/>
    <mergeCell ref="AD61:AD62"/>
    <mergeCell ref="AE61:AG61"/>
    <mergeCell ref="AI61:AM61"/>
    <mergeCell ref="AN61:AN62"/>
    <mergeCell ref="AO61:AS61"/>
    <mergeCell ref="AT61:AT62"/>
    <mergeCell ref="AU61:AY61"/>
    <mergeCell ref="AZ61:AZ62"/>
    <mergeCell ref="BA61:BA62"/>
    <mergeCell ref="BS61:BW61"/>
    <mergeCell ref="AD63:AZ63"/>
    <mergeCell ref="BA63:BR63"/>
    <mergeCell ref="AD64:AZ64"/>
    <mergeCell ref="BA64:BJ67"/>
    <mergeCell ref="AD65:AD66"/>
    <mergeCell ref="AE65:AG65"/>
    <mergeCell ref="AI65:AM65"/>
    <mergeCell ref="AN65:AN66"/>
    <mergeCell ref="AO65:AS65"/>
    <mergeCell ref="BB61:BD61"/>
    <mergeCell ref="BF61:BJ61"/>
    <mergeCell ref="BK61:BK62"/>
    <mergeCell ref="BL61:BL62"/>
    <mergeCell ref="BM61:BQ61"/>
    <mergeCell ref="BR61:BR62"/>
    <mergeCell ref="AT65:AT66"/>
    <mergeCell ref="AU65:AY65"/>
    <mergeCell ref="AZ65:AZ66"/>
    <mergeCell ref="BM65:BO65"/>
    <mergeCell ref="AD67:AZ67"/>
    <mergeCell ref="BL77:CH78"/>
    <mergeCell ref="BS69:BW69"/>
    <mergeCell ref="AD71:AZ71"/>
    <mergeCell ref="BA71:BR71"/>
    <mergeCell ref="AD72:AZ72"/>
    <mergeCell ref="BA72:BJ75"/>
    <mergeCell ref="AD73:AD74"/>
    <mergeCell ref="AE73:AG73"/>
    <mergeCell ref="AI73:AM73"/>
    <mergeCell ref="AN73:AN74"/>
    <mergeCell ref="AO73:AS73"/>
    <mergeCell ref="BB69:BD69"/>
    <mergeCell ref="BF69:BJ69"/>
    <mergeCell ref="BK69:BK70"/>
    <mergeCell ref="BL69:BL70"/>
    <mergeCell ref="BM69:BQ69"/>
    <mergeCell ref="BR69:BR70"/>
    <mergeCell ref="AD69:AD70"/>
    <mergeCell ref="AE69:AG69"/>
    <mergeCell ref="AI69:AM69"/>
    <mergeCell ref="AN69:AN70"/>
    <mergeCell ref="AO69:AS69"/>
    <mergeCell ref="AT69:AT70"/>
    <mergeCell ref="AU69:AY69"/>
    <mergeCell ref="B78:D78"/>
    <mergeCell ref="B79:C79"/>
    <mergeCell ref="E79:F79"/>
    <mergeCell ref="G79:AJ79"/>
    <mergeCell ref="AK79:AM79"/>
    <mergeCell ref="AN79:BJ79"/>
    <mergeCell ref="AT73:AT74"/>
    <mergeCell ref="AU73:AY73"/>
    <mergeCell ref="AZ73:AZ74"/>
    <mergeCell ref="E77:F78"/>
    <mergeCell ref="G77:AJ78"/>
    <mergeCell ref="AK77:AM78"/>
    <mergeCell ref="AN77:BJ78"/>
    <mergeCell ref="E68:F75"/>
    <mergeCell ref="G68:G75"/>
    <mergeCell ref="H68:Z75"/>
    <mergeCell ref="AA68:AC75"/>
    <mergeCell ref="AD68:AZ68"/>
    <mergeCell ref="BA68:BR68"/>
    <mergeCell ref="AZ69:AZ70"/>
    <mergeCell ref="BA69:BA70"/>
    <mergeCell ref="BM73:BO73"/>
    <mergeCell ref="AD75:AZ75"/>
    <mergeCell ref="B12:D69"/>
    <mergeCell ref="BQ81:BU81"/>
    <mergeCell ref="BV81:BV82"/>
    <mergeCell ref="BW81:CA81"/>
    <mergeCell ref="CB81:CB82"/>
    <mergeCell ref="CC81:CG81"/>
    <mergeCell ref="BA82:BB82"/>
    <mergeCell ref="BL79:CH79"/>
    <mergeCell ref="E80:F83"/>
    <mergeCell ref="G80:AJ83"/>
    <mergeCell ref="AK80:AM83"/>
    <mergeCell ref="BL80:CB80"/>
    <mergeCell ref="AY81:BD81"/>
    <mergeCell ref="BF81:BJ81"/>
    <mergeCell ref="BK81:BK82"/>
    <mergeCell ref="BL81:BL82"/>
    <mergeCell ref="BM81:BO81"/>
    <mergeCell ref="BQ85:BU85"/>
    <mergeCell ref="BV85:BV86"/>
    <mergeCell ref="BW85:CA85"/>
    <mergeCell ref="CB85:CB86"/>
    <mergeCell ref="CC85:CG85"/>
    <mergeCell ref="BA86:BB86"/>
    <mergeCell ref="BL83:CB83"/>
    <mergeCell ref="E84:F87"/>
    <mergeCell ref="G84:AJ87"/>
    <mergeCell ref="AK84:AM87"/>
    <mergeCell ref="BL84:CB84"/>
    <mergeCell ref="AY85:BD85"/>
    <mergeCell ref="BF85:BJ85"/>
    <mergeCell ref="BK85:BK86"/>
    <mergeCell ref="BL85:BL86"/>
    <mergeCell ref="BM85:BO85"/>
    <mergeCell ref="BQ89:BU89"/>
    <mergeCell ref="BV89:BV90"/>
    <mergeCell ref="BW89:CA89"/>
    <mergeCell ref="CB89:CB90"/>
    <mergeCell ref="CC89:CG89"/>
    <mergeCell ref="BA90:BB90"/>
    <mergeCell ref="BL87:CB87"/>
    <mergeCell ref="E88:F91"/>
    <mergeCell ref="G88:AJ91"/>
    <mergeCell ref="AK88:AM91"/>
    <mergeCell ref="BL88:CB88"/>
    <mergeCell ref="AY89:BD89"/>
    <mergeCell ref="BF89:BJ89"/>
    <mergeCell ref="BK89:BK90"/>
    <mergeCell ref="BL89:BL90"/>
    <mergeCell ref="BM89:BO89"/>
    <mergeCell ref="BQ93:BU93"/>
    <mergeCell ref="BV93:BV94"/>
    <mergeCell ref="BW93:CA93"/>
    <mergeCell ref="CB93:CB94"/>
    <mergeCell ref="CC93:CG93"/>
    <mergeCell ref="BA94:BB94"/>
    <mergeCell ref="BL91:CB91"/>
    <mergeCell ref="E92:F95"/>
    <mergeCell ref="G92:AJ95"/>
    <mergeCell ref="AK92:AM95"/>
    <mergeCell ref="BL92:CB92"/>
    <mergeCell ref="AY93:BD93"/>
    <mergeCell ref="BF93:BJ93"/>
    <mergeCell ref="BK93:BK94"/>
    <mergeCell ref="BL93:BL94"/>
    <mergeCell ref="BM93:BO93"/>
    <mergeCell ref="BQ97:BU97"/>
    <mergeCell ref="BV97:BV98"/>
    <mergeCell ref="BW97:CA97"/>
    <mergeCell ref="CB97:CB98"/>
    <mergeCell ref="CC97:CG97"/>
    <mergeCell ref="BA98:BB98"/>
    <mergeCell ref="BL95:CB95"/>
    <mergeCell ref="E96:F99"/>
    <mergeCell ref="G96:AJ99"/>
    <mergeCell ref="AK96:AM99"/>
    <mergeCell ref="BL96:CB96"/>
    <mergeCell ref="AY97:BD97"/>
    <mergeCell ref="BF97:BJ97"/>
    <mergeCell ref="BK97:BK98"/>
    <mergeCell ref="BL97:BL98"/>
    <mergeCell ref="BM97:BO97"/>
    <mergeCell ref="BQ101:BU101"/>
    <mergeCell ref="BV101:BV102"/>
    <mergeCell ref="BW101:CA101"/>
    <mergeCell ref="CB101:CB102"/>
    <mergeCell ref="CC101:CG101"/>
    <mergeCell ref="BA102:BB102"/>
    <mergeCell ref="BL99:CB99"/>
    <mergeCell ref="E100:F103"/>
    <mergeCell ref="G100:AJ103"/>
    <mergeCell ref="AK100:AM103"/>
    <mergeCell ref="BL100:CB100"/>
    <mergeCell ref="AY101:BD101"/>
    <mergeCell ref="BF101:BJ101"/>
    <mergeCell ref="BK101:BK102"/>
    <mergeCell ref="BL101:BL102"/>
    <mergeCell ref="BM101:BO101"/>
    <mergeCell ref="BQ105:BU105"/>
    <mergeCell ref="BV105:BV106"/>
    <mergeCell ref="BW105:CA105"/>
    <mergeCell ref="CB105:CB106"/>
    <mergeCell ref="CC105:CG105"/>
    <mergeCell ref="BA106:BB106"/>
    <mergeCell ref="BL103:CB103"/>
    <mergeCell ref="E104:F107"/>
    <mergeCell ref="G104:AJ107"/>
    <mergeCell ref="AK104:AM107"/>
    <mergeCell ref="BL104:CB104"/>
    <mergeCell ref="AY105:BD105"/>
    <mergeCell ref="BF105:BJ105"/>
    <mergeCell ref="BK105:BK106"/>
    <mergeCell ref="BL105:BL106"/>
    <mergeCell ref="BM105:BO105"/>
    <mergeCell ref="CB109:CB110"/>
    <mergeCell ref="CC109:CG109"/>
    <mergeCell ref="BA110:BB110"/>
    <mergeCell ref="BL107:CB107"/>
    <mergeCell ref="E108:F111"/>
    <mergeCell ref="G108:AJ111"/>
    <mergeCell ref="AK108:AM111"/>
    <mergeCell ref="BL108:CB108"/>
    <mergeCell ref="AY109:BD109"/>
    <mergeCell ref="BF109:BJ109"/>
    <mergeCell ref="BK109:BK110"/>
    <mergeCell ref="BL109:BL110"/>
    <mergeCell ref="BM109:BO109"/>
    <mergeCell ref="BA114:BB114"/>
    <mergeCell ref="BL111:CB111"/>
    <mergeCell ref="E112:F115"/>
    <mergeCell ref="G112:AJ115"/>
    <mergeCell ref="AK112:AM115"/>
    <mergeCell ref="BL112:CB112"/>
    <mergeCell ref="AY113:BD113"/>
    <mergeCell ref="BF113:BJ113"/>
    <mergeCell ref="BK113:BK114"/>
    <mergeCell ref="BL113:BL114"/>
    <mergeCell ref="BM113:BO113"/>
    <mergeCell ref="BA118:BB118"/>
    <mergeCell ref="BL115:CB115"/>
    <mergeCell ref="E116:F119"/>
    <mergeCell ref="G116:AJ119"/>
    <mergeCell ref="AK116:AM119"/>
    <mergeCell ref="BL116:CB116"/>
    <mergeCell ref="AY117:BD117"/>
    <mergeCell ref="BF117:BJ117"/>
    <mergeCell ref="BK117:BK118"/>
    <mergeCell ref="BL117:BL118"/>
    <mergeCell ref="BM117:BO117"/>
    <mergeCell ref="BA122:BB122"/>
    <mergeCell ref="BL119:CB119"/>
    <mergeCell ref="E120:F123"/>
    <mergeCell ref="G120:AJ123"/>
    <mergeCell ref="AK120:AM123"/>
    <mergeCell ref="BL120:CB120"/>
    <mergeCell ref="AY121:BD121"/>
    <mergeCell ref="BF121:BJ121"/>
    <mergeCell ref="BK121:BK122"/>
    <mergeCell ref="BL121:BL122"/>
    <mergeCell ref="BM121:BO121"/>
    <mergeCell ref="BL123:CB123"/>
    <mergeCell ref="BQ73:BU73"/>
    <mergeCell ref="BV73:BV74"/>
    <mergeCell ref="BW73:CA73"/>
    <mergeCell ref="CB73:CB74"/>
    <mergeCell ref="CC73:CG73"/>
    <mergeCell ref="CG125:CH125"/>
    <mergeCell ref="BQ121:BU121"/>
    <mergeCell ref="BV121:BV122"/>
    <mergeCell ref="BW121:CA121"/>
    <mergeCell ref="CB121:CB122"/>
    <mergeCell ref="CC121:CG121"/>
    <mergeCell ref="BQ117:BU117"/>
    <mergeCell ref="BV117:BV118"/>
    <mergeCell ref="BW117:CA117"/>
    <mergeCell ref="CB117:CB118"/>
    <mergeCell ref="CC117:CG117"/>
    <mergeCell ref="BQ113:BU113"/>
    <mergeCell ref="BV113:BV114"/>
    <mergeCell ref="BW113:CA113"/>
    <mergeCell ref="CB113:CB114"/>
    <mergeCell ref="CC113:CG113"/>
    <mergeCell ref="BQ109:BU109"/>
    <mergeCell ref="BV109:BV110"/>
    <mergeCell ref="BW109:CA109"/>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E00-000000000000}">
          <x14:formula1>
            <xm:f>0</xm:f>
          </x14:formula1>
          <x14:formula2>
            <xm:f>9</xm:f>
          </x14:formula2>
          <xm:sqref>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8"/>
  <dimension ref="A1:CK130"/>
  <sheetViews>
    <sheetView topLeftCell="A46" zoomScaleNormal="100" workbookViewId="0">
      <selection activeCell="C31" sqref="C31"/>
    </sheetView>
  </sheetViews>
  <sheetFormatPr defaultRowHeight="12.75"/>
  <cols>
    <col min="1" max="1" width="0.7109375" style="220" customWidth="1"/>
    <col min="2" max="2" width="0.42578125" style="220" customWidth="1"/>
    <col min="3" max="3" width="0.5703125" style="220" customWidth="1"/>
    <col min="4" max="4" width="0.28515625" style="221" customWidth="1"/>
    <col min="5" max="5" width="3.7109375" style="278" customWidth="1"/>
    <col min="6" max="6" width="1.140625" style="278" customWidth="1"/>
    <col min="7" max="7" width="0.7109375" style="278" customWidth="1"/>
    <col min="8" max="10" width="0.7109375" style="279" customWidth="1"/>
    <col min="11" max="11" width="0.7109375" style="280" customWidth="1"/>
    <col min="12" max="12" width="0.5703125" style="280" customWidth="1"/>
    <col min="13" max="25" width="0.7109375" style="280" customWidth="1"/>
    <col min="26" max="26" width="1.4257812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 style="280" customWidth="1"/>
    <col min="63" max="64" width="0.5703125" style="280" customWidth="1"/>
    <col min="65" max="65" width="2.140625" style="280" customWidth="1"/>
    <col min="66" max="66" width="0.5703125" style="280" customWidth="1"/>
    <col min="67" max="67" width="2.140625" style="280" customWidth="1"/>
    <col min="68" max="68" width="0.5703125" style="280" customWidth="1"/>
    <col min="69" max="69" width="2.140625" style="280" customWidth="1"/>
    <col min="70" max="70" width="0.5703125" style="280" customWidth="1"/>
    <col min="71" max="71" width="2.140625" style="280" customWidth="1"/>
    <col min="72" max="72" width="0.5703125" style="280" customWidth="1"/>
    <col min="73" max="73" width="2.140625" style="280" customWidth="1"/>
    <col min="74" max="74" width="0.5703125" style="280" customWidth="1"/>
    <col min="75" max="75" width="2.140625" style="280" customWidth="1"/>
    <col min="76" max="76" width="0.5703125" style="280" customWidth="1"/>
    <col min="77" max="77" width="2.140625" style="280" customWidth="1"/>
    <col min="78" max="78" width="0.5703125" style="280" customWidth="1"/>
    <col min="79" max="79" width="2.140625" style="280" customWidth="1"/>
    <col min="80" max="80" width="0.5703125" style="280" customWidth="1"/>
    <col min="81" max="81" width="2.140625" style="280" customWidth="1"/>
    <col min="82" max="82" width="0.5703125" style="280" customWidth="1"/>
    <col min="83" max="83" width="2.140625" style="280" customWidth="1"/>
    <col min="84" max="84" width="0.5703125" style="280" customWidth="1"/>
    <col min="85" max="85" width="2.140625" style="280" customWidth="1"/>
    <col min="86" max="86" width="0.5703125" style="280" customWidth="1"/>
    <col min="87" max="88" width="2.5703125" style="221" customWidth="1"/>
    <col min="89" max="256" width="9.140625" style="221"/>
    <col min="257" max="257" width="0.7109375" style="221" customWidth="1"/>
    <col min="258" max="258" width="0.42578125" style="221" customWidth="1"/>
    <col min="259" max="259" width="0.5703125" style="221" customWidth="1"/>
    <col min="260" max="260" width="0.28515625" style="221" customWidth="1"/>
    <col min="261" max="261" width="3.7109375" style="221" customWidth="1"/>
    <col min="262" max="262" width="1.140625" style="221" customWidth="1"/>
    <col min="263" max="267" width="0.7109375" style="221" customWidth="1"/>
    <col min="268" max="268" width="0.5703125" style="221" customWidth="1"/>
    <col min="269" max="281" width="0.7109375" style="221" customWidth="1"/>
    <col min="282" max="282" width="1.4257812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 style="221" customWidth="1"/>
    <col min="319" max="320" width="0.5703125" style="221" customWidth="1"/>
    <col min="321" max="321" width="2.140625" style="221" customWidth="1"/>
    <col min="322" max="322" width="0.5703125" style="221" customWidth="1"/>
    <col min="323" max="323" width="2.140625" style="221" customWidth="1"/>
    <col min="324" max="324" width="0.5703125" style="221" customWidth="1"/>
    <col min="325" max="325" width="2.140625" style="221" customWidth="1"/>
    <col min="326" max="326" width="0.5703125" style="221" customWidth="1"/>
    <col min="327" max="327" width="2.140625" style="221" customWidth="1"/>
    <col min="328" max="328" width="0.5703125" style="221" customWidth="1"/>
    <col min="329" max="329" width="2.140625" style="221" customWidth="1"/>
    <col min="330" max="330" width="0.5703125" style="221" customWidth="1"/>
    <col min="331" max="331" width="2.140625" style="221" customWidth="1"/>
    <col min="332" max="332" width="0.5703125" style="221" customWidth="1"/>
    <col min="333" max="333" width="2.140625" style="221" customWidth="1"/>
    <col min="334" max="334" width="0.5703125" style="221" customWidth="1"/>
    <col min="335" max="335" width="2.140625" style="221" customWidth="1"/>
    <col min="336" max="336" width="0.5703125" style="221" customWidth="1"/>
    <col min="337" max="337" width="2.140625" style="221" customWidth="1"/>
    <col min="338" max="338" width="0.5703125" style="221" customWidth="1"/>
    <col min="339" max="339" width="2.140625" style="221" customWidth="1"/>
    <col min="340" max="340" width="0.5703125" style="221" customWidth="1"/>
    <col min="341" max="341" width="2.140625" style="221" customWidth="1"/>
    <col min="342" max="342" width="0.5703125" style="221" customWidth="1"/>
    <col min="343" max="344" width="2.5703125" style="221" customWidth="1"/>
    <col min="345" max="512" width="9.140625" style="221"/>
    <col min="513" max="513" width="0.7109375" style="221" customWidth="1"/>
    <col min="514" max="514" width="0.42578125" style="221" customWidth="1"/>
    <col min="515" max="515" width="0.5703125" style="221" customWidth="1"/>
    <col min="516" max="516" width="0.28515625" style="221" customWidth="1"/>
    <col min="517" max="517" width="3.7109375" style="221" customWidth="1"/>
    <col min="518" max="518" width="1.140625" style="221" customWidth="1"/>
    <col min="519" max="523" width="0.7109375" style="221" customWidth="1"/>
    <col min="524" max="524" width="0.5703125" style="221" customWidth="1"/>
    <col min="525" max="537" width="0.7109375" style="221" customWidth="1"/>
    <col min="538" max="538" width="1.4257812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 style="221" customWidth="1"/>
    <col min="575" max="576" width="0.5703125" style="221" customWidth="1"/>
    <col min="577" max="577" width="2.140625" style="221" customWidth="1"/>
    <col min="578" max="578" width="0.5703125" style="221" customWidth="1"/>
    <col min="579" max="579" width="2.140625" style="221" customWidth="1"/>
    <col min="580" max="580" width="0.5703125" style="221" customWidth="1"/>
    <col min="581" max="581" width="2.140625" style="221" customWidth="1"/>
    <col min="582" max="582" width="0.5703125" style="221" customWidth="1"/>
    <col min="583" max="583" width="2.140625" style="221" customWidth="1"/>
    <col min="584" max="584" width="0.5703125" style="221" customWidth="1"/>
    <col min="585" max="585" width="2.140625" style="221" customWidth="1"/>
    <col min="586" max="586" width="0.5703125" style="221" customWidth="1"/>
    <col min="587" max="587" width="2.140625" style="221" customWidth="1"/>
    <col min="588" max="588" width="0.5703125" style="221" customWidth="1"/>
    <col min="589" max="589" width="2.140625" style="221" customWidth="1"/>
    <col min="590" max="590" width="0.5703125" style="221" customWidth="1"/>
    <col min="591" max="591" width="2.140625" style="221" customWidth="1"/>
    <col min="592" max="592" width="0.5703125" style="221" customWidth="1"/>
    <col min="593" max="593" width="2.140625" style="221" customWidth="1"/>
    <col min="594" max="594" width="0.5703125" style="221" customWidth="1"/>
    <col min="595" max="595" width="2.140625" style="221" customWidth="1"/>
    <col min="596" max="596" width="0.5703125" style="221" customWidth="1"/>
    <col min="597" max="597" width="2.140625" style="221" customWidth="1"/>
    <col min="598" max="598" width="0.5703125" style="221" customWidth="1"/>
    <col min="599" max="600" width="2.5703125" style="221" customWidth="1"/>
    <col min="601" max="768" width="9.140625" style="221"/>
    <col min="769" max="769" width="0.7109375" style="221" customWidth="1"/>
    <col min="770" max="770" width="0.42578125" style="221" customWidth="1"/>
    <col min="771" max="771" width="0.5703125" style="221" customWidth="1"/>
    <col min="772" max="772" width="0.28515625" style="221" customWidth="1"/>
    <col min="773" max="773" width="3.7109375" style="221" customWidth="1"/>
    <col min="774" max="774" width="1.140625" style="221" customWidth="1"/>
    <col min="775" max="779" width="0.7109375" style="221" customWidth="1"/>
    <col min="780" max="780" width="0.5703125" style="221" customWidth="1"/>
    <col min="781" max="793" width="0.7109375" style="221" customWidth="1"/>
    <col min="794" max="794" width="1.4257812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 style="221" customWidth="1"/>
    <col min="831" max="832" width="0.5703125" style="221" customWidth="1"/>
    <col min="833" max="833" width="2.140625" style="221" customWidth="1"/>
    <col min="834" max="834" width="0.5703125" style="221" customWidth="1"/>
    <col min="835" max="835" width="2.140625" style="221" customWidth="1"/>
    <col min="836" max="836" width="0.5703125" style="221" customWidth="1"/>
    <col min="837" max="837" width="2.140625" style="221" customWidth="1"/>
    <col min="838" max="838" width="0.5703125" style="221" customWidth="1"/>
    <col min="839" max="839" width="2.140625" style="221" customWidth="1"/>
    <col min="840" max="840" width="0.5703125" style="221" customWidth="1"/>
    <col min="841" max="841" width="2.140625" style="221" customWidth="1"/>
    <col min="842" max="842" width="0.5703125" style="221" customWidth="1"/>
    <col min="843" max="843" width="2.140625" style="221" customWidth="1"/>
    <col min="844" max="844" width="0.5703125" style="221" customWidth="1"/>
    <col min="845" max="845" width="2.140625" style="221" customWidth="1"/>
    <col min="846" max="846" width="0.5703125" style="221" customWidth="1"/>
    <col min="847" max="847" width="2.140625" style="221" customWidth="1"/>
    <col min="848" max="848" width="0.5703125" style="221" customWidth="1"/>
    <col min="849" max="849" width="2.140625" style="221" customWidth="1"/>
    <col min="850" max="850" width="0.5703125" style="221" customWidth="1"/>
    <col min="851" max="851" width="2.140625" style="221" customWidth="1"/>
    <col min="852" max="852" width="0.5703125" style="221" customWidth="1"/>
    <col min="853" max="853" width="2.140625" style="221" customWidth="1"/>
    <col min="854" max="854" width="0.5703125" style="221" customWidth="1"/>
    <col min="855" max="856" width="2.5703125" style="221" customWidth="1"/>
    <col min="857"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7109375" style="221" customWidth="1"/>
    <col min="1030" max="1030" width="1.140625" style="221" customWidth="1"/>
    <col min="1031" max="1035" width="0.7109375" style="221" customWidth="1"/>
    <col min="1036" max="1036" width="0.5703125" style="221" customWidth="1"/>
    <col min="1037" max="1049" width="0.7109375" style="221" customWidth="1"/>
    <col min="1050" max="1050" width="1.4257812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 style="221" customWidth="1"/>
    <col min="1087" max="1088" width="0.5703125" style="221" customWidth="1"/>
    <col min="1089" max="1089" width="2.140625" style="221" customWidth="1"/>
    <col min="1090" max="1090" width="0.5703125" style="221" customWidth="1"/>
    <col min="1091" max="1091" width="2.140625" style="221" customWidth="1"/>
    <col min="1092" max="1092" width="0.5703125" style="221" customWidth="1"/>
    <col min="1093" max="1093" width="2.140625" style="221" customWidth="1"/>
    <col min="1094" max="1094" width="0.5703125" style="221" customWidth="1"/>
    <col min="1095" max="1095" width="2.140625" style="221" customWidth="1"/>
    <col min="1096" max="1096" width="0.5703125" style="221" customWidth="1"/>
    <col min="1097" max="1097" width="2.140625" style="221" customWidth="1"/>
    <col min="1098" max="1098" width="0.5703125" style="221" customWidth="1"/>
    <col min="1099" max="1099" width="2.140625" style="221" customWidth="1"/>
    <col min="1100" max="1100" width="0.5703125" style="221" customWidth="1"/>
    <col min="1101" max="1101" width="2.140625" style="221" customWidth="1"/>
    <col min="1102" max="1102" width="0.5703125" style="221" customWidth="1"/>
    <col min="1103" max="1103" width="2.140625" style="221" customWidth="1"/>
    <col min="1104" max="1104" width="0.5703125" style="221" customWidth="1"/>
    <col min="1105" max="1105" width="2.140625" style="221" customWidth="1"/>
    <col min="1106" max="1106" width="0.5703125" style="221" customWidth="1"/>
    <col min="1107" max="1107" width="2.140625" style="221" customWidth="1"/>
    <col min="1108" max="1108" width="0.5703125" style="221" customWidth="1"/>
    <col min="1109" max="1109" width="2.140625" style="221" customWidth="1"/>
    <col min="1110" max="1110" width="0.5703125" style="221" customWidth="1"/>
    <col min="1111" max="1112" width="2.5703125" style="221" customWidth="1"/>
    <col min="1113"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7109375" style="221" customWidth="1"/>
    <col min="1286" max="1286" width="1.140625" style="221" customWidth="1"/>
    <col min="1287" max="1291" width="0.7109375" style="221" customWidth="1"/>
    <col min="1292" max="1292" width="0.5703125" style="221" customWidth="1"/>
    <col min="1293" max="1305" width="0.7109375" style="221" customWidth="1"/>
    <col min="1306" max="1306" width="1.4257812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 style="221" customWidth="1"/>
    <col min="1343" max="1344" width="0.5703125" style="221" customWidth="1"/>
    <col min="1345" max="1345" width="2.140625" style="221" customWidth="1"/>
    <col min="1346" max="1346" width="0.5703125" style="221" customWidth="1"/>
    <col min="1347" max="1347" width="2.140625" style="221" customWidth="1"/>
    <col min="1348" max="1348" width="0.5703125" style="221" customWidth="1"/>
    <col min="1349" max="1349" width="2.140625" style="221" customWidth="1"/>
    <col min="1350" max="1350" width="0.5703125" style="221" customWidth="1"/>
    <col min="1351" max="1351" width="2.140625" style="221" customWidth="1"/>
    <col min="1352" max="1352" width="0.5703125" style="221" customWidth="1"/>
    <col min="1353" max="1353" width="2.140625" style="221" customWidth="1"/>
    <col min="1354" max="1354" width="0.5703125" style="221" customWidth="1"/>
    <col min="1355" max="1355" width="2.140625" style="221" customWidth="1"/>
    <col min="1356" max="1356" width="0.5703125" style="221" customWidth="1"/>
    <col min="1357" max="1357" width="2.140625" style="221" customWidth="1"/>
    <col min="1358" max="1358" width="0.5703125" style="221" customWidth="1"/>
    <col min="1359" max="1359" width="2.140625" style="221" customWidth="1"/>
    <col min="1360" max="1360" width="0.5703125" style="221" customWidth="1"/>
    <col min="1361" max="1361" width="2.140625" style="221" customWidth="1"/>
    <col min="1362" max="1362" width="0.5703125" style="221" customWidth="1"/>
    <col min="1363" max="1363" width="2.140625" style="221" customWidth="1"/>
    <col min="1364" max="1364" width="0.5703125" style="221" customWidth="1"/>
    <col min="1365" max="1365" width="2.140625" style="221" customWidth="1"/>
    <col min="1366" max="1366" width="0.5703125" style="221" customWidth="1"/>
    <col min="1367" max="1368" width="2.5703125" style="221" customWidth="1"/>
    <col min="1369"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7109375" style="221" customWidth="1"/>
    <col min="1542" max="1542" width="1.140625" style="221" customWidth="1"/>
    <col min="1543" max="1547" width="0.7109375" style="221" customWidth="1"/>
    <col min="1548" max="1548" width="0.5703125" style="221" customWidth="1"/>
    <col min="1549" max="1561" width="0.7109375" style="221" customWidth="1"/>
    <col min="1562" max="1562" width="1.4257812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 style="221" customWidth="1"/>
    <col min="1599" max="1600" width="0.5703125" style="221" customWidth="1"/>
    <col min="1601" max="1601" width="2.140625" style="221" customWidth="1"/>
    <col min="1602" max="1602" width="0.5703125" style="221" customWidth="1"/>
    <col min="1603" max="1603" width="2.140625" style="221" customWidth="1"/>
    <col min="1604" max="1604" width="0.5703125" style="221" customWidth="1"/>
    <col min="1605" max="1605" width="2.140625" style="221" customWidth="1"/>
    <col min="1606" max="1606" width="0.5703125" style="221" customWidth="1"/>
    <col min="1607" max="1607" width="2.140625" style="221" customWidth="1"/>
    <col min="1608" max="1608" width="0.5703125" style="221" customWidth="1"/>
    <col min="1609" max="1609" width="2.140625" style="221" customWidth="1"/>
    <col min="1610" max="1610" width="0.5703125" style="221" customWidth="1"/>
    <col min="1611" max="1611" width="2.140625" style="221" customWidth="1"/>
    <col min="1612" max="1612" width="0.5703125" style="221" customWidth="1"/>
    <col min="1613" max="1613" width="2.140625" style="221" customWidth="1"/>
    <col min="1614" max="1614" width="0.5703125" style="221" customWidth="1"/>
    <col min="1615" max="1615" width="2.140625" style="221" customWidth="1"/>
    <col min="1616" max="1616" width="0.5703125" style="221" customWidth="1"/>
    <col min="1617" max="1617" width="2.140625" style="221" customWidth="1"/>
    <col min="1618" max="1618" width="0.5703125" style="221" customWidth="1"/>
    <col min="1619" max="1619" width="2.140625" style="221" customWidth="1"/>
    <col min="1620" max="1620" width="0.5703125" style="221" customWidth="1"/>
    <col min="1621" max="1621" width="2.140625" style="221" customWidth="1"/>
    <col min="1622" max="1622" width="0.5703125" style="221" customWidth="1"/>
    <col min="1623" max="1624" width="2.5703125" style="221" customWidth="1"/>
    <col min="1625"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7109375" style="221" customWidth="1"/>
    <col min="1798" max="1798" width="1.140625" style="221" customWidth="1"/>
    <col min="1799" max="1803" width="0.7109375" style="221" customWidth="1"/>
    <col min="1804" max="1804" width="0.5703125" style="221" customWidth="1"/>
    <col min="1805" max="1817" width="0.7109375" style="221" customWidth="1"/>
    <col min="1818" max="1818" width="1.4257812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 style="221" customWidth="1"/>
    <col min="1855" max="1856" width="0.5703125" style="221" customWidth="1"/>
    <col min="1857" max="1857" width="2.140625" style="221" customWidth="1"/>
    <col min="1858" max="1858" width="0.5703125" style="221" customWidth="1"/>
    <col min="1859" max="1859" width="2.140625" style="221" customWidth="1"/>
    <col min="1860" max="1860" width="0.5703125" style="221" customWidth="1"/>
    <col min="1861" max="1861" width="2.140625" style="221" customWidth="1"/>
    <col min="1862" max="1862" width="0.5703125" style="221" customWidth="1"/>
    <col min="1863" max="1863" width="2.140625" style="221" customWidth="1"/>
    <col min="1864" max="1864" width="0.5703125" style="221" customWidth="1"/>
    <col min="1865" max="1865" width="2.140625" style="221" customWidth="1"/>
    <col min="1866" max="1866" width="0.5703125" style="221" customWidth="1"/>
    <col min="1867" max="1867" width="2.140625" style="221" customWidth="1"/>
    <col min="1868" max="1868" width="0.5703125" style="221" customWidth="1"/>
    <col min="1869" max="1869" width="2.140625" style="221" customWidth="1"/>
    <col min="1870" max="1870" width="0.5703125" style="221" customWidth="1"/>
    <col min="1871" max="1871" width="2.140625" style="221" customWidth="1"/>
    <col min="1872" max="1872" width="0.5703125" style="221" customWidth="1"/>
    <col min="1873" max="1873" width="2.140625" style="221" customWidth="1"/>
    <col min="1874" max="1874" width="0.5703125" style="221" customWidth="1"/>
    <col min="1875" max="1875" width="2.140625" style="221" customWidth="1"/>
    <col min="1876" max="1876" width="0.5703125" style="221" customWidth="1"/>
    <col min="1877" max="1877" width="2.140625" style="221" customWidth="1"/>
    <col min="1878" max="1878" width="0.5703125" style="221" customWidth="1"/>
    <col min="1879" max="1880" width="2.5703125" style="221" customWidth="1"/>
    <col min="1881"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7109375" style="221" customWidth="1"/>
    <col min="2054" max="2054" width="1.140625" style="221" customWidth="1"/>
    <col min="2055" max="2059" width="0.7109375" style="221" customWidth="1"/>
    <col min="2060" max="2060" width="0.5703125" style="221" customWidth="1"/>
    <col min="2061" max="2073" width="0.7109375" style="221" customWidth="1"/>
    <col min="2074" max="2074" width="1.4257812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 style="221" customWidth="1"/>
    <col min="2111" max="2112" width="0.5703125" style="221" customWidth="1"/>
    <col min="2113" max="2113" width="2.140625" style="221" customWidth="1"/>
    <col min="2114" max="2114" width="0.5703125" style="221" customWidth="1"/>
    <col min="2115" max="2115" width="2.140625" style="221" customWidth="1"/>
    <col min="2116" max="2116" width="0.5703125" style="221" customWidth="1"/>
    <col min="2117" max="2117" width="2.140625" style="221" customWidth="1"/>
    <col min="2118" max="2118" width="0.5703125" style="221" customWidth="1"/>
    <col min="2119" max="2119" width="2.140625" style="221" customWidth="1"/>
    <col min="2120" max="2120" width="0.5703125" style="221" customWidth="1"/>
    <col min="2121" max="2121" width="2.140625" style="221" customWidth="1"/>
    <col min="2122" max="2122" width="0.5703125" style="221" customWidth="1"/>
    <col min="2123" max="2123" width="2.140625" style="221" customWidth="1"/>
    <col min="2124" max="2124" width="0.5703125" style="221" customWidth="1"/>
    <col min="2125" max="2125" width="2.140625" style="221" customWidth="1"/>
    <col min="2126" max="2126" width="0.5703125" style="221" customWidth="1"/>
    <col min="2127" max="2127" width="2.140625" style="221" customWidth="1"/>
    <col min="2128" max="2128" width="0.5703125" style="221" customWidth="1"/>
    <col min="2129" max="2129" width="2.140625" style="221" customWidth="1"/>
    <col min="2130" max="2130" width="0.5703125" style="221" customWidth="1"/>
    <col min="2131" max="2131" width="2.140625" style="221" customWidth="1"/>
    <col min="2132" max="2132" width="0.5703125" style="221" customWidth="1"/>
    <col min="2133" max="2133" width="2.140625" style="221" customWidth="1"/>
    <col min="2134" max="2134" width="0.5703125" style="221" customWidth="1"/>
    <col min="2135" max="2136" width="2.5703125" style="221" customWidth="1"/>
    <col min="2137"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7109375" style="221" customWidth="1"/>
    <col min="2310" max="2310" width="1.140625" style="221" customWidth="1"/>
    <col min="2311" max="2315" width="0.7109375" style="221" customWidth="1"/>
    <col min="2316" max="2316" width="0.5703125" style="221" customWidth="1"/>
    <col min="2317" max="2329" width="0.7109375" style="221" customWidth="1"/>
    <col min="2330" max="2330" width="1.4257812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 style="221" customWidth="1"/>
    <col min="2367" max="2368" width="0.5703125" style="221" customWidth="1"/>
    <col min="2369" max="2369" width="2.140625" style="221" customWidth="1"/>
    <col min="2370" max="2370" width="0.5703125" style="221" customWidth="1"/>
    <col min="2371" max="2371" width="2.140625" style="221" customWidth="1"/>
    <col min="2372" max="2372" width="0.5703125" style="221" customWidth="1"/>
    <col min="2373" max="2373" width="2.140625" style="221" customWidth="1"/>
    <col min="2374" max="2374" width="0.5703125" style="221" customWidth="1"/>
    <col min="2375" max="2375" width="2.140625" style="221" customWidth="1"/>
    <col min="2376" max="2376" width="0.5703125" style="221" customWidth="1"/>
    <col min="2377" max="2377" width="2.140625" style="221" customWidth="1"/>
    <col min="2378" max="2378" width="0.5703125" style="221" customWidth="1"/>
    <col min="2379" max="2379" width="2.140625" style="221" customWidth="1"/>
    <col min="2380" max="2380" width="0.5703125" style="221" customWidth="1"/>
    <col min="2381" max="2381" width="2.140625" style="221" customWidth="1"/>
    <col min="2382" max="2382" width="0.5703125" style="221" customWidth="1"/>
    <col min="2383" max="2383" width="2.140625" style="221" customWidth="1"/>
    <col min="2384" max="2384" width="0.5703125" style="221" customWidth="1"/>
    <col min="2385" max="2385" width="2.140625" style="221" customWidth="1"/>
    <col min="2386" max="2386" width="0.5703125" style="221" customWidth="1"/>
    <col min="2387" max="2387" width="2.140625" style="221" customWidth="1"/>
    <col min="2388" max="2388" width="0.5703125" style="221" customWidth="1"/>
    <col min="2389" max="2389" width="2.140625" style="221" customWidth="1"/>
    <col min="2390" max="2390" width="0.5703125" style="221" customWidth="1"/>
    <col min="2391" max="2392" width="2.5703125" style="221" customWidth="1"/>
    <col min="2393"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7109375" style="221" customWidth="1"/>
    <col min="2566" max="2566" width="1.140625" style="221" customWidth="1"/>
    <col min="2567" max="2571" width="0.7109375" style="221" customWidth="1"/>
    <col min="2572" max="2572" width="0.5703125" style="221" customWidth="1"/>
    <col min="2573" max="2585" width="0.7109375" style="221" customWidth="1"/>
    <col min="2586" max="2586" width="1.4257812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 style="221" customWidth="1"/>
    <col min="2623" max="2624" width="0.5703125" style="221" customWidth="1"/>
    <col min="2625" max="2625" width="2.140625" style="221" customWidth="1"/>
    <col min="2626" max="2626" width="0.5703125" style="221" customWidth="1"/>
    <col min="2627" max="2627" width="2.140625" style="221" customWidth="1"/>
    <col min="2628" max="2628" width="0.5703125" style="221" customWidth="1"/>
    <col min="2629" max="2629" width="2.140625" style="221" customWidth="1"/>
    <col min="2630" max="2630" width="0.5703125" style="221" customWidth="1"/>
    <col min="2631" max="2631" width="2.140625" style="221" customWidth="1"/>
    <col min="2632" max="2632" width="0.5703125" style="221" customWidth="1"/>
    <col min="2633" max="2633" width="2.140625" style="221" customWidth="1"/>
    <col min="2634" max="2634" width="0.5703125" style="221" customWidth="1"/>
    <col min="2635" max="2635" width="2.140625" style="221" customWidth="1"/>
    <col min="2636" max="2636" width="0.5703125" style="221" customWidth="1"/>
    <col min="2637" max="2637" width="2.140625" style="221" customWidth="1"/>
    <col min="2638" max="2638" width="0.5703125" style="221" customWidth="1"/>
    <col min="2639" max="2639" width="2.140625" style="221" customWidth="1"/>
    <col min="2640" max="2640" width="0.5703125" style="221" customWidth="1"/>
    <col min="2641" max="2641" width="2.140625" style="221" customWidth="1"/>
    <col min="2642" max="2642" width="0.5703125" style="221" customWidth="1"/>
    <col min="2643" max="2643" width="2.140625" style="221" customWidth="1"/>
    <col min="2644" max="2644" width="0.5703125" style="221" customWidth="1"/>
    <col min="2645" max="2645" width="2.140625" style="221" customWidth="1"/>
    <col min="2646" max="2646" width="0.5703125" style="221" customWidth="1"/>
    <col min="2647" max="2648" width="2.5703125" style="221" customWidth="1"/>
    <col min="2649"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7109375" style="221" customWidth="1"/>
    <col min="2822" max="2822" width="1.140625" style="221" customWidth="1"/>
    <col min="2823" max="2827" width="0.7109375" style="221" customWidth="1"/>
    <col min="2828" max="2828" width="0.5703125" style="221" customWidth="1"/>
    <col min="2829" max="2841" width="0.7109375" style="221" customWidth="1"/>
    <col min="2842" max="2842" width="1.4257812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 style="221" customWidth="1"/>
    <col min="2879" max="2880" width="0.5703125" style="221" customWidth="1"/>
    <col min="2881" max="2881" width="2.140625" style="221" customWidth="1"/>
    <col min="2882" max="2882" width="0.5703125" style="221" customWidth="1"/>
    <col min="2883" max="2883" width="2.140625" style="221" customWidth="1"/>
    <col min="2884" max="2884" width="0.5703125" style="221" customWidth="1"/>
    <col min="2885" max="2885" width="2.140625" style="221" customWidth="1"/>
    <col min="2886" max="2886" width="0.5703125" style="221" customWidth="1"/>
    <col min="2887" max="2887" width="2.140625" style="221" customWidth="1"/>
    <col min="2888" max="2888" width="0.5703125" style="221" customWidth="1"/>
    <col min="2889" max="2889" width="2.140625" style="221" customWidth="1"/>
    <col min="2890" max="2890" width="0.5703125" style="221" customWidth="1"/>
    <col min="2891" max="2891" width="2.140625" style="221" customWidth="1"/>
    <col min="2892" max="2892" width="0.5703125" style="221" customWidth="1"/>
    <col min="2893" max="2893" width="2.140625" style="221" customWidth="1"/>
    <col min="2894" max="2894" width="0.5703125" style="221" customWidth="1"/>
    <col min="2895" max="2895" width="2.140625" style="221" customWidth="1"/>
    <col min="2896" max="2896" width="0.5703125" style="221" customWidth="1"/>
    <col min="2897" max="2897" width="2.140625" style="221" customWidth="1"/>
    <col min="2898" max="2898" width="0.5703125" style="221" customWidth="1"/>
    <col min="2899" max="2899" width="2.140625" style="221" customWidth="1"/>
    <col min="2900" max="2900" width="0.5703125" style="221" customWidth="1"/>
    <col min="2901" max="2901" width="2.140625" style="221" customWidth="1"/>
    <col min="2902" max="2902" width="0.5703125" style="221" customWidth="1"/>
    <col min="2903" max="2904" width="2.5703125" style="221" customWidth="1"/>
    <col min="2905"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7109375" style="221" customWidth="1"/>
    <col min="3078" max="3078" width="1.140625" style="221" customWidth="1"/>
    <col min="3079" max="3083" width="0.7109375" style="221" customWidth="1"/>
    <col min="3084" max="3084" width="0.5703125" style="221" customWidth="1"/>
    <col min="3085" max="3097" width="0.7109375" style="221" customWidth="1"/>
    <col min="3098" max="3098" width="1.4257812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 style="221" customWidth="1"/>
    <col min="3135" max="3136" width="0.5703125" style="221" customWidth="1"/>
    <col min="3137" max="3137" width="2.140625" style="221" customWidth="1"/>
    <col min="3138" max="3138" width="0.5703125" style="221" customWidth="1"/>
    <col min="3139" max="3139" width="2.140625" style="221" customWidth="1"/>
    <col min="3140" max="3140" width="0.5703125" style="221" customWidth="1"/>
    <col min="3141" max="3141" width="2.140625" style="221" customWidth="1"/>
    <col min="3142" max="3142" width="0.5703125" style="221" customWidth="1"/>
    <col min="3143" max="3143" width="2.140625" style="221" customWidth="1"/>
    <col min="3144" max="3144" width="0.5703125" style="221" customWidth="1"/>
    <col min="3145" max="3145" width="2.140625" style="221" customWidth="1"/>
    <col min="3146" max="3146" width="0.5703125" style="221" customWidth="1"/>
    <col min="3147" max="3147" width="2.140625" style="221" customWidth="1"/>
    <col min="3148" max="3148" width="0.5703125" style="221" customWidth="1"/>
    <col min="3149" max="3149" width="2.140625" style="221" customWidth="1"/>
    <col min="3150" max="3150" width="0.5703125" style="221" customWidth="1"/>
    <col min="3151" max="3151" width="2.140625" style="221" customWidth="1"/>
    <col min="3152" max="3152" width="0.5703125" style="221" customWidth="1"/>
    <col min="3153" max="3153" width="2.140625" style="221" customWidth="1"/>
    <col min="3154" max="3154" width="0.5703125" style="221" customWidth="1"/>
    <col min="3155" max="3155" width="2.140625" style="221" customWidth="1"/>
    <col min="3156" max="3156" width="0.5703125" style="221" customWidth="1"/>
    <col min="3157" max="3157" width="2.140625" style="221" customWidth="1"/>
    <col min="3158" max="3158" width="0.5703125" style="221" customWidth="1"/>
    <col min="3159" max="3160" width="2.5703125" style="221" customWidth="1"/>
    <col min="3161"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7109375" style="221" customWidth="1"/>
    <col min="3334" max="3334" width="1.140625" style="221" customWidth="1"/>
    <col min="3335" max="3339" width="0.7109375" style="221" customWidth="1"/>
    <col min="3340" max="3340" width="0.5703125" style="221" customWidth="1"/>
    <col min="3341" max="3353" width="0.7109375" style="221" customWidth="1"/>
    <col min="3354" max="3354" width="1.4257812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 style="221" customWidth="1"/>
    <col min="3391" max="3392" width="0.5703125" style="221" customWidth="1"/>
    <col min="3393" max="3393" width="2.140625" style="221" customWidth="1"/>
    <col min="3394" max="3394" width="0.5703125" style="221" customWidth="1"/>
    <col min="3395" max="3395" width="2.140625" style="221" customWidth="1"/>
    <col min="3396" max="3396" width="0.5703125" style="221" customWidth="1"/>
    <col min="3397" max="3397" width="2.140625" style="221" customWidth="1"/>
    <col min="3398" max="3398" width="0.5703125" style="221" customWidth="1"/>
    <col min="3399" max="3399" width="2.140625" style="221" customWidth="1"/>
    <col min="3400" max="3400" width="0.5703125" style="221" customWidth="1"/>
    <col min="3401" max="3401" width="2.140625" style="221" customWidth="1"/>
    <col min="3402" max="3402" width="0.5703125" style="221" customWidth="1"/>
    <col min="3403" max="3403" width="2.140625" style="221" customWidth="1"/>
    <col min="3404" max="3404" width="0.5703125" style="221" customWidth="1"/>
    <col min="3405" max="3405" width="2.140625" style="221" customWidth="1"/>
    <col min="3406" max="3406" width="0.5703125" style="221" customWidth="1"/>
    <col min="3407" max="3407" width="2.140625" style="221" customWidth="1"/>
    <col min="3408" max="3408" width="0.5703125" style="221" customWidth="1"/>
    <col min="3409" max="3409" width="2.140625" style="221" customWidth="1"/>
    <col min="3410" max="3410" width="0.5703125" style="221" customWidth="1"/>
    <col min="3411" max="3411" width="2.140625" style="221" customWidth="1"/>
    <col min="3412" max="3412" width="0.5703125" style="221" customWidth="1"/>
    <col min="3413" max="3413" width="2.140625" style="221" customWidth="1"/>
    <col min="3414" max="3414" width="0.5703125" style="221" customWidth="1"/>
    <col min="3415" max="3416" width="2.5703125" style="221" customWidth="1"/>
    <col min="3417"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7109375" style="221" customWidth="1"/>
    <col min="3590" max="3590" width="1.140625" style="221" customWidth="1"/>
    <col min="3591" max="3595" width="0.7109375" style="221" customWidth="1"/>
    <col min="3596" max="3596" width="0.5703125" style="221" customWidth="1"/>
    <col min="3597" max="3609" width="0.7109375" style="221" customWidth="1"/>
    <col min="3610" max="3610" width="1.4257812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 style="221" customWidth="1"/>
    <col min="3647" max="3648" width="0.5703125" style="221" customWidth="1"/>
    <col min="3649" max="3649" width="2.140625" style="221" customWidth="1"/>
    <col min="3650" max="3650" width="0.5703125" style="221" customWidth="1"/>
    <col min="3651" max="3651" width="2.140625" style="221" customWidth="1"/>
    <col min="3652" max="3652" width="0.5703125" style="221" customWidth="1"/>
    <col min="3653" max="3653" width="2.140625" style="221" customWidth="1"/>
    <col min="3654" max="3654" width="0.5703125" style="221" customWidth="1"/>
    <col min="3655" max="3655" width="2.140625" style="221" customWidth="1"/>
    <col min="3656" max="3656" width="0.5703125" style="221" customWidth="1"/>
    <col min="3657" max="3657" width="2.140625" style="221" customWidth="1"/>
    <col min="3658" max="3658" width="0.5703125" style="221" customWidth="1"/>
    <col min="3659" max="3659" width="2.140625" style="221" customWidth="1"/>
    <col min="3660" max="3660" width="0.5703125" style="221" customWidth="1"/>
    <col min="3661" max="3661" width="2.140625" style="221" customWidth="1"/>
    <col min="3662" max="3662" width="0.5703125" style="221" customWidth="1"/>
    <col min="3663" max="3663" width="2.140625" style="221" customWidth="1"/>
    <col min="3664" max="3664" width="0.5703125" style="221" customWidth="1"/>
    <col min="3665" max="3665" width="2.140625" style="221" customWidth="1"/>
    <col min="3666" max="3666" width="0.5703125" style="221" customWidth="1"/>
    <col min="3667" max="3667" width="2.140625" style="221" customWidth="1"/>
    <col min="3668" max="3668" width="0.5703125" style="221" customWidth="1"/>
    <col min="3669" max="3669" width="2.140625" style="221" customWidth="1"/>
    <col min="3670" max="3670" width="0.5703125" style="221" customWidth="1"/>
    <col min="3671" max="3672" width="2.5703125" style="221" customWidth="1"/>
    <col min="3673"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7109375" style="221" customWidth="1"/>
    <col min="3846" max="3846" width="1.140625" style="221" customWidth="1"/>
    <col min="3847" max="3851" width="0.7109375" style="221" customWidth="1"/>
    <col min="3852" max="3852" width="0.5703125" style="221" customWidth="1"/>
    <col min="3853" max="3865" width="0.7109375" style="221" customWidth="1"/>
    <col min="3866" max="3866" width="1.4257812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 style="221" customWidth="1"/>
    <col min="3903" max="3904" width="0.5703125" style="221" customWidth="1"/>
    <col min="3905" max="3905" width="2.140625" style="221" customWidth="1"/>
    <col min="3906" max="3906" width="0.5703125" style="221" customWidth="1"/>
    <col min="3907" max="3907" width="2.140625" style="221" customWidth="1"/>
    <col min="3908" max="3908" width="0.5703125" style="221" customWidth="1"/>
    <col min="3909" max="3909" width="2.140625" style="221" customWidth="1"/>
    <col min="3910" max="3910" width="0.5703125" style="221" customWidth="1"/>
    <col min="3911" max="3911" width="2.140625" style="221" customWidth="1"/>
    <col min="3912" max="3912" width="0.5703125" style="221" customWidth="1"/>
    <col min="3913" max="3913" width="2.140625" style="221" customWidth="1"/>
    <col min="3914" max="3914" width="0.5703125" style="221" customWidth="1"/>
    <col min="3915" max="3915" width="2.140625" style="221" customWidth="1"/>
    <col min="3916" max="3916" width="0.5703125" style="221" customWidth="1"/>
    <col min="3917" max="3917" width="2.140625" style="221" customWidth="1"/>
    <col min="3918" max="3918" width="0.5703125" style="221" customWidth="1"/>
    <col min="3919" max="3919" width="2.140625" style="221" customWidth="1"/>
    <col min="3920" max="3920" width="0.5703125" style="221" customWidth="1"/>
    <col min="3921" max="3921" width="2.140625" style="221" customWidth="1"/>
    <col min="3922" max="3922" width="0.5703125" style="221" customWidth="1"/>
    <col min="3923" max="3923" width="2.140625" style="221" customWidth="1"/>
    <col min="3924" max="3924" width="0.5703125" style="221" customWidth="1"/>
    <col min="3925" max="3925" width="2.140625" style="221" customWidth="1"/>
    <col min="3926" max="3926" width="0.5703125" style="221" customWidth="1"/>
    <col min="3927" max="3928" width="2.5703125" style="221" customWidth="1"/>
    <col min="3929"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7109375" style="221" customWidth="1"/>
    <col min="4102" max="4102" width="1.140625" style="221" customWidth="1"/>
    <col min="4103" max="4107" width="0.7109375" style="221" customWidth="1"/>
    <col min="4108" max="4108" width="0.5703125" style="221" customWidth="1"/>
    <col min="4109" max="4121" width="0.7109375" style="221" customWidth="1"/>
    <col min="4122" max="4122" width="1.4257812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 style="221" customWidth="1"/>
    <col min="4159" max="4160" width="0.5703125" style="221" customWidth="1"/>
    <col min="4161" max="4161" width="2.140625" style="221" customWidth="1"/>
    <col min="4162" max="4162" width="0.5703125" style="221" customWidth="1"/>
    <col min="4163" max="4163" width="2.140625" style="221" customWidth="1"/>
    <col min="4164" max="4164" width="0.5703125" style="221" customWidth="1"/>
    <col min="4165" max="4165" width="2.140625" style="221" customWidth="1"/>
    <col min="4166" max="4166" width="0.5703125" style="221" customWidth="1"/>
    <col min="4167" max="4167" width="2.140625" style="221" customWidth="1"/>
    <col min="4168" max="4168" width="0.5703125" style="221" customWidth="1"/>
    <col min="4169" max="4169" width="2.140625" style="221" customWidth="1"/>
    <col min="4170" max="4170" width="0.5703125" style="221" customWidth="1"/>
    <col min="4171" max="4171" width="2.140625" style="221" customWidth="1"/>
    <col min="4172" max="4172" width="0.5703125" style="221" customWidth="1"/>
    <col min="4173" max="4173" width="2.140625" style="221" customWidth="1"/>
    <col min="4174" max="4174" width="0.5703125" style="221" customWidth="1"/>
    <col min="4175" max="4175" width="2.140625" style="221" customWidth="1"/>
    <col min="4176" max="4176" width="0.5703125" style="221" customWidth="1"/>
    <col min="4177" max="4177" width="2.140625" style="221" customWidth="1"/>
    <col min="4178" max="4178" width="0.5703125" style="221" customWidth="1"/>
    <col min="4179" max="4179" width="2.140625" style="221" customWidth="1"/>
    <col min="4180" max="4180" width="0.5703125" style="221" customWidth="1"/>
    <col min="4181" max="4181" width="2.140625" style="221" customWidth="1"/>
    <col min="4182" max="4182" width="0.5703125" style="221" customWidth="1"/>
    <col min="4183" max="4184" width="2.5703125" style="221" customWidth="1"/>
    <col min="4185"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7109375" style="221" customWidth="1"/>
    <col min="4358" max="4358" width="1.140625" style="221" customWidth="1"/>
    <col min="4359" max="4363" width="0.7109375" style="221" customWidth="1"/>
    <col min="4364" max="4364" width="0.5703125" style="221" customWidth="1"/>
    <col min="4365" max="4377" width="0.7109375" style="221" customWidth="1"/>
    <col min="4378" max="4378" width="1.4257812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 style="221" customWidth="1"/>
    <col min="4415" max="4416" width="0.5703125" style="221" customWidth="1"/>
    <col min="4417" max="4417" width="2.140625" style="221" customWidth="1"/>
    <col min="4418" max="4418" width="0.5703125" style="221" customWidth="1"/>
    <col min="4419" max="4419" width="2.140625" style="221" customWidth="1"/>
    <col min="4420" max="4420" width="0.5703125" style="221" customWidth="1"/>
    <col min="4421" max="4421" width="2.140625" style="221" customWidth="1"/>
    <col min="4422" max="4422" width="0.5703125" style="221" customWidth="1"/>
    <col min="4423" max="4423" width="2.140625" style="221" customWidth="1"/>
    <col min="4424" max="4424" width="0.5703125" style="221" customWidth="1"/>
    <col min="4425" max="4425" width="2.140625" style="221" customWidth="1"/>
    <col min="4426" max="4426" width="0.5703125" style="221" customWidth="1"/>
    <col min="4427" max="4427" width="2.140625" style="221" customWidth="1"/>
    <col min="4428" max="4428" width="0.5703125" style="221" customWidth="1"/>
    <col min="4429" max="4429" width="2.140625" style="221" customWidth="1"/>
    <col min="4430" max="4430" width="0.5703125" style="221" customWidth="1"/>
    <col min="4431" max="4431" width="2.140625" style="221" customWidth="1"/>
    <col min="4432" max="4432" width="0.5703125" style="221" customWidth="1"/>
    <col min="4433" max="4433" width="2.140625" style="221" customWidth="1"/>
    <col min="4434" max="4434" width="0.5703125" style="221" customWidth="1"/>
    <col min="4435" max="4435" width="2.140625" style="221" customWidth="1"/>
    <col min="4436" max="4436" width="0.5703125" style="221" customWidth="1"/>
    <col min="4437" max="4437" width="2.140625" style="221" customWidth="1"/>
    <col min="4438" max="4438" width="0.5703125" style="221" customWidth="1"/>
    <col min="4439" max="4440" width="2.5703125" style="221" customWidth="1"/>
    <col min="4441"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7109375" style="221" customWidth="1"/>
    <col min="4614" max="4614" width="1.140625" style="221" customWidth="1"/>
    <col min="4615" max="4619" width="0.7109375" style="221" customWidth="1"/>
    <col min="4620" max="4620" width="0.5703125" style="221" customWidth="1"/>
    <col min="4621" max="4633" width="0.7109375" style="221" customWidth="1"/>
    <col min="4634" max="4634" width="1.4257812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 style="221" customWidth="1"/>
    <col min="4671" max="4672" width="0.5703125" style="221" customWidth="1"/>
    <col min="4673" max="4673" width="2.140625" style="221" customWidth="1"/>
    <col min="4674" max="4674" width="0.5703125" style="221" customWidth="1"/>
    <col min="4675" max="4675" width="2.140625" style="221" customWidth="1"/>
    <col min="4676" max="4676" width="0.5703125" style="221" customWidth="1"/>
    <col min="4677" max="4677" width="2.140625" style="221" customWidth="1"/>
    <col min="4678" max="4678" width="0.5703125" style="221" customWidth="1"/>
    <col min="4679" max="4679" width="2.140625" style="221" customWidth="1"/>
    <col min="4680" max="4680" width="0.5703125" style="221" customWidth="1"/>
    <col min="4681" max="4681" width="2.140625" style="221" customWidth="1"/>
    <col min="4682" max="4682" width="0.5703125" style="221" customWidth="1"/>
    <col min="4683" max="4683" width="2.140625" style="221" customWidth="1"/>
    <col min="4684" max="4684" width="0.5703125" style="221" customWidth="1"/>
    <col min="4685" max="4685" width="2.140625" style="221" customWidth="1"/>
    <col min="4686" max="4686" width="0.5703125" style="221" customWidth="1"/>
    <col min="4687" max="4687" width="2.140625" style="221" customWidth="1"/>
    <col min="4688" max="4688" width="0.5703125" style="221" customWidth="1"/>
    <col min="4689" max="4689" width="2.140625" style="221" customWidth="1"/>
    <col min="4690" max="4690" width="0.5703125" style="221" customWidth="1"/>
    <col min="4691" max="4691" width="2.140625" style="221" customWidth="1"/>
    <col min="4692" max="4692" width="0.5703125" style="221" customWidth="1"/>
    <col min="4693" max="4693" width="2.140625" style="221" customWidth="1"/>
    <col min="4694" max="4694" width="0.5703125" style="221" customWidth="1"/>
    <col min="4695" max="4696" width="2.5703125" style="221" customWidth="1"/>
    <col min="4697"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7109375" style="221" customWidth="1"/>
    <col min="4870" max="4870" width="1.140625" style="221" customWidth="1"/>
    <col min="4871" max="4875" width="0.7109375" style="221" customWidth="1"/>
    <col min="4876" max="4876" width="0.5703125" style="221" customWidth="1"/>
    <col min="4877" max="4889" width="0.7109375" style="221" customWidth="1"/>
    <col min="4890" max="4890" width="1.4257812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 style="221" customWidth="1"/>
    <col min="4927" max="4928" width="0.5703125" style="221" customWidth="1"/>
    <col min="4929" max="4929" width="2.140625" style="221" customWidth="1"/>
    <col min="4930" max="4930" width="0.5703125" style="221" customWidth="1"/>
    <col min="4931" max="4931" width="2.140625" style="221" customWidth="1"/>
    <col min="4932" max="4932" width="0.5703125" style="221" customWidth="1"/>
    <col min="4933" max="4933" width="2.140625" style="221" customWidth="1"/>
    <col min="4934" max="4934" width="0.5703125" style="221" customWidth="1"/>
    <col min="4935" max="4935" width="2.140625" style="221" customWidth="1"/>
    <col min="4936" max="4936" width="0.5703125" style="221" customWidth="1"/>
    <col min="4937" max="4937" width="2.140625" style="221" customWidth="1"/>
    <col min="4938" max="4938" width="0.5703125" style="221" customWidth="1"/>
    <col min="4939" max="4939" width="2.140625" style="221" customWidth="1"/>
    <col min="4940" max="4940" width="0.5703125" style="221" customWidth="1"/>
    <col min="4941" max="4941" width="2.140625" style="221" customWidth="1"/>
    <col min="4942" max="4942" width="0.5703125" style="221" customWidth="1"/>
    <col min="4943" max="4943" width="2.140625" style="221" customWidth="1"/>
    <col min="4944" max="4944" width="0.5703125" style="221" customWidth="1"/>
    <col min="4945" max="4945" width="2.140625" style="221" customWidth="1"/>
    <col min="4946" max="4946" width="0.5703125" style="221" customWidth="1"/>
    <col min="4947" max="4947" width="2.140625" style="221" customWidth="1"/>
    <col min="4948" max="4948" width="0.5703125" style="221" customWidth="1"/>
    <col min="4949" max="4949" width="2.140625" style="221" customWidth="1"/>
    <col min="4950" max="4950" width="0.5703125" style="221" customWidth="1"/>
    <col min="4951" max="4952" width="2.5703125" style="221" customWidth="1"/>
    <col min="4953"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7109375" style="221" customWidth="1"/>
    <col min="5126" max="5126" width="1.140625" style="221" customWidth="1"/>
    <col min="5127" max="5131" width="0.7109375" style="221" customWidth="1"/>
    <col min="5132" max="5132" width="0.5703125" style="221" customWidth="1"/>
    <col min="5133" max="5145" width="0.7109375" style="221" customWidth="1"/>
    <col min="5146" max="5146" width="1.4257812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 style="221" customWidth="1"/>
    <col min="5183" max="5184" width="0.5703125" style="221" customWidth="1"/>
    <col min="5185" max="5185" width="2.140625" style="221" customWidth="1"/>
    <col min="5186" max="5186" width="0.5703125" style="221" customWidth="1"/>
    <col min="5187" max="5187" width="2.140625" style="221" customWidth="1"/>
    <col min="5188" max="5188" width="0.5703125" style="221" customWidth="1"/>
    <col min="5189" max="5189" width="2.140625" style="221" customWidth="1"/>
    <col min="5190" max="5190" width="0.5703125" style="221" customWidth="1"/>
    <col min="5191" max="5191" width="2.140625" style="221" customWidth="1"/>
    <col min="5192" max="5192" width="0.5703125" style="221" customWidth="1"/>
    <col min="5193" max="5193" width="2.140625" style="221" customWidth="1"/>
    <col min="5194" max="5194" width="0.5703125" style="221" customWidth="1"/>
    <col min="5195" max="5195" width="2.140625" style="221" customWidth="1"/>
    <col min="5196" max="5196" width="0.5703125" style="221" customWidth="1"/>
    <col min="5197" max="5197" width="2.140625" style="221" customWidth="1"/>
    <col min="5198" max="5198" width="0.5703125" style="221" customWidth="1"/>
    <col min="5199" max="5199" width="2.140625" style="221" customWidth="1"/>
    <col min="5200" max="5200" width="0.5703125" style="221" customWidth="1"/>
    <col min="5201" max="5201" width="2.140625" style="221" customWidth="1"/>
    <col min="5202" max="5202" width="0.5703125" style="221" customWidth="1"/>
    <col min="5203" max="5203" width="2.140625" style="221" customWidth="1"/>
    <col min="5204" max="5204" width="0.5703125" style="221" customWidth="1"/>
    <col min="5205" max="5205" width="2.140625" style="221" customWidth="1"/>
    <col min="5206" max="5206" width="0.5703125" style="221" customWidth="1"/>
    <col min="5207" max="5208" width="2.5703125" style="221" customWidth="1"/>
    <col min="5209"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7109375" style="221" customWidth="1"/>
    <col min="5382" max="5382" width="1.140625" style="221" customWidth="1"/>
    <col min="5383" max="5387" width="0.7109375" style="221" customWidth="1"/>
    <col min="5388" max="5388" width="0.5703125" style="221" customWidth="1"/>
    <col min="5389" max="5401" width="0.7109375" style="221" customWidth="1"/>
    <col min="5402" max="5402" width="1.4257812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 style="221" customWidth="1"/>
    <col min="5439" max="5440" width="0.5703125" style="221" customWidth="1"/>
    <col min="5441" max="5441" width="2.140625" style="221" customWidth="1"/>
    <col min="5442" max="5442" width="0.5703125" style="221" customWidth="1"/>
    <col min="5443" max="5443" width="2.140625" style="221" customWidth="1"/>
    <col min="5444" max="5444" width="0.5703125" style="221" customWidth="1"/>
    <col min="5445" max="5445" width="2.140625" style="221" customWidth="1"/>
    <col min="5446" max="5446" width="0.5703125" style="221" customWidth="1"/>
    <col min="5447" max="5447" width="2.140625" style="221" customWidth="1"/>
    <col min="5448" max="5448" width="0.5703125" style="221" customWidth="1"/>
    <col min="5449" max="5449" width="2.140625" style="221" customWidth="1"/>
    <col min="5450" max="5450" width="0.5703125" style="221" customWidth="1"/>
    <col min="5451" max="5451" width="2.140625" style="221" customWidth="1"/>
    <col min="5452" max="5452" width="0.5703125" style="221" customWidth="1"/>
    <col min="5453" max="5453" width="2.140625" style="221" customWidth="1"/>
    <col min="5454" max="5454" width="0.5703125" style="221" customWidth="1"/>
    <col min="5455" max="5455" width="2.140625" style="221" customWidth="1"/>
    <col min="5456" max="5456" width="0.5703125" style="221" customWidth="1"/>
    <col min="5457" max="5457" width="2.140625" style="221" customWidth="1"/>
    <col min="5458" max="5458" width="0.5703125" style="221" customWidth="1"/>
    <col min="5459" max="5459" width="2.140625" style="221" customWidth="1"/>
    <col min="5460" max="5460" width="0.5703125" style="221" customWidth="1"/>
    <col min="5461" max="5461" width="2.140625" style="221" customWidth="1"/>
    <col min="5462" max="5462" width="0.5703125" style="221" customWidth="1"/>
    <col min="5463" max="5464" width="2.5703125" style="221" customWidth="1"/>
    <col min="5465"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7109375" style="221" customWidth="1"/>
    <col min="5638" max="5638" width="1.140625" style="221" customWidth="1"/>
    <col min="5639" max="5643" width="0.7109375" style="221" customWidth="1"/>
    <col min="5644" max="5644" width="0.5703125" style="221" customWidth="1"/>
    <col min="5645" max="5657" width="0.7109375" style="221" customWidth="1"/>
    <col min="5658" max="5658" width="1.4257812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 style="221" customWidth="1"/>
    <col min="5695" max="5696" width="0.5703125" style="221" customWidth="1"/>
    <col min="5697" max="5697" width="2.140625" style="221" customWidth="1"/>
    <col min="5698" max="5698" width="0.5703125" style="221" customWidth="1"/>
    <col min="5699" max="5699" width="2.140625" style="221" customWidth="1"/>
    <col min="5700" max="5700" width="0.5703125" style="221" customWidth="1"/>
    <col min="5701" max="5701" width="2.140625" style="221" customWidth="1"/>
    <col min="5702" max="5702" width="0.5703125" style="221" customWidth="1"/>
    <col min="5703" max="5703" width="2.140625" style="221" customWidth="1"/>
    <col min="5704" max="5704" width="0.5703125" style="221" customWidth="1"/>
    <col min="5705" max="5705" width="2.140625" style="221" customWidth="1"/>
    <col min="5706" max="5706" width="0.5703125" style="221" customWidth="1"/>
    <col min="5707" max="5707" width="2.140625" style="221" customWidth="1"/>
    <col min="5708" max="5708" width="0.5703125" style="221" customWidth="1"/>
    <col min="5709" max="5709" width="2.140625" style="221" customWidth="1"/>
    <col min="5710" max="5710" width="0.5703125" style="221" customWidth="1"/>
    <col min="5711" max="5711" width="2.140625" style="221" customWidth="1"/>
    <col min="5712" max="5712" width="0.5703125" style="221" customWidth="1"/>
    <col min="5713" max="5713" width="2.140625" style="221" customWidth="1"/>
    <col min="5714" max="5714" width="0.5703125" style="221" customWidth="1"/>
    <col min="5715" max="5715" width="2.140625" style="221" customWidth="1"/>
    <col min="5716" max="5716" width="0.5703125" style="221" customWidth="1"/>
    <col min="5717" max="5717" width="2.140625" style="221" customWidth="1"/>
    <col min="5718" max="5718" width="0.5703125" style="221" customWidth="1"/>
    <col min="5719" max="5720" width="2.5703125" style="221" customWidth="1"/>
    <col min="5721"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7109375" style="221" customWidth="1"/>
    <col min="5894" max="5894" width="1.140625" style="221" customWidth="1"/>
    <col min="5895" max="5899" width="0.7109375" style="221" customWidth="1"/>
    <col min="5900" max="5900" width="0.5703125" style="221" customWidth="1"/>
    <col min="5901" max="5913" width="0.7109375" style="221" customWidth="1"/>
    <col min="5914" max="5914" width="1.4257812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 style="221" customWidth="1"/>
    <col min="5951" max="5952" width="0.5703125" style="221" customWidth="1"/>
    <col min="5953" max="5953" width="2.140625" style="221" customWidth="1"/>
    <col min="5954" max="5954" width="0.5703125" style="221" customWidth="1"/>
    <col min="5955" max="5955" width="2.140625" style="221" customWidth="1"/>
    <col min="5956" max="5956" width="0.5703125" style="221" customWidth="1"/>
    <col min="5957" max="5957" width="2.140625" style="221" customWidth="1"/>
    <col min="5958" max="5958" width="0.5703125" style="221" customWidth="1"/>
    <col min="5959" max="5959" width="2.140625" style="221" customWidth="1"/>
    <col min="5960" max="5960" width="0.5703125" style="221" customWidth="1"/>
    <col min="5961" max="5961" width="2.140625" style="221" customWidth="1"/>
    <col min="5962" max="5962" width="0.5703125" style="221" customWidth="1"/>
    <col min="5963" max="5963" width="2.140625" style="221" customWidth="1"/>
    <col min="5964" max="5964" width="0.5703125" style="221" customWidth="1"/>
    <col min="5965" max="5965" width="2.140625" style="221" customWidth="1"/>
    <col min="5966" max="5966" width="0.5703125" style="221" customWidth="1"/>
    <col min="5967" max="5967" width="2.140625" style="221" customWidth="1"/>
    <col min="5968" max="5968" width="0.5703125" style="221" customWidth="1"/>
    <col min="5969" max="5969" width="2.140625" style="221" customWidth="1"/>
    <col min="5970" max="5970" width="0.5703125" style="221" customWidth="1"/>
    <col min="5971" max="5971" width="2.140625" style="221" customWidth="1"/>
    <col min="5972" max="5972" width="0.5703125" style="221" customWidth="1"/>
    <col min="5973" max="5973" width="2.140625" style="221" customWidth="1"/>
    <col min="5974" max="5974" width="0.5703125" style="221" customWidth="1"/>
    <col min="5975" max="5976" width="2.5703125" style="221" customWidth="1"/>
    <col min="5977"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7109375" style="221" customWidth="1"/>
    <col min="6150" max="6150" width="1.140625" style="221" customWidth="1"/>
    <col min="6151" max="6155" width="0.7109375" style="221" customWidth="1"/>
    <col min="6156" max="6156" width="0.5703125" style="221" customWidth="1"/>
    <col min="6157" max="6169" width="0.7109375" style="221" customWidth="1"/>
    <col min="6170" max="6170" width="1.4257812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 style="221" customWidth="1"/>
    <col min="6207" max="6208" width="0.5703125" style="221" customWidth="1"/>
    <col min="6209" max="6209" width="2.140625" style="221" customWidth="1"/>
    <col min="6210" max="6210" width="0.5703125" style="221" customWidth="1"/>
    <col min="6211" max="6211" width="2.140625" style="221" customWidth="1"/>
    <col min="6212" max="6212" width="0.5703125" style="221" customWidth="1"/>
    <col min="6213" max="6213" width="2.140625" style="221" customWidth="1"/>
    <col min="6214" max="6214" width="0.5703125" style="221" customWidth="1"/>
    <col min="6215" max="6215" width="2.140625" style="221" customWidth="1"/>
    <col min="6216" max="6216" width="0.5703125" style="221" customWidth="1"/>
    <col min="6217" max="6217" width="2.140625" style="221" customWidth="1"/>
    <col min="6218" max="6218" width="0.5703125" style="221" customWidth="1"/>
    <col min="6219" max="6219" width="2.140625" style="221" customWidth="1"/>
    <col min="6220" max="6220" width="0.5703125" style="221" customWidth="1"/>
    <col min="6221" max="6221" width="2.140625" style="221" customWidth="1"/>
    <col min="6222" max="6222" width="0.5703125" style="221" customWidth="1"/>
    <col min="6223" max="6223" width="2.140625" style="221" customWidth="1"/>
    <col min="6224" max="6224" width="0.5703125" style="221" customWidth="1"/>
    <col min="6225" max="6225" width="2.140625" style="221" customWidth="1"/>
    <col min="6226" max="6226" width="0.5703125" style="221" customWidth="1"/>
    <col min="6227" max="6227" width="2.140625" style="221" customWidth="1"/>
    <col min="6228" max="6228" width="0.5703125" style="221" customWidth="1"/>
    <col min="6229" max="6229" width="2.140625" style="221" customWidth="1"/>
    <col min="6230" max="6230" width="0.5703125" style="221" customWidth="1"/>
    <col min="6231" max="6232" width="2.5703125" style="221" customWidth="1"/>
    <col min="6233"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7109375" style="221" customWidth="1"/>
    <col min="6406" max="6406" width="1.140625" style="221" customWidth="1"/>
    <col min="6407" max="6411" width="0.7109375" style="221" customWidth="1"/>
    <col min="6412" max="6412" width="0.5703125" style="221" customWidth="1"/>
    <col min="6413" max="6425" width="0.7109375" style="221" customWidth="1"/>
    <col min="6426" max="6426" width="1.4257812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 style="221" customWidth="1"/>
    <col min="6463" max="6464" width="0.5703125" style="221" customWidth="1"/>
    <col min="6465" max="6465" width="2.140625" style="221" customWidth="1"/>
    <col min="6466" max="6466" width="0.5703125" style="221" customWidth="1"/>
    <col min="6467" max="6467" width="2.140625" style="221" customWidth="1"/>
    <col min="6468" max="6468" width="0.5703125" style="221" customWidth="1"/>
    <col min="6469" max="6469" width="2.140625" style="221" customWidth="1"/>
    <col min="6470" max="6470" width="0.5703125" style="221" customWidth="1"/>
    <col min="6471" max="6471" width="2.140625" style="221" customWidth="1"/>
    <col min="6472" max="6472" width="0.5703125" style="221" customWidth="1"/>
    <col min="6473" max="6473" width="2.140625" style="221" customWidth="1"/>
    <col min="6474" max="6474" width="0.5703125" style="221" customWidth="1"/>
    <col min="6475" max="6475" width="2.140625" style="221" customWidth="1"/>
    <col min="6476" max="6476" width="0.5703125" style="221" customWidth="1"/>
    <col min="6477" max="6477" width="2.140625" style="221" customWidth="1"/>
    <col min="6478" max="6478" width="0.5703125" style="221" customWidth="1"/>
    <col min="6479" max="6479" width="2.140625" style="221" customWidth="1"/>
    <col min="6480" max="6480" width="0.5703125" style="221" customWidth="1"/>
    <col min="6481" max="6481" width="2.140625" style="221" customWidth="1"/>
    <col min="6482" max="6482" width="0.5703125" style="221" customWidth="1"/>
    <col min="6483" max="6483" width="2.140625" style="221" customWidth="1"/>
    <col min="6484" max="6484" width="0.5703125" style="221" customWidth="1"/>
    <col min="6485" max="6485" width="2.140625" style="221" customWidth="1"/>
    <col min="6486" max="6486" width="0.5703125" style="221" customWidth="1"/>
    <col min="6487" max="6488" width="2.5703125" style="221" customWidth="1"/>
    <col min="6489"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7109375" style="221" customWidth="1"/>
    <col min="6662" max="6662" width="1.140625" style="221" customWidth="1"/>
    <col min="6663" max="6667" width="0.7109375" style="221" customWidth="1"/>
    <col min="6668" max="6668" width="0.5703125" style="221" customWidth="1"/>
    <col min="6669" max="6681" width="0.7109375" style="221" customWidth="1"/>
    <col min="6682" max="6682" width="1.4257812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 style="221" customWidth="1"/>
    <col min="6719" max="6720" width="0.5703125" style="221" customWidth="1"/>
    <col min="6721" max="6721" width="2.140625" style="221" customWidth="1"/>
    <col min="6722" max="6722" width="0.5703125" style="221" customWidth="1"/>
    <col min="6723" max="6723" width="2.140625" style="221" customWidth="1"/>
    <col min="6724" max="6724" width="0.5703125" style="221" customWidth="1"/>
    <col min="6725" max="6725" width="2.140625" style="221" customWidth="1"/>
    <col min="6726" max="6726" width="0.5703125" style="221" customWidth="1"/>
    <col min="6727" max="6727" width="2.140625" style="221" customWidth="1"/>
    <col min="6728" max="6728" width="0.5703125" style="221" customWidth="1"/>
    <col min="6729" max="6729" width="2.140625" style="221" customWidth="1"/>
    <col min="6730" max="6730" width="0.5703125" style="221" customWidth="1"/>
    <col min="6731" max="6731" width="2.140625" style="221" customWidth="1"/>
    <col min="6732" max="6732" width="0.5703125" style="221" customWidth="1"/>
    <col min="6733" max="6733" width="2.140625" style="221" customWidth="1"/>
    <col min="6734" max="6734" width="0.5703125" style="221" customWidth="1"/>
    <col min="6735" max="6735" width="2.140625" style="221" customWidth="1"/>
    <col min="6736" max="6736" width="0.5703125" style="221" customWidth="1"/>
    <col min="6737" max="6737" width="2.140625" style="221" customWidth="1"/>
    <col min="6738" max="6738" width="0.5703125" style="221" customWidth="1"/>
    <col min="6739" max="6739" width="2.140625" style="221" customWidth="1"/>
    <col min="6740" max="6740" width="0.5703125" style="221" customWidth="1"/>
    <col min="6741" max="6741" width="2.140625" style="221" customWidth="1"/>
    <col min="6742" max="6742" width="0.5703125" style="221" customWidth="1"/>
    <col min="6743" max="6744" width="2.5703125" style="221" customWidth="1"/>
    <col min="6745"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7109375" style="221" customWidth="1"/>
    <col min="6918" max="6918" width="1.140625" style="221" customWidth="1"/>
    <col min="6919" max="6923" width="0.7109375" style="221" customWidth="1"/>
    <col min="6924" max="6924" width="0.5703125" style="221" customWidth="1"/>
    <col min="6925" max="6937" width="0.7109375" style="221" customWidth="1"/>
    <col min="6938" max="6938" width="1.4257812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 style="221" customWidth="1"/>
    <col min="6975" max="6976" width="0.5703125" style="221" customWidth="1"/>
    <col min="6977" max="6977" width="2.140625" style="221" customWidth="1"/>
    <col min="6978" max="6978" width="0.5703125" style="221" customWidth="1"/>
    <col min="6979" max="6979" width="2.140625" style="221" customWidth="1"/>
    <col min="6980" max="6980" width="0.5703125" style="221" customWidth="1"/>
    <col min="6981" max="6981" width="2.140625" style="221" customWidth="1"/>
    <col min="6982" max="6982" width="0.5703125" style="221" customWidth="1"/>
    <col min="6983" max="6983" width="2.140625" style="221" customWidth="1"/>
    <col min="6984" max="6984" width="0.5703125" style="221" customWidth="1"/>
    <col min="6985" max="6985" width="2.140625" style="221" customWidth="1"/>
    <col min="6986" max="6986" width="0.5703125" style="221" customWidth="1"/>
    <col min="6987" max="6987" width="2.140625" style="221" customWidth="1"/>
    <col min="6988" max="6988" width="0.5703125" style="221" customWidth="1"/>
    <col min="6989" max="6989" width="2.140625" style="221" customWidth="1"/>
    <col min="6990" max="6990" width="0.5703125" style="221" customWidth="1"/>
    <col min="6991" max="6991" width="2.140625" style="221" customWidth="1"/>
    <col min="6992" max="6992" width="0.5703125" style="221" customWidth="1"/>
    <col min="6993" max="6993" width="2.140625" style="221" customWidth="1"/>
    <col min="6994" max="6994" width="0.5703125" style="221" customWidth="1"/>
    <col min="6995" max="6995" width="2.140625" style="221" customWidth="1"/>
    <col min="6996" max="6996" width="0.5703125" style="221" customWidth="1"/>
    <col min="6997" max="6997" width="2.140625" style="221" customWidth="1"/>
    <col min="6998" max="6998" width="0.5703125" style="221" customWidth="1"/>
    <col min="6999" max="7000" width="2.5703125" style="221" customWidth="1"/>
    <col min="7001"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7109375" style="221" customWidth="1"/>
    <col min="7174" max="7174" width="1.140625" style="221" customWidth="1"/>
    <col min="7175" max="7179" width="0.7109375" style="221" customWidth="1"/>
    <col min="7180" max="7180" width="0.5703125" style="221" customWidth="1"/>
    <col min="7181" max="7193" width="0.7109375" style="221" customWidth="1"/>
    <col min="7194" max="7194" width="1.4257812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 style="221" customWidth="1"/>
    <col min="7231" max="7232" width="0.5703125" style="221" customWidth="1"/>
    <col min="7233" max="7233" width="2.140625" style="221" customWidth="1"/>
    <col min="7234" max="7234" width="0.5703125" style="221" customWidth="1"/>
    <col min="7235" max="7235" width="2.140625" style="221" customWidth="1"/>
    <col min="7236" max="7236" width="0.5703125" style="221" customWidth="1"/>
    <col min="7237" max="7237" width="2.140625" style="221" customWidth="1"/>
    <col min="7238" max="7238" width="0.5703125" style="221" customWidth="1"/>
    <col min="7239" max="7239" width="2.140625" style="221" customWidth="1"/>
    <col min="7240" max="7240" width="0.5703125" style="221" customWidth="1"/>
    <col min="7241" max="7241" width="2.140625" style="221" customWidth="1"/>
    <col min="7242" max="7242" width="0.5703125" style="221" customWidth="1"/>
    <col min="7243" max="7243" width="2.140625" style="221" customWidth="1"/>
    <col min="7244" max="7244" width="0.5703125" style="221" customWidth="1"/>
    <col min="7245" max="7245" width="2.140625" style="221" customWidth="1"/>
    <col min="7246" max="7246" width="0.5703125" style="221" customWidth="1"/>
    <col min="7247" max="7247" width="2.140625" style="221" customWidth="1"/>
    <col min="7248" max="7248" width="0.5703125" style="221" customWidth="1"/>
    <col min="7249" max="7249" width="2.140625" style="221" customWidth="1"/>
    <col min="7250" max="7250" width="0.5703125" style="221" customWidth="1"/>
    <col min="7251" max="7251" width="2.140625" style="221" customWidth="1"/>
    <col min="7252" max="7252" width="0.5703125" style="221" customWidth="1"/>
    <col min="7253" max="7253" width="2.140625" style="221" customWidth="1"/>
    <col min="7254" max="7254" width="0.5703125" style="221" customWidth="1"/>
    <col min="7255" max="7256" width="2.5703125" style="221" customWidth="1"/>
    <col min="7257"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7109375" style="221" customWidth="1"/>
    <col min="7430" max="7430" width="1.140625" style="221" customWidth="1"/>
    <col min="7431" max="7435" width="0.7109375" style="221" customWidth="1"/>
    <col min="7436" max="7436" width="0.5703125" style="221" customWidth="1"/>
    <col min="7437" max="7449" width="0.7109375" style="221" customWidth="1"/>
    <col min="7450" max="7450" width="1.4257812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 style="221" customWidth="1"/>
    <col min="7487" max="7488" width="0.5703125" style="221" customWidth="1"/>
    <col min="7489" max="7489" width="2.140625" style="221" customWidth="1"/>
    <col min="7490" max="7490" width="0.5703125" style="221" customWidth="1"/>
    <col min="7491" max="7491" width="2.140625" style="221" customWidth="1"/>
    <col min="7492" max="7492" width="0.5703125" style="221" customWidth="1"/>
    <col min="7493" max="7493" width="2.140625" style="221" customWidth="1"/>
    <col min="7494" max="7494" width="0.5703125" style="221" customWidth="1"/>
    <col min="7495" max="7495" width="2.140625" style="221" customWidth="1"/>
    <col min="7496" max="7496" width="0.5703125" style="221" customWidth="1"/>
    <col min="7497" max="7497" width="2.140625" style="221" customWidth="1"/>
    <col min="7498" max="7498" width="0.5703125" style="221" customWidth="1"/>
    <col min="7499" max="7499" width="2.140625" style="221" customWidth="1"/>
    <col min="7500" max="7500" width="0.5703125" style="221" customWidth="1"/>
    <col min="7501" max="7501" width="2.140625" style="221" customWidth="1"/>
    <col min="7502" max="7502" width="0.5703125" style="221" customWidth="1"/>
    <col min="7503" max="7503" width="2.140625" style="221" customWidth="1"/>
    <col min="7504" max="7504" width="0.5703125" style="221" customWidth="1"/>
    <col min="7505" max="7505" width="2.140625" style="221" customWidth="1"/>
    <col min="7506" max="7506" width="0.5703125" style="221" customWidth="1"/>
    <col min="7507" max="7507" width="2.140625" style="221" customWidth="1"/>
    <col min="7508" max="7508" width="0.5703125" style="221" customWidth="1"/>
    <col min="7509" max="7509" width="2.140625" style="221" customWidth="1"/>
    <col min="7510" max="7510" width="0.5703125" style="221" customWidth="1"/>
    <col min="7511" max="7512" width="2.5703125" style="221" customWidth="1"/>
    <col min="7513"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7109375" style="221" customWidth="1"/>
    <col min="7686" max="7686" width="1.140625" style="221" customWidth="1"/>
    <col min="7687" max="7691" width="0.7109375" style="221" customWidth="1"/>
    <col min="7692" max="7692" width="0.5703125" style="221" customWidth="1"/>
    <col min="7693" max="7705" width="0.7109375" style="221" customWidth="1"/>
    <col min="7706" max="7706" width="1.4257812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 style="221" customWidth="1"/>
    <col min="7743" max="7744" width="0.5703125" style="221" customWidth="1"/>
    <col min="7745" max="7745" width="2.140625" style="221" customWidth="1"/>
    <col min="7746" max="7746" width="0.5703125" style="221" customWidth="1"/>
    <col min="7747" max="7747" width="2.140625" style="221" customWidth="1"/>
    <col min="7748" max="7748" width="0.5703125" style="221" customWidth="1"/>
    <col min="7749" max="7749" width="2.140625" style="221" customWidth="1"/>
    <col min="7750" max="7750" width="0.5703125" style="221" customWidth="1"/>
    <col min="7751" max="7751" width="2.140625" style="221" customWidth="1"/>
    <col min="7752" max="7752" width="0.5703125" style="221" customWidth="1"/>
    <col min="7753" max="7753" width="2.140625" style="221" customWidth="1"/>
    <col min="7754" max="7754" width="0.5703125" style="221" customWidth="1"/>
    <col min="7755" max="7755" width="2.140625" style="221" customWidth="1"/>
    <col min="7756" max="7756" width="0.5703125" style="221" customWidth="1"/>
    <col min="7757" max="7757" width="2.140625" style="221" customWidth="1"/>
    <col min="7758" max="7758" width="0.5703125" style="221" customWidth="1"/>
    <col min="7759" max="7759" width="2.140625" style="221" customWidth="1"/>
    <col min="7760" max="7760" width="0.5703125" style="221" customWidth="1"/>
    <col min="7761" max="7761" width="2.140625" style="221" customWidth="1"/>
    <col min="7762" max="7762" width="0.5703125" style="221" customWidth="1"/>
    <col min="7763" max="7763" width="2.140625" style="221" customWidth="1"/>
    <col min="7764" max="7764" width="0.5703125" style="221" customWidth="1"/>
    <col min="7765" max="7765" width="2.140625" style="221" customWidth="1"/>
    <col min="7766" max="7766" width="0.5703125" style="221" customWidth="1"/>
    <col min="7767" max="7768" width="2.5703125" style="221" customWidth="1"/>
    <col min="7769"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7109375" style="221" customWidth="1"/>
    <col min="7942" max="7942" width="1.140625" style="221" customWidth="1"/>
    <col min="7943" max="7947" width="0.7109375" style="221" customWidth="1"/>
    <col min="7948" max="7948" width="0.5703125" style="221" customWidth="1"/>
    <col min="7949" max="7961" width="0.7109375" style="221" customWidth="1"/>
    <col min="7962" max="7962" width="1.4257812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 style="221" customWidth="1"/>
    <col min="7999" max="8000" width="0.5703125" style="221" customWidth="1"/>
    <col min="8001" max="8001" width="2.140625" style="221" customWidth="1"/>
    <col min="8002" max="8002" width="0.5703125" style="221" customWidth="1"/>
    <col min="8003" max="8003" width="2.140625" style="221" customWidth="1"/>
    <col min="8004" max="8004" width="0.5703125" style="221" customWidth="1"/>
    <col min="8005" max="8005" width="2.140625" style="221" customWidth="1"/>
    <col min="8006" max="8006" width="0.5703125" style="221" customWidth="1"/>
    <col min="8007" max="8007" width="2.140625" style="221" customWidth="1"/>
    <col min="8008" max="8008" width="0.5703125" style="221" customWidth="1"/>
    <col min="8009" max="8009" width="2.140625" style="221" customWidth="1"/>
    <col min="8010" max="8010" width="0.5703125" style="221" customWidth="1"/>
    <col min="8011" max="8011" width="2.140625" style="221" customWidth="1"/>
    <col min="8012" max="8012" width="0.5703125" style="221" customWidth="1"/>
    <col min="8013" max="8013" width="2.140625" style="221" customWidth="1"/>
    <col min="8014" max="8014" width="0.5703125" style="221" customWidth="1"/>
    <col min="8015" max="8015" width="2.140625" style="221" customWidth="1"/>
    <col min="8016" max="8016" width="0.5703125" style="221" customWidth="1"/>
    <col min="8017" max="8017" width="2.140625" style="221" customWidth="1"/>
    <col min="8018" max="8018" width="0.5703125" style="221" customWidth="1"/>
    <col min="8019" max="8019" width="2.140625" style="221" customWidth="1"/>
    <col min="8020" max="8020" width="0.5703125" style="221" customWidth="1"/>
    <col min="8021" max="8021" width="2.140625" style="221" customWidth="1"/>
    <col min="8022" max="8022" width="0.5703125" style="221" customWidth="1"/>
    <col min="8023" max="8024" width="2.5703125" style="221" customWidth="1"/>
    <col min="8025"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7109375" style="221" customWidth="1"/>
    <col min="8198" max="8198" width="1.140625" style="221" customWidth="1"/>
    <col min="8199" max="8203" width="0.7109375" style="221" customWidth="1"/>
    <col min="8204" max="8204" width="0.5703125" style="221" customWidth="1"/>
    <col min="8205" max="8217" width="0.7109375" style="221" customWidth="1"/>
    <col min="8218" max="8218" width="1.4257812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 style="221" customWidth="1"/>
    <col min="8255" max="8256" width="0.5703125" style="221" customWidth="1"/>
    <col min="8257" max="8257" width="2.140625" style="221" customWidth="1"/>
    <col min="8258" max="8258" width="0.5703125" style="221" customWidth="1"/>
    <col min="8259" max="8259" width="2.140625" style="221" customWidth="1"/>
    <col min="8260" max="8260" width="0.5703125" style="221" customWidth="1"/>
    <col min="8261" max="8261" width="2.140625" style="221" customWidth="1"/>
    <col min="8262" max="8262" width="0.5703125" style="221" customWidth="1"/>
    <col min="8263" max="8263" width="2.140625" style="221" customWidth="1"/>
    <col min="8264" max="8264" width="0.5703125" style="221" customWidth="1"/>
    <col min="8265" max="8265" width="2.140625" style="221" customWidth="1"/>
    <col min="8266" max="8266" width="0.5703125" style="221" customWidth="1"/>
    <col min="8267" max="8267" width="2.140625" style="221" customWidth="1"/>
    <col min="8268" max="8268" width="0.5703125" style="221" customWidth="1"/>
    <col min="8269" max="8269" width="2.140625" style="221" customWidth="1"/>
    <col min="8270" max="8270" width="0.5703125" style="221" customWidth="1"/>
    <col min="8271" max="8271" width="2.140625" style="221" customWidth="1"/>
    <col min="8272" max="8272" width="0.5703125" style="221" customWidth="1"/>
    <col min="8273" max="8273" width="2.140625" style="221" customWidth="1"/>
    <col min="8274" max="8274" width="0.5703125" style="221" customWidth="1"/>
    <col min="8275" max="8275" width="2.140625" style="221" customWidth="1"/>
    <col min="8276" max="8276" width="0.5703125" style="221" customWidth="1"/>
    <col min="8277" max="8277" width="2.140625" style="221" customWidth="1"/>
    <col min="8278" max="8278" width="0.5703125" style="221" customWidth="1"/>
    <col min="8279" max="8280" width="2.5703125" style="221" customWidth="1"/>
    <col min="8281"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7109375" style="221" customWidth="1"/>
    <col min="8454" max="8454" width="1.140625" style="221" customWidth="1"/>
    <col min="8455" max="8459" width="0.7109375" style="221" customWidth="1"/>
    <col min="8460" max="8460" width="0.5703125" style="221" customWidth="1"/>
    <col min="8461" max="8473" width="0.7109375" style="221" customWidth="1"/>
    <col min="8474" max="8474" width="1.4257812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 style="221" customWidth="1"/>
    <col min="8511" max="8512" width="0.5703125" style="221" customWidth="1"/>
    <col min="8513" max="8513" width="2.140625" style="221" customWidth="1"/>
    <col min="8514" max="8514" width="0.5703125" style="221" customWidth="1"/>
    <col min="8515" max="8515" width="2.140625" style="221" customWidth="1"/>
    <col min="8516" max="8516" width="0.5703125" style="221" customWidth="1"/>
    <col min="8517" max="8517" width="2.140625" style="221" customWidth="1"/>
    <col min="8518" max="8518" width="0.5703125" style="221" customWidth="1"/>
    <col min="8519" max="8519" width="2.140625" style="221" customWidth="1"/>
    <col min="8520" max="8520" width="0.5703125" style="221" customWidth="1"/>
    <col min="8521" max="8521" width="2.140625" style="221" customWidth="1"/>
    <col min="8522" max="8522" width="0.5703125" style="221" customWidth="1"/>
    <col min="8523" max="8523" width="2.140625" style="221" customWidth="1"/>
    <col min="8524" max="8524" width="0.5703125" style="221" customWidth="1"/>
    <col min="8525" max="8525" width="2.140625" style="221" customWidth="1"/>
    <col min="8526" max="8526" width="0.5703125" style="221" customWidth="1"/>
    <col min="8527" max="8527" width="2.140625" style="221" customWidth="1"/>
    <col min="8528" max="8528" width="0.5703125" style="221" customWidth="1"/>
    <col min="8529" max="8529" width="2.140625" style="221" customWidth="1"/>
    <col min="8530" max="8530" width="0.5703125" style="221" customWidth="1"/>
    <col min="8531" max="8531" width="2.140625" style="221" customWidth="1"/>
    <col min="8532" max="8532" width="0.5703125" style="221" customWidth="1"/>
    <col min="8533" max="8533" width="2.140625" style="221" customWidth="1"/>
    <col min="8534" max="8534" width="0.5703125" style="221" customWidth="1"/>
    <col min="8535" max="8536" width="2.5703125" style="221" customWidth="1"/>
    <col min="8537"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7109375" style="221" customWidth="1"/>
    <col min="8710" max="8710" width="1.140625" style="221" customWidth="1"/>
    <col min="8711" max="8715" width="0.7109375" style="221" customWidth="1"/>
    <col min="8716" max="8716" width="0.5703125" style="221" customWidth="1"/>
    <col min="8717" max="8729" width="0.7109375" style="221" customWidth="1"/>
    <col min="8730" max="8730" width="1.4257812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 style="221" customWidth="1"/>
    <col min="8767" max="8768" width="0.5703125" style="221" customWidth="1"/>
    <col min="8769" max="8769" width="2.140625" style="221" customWidth="1"/>
    <col min="8770" max="8770" width="0.5703125" style="221" customWidth="1"/>
    <col min="8771" max="8771" width="2.140625" style="221" customWidth="1"/>
    <col min="8772" max="8772" width="0.5703125" style="221" customWidth="1"/>
    <col min="8773" max="8773" width="2.140625" style="221" customWidth="1"/>
    <col min="8774" max="8774" width="0.5703125" style="221" customWidth="1"/>
    <col min="8775" max="8775" width="2.140625" style="221" customWidth="1"/>
    <col min="8776" max="8776" width="0.5703125" style="221" customWidth="1"/>
    <col min="8777" max="8777" width="2.140625" style="221" customWidth="1"/>
    <col min="8778" max="8778" width="0.5703125" style="221" customWidth="1"/>
    <col min="8779" max="8779" width="2.140625" style="221" customWidth="1"/>
    <col min="8780" max="8780" width="0.5703125" style="221" customWidth="1"/>
    <col min="8781" max="8781" width="2.140625" style="221" customWidth="1"/>
    <col min="8782" max="8782" width="0.5703125" style="221" customWidth="1"/>
    <col min="8783" max="8783" width="2.140625" style="221" customWidth="1"/>
    <col min="8784" max="8784" width="0.5703125" style="221" customWidth="1"/>
    <col min="8785" max="8785" width="2.140625" style="221" customWidth="1"/>
    <col min="8786" max="8786" width="0.5703125" style="221" customWidth="1"/>
    <col min="8787" max="8787" width="2.140625" style="221" customWidth="1"/>
    <col min="8788" max="8788" width="0.5703125" style="221" customWidth="1"/>
    <col min="8789" max="8789" width="2.140625" style="221" customWidth="1"/>
    <col min="8790" max="8790" width="0.5703125" style="221" customWidth="1"/>
    <col min="8791" max="8792" width="2.5703125" style="221" customWidth="1"/>
    <col min="8793"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7109375" style="221" customWidth="1"/>
    <col min="8966" max="8966" width="1.140625" style="221" customWidth="1"/>
    <col min="8967" max="8971" width="0.7109375" style="221" customWidth="1"/>
    <col min="8972" max="8972" width="0.5703125" style="221" customWidth="1"/>
    <col min="8973" max="8985" width="0.7109375" style="221" customWidth="1"/>
    <col min="8986" max="8986" width="1.4257812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 style="221" customWidth="1"/>
    <col min="9023" max="9024" width="0.5703125" style="221" customWidth="1"/>
    <col min="9025" max="9025" width="2.140625" style="221" customWidth="1"/>
    <col min="9026" max="9026" width="0.5703125" style="221" customWidth="1"/>
    <col min="9027" max="9027" width="2.140625" style="221" customWidth="1"/>
    <col min="9028" max="9028" width="0.5703125" style="221" customWidth="1"/>
    <col min="9029" max="9029" width="2.140625" style="221" customWidth="1"/>
    <col min="9030" max="9030" width="0.5703125" style="221" customWidth="1"/>
    <col min="9031" max="9031" width="2.140625" style="221" customWidth="1"/>
    <col min="9032" max="9032" width="0.5703125" style="221" customWidth="1"/>
    <col min="9033" max="9033" width="2.140625" style="221" customWidth="1"/>
    <col min="9034" max="9034" width="0.5703125" style="221" customWidth="1"/>
    <col min="9035" max="9035" width="2.140625" style="221" customWidth="1"/>
    <col min="9036" max="9036" width="0.5703125" style="221" customWidth="1"/>
    <col min="9037" max="9037" width="2.140625" style="221" customWidth="1"/>
    <col min="9038" max="9038" width="0.5703125" style="221" customWidth="1"/>
    <col min="9039" max="9039" width="2.140625" style="221" customWidth="1"/>
    <col min="9040" max="9040" width="0.5703125" style="221" customWidth="1"/>
    <col min="9041" max="9041" width="2.140625" style="221" customWidth="1"/>
    <col min="9042" max="9042" width="0.5703125" style="221" customWidth="1"/>
    <col min="9043" max="9043" width="2.140625" style="221" customWidth="1"/>
    <col min="9044" max="9044" width="0.5703125" style="221" customWidth="1"/>
    <col min="9045" max="9045" width="2.140625" style="221" customWidth="1"/>
    <col min="9046" max="9046" width="0.5703125" style="221" customWidth="1"/>
    <col min="9047" max="9048" width="2.5703125" style="221" customWidth="1"/>
    <col min="9049"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7109375" style="221" customWidth="1"/>
    <col min="9222" max="9222" width="1.140625" style="221" customWidth="1"/>
    <col min="9223" max="9227" width="0.7109375" style="221" customWidth="1"/>
    <col min="9228" max="9228" width="0.5703125" style="221" customWidth="1"/>
    <col min="9229" max="9241" width="0.7109375" style="221" customWidth="1"/>
    <col min="9242" max="9242" width="1.4257812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 style="221" customWidth="1"/>
    <col min="9279" max="9280" width="0.5703125" style="221" customWidth="1"/>
    <col min="9281" max="9281" width="2.140625" style="221" customWidth="1"/>
    <col min="9282" max="9282" width="0.5703125" style="221" customWidth="1"/>
    <col min="9283" max="9283" width="2.140625" style="221" customWidth="1"/>
    <col min="9284" max="9284" width="0.5703125" style="221" customWidth="1"/>
    <col min="9285" max="9285" width="2.140625" style="221" customWidth="1"/>
    <col min="9286" max="9286" width="0.5703125" style="221" customWidth="1"/>
    <col min="9287" max="9287" width="2.140625" style="221" customWidth="1"/>
    <col min="9288" max="9288" width="0.5703125" style="221" customWidth="1"/>
    <col min="9289" max="9289" width="2.140625" style="221" customWidth="1"/>
    <col min="9290" max="9290" width="0.5703125" style="221" customWidth="1"/>
    <col min="9291" max="9291" width="2.140625" style="221" customWidth="1"/>
    <col min="9292" max="9292" width="0.5703125" style="221" customWidth="1"/>
    <col min="9293" max="9293" width="2.140625" style="221" customWidth="1"/>
    <col min="9294" max="9294" width="0.5703125" style="221" customWidth="1"/>
    <col min="9295" max="9295" width="2.140625" style="221" customWidth="1"/>
    <col min="9296" max="9296" width="0.5703125" style="221" customWidth="1"/>
    <col min="9297" max="9297" width="2.140625" style="221" customWidth="1"/>
    <col min="9298" max="9298" width="0.5703125" style="221" customWidth="1"/>
    <col min="9299" max="9299" width="2.140625" style="221" customWidth="1"/>
    <col min="9300" max="9300" width="0.5703125" style="221" customWidth="1"/>
    <col min="9301" max="9301" width="2.140625" style="221" customWidth="1"/>
    <col min="9302" max="9302" width="0.5703125" style="221" customWidth="1"/>
    <col min="9303" max="9304" width="2.5703125" style="221" customWidth="1"/>
    <col min="9305"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7109375" style="221" customWidth="1"/>
    <col min="9478" max="9478" width="1.140625" style="221" customWidth="1"/>
    <col min="9479" max="9483" width="0.7109375" style="221" customWidth="1"/>
    <col min="9484" max="9484" width="0.5703125" style="221" customWidth="1"/>
    <col min="9485" max="9497" width="0.7109375" style="221" customWidth="1"/>
    <col min="9498" max="9498" width="1.4257812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 style="221" customWidth="1"/>
    <col min="9535" max="9536" width="0.5703125" style="221" customWidth="1"/>
    <col min="9537" max="9537" width="2.140625" style="221" customWidth="1"/>
    <col min="9538" max="9538" width="0.5703125" style="221" customWidth="1"/>
    <col min="9539" max="9539" width="2.140625" style="221" customWidth="1"/>
    <col min="9540" max="9540" width="0.5703125" style="221" customWidth="1"/>
    <col min="9541" max="9541" width="2.140625" style="221" customWidth="1"/>
    <col min="9542" max="9542" width="0.5703125" style="221" customWidth="1"/>
    <col min="9543" max="9543" width="2.140625" style="221" customWidth="1"/>
    <col min="9544" max="9544" width="0.5703125" style="221" customWidth="1"/>
    <col min="9545" max="9545" width="2.140625" style="221" customWidth="1"/>
    <col min="9546" max="9546" width="0.5703125" style="221" customWidth="1"/>
    <col min="9547" max="9547" width="2.140625" style="221" customWidth="1"/>
    <col min="9548" max="9548" width="0.5703125" style="221" customWidth="1"/>
    <col min="9549" max="9549" width="2.140625" style="221" customWidth="1"/>
    <col min="9550" max="9550" width="0.5703125" style="221" customWidth="1"/>
    <col min="9551" max="9551" width="2.140625" style="221" customWidth="1"/>
    <col min="9552" max="9552" width="0.5703125" style="221" customWidth="1"/>
    <col min="9553" max="9553" width="2.140625" style="221" customWidth="1"/>
    <col min="9554" max="9554" width="0.5703125" style="221" customWidth="1"/>
    <col min="9555" max="9555" width="2.140625" style="221" customWidth="1"/>
    <col min="9556" max="9556" width="0.5703125" style="221" customWidth="1"/>
    <col min="9557" max="9557" width="2.140625" style="221" customWidth="1"/>
    <col min="9558" max="9558" width="0.5703125" style="221" customWidth="1"/>
    <col min="9559" max="9560" width="2.5703125" style="221" customWidth="1"/>
    <col min="9561"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7109375" style="221" customWidth="1"/>
    <col min="9734" max="9734" width="1.140625" style="221" customWidth="1"/>
    <col min="9735" max="9739" width="0.7109375" style="221" customWidth="1"/>
    <col min="9740" max="9740" width="0.5703125" style="221" customWidth="1"/>
    <col min="9741" max="9753" width="0.7109375" style="221" customWidth="1"/>
    <col min="9754" max="9754" width="1.4257812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 style="221" customWidth="1"/>
    <col min="9791" max="9792" width="0.5703125" style="221" customWidth="1"/>
    <col min="9793" max="9793" width="2.140625" style="221" customWidth="1"/>
    <col min="9794" max="9794" width="0.5703125" style="221" customWidth="1"/>
    <col min="9795" max="9795" width="2.140625" style="221" customWidth="1"/>
    <col min="9796" max="9796" width="0.5703125" style="221" customWidth="1"/>
    <col min="9797" max="9797" width="2.140625" style="221" customWidth="1"/>
    <col min="9798" max="9798" width="0.5703125" style="221" customWidth="1"/>
    <col min="9799" max="9799" width="2.140625" style="221" customWidth="1"/>
    <col min="9800" max="9800" width="0.5703125" style="221" customWidth="1"/>
    <col min="9801" max="9801" width="2.140625" style="221" customWidth="1"/>
    <col min="9802" max="9802" width="0.5703125" style="221" customWidth="1"/>
    <col min="9803" max="9803" width="2.140625" style="221" customWidth="1"/>
    <col min="9804" max="9804" width="0.5703125" style="221" customWidth="1"/>
    <col min="9805" max="9805" width="2.140625" style="221" customWidth="1"/>
    <col min="9806" max="9806" width="0.5703125" style="221" customWidth="1"/>
    <col min="9807" max="9807" width="2.140625" style="221" customWidth="1"/>
    <col min="9808" max="9808" width="0.5703125" style="221" customWidth="1"/>
    <col min="9809" max="9809" width="2.140625" style="221" customWidth="1"/>
    <col min="9810" max="9810" width="0.5703125" style="221" customWidth="1"/>
    <col min="9811" max="9811" width="2.140625" style="221" customWidth="1"/>
    <col min="9812" max="9812" width="0.5703125" style="221" customWidth="1"/>
    <col min="9813" max="9813" width="2.140625" style="221" customWidth="1"/>
    <col min="9814" max="9814" width="0.5703125" style="221" customWidth="1"/>
    <col min="9815" max="9816" width="2.5703125" style="221" customWidth="1"/>
    <col min="9817"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7109375" style="221" customWidth="1"/>
    <col min="9990" max="9990" width="1.140625" style="221" customWidth="1"/>
    <col min="9991" max="9995" width="0.7109375" style="221" customWidth="1"/>
    <col min="9996" max="9996" width="0.5703125" style="221" customWidth="1"/>
    <col min="9997" max="10009" width="0.7109375" style="221" customWidth="1"/>
    <col min="10010" max="10010" width="1.4257812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 style="221" customWidth="1"/>
    <col min="10047" max="10048" width="0.5703125" style="221" customWidth="1"/>
    <col min="10049" max="10049" width="2.140625" style="221" customWidth="1"/>
    <col min="10050" max="10050" width="0.5703125" style="221" customWidth="1"/>
    <col min="10051" max="10051" width="2.140625" style="221" customWidth="1"/>
    <col min="10052" max="10052" width="0.5703125" style="221" customWidth="1"/>
    <col min="10053" max="10053" width="2.140625" style="221" customWidth="1"/>
    <col min="10054" max="10054" width="0.5703125" style="221" customWidth="1"/>
    <col min="10055" max="10055" width="2.140625" style="221" customWidth="1"/>
    <col min="10056" max="10056" width="0.5703125" style="221" customWidth="1"/>
    <col min="10057" max="10057" width="2.140625" style="221" customWidth="1"/>
    <col min="10058" max="10058" width="0.5703125" style="221" customWidth="1"/>
    <col min="10059" max="10059" width="2.140625" style="221" customWidth="1"/>
    <col min="10060" max="10060" width="0.5703125" style="221" customWidth="1"/>
    <col min="10061" max="10061" width="2.140625" style="221" customWidth="1"/>
    <col min="10062" max="10062" width="0.5703125" style="221" customWidth="1"/>
    <col min="10063" max="10063" width="2.140625" style="221" customWidth="1"/>
    <col min="10064" max="10064" width="0.5703125" style="221" customWidth="1"/>
    <col min="10065" max="10065" width="2.140625" style="221" customWidth="1"/>
    <col min="10066" max="10066" width="0.5703125" style="221" customWidth="1"/>
    <col min="10067" max="10067" width="2.140625" style="221" customWidth="1"/>
    <col min="10068" max="10068" width="0.5703125" style="221" customWidth="1"/>
    <col min="10069" max="10069" width="2.140625" style="221" customWidth="1"/>
    <col min="10070" max="10070" width="0.5703125" style="221" customWidth="1"/>
    <col min="10071" max="10072" width="2.5703125" style="221" customWidth="1"/>
    <col min="10073"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7109375" style="221" customWidth="1"/>
    <col min="10246" max="10246" width="1.140625" style="221" customWidth="1"/>
    <col min="10247" max="10251" width="0.7109375" style="221" customWidth="1"/>
    <col min="10252" max="10252" width="0.5703125" style="221" customWidth="1"/>
    <col min="10253" max="10265" width="0.7109375" style="221" customWidth="1"/>
    <col min="10266" max="10266" width="1.4257812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 style="221" customWidth="1"/>
    <col min="10303" max="10304" width="0.5703125" style="221" customWidth="1"/>
    <col min="10305" max="10305" width="2.140625" style="221" customWidth="1"/>
    <col min="10306" max="10306" width="0.5703125" style="221" customWidth="1"/>
    <col min="10307" max="10307" width="2.140625" style="221" customWidth="1"/>
    <col min="10308" max="10308" width="0.5703125" style="221" customWidth="1"/>
    <col min="10309" max="10309" width="2.140625" style="221" customWidth="1"/>
    <col min="10310" max="10310" width="0.5703125" style="221" customWidth="1"/>
    <col min="10311" max="10311" width="2.140625" style="221" customWidth="1"/>
    <col min="10312" max="10312" width="0.5703125" style="221" customWidth="1"/>
    <col min="10313" max="10313" width="2.140625" style="221" customWidth="1"/>
    <col min="10314" max="10314" width="0.5703125" style="221" customWidth="1"/>
    <col min="10315" max="10315" width="2.140625" style="221" customWidth="1"/>
    <col min="10316" max="10316" width="0.5703125" style="221" customWidth="1"/>
    <col min="10317" max="10317" width="2.140625" style="221" customWidth="1"/>
    <col min="10318" max="10318" width="0.5703125" style="221" customWidth="1"/>
    <col min="10319" max="10319" width="2.140625" style="221" customWidth="1"/>
    <col min="10320" max="10320" width="0.5703125" style="221" customWidth="1"/>
    <col min="10321" max="10321" width="2.140625" style="221" customWidth="1"/>
    <col min="10322" max="10322" width="0.5703125" style="221" customWidth="1"/>
    <col min="10323" max="10323" width="2.140625" style="221" customWidth="1"/>
    <col min="10324" max="10324" width="0.5703125" style="221" customWidth="1"/>
    <col min="10325" max="10325" width="2.140625" style="221" customWidth="1"/>
    <col min="10326" max="10326" width="0.5703125" style="221" customWidth="1"/>
    <col min="10327" max="10328" width="2.5703125" style="221" customWidth="1"/>
    <col min="10329"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7109375" style="221" customWidth="1"/>
    <col min="10502" max="10502" width="1.140625" style="221" customWidth="1"/>
    <col min="10503" max="10507" width="0.7109375" style="221" customWidth="1"/>
    <col min="10508" max="10508" width="0.5703125" style="221" customWidth="1"/>
    <col min="10509" max="10521" width="0.7109375" style="221" customWidth="1"/>
    <col min="10522" max="10522" width="1.4257812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 style="221" customWidth="1"/>
    <col min="10559" max="10560" width="0.5703125" style="221" customWidth="1"/>
    <col min="10561" max="10561" width="2.140625" style="221" customWidth="1"/>
    <col min="10562" max="10562" width="0.5703125" style="221" customWidth="1"/>
    <col min="10563" max="10563" width="2.140625" style="221" customWidth="1"/>
    <col min="10564" max="10564" width="0.5703125" style="221" customWidth="1"/>
    <col min="10565" max="10565" width="2.140625" style="221" customWidth="1"/>
    <col min="10566" max="10566" width="0.5703125" style="221" customWidth="1"/>
    <col min="10567" max="10567" width="2.140625" style="221" customWidth="1"/>
    <col min="10568" max="10568" width="0.5703125" style="221" customWidth="1"/>
    <col min="10569" max="10569" width="2.140625" style="221" customWidth="1"/>
    <col min="10570" max="10570" width="0.5703125" style="221" customWidth="1"/>
    <col min="10571" max="10571" width="2.140625" style="221" customWidth="1"/>
    <col min="10572" max="10572" width="0.5703125" style="221" customWidth="1"/>
    <col min="10573" max="10573" width="2.140625" style="221" customWidth="1"/>
    <col min="10574" max="10574" width="0.5703125" style="221" customWidth="1"/>
    <col min="10575" max="10575" width="2.140625" style="221" customWidth="1"/>
    <col min="10576" max="10576" width="0.5703125" style="221" customWidth="1"/>
    <col min="10577" max="10577" width="2.140625" style="221" customWidth="1"/>
    <col min="10578" max="10578" width="0.5703125" style="221" customWidth="1"/>
    <col min="10579" max="10579" width="2.140625" style="221" customWidth="1"/>
    <col min="10580" max="10580" width="0.5703125" style="221" customWidth="1"/>
    <col min="10581" max="10581" width="2.140625" style="221" customWidth="1"/>
    <col min="10582" max="10582" width="0.5703125" style="221" customWidth="1"/>
    <col min="10583" max="10584" width="2.5703125" style="221" customWidth="1"/>
    <col min="10585"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7109375" style="221" customWidth="1"/>
    <col min="10758" max="10758" width="1.140625" style="221" customWidth="1"/>
    <col min="10759" max="10763" width="0.7109375" style="221" customWidth="1"/>
    <col min="10764" max="10764" width="0.5703125" style="221" customWidth="1"/>
    <col min="10765" max="10777" width="0.7109375" style="221" customWidth="1"/>
    <col min="10778" max="10778" width="1.4257812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 style="221" customWidth="1"/>
    <col min="10815" max="10816" width="0.5703125" style="221" customWidth="1"/>
    <col min="10817" max="10817" width="2.140625" style="221" customWidth="1"/>
    <col min="10818" max="10818" width="0.5703125" style="221" customWidth="1"/>
    <col min="10819" max="10819" width="2.140625" style="221" customWidth="1"/>
    <col min="10820" max="10820" width="0.5703125" style="221" customWidth="1"/>
    <col min="10821" max="10821" width="2.140625" style="221" customWidth="1"/>
    <col min="10822" max="10822" width="0.5703125" style="221" customWidth="1"/>
    <col min="10823" max="10823" width="2.140625" style="221" customWidth="1"/>
    <col min="10824" max="10824" width="0.5703125" style="221" customWidth="1"/>
    <col min="10825" max="10825" width="2.140625" style="221" customWidth="1"/>
    <col min="10826" max="10826" width="0.5703125" style="221" customWidth="1"/>
    <col min="10827" max="10827" width="2.140625" style="221" customWidth="1"/>
    <col min="10828" max="10828" width="0.5703125" style="221" customWidth="1"/>
    <col min="10829" max="10829" width="2.140625" style="221" customWidth="1"/>
    <col min="10830" max="10830" width="0.5703125" style="221" customWidth="1"/>
    <col min="10831" max="10831" width="2.140625" style="221" customWidth="1"/>
    <col min="10832" max="10832" width="0.5703125" style="221" customWidth="1"/>
    <col min="10833" max="10833" width="2.140625" style="221" customWidth="1"/>
    <col min="10834" max="10834" width="0.5703125" style="221" customWidth="1"/>
    <col min="10835" max="10835" width="2.140625" style="221" customWidth="1"/>
    <col min="10836" max="10836" width="0.5703125" style="221" customWidth="1"/>
    <col min="10837" max="10837" width="2.140625" style="221" customWidth="1"/>
    <col min="10838" max="10838" width="0.5703125" style="221" customWidth="1"/>
    <col min="10839" max="10840" width="2.5703125" style="221" customWidth="1"/>
    <col min="10841"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7109375" style="221" customWidth="1"/>
    <col min="11014" max="11014" width="1.140625" style="221" customWidth="1"/>
    <col min="11015" max="11019" width="0.7109375" style="221" customWidth="1"/>
    <col min="11020" max="11020" width="0.5703125" style="221" customWidth="1"/>
    <col min="11021" max="11033" width="0.7109375" style="221" customWidth="1"/>
    <col min="11034" max="11034" width="1.4257812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 style="221" customWidth="1"/>
    <col min="11071" max="11072" width="0.5703125" style="221" customWidth="1"/>
    <col min="11073" max="11073" width="2.140625" style="221" customWidth="1"/>
    <col min="11074" max="11074" width="0.5703125" style="221" customWidth="1"/>
    <col min="11075" max="11075" width="2.140625" style="221" customWidth="1"/>
    <col min="11076" max="11076" width="0.5703125" style="221" customWidth="1"/>
    <col min="11077" max="11077" width="2.140625" style="221" customWidth="1"/>
    <col min="11078" max="11078" width="0.5703125" style="221" customWidth="1"/>
    <col min="11079" max="11079" width="2.140625" style="221" customWidth="1"/>
    <col min="11080" max="11080" width="0.5703125" style="221" customWidth="1"/>
    <col min="11081" max="11081" width="2.140625" style="221" customWidth="1"/>
    <col min="11082" max="11082" width="0.5703125" style="221" customWidth="1"/>
    <col min="11083" max="11083" width="2.140625" style="221" customWidth="1"/>
    <col min="11084" max="11084" width="0.5703125" style="221" customWidth="1"/>
    <col min="11085" max="11085" width="2.140625" style="221" customWidth="1"/>
    <col min="11086" max="11086" width="0.5703125" style="221" customWidth="1"/>
    <col min="11087" max="11087" width="2.140625" style="221" customWidth="1"/>
    <col min="11088" max="11088" width="0.5703125" style="221" customWidth="1"/>
    <col min="11089" max="11089" width="2.140625" style="221" customWidth="1"/>
    <col min="11090" max="11090" width="0.5703125" style="221" customWidth="1"/>
    <col min="11091" max="11091" width="2.140625" style="221" customWidth="1"/>
    <col min="11092" max="11092" width="0.5703125" style="221" customWidth="1"/>
    <col min="11093" max="11093" width="2.140625" style="221" customWidth="1"/>
    <col min="11094" max="11094" width="0.5703125" style="221" customWidth="1"/>
    <col min="11095" max="11096" width="2.5703125" style="221" customWidth="1"/>
    <col min="11097"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7109375" style="221" customWidth="1"/>
    <col min="11270" max="11270" width="1.140625" style="221" customWidth="1"/>
    <col min="11271" max="11275" width="0.7109375" style="221" customWidth="1"/>
    <col min="11276" max="11276" width="0.5703125" style="221" customWidth="1"/>
    <col min="11277" max="11289" width="0.7109375" style="221" customWidth="1"/>
    <col min="11290" max="11290" width="1.4257812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 style="221" customWidth="1"/>
    <col min="11327" max="11328" width="0.5703125" style="221" customWidth="1"/>
    <col min="11329" max="11329" width="2.140625" style="221" customWidth="1"/>
    <col min="11330" max="11330" width="0.5703125" style="221" customWidth="1"/>
    <col min="11331" max="11331" width="2.140625" style="221" customWidth="1"/>
    <col min="11332" max="11332" width="0.5703125" style="221" customWidth="1"/>
    <col min="11333" max="11333" width="2.140625" style="221" customWidth="1"/>
    <col min="11334" max="11334" width="0.5703125" style="221" customWidth="1"/>
    <col min="11335" max="11335" width="2.140625" style="221" customWidth="1"/>
    <col min="11336" max="11336" width="0.5703125" style="221" customWidth="1"/>
    <col min="11337" max="11337" width="2.140625" style="221" customWidth="1"/>
    <col min="11338" max="11338" width="0.5703125" style="221" customWidth="1"/>
    <col min="11339" max="11339" width="2.140625" style="221" customWidth="1"/>
    <col min="11340" max="11340" width="0.5703125" style="221" customWidth="1"/>
    <col min="11341" max="11341" width="2.140625" style="221" customWidth="1"/>
    <col min="11342" max="11342" width="0.5703125" style="221" customWidth="1"/>
    <col min="11343" max="11343" width="2.140625" style="221" customWidth="1"/>
    <col min="11344" max="11344" width="0.5703125" style="221" customWidth="1"/>
    <col min="11345" max="11345" width="2.140625" style="221" customWidth="1"/>
    <col min="11346" max="11346" width="0.5703125" style="221" customWidth="1"/>
    <col min="11347" max="11347" width="2.140625" style="221" customWidth="1"/>
    <col min="11348" max="11348" width="0.5703125" style="221" customWidth="1"/>
    <col min="11349" max="11349" width="2.140625" style="221" customWidth="1"/>
    <col min="11350" max="11350" width="0.5703125" style="221" customWidth="1"/>
    <col min="11351" max="11352" width="2.5703125" style="221" customWidth="1"/>
    <col min="11353"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7109375" style="221" customWidth="1"/>
    <col min="11526" max="11526" width="1.140625" style="221" customWidth="1"/>
    <col min="11527" max="11531" width="0.7109375" style="221" customWidth="1"/>
    <col min="11532" max="11532" width="0.5703125" style="221" customWidth="1"/>
    <col min="11533" max="11545" width="0.7109375" style="221" customWidth="1"/>
    <col min="11546" max="11546" width="1.4257812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 style="221" customWidth="1"/>
    <col min="11583" max="11584" width="0.5703125" style="221" customWidth="1"/>
    <col min="11585" max="11585" width="2.140625" style="221" customWidth="1"/>
    <col min="11586" max="11586" width="0.5703125" style="221" customWidth="1"/>
    <col min="11587" max="11587" width="2.140625" style="221" customWidth="1"/>
    <col min="11588" max="11588" width="0.5703125" style="221" customWidth="1"/>
    <col min="11589" max="11589" width="2.140625" style="221" customWidth="1"/>
    <col min="11590" max="11590" width="0.5703125" style="221" customWidth="1"/>
    <col min="11591" max="11591" width="2.140625" style="221" customWidth="1"/>
    <col min="11592" max="11592" width="0.5703125" style="221" customWidth="1"/>
    <col min="11593" max="11593" width="2.140625" style="221" customWidth="1"/>
    <col min="11594" max="11594" width="0.5703125" style="221" customWidth="1"/>
    <col min="11595" max="11595" width="2.140625" style="221" customWidth="1"/>
    <col min="11596" max="11596" width="0.5703125" style="221" customWidth="1"/>
    <col min="11597" max="11597" width="2.140625" style="221" customWidth="1"/>
    <col min="11598" max="11598" width="0.5703125" style="221" customWidth="1"/>
    <col min="11599" max="11599" width="2.140625" style="221" customWidth="1"/>
    <col min="11600" max="11600" width="0.5703125" style="221" customWidth="1"/>
    <col min="11601" max="11601" width="2.140625" style="221" customWidth="1"/>
    <col min="11602" max="11602" width="0.5703125" style="221" customWidth="1"/>
    <col min="11603" max="11603" width="2.140625" style="221" customWidth="1"/>
    <col min="11604" max="11604" width="0.5703125" style="221" customWidth="1"/>
    <col min="11605" max="11605" width="2.140625" style="221" customWidth="1"/>
    <col min="11606" max="11606" width="0.5703125" style="221" customWidth="1"/>
    <col min="11607" max="11608" width="2.5703125" style="221" customWidth="1"/>
    <col min="11609"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7109375" style="221" customWidth="1"/>
    <col min="11782" max="11782" width="1.140625" style="221" customWidth="1"/>
    <col min="11783" max="11787" width="0.7109375" style="221" customWidth="1"/>
    <col min="11788" max="11788" width="0.5703125" style="221" customWidth="1"/>
    <col min="11789" max="11801" width="0.7109375" style="221" customWidth="1"/>
    <col min="11802" max="11802" width="1.4257812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 style="221" customWidth="1"/>
    <col min="11839" max="11840" width="0.5703125" style="221" customWidth="1"/>
    <col min="11841" max="11841" width="2.140625" style="221" customWidth="1"/>
    <col min="11842" max="11842" width="0.5703125" style="221" customWidth="1"/>
    <col min="11843" max="11843" width="2.140625" style="221" customWidth="1"/>
    <col min="11844" max="11844" width="0.5703125" style="221" customWidth="1"/>
    <col min="11845" max="11845" width="2.140625" style="221" customWidth="1"/>
    <col min="11846" max="11846" width="0.5703125" style="221" customWidth="1"/>
    <col min="11847" max="11847" width="2.140625" style="221" customWidth="1"/>
    <col min="11848" max="11848" width="0.5703125" style="221" customWidth="1"/>
    <col min="11849" max="11849" width="2.140625" style="221" customWidth="1"/>
    <col min="11850" max="11850" width="0.5703125" style="221" customWidth="1"/>
    <col min="11851" max="11851" width="2.140625" style="221" customWidth="1"/>
    <col min="11852" max="11852" width="0.5703125" style="221" customWidth="1"/>
    <col min="11853" max="11853" width="2.140625" style="221" customWidth="1"/>
    <col min="11854" max="11854" width="0.5703125" style="221" customWidth="1"/>
    <col min="11855" max="11855" width="2.140625" style="221" customWidth="1"/>
    <col min="11856" max="11856" width="0.5703125" style="221" customWidth="1"/>
    <col min="11857" max="11857" width="2.140625" style="221" customWidth="1"/>
    <col min="11858" max="11858" width="0.5703125" style="221" customWidth="1"/>
    <col min="11859" max="11859" width="2.140625" style="221" customWidth="1"/>
    <col min="11860" max="11860" width="0.5703125" style="221" customWidth="1"/>
    <col min="11861" max="11861" width="2.140625" style="221" customWidth="1"/>
    <col min="11862" max="11862" width="0.5703125" style="221" customWidth="1"/>
    <col min="11863" max="11864" width="2.5703125" style="221" customWidth="1"/>
    <col min="11865"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7109375" style="221" customWidth="1"/>
    <col min="12038" max="12038" width="1.140625" style="221" customWidth="1"/>
    <col min="12039" max="12043" width="0.7109375" style="221" customWidth="1"/>
    <col min="12044" max="12044" width="0.5703125" style="221" customWidth="1"/>
    <col min="12045" max="12057" width="0.7109375" style="221" customWidth="1"/>
    <col min="12058" max="12058" width="1.4257812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 style="221" customWidth="1"/>
    <col min="12095" max="12096" width="0.5703125" style="221" customWidth="1"/>
    <col min="12097" max="12097" width="2.140625" style="221" customWidth="1"/>
    <col min="12098" max="12098" width="0.5703125" style="221" customWidth="1"/>
    <col min="12099" max="12099" width="2.140625" style="221" customWidth="1"/>
    <col min="12100" max="12100" width="0.5703125" style="221" customWidth="1"/>
    <col min="12101" max="12101" width="2.140625" style="221" customWidth="1"/>
    <col min="12102" max="12102" width="0.5703125" style="221" customWidth="1"/>
    <col min="12103" max="12103" width="2.140625" style="221" customWidth="1"/>
    <col min="12104" max="12104" width="0.5703125" style="221" customWidth="1"/>
    <col min="12105" max="12105" width="2.140625" style="221" customWidth="1"/>
    <col min="12106" max="12106" width="0.5703125" style="221" customWidth="1"/>
    <col min="12107" max="12107" width="2.140625" style="221" customWidth="1"/>
    <col min="12108" max="12108" width="0.5703125" style="221" customWidth="1"/>
    <col min="12109" max="12109" width="2.140625" style="221" customWidth="1"/>
    <col min="12110" max="12110" width="0.5703125" style="221" customWidth="1"/>
    <col min="12111" max="12111" width="2.140625" style="221" customWidth="1"/>
    <col min="12112" max="12112" width="0.5703125" style="221" customWidth="1"/>
    <col min="12113" max="12113" width="2.140625" style="221" customWidth="1"/>
    <col min="12114" max="12114" width="0.5703125" style="221" customWidth="1"/>
    <col min="12115" max="12115" width="2.140625" style="221" customWidth="1"/>
    <col min="12116" max="12116" width="0.5703125" style="221" customWidth="1"/>
    <col min="12117" max="12117" width="2.140625" style="221" customWidth="1"/>
    <col min="12118" max="12118" width="0.5703125" style="221" customWidth="1"/>
    <col min="12119" max="12120" width="2.5703125" style="221" customWidth="1"/>
    <col min="12121"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7109375" style="221" customWidth="1"/>
    <col min="12294" max="12294" width="1.140625" style="221" customWidth="1"/>
    <col min="12295" max="12299" width="0.7109375" style="221" customWidth="1"/>
    <col min="12300" max="12300" width="0.5703125" style="221" customWidth="1"/>
    <col min="12301" max="12313" width="0.7109375" style="221" customWidth="1"/>
    <col min="12314" max="12314" width="1.4257812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 style="221" customWidth="1"/>
    <col min="12351" max="12352" width="0.5703125" style="221" customWidth="1"/>
    <col min="12353" max="12353" width="2.140625" style="221" customWidth="1"/>
    <col min="12354" max="12354" width="0.5703125" style="221" customWidth="1"/>
    <col min="12355" max="12355" width="2.140625" style="221" customWidth="1"/>
    <col min="12356" max="12356" width="0.5703125" style="221" customWidth="1"/>
    <col min="12357" max="12357" width="2.140625" style="221" customWidth="1"/>
    <col min="12358" max="12358" width="0.5703125" style="221" customWidth="1"/>
    <col min="12359" max="12359" width="2.140625" style="221" customWidth="1"/>
    <col min="12360" max="12360" width="0.5703125" style="221" customWidth="1"/>
    <col min="12361" max="12361" width="2.140625" style="221" customWidth="1"/>
    <col min="12362" max="12362" width="0.5703125" style="221" customWidth="1"/>
    <col min="12363" max="12363" width="2.140625" style="221" customWidth="1"/>
    <col min="12364" max="12364" width="0.5703125" style="221" customWidth="1"/>
    <col min="12365" max="12365" width="2.140625" style="221" customWidth="1"/>
    <col min="12366" max="12366" width="0.5703125" style="221" customWidth="1"/>
    <col min="12367" max="12367" width="2.140625" style="221" customWidth="1"/>
    <col min="12368" max="12368" width="0.5703125" style="221" customWidth="1"/>
    <col min="12369" max="12369" width="2.140625" style="221" customWidth="1"/>
    <col min="12370" max="12370" width="0.5703125" style="221" customWidth="1"/>
    <col min="12371" max="12371" width="2.140625" style="221" customWidth="1"/>
    <col min="12372" max="12372" width="0.5703125" style="221" customWidth="1"/>
    <col min="12373" max="12373" width="2.140625" style="221" customWidth="1"/>
    <col min="12374" max="12374" width="0.5703125" style="221" customWidth="1"/>
    <col min="12375" max="12376" width="2.5703125" style="221" customWidth="1"/>
    <col min="12377"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7109375" style="221" customWidth="1"/>
    <col min="12550" max="12550" width="1.140625" style="221" customWidth="1"/>
    <col min="12551" max="12555" width="0.7109375" style="221" customWidth="1"/>
    <col min="12556" max="12556" width="0.5703125" style="221" customWidth="1"/>
    <col min="12557" max="12569" width="0.7109375" style="221" customWidth="1"/>
    <col min="12570" max="12570" width="1.4257812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 style="221" customWidth="1"/>
    <col min="12607" max="12608" width="0.5703125" style="221" customWidth="1"/>
    <col min="12609" max="12609" width="2.140625" style="221" customWidth="1"/>
    <col min="12610" max="12610" width="0.5703125" style="221" customWidth="1"/>
    <col min="12611" max="12611" width="2.140625" style="221" customWidth="1"/>
    <col min="12612" max="12612" width="0.5703125" style="221" customWidth="1"/>
    <col min="12613" max="12613" width="2.140625" style="221" customWidth="1"/>
    <col min="12614" max="12614" width="0.5703125" style="221" customWidth="1"/>
    <col min="12615" max="12615" width="2.140625" style="221" customWidth="1"/>
    <col min="12616" max="12616" width="0.5703125" style="221" customWidth="1"/>
    <col min="12617" max="12617" width="2.140625" style="221" customWidth="1"/>
    <col min="12618" max="12618" width="0.5703125" style="221" customWidth="1"/>
    <col min="12619" max="12619" width="2.140625" style="221" customWidth="1"/>
    <col min="12620" max="12620" width="0.5703125" style="221" customWidth="1"/>
    <col min="12621" max="12621" width="2.140625" style="221" customWidth="1"/>
    <col min="12622" max="12622" width="0.5703125" style="221" customWidth="1"/>
    <col min="12623" max="12623" width="2.140625" style="221" customWidth="1"/>
    <col min="12624" max="12624" width="0.5703125" style="221" customWidth="1"/>
    <col min="12625" max="12625" width="2.140625" style="221" customWidth="1"/>
    <col min="12626" max="12626" width="0.5703125" style="221" customWidth="1"/>
    <col min="12627" max="12627" width="2.140625" style="221" customWidth="1"/>
    <col min="12628" max="12628" width="0.5703125" style="221" customWidth="1"/>
    <col min="12629" max="12629" width="2.140625" style="221" customWidth="1"/>
    <col min="12630" max="12630" width="0.5703125" style="221" customWidth="1"/>
    <col min="12631" max="12632" width="2.5703125" style="221" customWidth="1"/>
    <col min="12633"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7109375" style="221" customWidth="1"/>
    <col min="12806" max="12806" width="1.140625" style="221" customWidth="1"/>
    <col min="12807" max="12811" width="0.7109375" style="221" customWidth="1"/>
    <col min="12812" max="12812" width="0.5703125" style="221" customWidth="1"/>
    <col min="12813" max="12825" width="0.7109375" style="221" customWidth="1"/>
    <col min="12826" max="12826" width="1.4257812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 style="221" customWidth="1"/>
    <col min="12863" max="12864" width="0.5703125" style="221" customWidth="1"/>
    <col min="12865" max="12865" width="2.140625" style="221" customWidth="1"/>
    <col min="12866" max="12866" width="0.5703125" style="221" customWidth="1"/>
    <col min="12867" max="12867" width="2.140625" style="221" customWidth="1"/>
    <col min="12868" max="12868" width="0.5703125" style="221" customWidth="1"/>
    <col min="12869" max="12869" width="2.140625" style="221" customWidth="1"/>
    <col min="12870" max="12870" width="0.5703125" style="221" customWidth="1"/>
    <col min="12871" max="12871" width="2.140625" style="221" customWidth="1"/>
    <col min="12872" max="12872" width="0.5703125" style="221" customWidth="1"/>
    <col min="12873" max="12873" width="2.140625" style="221" customWidth="1"/>
    <col min="12874" max="12874" width="0.5703125" style="221" customWidth="1"/>
    <col min="12875" max="12875" width="2.140625" style="221" customWidth="1"/>
    <col min="12876" max="12876" width="0.5703125" style="221" customWidth="1"/>
    <col min="12877" max="12877" width="2.140625" style="221" customWidth="1"/>
    <col min="12878" max="12878" width="0.5703125" style="221" customWidth="1"/>
    <col min="12879" max="12879" width="2.140625" style="221" customWidth="1"/>
    <col min="12880" max="12880" width="0.5703125" style="221" customWidth="1"/>
    <col min="12881" max="12881" width="2.140625" style="221" customWidth="1"/>
    <col min="12882" max="12882" width="0.5703125" style="221" customWidth="1"/>
    <col min="12883" max="12883" width="2.140625" style="221" customWidth="1"/>
    <col min="12884" max="12884" width="0.5703125" style="221" customWidth="1"/>
    <col min="12885" max="12885" width="2.140625" style="221" customWidth="1"/>
    <col min="12886" max="12886" width="0.5703125" style="221" customWidth="1"/>
    <col min="12887" max="12888" width="2.5703125" style="221" customWidth="1"/>
    <col min="12889"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7109375" style="221" customWidth="1"/>
    <col min="13062" max="13062" width="1.140625" style="221" customWidth="1"/>
    <col min="13063" max="13067" width="0.7109375" style="221" customWidth="1"/>
    <col min="13068" max="13068" width="0.5703125" style="221" customWidth="1"/>
    <col min="13069" max="13081" width="0.7109375" style="221" customWidth="1"/>
    <col min="13082" max="13082" width="1.4257812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 style="221" customWidth="1"/>
    <col min="13119" max="13120" width="0.5703125" style="221" customWidth="1"/>
    <col min="13121" max="13121" width="2.140625" style="221" customWidth="1"/>
    <col min="13122" max="13122" width="0.5703125" style="221" customWidth="1"/>
    <col min="13123" max="13123" width="2.140625" style="221" customWidth="1"/>
    <col min="13124" max="13124" width="0.5703125" style="221" customWidth="1"/>
    <col min="13125" max="13125" width="2.140625" style="221" customWidth="1"/>
    <col min="13126" max="13126" width="0.5703125" style="221" customWidth="1"/>
    <col min="13127" max="13127" width="2.140625" style="221" customWidth="1"/>
    <col min="13128" max="13128" width="0.5703125" style="221" customWidth="1"/>
    <col min="13129" max="13129" width="2.140625" style="221" customWidth="1"/>
    <col min="13130" max="13130" width="0.5703125" style="221" customWidth="1"/>
    <col min="13131" max="13131" width="2.140625" style="221" customWidth="1"/>
    <col min="13132" max="13132" width="0.5703125" style="221" customWidth="1"/>
    <col min="13133" max="13133" width="2.140625" style="221" customWidth="1"/>
    <col min="13134" max="13134" width="0.5703125" style="221" customWidth="1"/>
    <col min="13135" max="13135" width="2.140625" style="221" customWidth="1"/>
    <col min="13136" max="13136" width="0.5703125" style="221" customWidth="1"/>
    <col min="13137" max="13137" width="2.140625" style="221" customWidth="1"/>
    <col min="13138" max="13138" width="0.5703125" style="221" customWidth="1"/>
    <col min="13139" max="13139" width="2.140625" style="221" customWidth="1"/>
    <col min="13140" max="13140" width="0.5703125" style="221" customWidth="1"/>
    <col min="13141" max="13141" width="2.140625" style="221" customWidth="1"/>
    <col min="13142" max="13142" width="0.5703125" style="221" customWidth="1"/>
    <col min="13143" max="13144" width="2.5703125" style="221" customWidth="1"/>
    <col min="13145"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7109375" style="221" customWidth="1"/>
    <col min="13318" max="13318" width="1.140625" style="221" customWidth="1"/>
    <col min="13319" max="13323" width="0.7109375" style="221" customWidth="1"/>
    <col min="13324" max="13324" width="0.5703125" style="221" customWidth="1"/>
    <col min="13325" max="13337" width="0.7109375" style="221" customWidth="1"/>
    <col min="13338" max="13338" width="1.4257812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 style="221" customWidth="1"/>
    <col min="13375" max="13376" width="0.5703125" style="221" customWidth="1"/>
    <col min="13377" max="13377" width="2.140625" style="221" customWidth="1"/>
    <col min="13378" max="13378" width="0.5703125" style="221" customWidth="1"/>
    <col min="13379" max="13379" width="2.140625" style="221" customWidth="1"/>
    <col min="13380" max="13380" width="0.5703125" style="221" customWidth="1"/>
    <col min="13381" max="13381" width="2.140625" style="221" customWidth="1"/>
    <col min="13382" max="13382" width="0.5703125" style="221" customWidth="1"/>
    <col min="13383" max="13383" width="2.140625" style="221" customWidth="1"/>
    <col min="13384" max="13384" width="0.5703125" style="221" customWidth="1"/>
    <col min="13385" max="13385" width="2.140625" style="221" customWidth="1"/>
    <col min="13386" max="13386" width="0.5703125" style="221" customWidth="1"/>
    <col min="13387" max="13387" width="2.140625" style="221" customWidth="1"/>
    <col min="13388" max="13388" width="0.5703125" style="221" customWidth="1"/>
    <col min="13389" max="13389" width="2.140625" style="221" customWidth="1"/>
    <col min="13390" max="13390" width="0.5703125" style="221" customWidth="1"/>
    <col min="13391" max="13391" width="2.140625" style="221" customWidth="1"/>
    <col min="13392" max="13392" width="0.5703125" style="221" customWidth="1"/>
    <col min="13393" max="13393" width="2.140625" style="221" customWidth="1"/>
    <col min="13394" max="13394" width="0.5703125" style="221" customWidth="1"/>
    <col min="13395" max="13395" width="2.140625" style="221" customWidth="1"/>
    <col min="13396" max="13396" width="0.5703125" style="221" customWidth="1"/>
    <col min="13397" max="13397" width="2.140625" style="221" customWidth="1"/>
    <col min="13398" max="13398" width="0.5703125" style="221" customWidth="1"/>
    <col min="13399" max="13400" width="2.5703125" style="221" customWidth="1"/>
    <col min="13401"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7109375" style="221" customWidth="1"/>
    <col min="13574" max="13574" width="1.140625" style="221" customWidth="1"/>
    <col min="13575" max="13579" width="0.7109375" style="221" customWidth="1"/>
    <col min="13580" max="13580" width="0.5703125" style="221" customWidth="1"/>
    <col min="13581" max="13593" width="0.7109375" style="221" customWidth="1"/>
    <col min="13594" max="13594" width="1.4257812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 style="221" customWidth="1"/>
    <col min="13631" max="13632" width="0.5703125" style="221" customWidth="1"/>
    <col min="13633" max="13633" width="2.140625" style="221" customWidth="1"/>
    <col min="13634" max="13634" width="0.5703125" style="221" customWidth="1"/>
    <col min="13635" max="13635" width="2.140625" style="221" customWidth="1"/>
    <col min="13636" max="13636" width="0.5703125" style="221" customWidth="1"/>
    <col min="13637" max="13637" width="2.140625" style="221" customWidth="1"/>
    <col min="13638" max="13638" width="0.5703125" style="221" customWidth="1"/>
    <col min="13639" max="13639" width="2.140625" style="221" customWidth="1"/>
    <col min="13640" max="13640" width="0.5703125" style="221" customWidth="1"/>
    <col min="13641" max="13641" width="2.140625" style="221" customWidth="1"/>
    <col min="13642" max="13642" width="0.5703125" style="221" customWidth="1"/>
    <col min="13643" max="13643" width="2.140625" style="221" customWidth="1"/>
    <col min="13644" max="13644" width="0.5703125" style="221" customWidth="1"/>
    <col min="13645" max="13645" width="2.140625" style="221" customWidth="1"/>
    <col min="13646" max="13646" width="0.5703125" style="221" customWidth="1"/>
    <col min="13647" max="13647" width="2.140625" style="221" customWidth="1"/>
    <col min="13648" max="13648" width="0.5703125" style="221" customWidth="1"/>
    <col min="13649" max="13649" width="2.140625" style="221" customWidth="1"/>
    <col min="13650" max="13650" width="0.5703125" style="221" customWidth="1"/>
    <col min="13651" max="13651" width="2.140625" style="221" customWidth="1"/>
    <col min="13652" max="13652" width="0.5703125" style="221" customWidth="1"/>
    <col min="13653" max="13653" width="2.140625" style="221" customWidth="1"/>
    <col min="13654" max="13654" width="0.5703125" style="221" customWidth="1"/>
    <col min="13655" max="13656" width="2.5703125" style="221" customWidth="1"/>
    <col min="13657"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7109375" style="221" customWidth="1"/>
    <col min="13830" max="13830" width="1.140625" style="221" customWidth="1"/>
    <col min="13831" max="13835" width="0.7109375" style="221" customWidth="1"/>
    <col min="13836" max="13836" width="0.5703125" style="221" customWidth="1"/>
    <col min="13837" max="13849" width="0.7109375" style="221" customWidth="1"/>
    <col min="13850" max="13850" width="1.4257812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 style="221" customWidth="1"/>
    <col min="13887" max="13888" width="0.5703125" style="221" customWidth="1"/>
    <col min="13889" max="13889" width="2.140625" style="221" customWidth="1"/>
    <col min="13890" max="13890" width="0.5703125" style="221" customWidth="1"/>
    <col min="13891" max="13891" width="2.140625" style="221" customWidth="1"/>
    <col min="13892" max="13892" width="0.5703125" style="221" customWidth="1"/>
    <col min="13893" max="13893" width="2.140625" style="221" customWidth="1"/>
    <col min="13894" max="13894" width="0.5703125" style="221" customWidth="1"/>
    <col min="13895" max="13895" width="2.140625" style="221" customWidth="1"/>
    <col min="13896" max="13896" width="0.5703125" style="221" customWidth="1"/>
    <col min="13897" max="13897" width="2.140625" style="221" customWidth="1"/>
    <col min="13898" max="13898" width="0.5703125" style="221" customWidth="1"/>
    <col min="13899" max="13899" width="2.140625" style="221" customWidth="1"/>
    <col min="13900" max="13900" width="0.5703125" style="221" customWidth="1"/>
    <col min="13901" max="13901" width="2.140625" style="221" customWidth="1"/>
    <col min="13902" max="13902" width="0.5703125" style="221" customWidth="1"/>
    <col min="13903" max="13903" width="2.140625" style="221" customWidth="1"/>
    <col min="13904" max="13904" width="0.5703125" style="221" customWidth="1"/>
    <col min="13905" max="13905" width="2.140625" style="221" customWidth="1"/>
    <col min="13906" max="13906" width="0.5703125" style="221" customWidth="1"/>
    <col min="13907" max="13907" width="2.140625" style="221" customWidth="1"/>
    <col min="13908" max="13908" width="0.5703125" style="221" customWidth="1"/>
    <col min="13909" max="13909" width="2.140625" style="221" customWidth="1"/>
    <col min="13910" max="13910" width="0.5703125" style="221" customWidth="1"/>
    <col min="13911" max="13912" width="2.5703125" style="221" customWidth="1"/>
    <col min="13913"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7109375" style="221" customWidth="1"/>
    <col min="14086" max="14086" width="1.140625" style="221" customWidth="1"/>
    <col min="14087" max="14091" width="0.7109375" style="221" customWidth="1"/>
    <col min="14092" max="14092" width="0.5703125" style="221" customWidth="1"/>
    <col min="14093" max="14105" width="0.7109375" style="221" customWidth="1"/>
    <col min="14106" max="14106" width="1.4257812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 style="221" customWidth="1"/>
    <col min="14143" max="14144" width="0.5703125" style="221" customWidth="1"/>
    <col min="14145" max="14145" width="2.140625" style="221" customWidth="1"/>
    <col min="14146" max="14146" width="0.5703125" style="221" customWidth="1"/>
    <col min="14147" max="14147" width="2.140625" style="221" customWidth="1"/>
    <col min="14148" max="14148" width="0.5703125" style="221" customWidth="1"/>
    <col min="14149" max="14149" width="2.140625" style="221" customWidth="1"/>
    <col min="14150" max="14150" width="0.5703125" style="221" customWidth="1"/>
    <col min="14151" max="14151" width="2.140625" style="221" customWidth="1"/>
    <col min="14152" max="14152" width="0.5703125" style="221" customWidth="1"/>
    <col min="14153" max="14153" width="2.140625" style="221" customWidth="1"/>
    <col min="14154" max="14154" width="0.5703125" style="221" customWidth="1"/>
    <col min="14155" max="14155" width="2.140625" style="221" customWidth="1"/>
    <col min="14156" max="14156" width="0.5703125" style="221" customWidth="1"/>
    <col min="14157" max="14157" width="2.140625" style="221" customWidth="1"/>
    <col min="14158" max="14158" width="0.5703125" style="221" customWidth="1"/>
    <col min="14159" max="14159" width="2.140625" style="221" customWidth="1"/>
    <col min="14160" max="14160" width="0.5703125" style="221" customWidth="1"/>
    <col min="14161" max="14161" width="2.140625" style="221" customWidth="1"/>
    <col min="14162" max="14162" width="0.5703125" style="221" customWidth="1"/>
    <col min="14163" max="14163" width="2.140625" style="221" customWidth="1"/>
    <col min="14164" max="14164" width="0.5703125" style="221" customWidth="1"/>
    <col min="14165" max="14165" width="2.140625" style="221" customWidth="1"/>
    <col min="14166" max="14166" width="0.5703125" style="221" customWidth="1"/>
    <col min="14167" max="14168" width="2.5703125" style="221" customWidth="1"/>
    <col min="14169"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7109375" style="221" customWidth="1"/>
    <col min="14342" max="14342" width="1.140625" style="221" customWidth="1"/>
    <col min="14343" max="14347" width="0.7109375" style="221" customWidth="1"/>
    <col min="14348" max="14348" width="0.5703125" style="221" customWidth="1"/>
    <col min="14349" max="14361" width="0.7109375" style="221" customWidth="1"/>
    <col min="14362" max="14362" width="1.4257812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 style="221" customWidth="1"/>
    <col min="14399" max="14400" width="0.5703125" style="221" customWidth="1"/>
    <col min="14401" max="14401" width="2.140625" style="221" customWidth="1"/>
    <col min="14402" max="14402" width="0.5703125" style="221" customWidth="1"/>
    <col min="14403" max="14403" width="2.140625" style="221" customWidth="1"/>
    <col min="14404" max="14404" width="0.5703125" style="221" customWidth="1"/>
    <col min="14405" max="14405" width="2.140625" style="221" customWidth="1"/>
    <col min="14406" max="14406" width="0.5703125" style="221" customWidth="1"/>
    <col min="14407" max="14407" width="2.140625" style="221" customWidth="1"/>
    <col min="14408" max="14408" width="0.5703125" style="221" customWidth="1"/>
    <col min="14409" max="14409" width="2.140625" style="221" customWidth="1"/>
    <col min="14410" max="14410" width="0.5703125" style="221" customWidth="1"/>
    <col min="14411" max="14411" width="2.140625" style="221" customWidth="1"/>
    <col min="14412" max="14412" width="0.5703125" style="221" customWidth="1"/>
    <col min="14413" max="14413" width="2.140625" style="221" customWidth="1"/>
    <col min="14414" max="14414" width="0.5703125" style="221" customWidth="1"/>
    <col min="14415" max="14415" width="2.140625" style="221" customWidth="1"/>
    <col min="14416" max="14416" width="0.5703125" style="221" customWidth="1"/>
    <col min="14417" max="14417" width="2.140625" style="221" customWidth="1"/>
    <col min="14418" max="14418" width="0.5703125" style="221" customWidth="1"/>
    <col min="14419" max="14419" width="2.140625" style="221" customWidth="1"/>
    <col min="14420" max="14420" width="0.5703125" style="221" customWidth="1"/>
    <col min="14421" max="14421" width="2.140625" style="221" customWidth="1"/>
    <col min="14422" max="14422" width="0.5703125" style="221" customWidth="1"/>
    <col min="14423" max="14424" width="2.5703125" style="221" customWidth="1"/>
    <col min="14425"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7109375" style="221" customWidth="1"/>
    <col min="14598" max="14598" width="1.140625" style="221" customWidth="1"/>
    <col min="14599" max="14603" width="0.7109375" style="221" customWidth="1"/>
    <col min="14604" max="14604" width="0.5703125" style="221" customWidth="1"/>
    <col min="14605" max="14617" width="0.7109375" style="221" customWidth="1"/>
    <col min="14618" max="14618" width="1.4257812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 style="221" customWidth="1"/>
    <col min="14655" max="14656" width="0.5703125" style="221" customWidth="1"/>
    <col min="14657" max="14657" width="2.140625" style="221" customWidth="1"/>
    <col min="14658" max="14658" width="0.5703125" style="221" customWidth="1"/>
    <col min="14659" max="14659" width="2.140625" style="221" customWidth="1"/>
    <col min="14660" max="14660" width="0.5703125" style="221" customWidth="1"/>
    <col min="14661" max="14661" width="2.140625" style="221" customWidth="1"/>
    <col min="14662" max="14662" width="0.5703125" style="221" customWidth="1"/>
    <col min="14663" max="14663" width="2.140625" style="221" customWidth="1"/>
    <col min="14664" max="14664" width="0.5703125" style="221" customWidth="1"/>
    <col min="14665" max="14665" width="2.140625" style="221" customWidth="1"/>
    <col min="14666" max="14666" width="0.5703125" style="221" customWidth="1"/>
    <col min="14667" max="14667" width="2.140625" style="221" customWidth="1"/>
    <col min="14668" max="14668" width="0.5703125" style="221" customWidth="1"/>
    <col min="14669" max="14669" width="2.140625" style="221" customWidth="1"/>
    <col min="14670" max="14670" width="0.5703125" style="221" customWidth="1"/>
    <col min="14671" max="14671" width="2.140625" style="221" customWidth="1"/>
    <col min="14672" max="14672" width="0.5703125" style="221" customWidth="1"/>
    <col min="14673" max="14673" width="2.140625" style="221" customWidth="1"/>
    <col min="14674" max="14674" width="0.5703125" style="221" customWidth="1"/>
    <col min="14675" max="14675" width="2.140625" style="221" customWidth="1"/>
    <col min="14676" max="14676" width="0.5703125" style="221" customWidth="1"/>
    <col min="14677" max="14677" width="2.140625" style="221" customWidth="1"/>
    <col min="14678" max="14678" width="0.5703125" style="221" customWidth="1"/>
    <col min="14679" max="14680" width="2.5703125" style="221" customWidth="1"/>
    <col min="14681"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7109375" style="221" customWidth="1"/>
    <col min="14854" max="14854" width="1.140625" style="221" customWidth="1"/>
    <col min="14855" max="14859" width="0.7109375" style="221" customWidth="1"/>
    <col min="14860" max="14860" width="0.5703125" style="221" customWidth="1"/>
    <col min="14861" max="14873" width="0.7109375" style="221" customWidth="1"/>
    <col min="14874" max="14874" width="1.4257812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 style="221" customWidth="1"/>
    <col min="14911" max="14912" width="0.5703125" style="221" customWidth="1"/>
    <col min="14913" max="14913" width="2.140625" style="221" customWidth="1"/>
    <col min="14914" max="14914" width="0.5703125" style="221" customWidth="1"/>
    <col min="14915" max="14915" width="2.140625" style="221" customWidth="1"/>
    <col min="14916" max="14916" width="0.5703125" style="221" customWidth="1"/>
    <col min="14917" max="14917" width="2.140625" style="221" customWidth="1"/>
    <col min="14918" max="14918" width="0.5703125" style="221" customWidth="1"/>
    <col min="14919" max="14919" width="2.140625" style="221" customWidth="1"/>
    <col min="14920" max="14920" width="0.5703125" style="221" customWidth="1"/>
    <col min="14921" max="14921" width="2.140625" style="221" customWidth="1"/>
    <col min="14922" max="14922" width="0.5703125" style="221" customWidth="1"/>
    <col min="14923" max="14923" width="2.140625" style="221" customWidth="1"/>
    <col min="14924" max="14924" width="0.5703125" style="221" customWidth="1"/>
    <col min="14925" max="14925" width="2.140625" style="221" customWidth="1"/>
    <col min="14926" max="14926" width="0.5703125" style="221" customWidth="1"/>
    <col min="14927" max="14927" width="2.140625" style="221" customWidth="1"/>
    <col min="14928" max="14928" width="0.5703125" style="221" customWidth="1"/>
    <col min="14929" max="14929" width="2.140625" style="221" customWidth="1"/>
    <col min="14930" max="14930" width="0.5703125" style="221" customWidth="1"/>
    <col min="14931" max="14931" width="2.140625" style="221" customWidth="1"/>
    <col min="14932" max="14932" width="0.5703125" style="221" customWidth="1"/>
    <col min="14933" max="14933" width="2.140625" style="221" customWidth="1"/>
    <col min="14934" max="14934" width="0.5703125" style="221" customWidth="1"/>
    <col min="14935" max="14936" width="2.5703125" style="221" customWidth="1"/>
    <col min="14937"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7109375" style="221" customWidth="1"/>
    <col min="15110" max="15110" width="1.140625" style="221" customWidth="1"/>
    <col min="15111" max="15115" width="0.7109375" style="221" customWidth="1"/>
    <col min="15116" max="15116" width="0.5703125" style="221" customWidth="1"/>
    <col min="15117" max="15129" width="0.7109375" style="221" customWidth="1"/>
    <col min="15130" max="15130" width="1.4257812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 style="221" customWidth="1"/>
    <col min="15167" max="15168" width="0.5703125" style="221" customWidth="1"/>
    <col min="15169" max="15169" width="2.140625" style="221" customWidth="1"/>
    <col min="15170" max="15170" width="0.5703125" style="221" customWidth="1"/>
    <col min="15171" max="15171" width="2.140625" style="221" customWidth="1"/>
    <col min="15172" max="15172" width="0.5703125" style="221" customWidth="1"/>
    <col min="15173" max="15173" width="2.140625" style="221" customWidth="1"/>
    <col min="15174" max="15174" width="0.5703125" style="221" customWidth="1"/>
    <col min="15175" max="15175" width="2.140625" style="221" customWidth="1"/>
    <col min="15176" max="15176" width="0.5703125" style="221" customWidth="1"/>
    <col min="15177" max="15177" width="2.140625" style="221" customWidth="1"/>
    <col min="15178" max="15178" width="0.5703125" style="221" customWidth="1"/>
    <col min="15179" max="15179" width="2.140625" style="221" customWidth="1"/>
    <col min="15180" max="15180" width="0.5703125" style="221" customWidth="1"/>
    <col min="15181" max="15181" width="2.140625" style="221" customWidth="1"/>
    <col min="15182" max="15182" width="0.5703125" style="221" customWidth="1"/>
    <col min="15183" max="15183" width="2.140625" style="221" customWidth="1"/>
    <col min="15184" max="15184" width="0.5703125" style="221" customWidth="1"/>
    <col min="15185" max="15185" width="2.140625" style="221" customWidth="1"/>
    <col min="15186" max="15186" width="0.5703125" style="221" customWidth="1"/>
    <col min="15187" max="15187" width="2.140625" style="221" customWidth="1"/>
    <col min="15188" max="15188" width="0.5703125" style="221" customWidth="1"/>
    <col min="15189" max="15189" width="2.140625" style="221" customWidth="1"/>
    <col min="15190" max="15190" width="0.5703125" style="221" customWidth="1"/>
    <col min="15191" max="15192" width="2.5703125" style="221" customWidth="1"/>
    <col min="15193"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7109375" style="221" customWidth="1"/>
    <col min="15366" max="15366" width="1.140625" style="221" customWidth="1"/>
    <col min="15367" max="15371" width="0.7109375" style="221" customWidth="1"/>
    <col min="15372" max="15372" width="0.5703125" style="221" customWidth="1"/>
    <col min="15373" max="15385" width="0.7109375" style="221" customWidth="1"/>
    <col min="15386" max="15386" width="1.4257812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 style="221" customWidth="1"/>
    <col min="15423" max="15424" width="0.5703125" style="221" customWidth="1"/>
    <col min="15425" max="15425" width="2.140625" style="221" customWidth="1"/>
    <col min="15426" max="15426" width="0.5703125" style="221" customWidth="1"/>
    <col min="15427" max="15427" width="2.140625" style="221" customWidth="1"/>
    <col min="15428" max="15428" width="0.5703125" style="221" customWidth="1"/>
    <col min="15429" max="15429" width="2.140625" style="221" customWidth="1"/>
    <col min="15430" max="15430" width="0.5703125" style="221" customWidth="1"/>
    <col min="15431" max="15431" width="2.140625" style="221" customWidth="1"/>
    <col min="15432" max="15432" width="0.5703125" style="221" customWidth="1"/>
    <col min="15433" max="15433" width="2.140625" style="221" customWidth="1"/>
    <col min="15434" max="15434" width="0.5703125" style="221" customWidth="1"/>
    <col min="15435" max="15435" width="2.140625" style="221" customWidth="1"/>
    <col min="15436" max="15436" width="0.5703125" style="221" customWidth="1"/>
    <col min="15437" max="15437" width="2.140625" style="221" customWidth="1"/>
    <col min="15438" max="15438" width="0.5703125" style="221" customWidth="1"/>
    <col min="15439" max="15439" width="2.140625" style="221" customWidth="1"/>
    <col min="15440" max="15440" width="0.5703125" style="221" customWidth="1"/>
    <col min="15441" max="15441" width="2.140625" style="221" customWidth="1"/>
    <col min="15442" max="15442" width="0.5703125" style="221" customWidth="1"/>
    <col min="15443" max="15443" width="2.140625" style="221" customWidth="1"/>
    <col min="15444" max="15444" width="0.5703125" style="221" customWidth="1"/>
    <col min="15445" max="15445" width="2.140625" style="221" customWidth="1"/>
    <col min="15446" max="15446" width="0.5703125" style="221" customWidth="1"/>
    <col min="15447" max="15448" width="2.5703125" style="221" customWidth="1"/>
    <col min="15449"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7109375" style="221" customWidth="1"/>
    <col min="15622" max="15622" width="1.140625" style="221" customWidth="1"/>
    <col min="15623" max="15627" width="0.7109375" style="221" customWidth="1"/>
    <col min="15628" max="15628" width="0.5703125" style="221" customWidth="1"/>
    <col min="15629" max="15641" width="0.7109375" style="221" customWidth="1"/>
    <col min="15642" max="15642" width="1.4257812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 style="221" customWidth="1"/>
    <col min="15679" max="15680" width="0.5703125" style="221" customWidth="1"/>
    <col min="15681" max="15681" width="2.140625" style="221" customWidth="1"/>
    <col min="15682" max="15682" width="0.5703125" style="221" customWidth="1"/>
    <col min="15683" max="15683" width="2.140625" style="221" customWidth="1"/>
    <col min="15684" max="15684" width="0.5703125" style="221" customWidth="1"/>
    <col min="15685" max="15685" width="2.140625" style="221" customWidth="1"/>
    <col min="15686" max="15686" width="0.5703125" style="221" customWidth="1"/>
    <col min="15687" max="15687" width="2.140625" style="221" customWidth="1"/>
    <col min="15688" max="15688" width="0.5703125" style="221" customWidth="1"/>
    <col min="15689" max="15689" width="2.140625" style="221" customWidth="1"/>
    <col min="15690" max="15690" width="0.5703125" style="221" customWidth="1"/>
    <col min="15691" max="15691" width="2.140625" style="221" customWidth="1"/>
    <col min="15692" max="15692" width="0.5703125" style="221" customWidth="1"/>
    <col min="15693" max="15693" width="2.140625" style="221" customWidth="1"/>
    <col min="15694" max="15694" width="0.5703125" style="221" customWidth="1"/>
    <col min="15695" max="15695" width="2.140625" style="221" customWidth="1"/>
    <col min="15696" max="15696" width="0.5703125" style="221" customWidth="1"/>
    <col min="15697" max="15697" width="2.140625" style="221" customWidth="1"/>
    <col min="15698" max="15698" width="0.5703125" style="221" customWidth="1"/>
    <col min="15699" max="15699" width="2.140625" style="221" customWidth="1"/>
    <col min="15700" max="15700" width="0.5703125" style="221" customWidth="1"/>
    <col min="15701" max="15701" width="2.140625" style="221" customWidth="1"/>
    <col min="15702" max="15702" width="0.5703125" style="221" customWidth="1"/>
    <col min="15703" max="15704" width="2.5703125" style="221" customWidth="1"/>
    <col min="15705"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7109375" style="221" customWidth="1"/>
    <col min="15878" max="15878" width="1.140625" style="221" customWidth="1"/>
    <col min="15879" max="15883" width="0.7109375" style="221" customWidth="1"/>
    <col min="15884" max="15884" width="0.5703125" style="221" customWidth="1"/>
    <col min="15885" max="15897" width="0.7109375" style="221" customWidth="1"/>
    <col min="15898" max="15898" width="1.4257812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 style="221" customWidth="1"/>
    <col min="15935" max="15936" width="0.5703125" style="221" customWidth="1"/>
    <col min="15937" max="15937" width="2.140625" style="221" customWidth="1"/>
    <col min="15938" max="15938" width="0.5703125" style="221" customWidth="1"/>
    <col min="15939" max="15939" width="2.140625" style="221" customWidth="1"/>
    <col min="15940" max="15940" width="0.5703125" style="221" customWidth="1"/>
    <col min="15941" max="15941" width="2.140625" style="221" customWidth="1"/>
    <col min="15942" max="15942" width="0.5703125" style="221" customWidth="1"/>
    <col min="15943" max="15943" width="2.140625" style="221" customWidth="1"/>
    <col min="15944" max="15944" width="0.5703125" style="221" customWidth="1"/>
    <col min="15945" max="15945" width="2.140625" style="221" customWidth="1"/>
    <col min="15946" max="15946" width="0.5703125" style="221" customWidth="1"/>
    <col min="15947" max="15947" width="2.140625" style="221" customWidth="1"/>
    <col min="15948" max="15948" width="0.5703125" style="221" customWidth="1"/>
    <col min="15949" max="15949" width="2.140625" style="221" customWidth="1"/>
    <col min="15950" max="15950" width="0.5703125" style="221" customWidth="1"/>
    <col min="15951" max="15951" width="2.140625" style="221" customWidth="1"/>
    <col min="15952" max="15952" width="0.5703125" style="221" customWidth="1"/>
    <col min="15953" max="15953" width="2.140625" style="221" customWidth="1"/>
    <col min="15954" max="15954" width="0.5703125" style="221" customWidth="1"/>
    <col min="15955" max="15955" width="2.140625" style="221" customWidth="1"/>
    <col min="15956" max="15956" width="0.5703125" style="221" customWidth="1"/>
    <col min="15957" max="15957" width="2.140625" style="221" customWidth="1"/>
    <col min="15958" max="15958" width="0.5703125" style="221" customWidth="1"/>
    <col min="15959" max="15960" width="2.5703125" style="221" customWidth="1"/>
    <col min="15961"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7109375" style="221" customWidth="1"/>
    <col min="16134" max="16134" width="1.140625" style="221" customWidth="1"/>
    <col min="16135" max="16139" width="0.7109375" style="221" customWidth="1"/>
    <col min="16140" max="16140" width="0.5703125" style="221" customWidth="1"/>
    <col min="16141" max="16153" width="0.7109375" style="221" customWidth="1"/>
    <col min="16154" max="16154" width="1.4257812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 style="221" customWidth="1"/>
    <col min="16191" max="16192" width="0.5703125" style="221" customWidth="1"/>
    <col min="16193" max="16193" width="2.140625" style="221" customWidth="1"/>
    <col min="16194" max="16194" width="0.5703125" style="221" customWidth="1"/>
    <col min="16195" max="16195" width="2.140625" style="221" customWidth="1"/>
    <col min="16196" max="16196" width="0.5703125" style="221" customWidth="1"/>
    <col min="16197" max="16197" width="2.140625" style="221" customWidth="1"/>
    <col min="16198" max="16198" width="0.5703125" style="221" customWidth="1"/>
    <col min="16199" max="16199" width="2.140625" style="221" customWidth="1"/>
    <col min="16200" max="16200" width="0.5703125" style="221" customWidth="1"/>
    <col min="16201" max="16201" width="2.140625" style="221" customWidth="1"/>
    <col min="16202" max="16202" width="0.5703125" style="221" customWidth="1"/>
    <col min="16203" max="16203" width="2.140625" style="221" customWidth="1"/>
    <col min="16204" max="16204" width="0.5703125" style="221" customWidth="1"/>
    <col min="16205" max="16205" width="2.140625" style="221" customWidth="1"/>
    <col min="16206" max="16206" width="0.5703125" style="221" customWidth="1"/>
    <col min="16207" max="16207" width="2.140625" style="221" customWidth="1"/>
    <col min="16208" max="16208" width="0.5703125" style="221" customWidth="1"/>
    <col min="16209" max="16209" width="2.140625" style="221" customWidth="1"/>
    <col min="16210" max="16210" width="0.5703125" style="221" customWidth="1"/>
    <col min="16211" max="16211" width="2.140625" style="221" customWidth="1"/>
    <col min="16212" max="16212" width="0.5703125" style="221" customWidth="1"/>
    <col min="16213" max="16213" width="2.140625" style="221" customWidth="1"/>
    <col min="16214" max="16214" width="0.5703125" style="221" customWidth="1"/>
    <col min="16215" max="16216" width="2.5703125" style="221" customWidth="1"/>
    <col min="16217" max="16384" width="9.140625" style="221"/>
  </cols>
  <sheetData>
    <row r="1" spans="1:89" s="97" customFormat="1" ht="14.25" customHeight="1" thickBot="1">
      <c r="F1" s="98" t="s">
        <v>1660</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CK1" s="221"/>
    </row>
    <row r="2" spans="1:89" ht="7.5" customHeight="1" thickTop="1">
      <c r="C2" s="221"/>
      <c r="D2" s="220"/>
      <c r="E2" s="222"/>
      <c r="F2" s="220"/>
      <c r="G2" s="223"/>
      <c r="H2" s="912" t="str">
        <f>Index!C409</f>
        <v>Súvaha Úč POD 1 - 01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6"/>
      <c r="BT2" s="927"/>
      <c r="BU2" s="928"/>
      <c r="BV2" s="928"/>
      <c r="BW2" s="928"/>
      <c r="BX2" s="928"/>
      <c r="BY2" s="928"/>
      <c r="BZ2" s="928"/>
      <c r="CA2" s="928"/>
      <c r="CB2" s="928"/>
      <c r="CC2" s="928"/>
      <c r="CD2" s="928"/>
      <c r="CE2" s="928"/>
      <c r="CF2" s="220"/>
      <c r="CG2" s="220"/>
      <c r="CH2" s="220"/>
      <c r="CI2" s="220"/>
      <c r="CJ2" s="220"/>
    </row>
    <row r="3" spans="1:89" ht="3.75" customHeight="1" thickBot="1">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928"/>
      <c r="BT3" s="227"/>
      <c r="BU3" s="928"/>
      <c r="BV3" s="928"/>
      <c r="BW3" s="928"/>
      <c r="BX3" s="928"/>
      <c r="BY3" s="928"/>
      <c r="BZ3" s="928"/>
      <c r="CA3" s="928"/>
      <c r="CB3" s="928"/>
      <c r="CC3" s="928"/>
      <c r="CD3" s="928"/>
      <c r="CE3" s="928"/>
      <c r="CF3" s="220"/>
      <c r="CG3" s="220"/>
      <c r="CH3" s="220"/>
      <c r="CI3" s="220"/>
      <c r="CJ3" s="220"/>
    </row>
    <row r="4" spans="1:89" ht="16.5" customHeight="1" thickTop="1">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231"/>
      <c r="BM4" s="139" t="str">
        <f>'Závierka titulka'!K27</f>
        <v>2</v>
      </c>
      <c r="BN4" s="231"/>
      <c r="BO4" s="139" t="str">
        <f>'Závierka titulka'!M27</f>
        <v>9</v>
      </c>
      <c r="BP4" s="136"/>
      <c r="BQ4" s="139" t="str">
        <f>'Závierka titulka'!O27</f>
        <v>9</v>
      </c>
      <c r="BR4" s="136"/>
      <c r="BS4" s="139" t="str">
        <f>'Závierka titulka'!Q27</f>
        <v>1</v>
      </c>
      <c r="BT4" s="230"/>
      <c r="BU4" s="928"/>
      <c r="BV4" s="928"/>
      <c r="BW4" s="928"/>
      <c r="BX4" s="928"/>
      <c r="BY4" s="928"/>
      <c r="BZ4" s="928"/>
      <c r="CA4" s="928"/>
      <c r="CB4" s="928"/>
      <c r="CC4" s="928"/>
      <c r="CD4" s="928"/>
      <c r="CE4" s="928"/>
      <c r="CF4" s="220"/>
      <c r="CG4" s="232"/>
      <c r="CH4" s="233"/>
      <c r="CI4" s="220"/>
      <c r="CJ4" s="220"/>
    </row>
    <row r="5" spans="1:89" ht="3" customHeight="1">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7"/>
      <c r="BM5" s="234"/>
      <c r="BN5" s="237"/>
      <c r="BO5" s="234"/>
      <c r="BP5" s="234"/>
      <c r="BQ5" s="234"/>
      <c r="BR5" s="234"/>
      <c r="BS5" s="234"/>
      <c r="BT5" s="235"/>
      <c r="BU5" s="928"/>
      <c r="BV5" s="928"/>
      <c r="BW5" s="928"/>
      <c r="BX5" s="928"/>
      <c r="BY5" s="928"/>
      <c r="BZ5" s="928"/>
      <c r="CA5" s="928"/>
      <c r="CB5" s="928"/>
      <c r="CC5" s="928"/>
      <c r="CD5" s="928"/>
      <c r="CE5" s="928"/>
      <c r="CF5" s="220"/>
      <c r="CG5" s="220"/>
      <c r="CH5" s="238"/>
      <c r="CI5" s="220"/>
      <c r="CJ5" s="220"/>
    </row>
    <row r="6" spans="1:89" ht="4.5" customHeight="1" thickBot="1">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2"/>
      <c r="BY6" s="242"/>
      <c r="BZ6" s="242"/>
      <c r="CA6" s="242"/>
      <c r="CB6" s="242"/>
      <c r="CC6" s="242"/>
      <c r="CD6" s="242"/>
      <c r="CE6" s="242"/>
      <c r="CF6" s="242"/>
      <c r="CG6" s="242"/>
      <c r="CH6" s="242"/>
      <c r="CI6" s="220"/>
      <c r="CJ6" s="220"/>
    </row>
    <row r="7" spans="1:89" ht="12.75" customHeight="1" thickBot="1">
      <c r="C7" s="224"/>
      <c r="D7" s="224"/>
      <c r="E7" s="1000" t="str">
        <f>Index!C410</f>
        <v>Ozna-čenie</v>
      </c>
      <c r="F7" s="1000"/>
      <c r="G7" s="1001" t="str">
        <f>Index!C432</f>
        <v>STRANA PASÍV</v>
      </c>
      <c r="H7" s="1001"/>
      <c r="I7" s="1001"/>
      <c r="J7" s="1001"/>
      <c r="K7" s="1001"/>
      <c r="L7" s="1001"/>
      <c r="M7" s="1001"/>
      <c r="N7" s="1001"/>
      <c r="O7" s="1001"/>
      <c r="P7" s="1001"/>
      <c r="Q7" s="1001"/>
      <c r="R7" s="1001"/>
      <c r="S7" s="1001"/>
      <c r="T7" s="1001"/>
      <c r="U7" s="1001"/>
      <c r="V7" s="1001"/>
      <c r="W7" s="1001"/>
      <c r="X7" s="1001"/>
      <c r="Y7" s="1001"/>
      <c r="Z7" s="1001"/>
      <c r="AA7" s="1001"/>
      <c r="AB7" s="1001"/>
      <c r="AC7" s="1001"/>
      <c r="AD7" s="1001"/>
      <c r="AE7" s="1001"/>
      <c r="AF7" s="1001"/>
      <c r="AG7" s="1001"/>
      <c r="AH7" s="1001"/>
      <c r="AI7" s="1001"/>
      <c r="AJ7" s="1001"/>
      <c r="AK7" s="1002" t="str">
        <f>Index!C433</f>
        <v>Číslo riadku</v>
      </c>
      <c r="AL7" s="1002"/>
      <c r="AM7" s="1002"/>
      <c r="AN7" s="1001" t="str">
        <f>Index!C414</f>
        <v>Bežné účtovné obdobie</v>
      </c>
      <c r="AO7" s="1001"/>
      <c r="AP7" s="1001"/>
      <c r="AQ7" s="1001"/>
      <c r="AR7" s="1001"/>
      <c r="AS7" s="1001"/>
      <c r="AT7" s="1001"/>
      <c r="AU7" s="1001"/>
      <c r="AV7" s="1001"/>
      <c r="AW7" s="1001"/>
      <c r="AX7" s="1001"/>
      <c r="AY7" s="1001"/>
      <c r="AZ7" s="1001"/>
      <c r="BA7" s="1001"/>
      <c r="BB7" s="1001"/>
      <c r="BC7" s="1001"/>
      <c r="BD7" s="1001"/>
      <c r="BE7" s="1001"/>
      <c r="BF7" s="1001"/>
      <c r="BG7" s="1001"/>
      <c r="BH7" s="1001"/>
      <c r="BI7" s="1001"/>
      <c r="BJ7" s="1003"/>
      <c r="BK7" s="368"/>
      <c r="BL7" s="1004" t="str">
        <f>Index!C415</f>
        <v>Bezprostredne predchádzajúce účtovné obdobie</v>
      </c>
      <c r="BM7" s="1004"/>
      <c r="BN7" s="1004"/>
      <c r="BO7" s="1004"/>
      <c r="BP7" s="1004"/>
      <c r="BQ7" s="1004"/>
      <c r="BR7" s="1004"/>
      <c r="BS7" s="1004"/>
      <c r="BT7" s="1004"/>
      <c r="BU7" s="1004"/>
      <c r="BV7" s="1004"/>
      <c r="BW7" s="1004"/>
      <c r="BX7" s="1004"/>
      <c r="BY7" s="1004"/>
      <c r="BZ7" s="1004"/>
      <c r="CA7" s="1004"/>
      <c r="CB7" s="1004"/>
      <c r="CC7" s="1004"/>
      <c r="CD7" s="1004"/>
      <c r="CE7" s="1004"/>
      <c r="CF7" s="1004"/>
      <c r="CG7" s="1004"/>
      <c r="CH7" s="1004"/>
      <c r="CI7" s="220"/>
      <c r="CJ7" s="220"/>
    </row>
    <row r="8" spans="1:89" ht="11.25" customHeight="1">
      <c r="B8" s="878"/>
      <c r="C8" s="878"/>
      <c r="D8" s="878"/>
      <c r="E8" s="1000"/>
      <c r="F8" s="1000"/>
      <c r="G8" s="1001"/>
      <c r="H8" s="1001"/>
      <c r="I8" s="1001"/>
      <c r="J8" s="1001"/>
      <c r="K8" s="1001"/>
      <c r="L8" s="1001"/>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c r="AJ8" s="1001"/>
      <c r="AK8" s="1002"/>
      <c r="AL8" s="1002"/>
      <c r="AM8" s="1002"/>
      <c r="AN8" s="1001"/>
      <c r="AO8" s="1001"/>
      <c r="AP8" s="1001"/>
      <c r="AQ8" s="1001"/>
      <c r="AR8" s="1001"/>
      <c r="AS8" s="1001"/>
      <c r="AT8" s="1001"/>
      <c r="AU8" s="1001"/>
      <c r="AV8" s="1001"/>
      <c r="AW8" s="1001"/>
      <c r="AX8" s="1001"/>
      <c r="AY8" s="1001"/>
      <c r="AZ8" s="1001"/>
      <c r="BA8" s="1001"/>
      <c r="BB8" s="1001"/>
      <c r="BC8" s="1001"/>
      <c r="BD8" s="1001"/>
      <c r="BE8" s="1001"/>
      <c r="BF8" s="1001"/>
      <c r="BG8" s="1001"/>
      <c r="BH8" s="1001"/>
      <c r="BI8" s="1001"/>
      <c r="BJ8" s="1003"/>
      <c r="BK8" s="297"/>
      <c r="BL8" s="1004"/>
      <c r="BM8" s="1004"/>
      <c r="BN8" s="1004"/>
      <c r="BO8" s="1004"/>
      <c r="BP8" s="1004"/>
      <c r="BQ8" s="1004"/>
      <c r="BR8" s="1004"/>
      <c r="BS8" s="1004"/>
      <c r="BT8" s="1004"/>
      <c r="BU8" s="1004"/>
      <c r="BV8" s="1004"/>
      <c r="BW8" s="1004"/>
      <c r="BX8" s="1004"/>
      <c r="BY8" s="1004"/>
      <c r="BZ8" s="1004"/>
      <c r="CA8" s="1004"/>
      <c r="CB8" s="1004"/>
      <c r="CC8" s="1004"/>
      <c r="CD8" s="1004"/>
      <c r="CE8" s="1004"/>
      <c r="CF8" s="1004"/>
      <c r="CG8" s="1004"/>
      <c r="CH8" s="1004"/>
      <c r="CI8" s="220"/>
      <c r="CJ8" s="220"/>
    </row>
    <row r="9" spans="1:89" s="301" customFormat="1" ht="9" customHeight="1">
      <c r="A9" s="298"/>
      <c r="B9" s="996"/>
      <c r="C9" s="996"/>
      <c r="D9" s="298"/>
      <c r="E9" s="997" t="s">
        <v>491</v>
      </c>
      <c r="F9" s="997"/>
      <c r="G9" s="998" t="s">
        <v>492</v>
      </c>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t="s">
        <v>493</v>
      </c>
      <c r="AL9" s="998"/>
      <c r="AM9" s="998"/>
      <c r="AN9" s="998">
        <v>4</v>
      </c>
      <c r="AO9" s="998"/>
      <c r="AP9" s="998"/>
      <c r="AQ9" s="998"/>
      <c r="AR9" s="998"/>
      <c r="AS9" s="998"/>
      <c r="AT9" s="998"/>
      <c r="AU9" s="998"/>
      <c r="AV9" s="998"/>
      <c r="AW9" s="998"/>
      <c r="AX9" s="998"/>
      <c r="AY9" s="998"/>
      <c r="AZ9" s="998"/>
      <c r="BA9" s="998"/>
      <c r="BB9" s="998"/>
      <c r="BC9" s="998"/>
      <c r="BD9" s="998"/>
      <c r="BE9" s="998"/>
      <c r="BF9" s="998"/>
      <c r="BG9" s="998"/>
      <c r="BH9" s="998"/>
      <c r="BI9" s="998"/>
      <c r="BJ9" s="999"/>
      <c r="BK9" s="299"/>
      <c r="BL9" s="994">
        <v>5</v>
      </c>
      <c r="BM9" s="994"/>
      <c r="BN9" s="994"/>
      <c r="BO9" s="994"/>
      <c r="BP9" s="994"/>
      <c r="BQ9" s="994"/>
      <c r="BR9" s="994"/>
      <c r="BS9" s="994"/>
      <c r="BT9" s="994"/>
      <c r="BU9" s="994"/>
      <c r="BV9" s="994"/>
      <c r="BW9" s="994"/>
      <c r="BX9" s="994"/>
      <c r="BY9" s="994"/>
      <c r="BZ9" s="994"/>
      <c r="CA9" s="994"/>
      <c r="CB9" s="994"/>
      <c r="CC9" s="994"/>
      <c r="CD9" s="994"/>
      <c r="CE9" s="994"/>
      <c r="CF9" s="994"/>
      <c r="CG9" s="994"/>
      <c r="CH9" s="994"/>
      <c r="CI9" s="300"/>
      <c r="CJ9" s="300"/>
    </row>
    <row r="10" spans="1:89" s="307" customFormat="1" ht="3" customHeight="1">
      <c r="A10" s="302"/>
      <c r="B10" s="302"/>
      <c r="C10" s="303"/>
      <c r="D10" s="303"/>
      <c r="E10" s="1039" t="s">
        <v>600</v>
      </c>
      <c r="F10" s="1039"/>
      <c r="G10" s="992" t="str">
        <f>Index!C141</f>
        <v>Ostatné fondy zo zisku r. 91 + r. 92</v>
      </c>
      <c r="H10" s="992"/>
      <c r="I10" s="992"/>
      <c r="J10" s="992"/>
      <c r="K10" s="992"/>
      <c r="L10" s="992"/>
      <c r="M10" s="992"/>
      <c r="N10" s="992"/>
      <c r="O10" s="992"/>
      <c r="P10" s="992"/>
      <c r="Q10" s="992"/>
      <c r="R10" s="992"/>
      <c r="S10" s="992"/>
      <c r="T10" s="992"/>
      <c r="U10" s="992"/>
      <c r="V10" s="992"/>
      <c r="W10" s="992"/>
      <c r="X10" s="992"/>
      <c r="Y10" s="992"/>
      <c r="Z10" s="992"/>
      <c r="AA10" s="992"/>
      <c r="AB10" s="992"/>
      <c r="AC10" s="992"/>
      <c r="AD10" s="992"/>
      <c r="AE10" s="992"/>
      <c r="AF10" s="992"/>
      <c r="AG10" s="992"/>
      <c r="AH10" s="992"/>
      <c r="AI10" s="992"/>
      <c r="AJ10" s="992"/>
      <c r="AK10" s="993" t="s">
        <v>1661</v>
      </c>
      <c r="AL10" s="993"/>
      <c r="AM10" s="993"/>
      <c r="AN10" s="364"/>
      <c r="AO10" s="366"/>
      <c r="AP10" s="366"/>
      <c r="AQ10" s="366"/>
      <c r="AR10" s="366"/>
      <c r="AS10" s="366"/>
      <c r="AT10" s="366"/>
      <c r="AU10" s="366"/>
      <c r="AV10" s="366"/>
      <c r="AW10" s="366"/>
      <c r="AX10" s="366"/>
      <c r="AY10" s="366"/>
      <c r="AZ10" s="366"/>
      <c r="BA10" s="366"/>
      <c r="BB10" s="366"/>
      <c r="BC10" s="366"/>
      <c r="BD10" s="366"/>
      <c r="BE10" s="304"/>
      <c r="BF10" s="304"/>
      <c r="BG10" s="304"/>
      <c r="BH10" s="304"/>
      <c r="BI10" s="304"/>
      <c r="BJ10" s="304"/>
      <c r="BK10" s="304"/>
      <c r="BL10" s="867"/>
      <c r="BM10" s="867"/>
      <c r="BN10" s="867"/>
      <c r="BO10" s="867"/>
      <c r="BP10" s="867"/>
      <c r="BQ10" s="867"/>
      <c r="BR10" s="867"/>
      <c r="BS10" s="867"/>
      <c r="BT10" s="867"/>
      <c r="BU10" s="867"/>
      <c r="BV10" s="867"/>
      <c r="BW10" s="867"/>
      <c r="BX10" s="867"/>
      <c r="BY10" s="867"/>
      <c r="BZ10" s="867"/>
      <c r="CA10" s="867"/>
      <c r="CB10" s="867"/>
      <c r="CC10" s="304"/>
      <c r="CD10" s="304"/>
      <c r="CE10" s="304"/>
      <c r="CF10" s="304"/>
      <c r="CG10" s="304"/>
      <c r="CH10" s="305"/>
      <c r="CI10" s="306"/>
      <c r="CJ10" s="306"/>
    </row>
    <row r="11" spans="1:89" s="307" customFormat="1" ht="3" customHeight="1">
      <c r="A11" s="302"/>
      <c r="B11" s="302"/>
      <c r="C11" s="302"/>
      <c r="D11" s="302"/>
      <c r="E11" s="1039"/>
      <c r="F11" s="1039"/>
      <c r="G11" s="992"/>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993"/>
      <c r="AL11" s="993"/>
      <c r="AM11" s="993"/>
      <c r="AN11" s="367"/>
      <c r="AO11" s="436"/>
      <c r="AP11" s="436"/>
      <c r="AQ11" s="436"/>
      <c r="AR11" s="435"/>
      <c r="AS11" s="433"/>
      <c r="AT11" s="433"/>
      <c r="AU11" s="433"/>
      <c r="AV11" s="433"/>
      <c r="AW11" s="433"/>
      <c r="AX11" s="434"/>
      <c r="AY11" s="1007"/>
      <c r="AZ11" s="1007"/>
      <c r="BA11" s="1007"/>
      <c r="BB11" s="1007"/>
      <c r="BC11" s="1007"/>
      <c r="BD11" s="1007"/>
      <c r="BE11" s="434"/>
      <c r="BF11" s="968"/>
      <c r="BG11" s="968"/>
      <c r="BH11" s="968"/>
      <c r="BI11" s="968"/>
      <c r="BJ11" s="968"/>
      <c r="BK11" s="851"/>
      <c r="BL11" s="826"/>
      <c r="BM11" s="820"/>
      <c r="BN11" s="820"/>
      <c r="BO11" s="820"/>
      <c r="BP11" s="435"/>
      <c r="BQ11" s="1007"/>
      <c r="BR11" s="1007"/>
      <c r="BS11" s="1007"/>
      <c r="BT11" s="1007"/>
      <c r="BU11" s="1007"/>
      <c r="BV11" s="1008"/>
      <c r="BW11" s="968"/>
      <c r="BX11" s="968"/>
      <c r="BY11" s="968"/>
      <c r="BZ11" s="968"/>
      <c r="CA11" s="968"/>
      <c r="CB11" s="1009"/>
      <c r="CC11" s="968"/>
      <c r="CD11" s="968"/>
      <c r="CE11" s="968"/>
      <c r="CF11" s="968"/>
      <c r="CG11" s="968"/>
      <c r="CH11" s="308"/>
      <c r="CI11" s="306"/>
      <c r="CJ11" s="306"/>
    </row>
    <row r="12" spans="1:89" s="309" customFormat="1" ht="15" customHeight="1">
      <c r="A12" s="302"/>
      <c r="B12" s="302"/>
      <c r="C12" s="302"/>
      <c r="E12" s="1039"/>
      <c r="F12" s="1039"/>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3"/>
      <c r="AL12" s="993"/>
      <c r="AM12" s="993"/>
      <c r="AN12" s="367"/>
      <c r="AO12" s="432" t="str">
        <f>IF(LEN(VLOOKUP(AK10,suvaha!$D$92:$H$158,2,FALSE))&lt;11,"",LEFT(RIGHT(VLOOKUP(AK10,suvaha!$D$92:$H$158,2,FALSE),11),1))</f>
        <v/>
      </c>
      <c r="AP12" s="255"/>
      <c r="AQ12" s="432" t="str">
        <f>IF(LEN(VLOOKUP(AK10,suvaha!$D$92:$H$158,2,FALSE))&lt;10,"",LEFT(RIGHT(VLOOKUP(AK10,suvaha!$D$92:$H$158,2,FALSE),10),1))</f>
        <v/>
      </c>
      <c r="AR12" s="434"/>
      <c r="AS12" s="432" t="str">
        <f>IF(LEN(VLOOKUP(AK10,suvaha!$D$92:$H$158,2,FALSE))&lt;9,"",LEFT(RIGHT(VLOOKUP(AK10,suvaha!$D$92:$H$158,2,FALSE),9),1))</f>
        <v/>
      </c>
      <c r="AT12" s="255"/>
      <c r="AU12" s="432" t="str">
        <f>IF(LEN(VLOOKUP(AK10,suvaha!$D$92:$H$158,2,FALSE))&lt;8,"",LEFT(RIGHT(VLOOKUP(AK10,suvaha!$D$92:$H$158,2,FALSE),8),1))</f>
        <v/>
      </c>
      <c r="AV12" s="434"/>
      <c r="AW12" s="432" t="str">
        <f>IF(LEN(VLOOKUP(AK10,suvaha!$D$92:$H$158,2,FALSE))&lt;7,"",LEFT(RIGHT(VLOOKUP(AK10,suvaha!$D$92:$H$158,2,FALSE),7),1))</f>
        <v/>
      </c>
      <c r="AX12" s="434"/>
      <c r="AY12" s="432" t="str">
        <f>IF(LEN(VLOOKUP(AK10,suvaha!$D$92:$H$158,2,FALSE))&lt;6,"",LEFT(RIGHT(VLOOKUP(AK10,suvaha!$D$92:$H$158,2,FALSE),6),1))</f>
        <v/>
      </c>
      <c r="AZ12" s="255"/>
      <c r="BA12" s="961" t="str">
        <f>IF(LEN(VLOOKUP(AK10,suvaha!$D$92:$H$158,2,FALSE))&lt;5,"",LEFT(RIGHT(VLOOKUP(AK10,suvaha!$D$92:$H$158,2,FALSE),5),1))</f>
        <v/>
      </c>
      <c r="BB12" s="961" t="e">
        <f>IF(LEN(#REF!)&lt;5,"",LEFT(RIGHT(#REF!,5),1))</f>
        <v>#REF!</v>
      </c>
      <c r="BC12" s="434"/>
      <c r="BD12" s="432" t="str">
        <f>IF(LEN(VLOOKUP(AK10,suvaha!$D$92:$H$158,2,FALSE))&lt;4,"",LEFT(RIGHT(VLOOKUP(AK10,suvaha!$D$92:$H$158,2,FALSE),4),1))</f>
        <v/>
      </c>
      <c r="BE12" s="434"/>
      <c r="BF12" s="432" t="str">
        <f>IF(LEN(VLOOKUP(AK10,suvaha!$D$92:$H$158,2,FALSE))&lt;3,"",LEFT(RIGHT(VLOOKUP(AK10,suvaha!$D$92:$H$158,2,FALSE),3),1))</f>
        <v/>
      </c>
      <c r="BG12" s="434"/>
      <c r="BH12" s="432" t="str">
        <f>IF(LEN(VLOOKUP(AK10,suvaha!$D$92:$H$158,2,FALSE))&lt;2,"",LEFT(RIGHT(VLOOKUP(AK10,suvaha!$D$92:$H$158,2,FALSE),2),1))</f>
        <v/>
      </c>
      <c r="BI12" s="434"/>
      <c r="BJ12" s="432" t="str">
        <f>IF(VLOOKUP(AK10,suvaha!$D$92:$H$158,2,FALSE)=0,"",IF(LEN(VLOOKUP(AK10,suvaha!$D$92:$H$158,2,FALSE))&lt;1,"",LEFT(RIGHT(VLOOKUP(AK10,suvaha!$D$92:$H$158,2,FALSE),1),1)))</f>
        <v/>
      </c>
      <c r="BK12" s="851"/>
      <c r="BL12" s="826"/>
      <c r="BM12" s="432" t="str">
        <f>IF(LEN(VLOOKUP(AK10,suvaha!$D$92:$H$158,4,FALSE))&lt;11,"",LEFT(RIGHT(VLOOKUP(AK10,suvaha!$D$92:$H$158,4,FALSE),11),1))</f>
        <v/>
      </c>
      <c r="BN12" s="255"/>
      <c r="BO12" s="432" t="str">
        <f>IF(LEN(VLOOKUP(AK10,suvaha!$D$92:$H$158,4,FALSE))&lt;10,"",LEFT(RIGHT(VLOOKUP(AK10,suvaha!$D$92:$H$158,4,FALSE),10),1))</f>
        <v/>
      </c>
      <c r="BP12" s="434"/>
      <c r="BQ12" s="432" t="str">
        <f>IF(LEN(VLOOKUP(AK10,suvaha!$D$92:$H$158,4,FALSE))&lt;9,"",LEFT(RIGHT(VLOOKUP(AK10,suvaha!$D$92:$H$158,4,FALSE),9),1))</f>
        <v/>
      </c>
      <c r="BR12" s="255"/>
      <c r="BS12" s="432" t="str">
        <f>IF(LEN(VLOOKUP(AK10,suvaha!$D$92:$H$158,4,FALSE))&lt;8,"",LEFT(RIGHT(VLOOKUP(AK10,suvaha!$D$92:$H$158,4,FALSE),8),1))</f>
        <v/>
      </c>
      <c r="BT12" s="434"/>
      <c r="BU12" s="432" t="str">
        <f>IF(LEN(VLOOKUP(AK10,suvaha!$D$92:$H$158,4,FALSE))&lt;7,"",LEFT(RIGHT(VLOOKUP(AK10,suvaha!$D$92:$H$158,4,FALSE),7),1))</f>
        <v/>
      </c>
      <c r="BV12" s="1008"/>
      <c r="BW12" s="432" t="str">
        <f>IF(LEN(VLOOKUP(AK10,suvaha!$D$92:$H$158,4,FALSE))&lt;6,"",LEFT(RIGHT(VLOOKUP(AK10,suvaha!$D$92:$H$158,4,FALSE),6),1))</f>
        <v/>
      </c>
      <c r="BX12" s="434"/>
      <c r="BY12" s="432" t="str">
        <f>IF(LEN(VLOOKUP(AK10,suvaha!$D$92:$H$158,4,FALSE))&lt;5,"",LEFT(RIGHT(VLOOKUP(AK10,suvaha!$D$92:$H$158,4,FALSE),5),1))</f>
        <v/>
      </c>
      <c r="BZ12" s="434"/>
      <c r="CA12" s="432" t="str">
        <f>IF(LEN(VLOOKUP(AK10,suvaha!$D$92:$H$158,4,FALSE))&lt;4,"",LEFT(RIGHT(VLOOKUP(AK10,suvaha!$D$92:$H$158,4,FALSE),4),1))</f>
        <v/>
      </c>
      <c r="CB12" s="1009"/>
      <c r="CC12" s="432" t="str">
        <f>IF(LEN(VLOOKUP(AK10,suvaha!$D$92:$H$158,4,FALSE))&lt;3,"",LEFT(RIGHT(VLOOKUP(AK10,suvaha!$D$92:$H$158,4,FALSE),3),1))</f>
        <v/>
      </c>
      <c r="CD12" s="434"/>
      <c r="CE12" s="432" t="str">
        <f>IF(LEN(VLOOKUP(AK10,suvaha!$D$92:$H$158,4,FALSE))&lt;2,"",LEFT(RIGHT(VLOOKUP(AK10,suvaha!$D$92:$H$158,4,FALSE),2),1))</f>
        <v/>
      </c>
      <c r="CF12" s="434"/>
      <c r="CG12" s="432" t="str">
        <f>IF(VLOOKUP(AK10,suvaha!$D$92:$H$158,4,FALSE)=0,"",IF(LEN(VLOOKUP(AK10,suvaha!$D$92:$H$158,4,FALSE))&lt;1,"",LEFT(RIGHT(VLOOKUP(AK10,suvaha!$D$92:$H$158,4,FALSE),1),1)))</f>
        <v/>
      </c>
      <c r="CH12" s="308"/>
      <c r="CI12" s="302"/>
      <c r="CJ12" s="302"/>
    </row>
    <row r="13" spans="1:89" s="309" customFormat="1" ht="3" customHeight="1">
      <c r="A13" s="302"/>
      <c r="B13" s="302"/>
      <c r="C13" s="302"/>
      <c r="E13" s="1039"/>
      <c r="F13" s="1039"/>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3"/>
      <c r="AL13" s="993"/>
      <c r="AM13" s="993"/>
      <c r="AN13" s="363"/>
      <c r="AO13" s="365"/>
      <c r="AP13" s="365"/>
      <c r="AQ13" s="365"/>
      <c r="AR13" s="365"/>
      <c r="AS13" s="365"/>
      <c r="AT13" s="365"/>
      <c r="AU13" s="365"/>
      <c r="AV13" s="365"/>
      <c r="AW13" s="365"/>
      <c r="AX13" s="365"/>
      <c r="AY13" s="365"/>
      <c r="AZ13" s="365"/>
      <c r="BA13" s="365"/>
      <c r="BB13" s="365"/>
      <c r="BC13" s="365"/>
      <c r="BD13" s="365"/>
      <c r="BE13" s="310"/>
      <c r="BF13" s="310"/>
      <c r="BG13" s="310"/>
      <c r="BH13" s="310"/>
      <c r="BI13" s="310"/>
      <c r="BJ13" s="310"/>
      <c r="BK13" s="310"/>
      <c r="BL13" s="846"/>
      <c r="BM13" s="846"/>
      <c r="BN13" s="846"/>
      <c r="BO13" s="846"/>
      <c r="BP13" s="846"/>
      <c r="BQ13" s="846"/>
      <c r="BR13" s="846"/>
      <c r="BS13" s="846"/>
      <c r="BT13" s="846"/>
      <c r="BU13" s="846"/>
      <c r="BV13" s="846"/>
      <c r="BW13" s="846"/>
      <c r="BX13" s="846"/>
      <c r="BY13" s="846"/>
      <c r="BZ13" s="846"/>
      <c r="CA13" s="846"/>
      <c r="CB13" s="846"/>
      <c r="CC13" s="310"/>
      <c r="CD13" s="310"/>
      <c r="CE13" s="310"/>
      <c r="CF13" s="310"/>
      <c r="CG13" s="310"/>
      <c r="CH13" s="311"/>
      <c r="CI13" s="302"/>
      <c r="CJ13" s="302"/>
    </row>
    <row r="14" spans="1:89" s="250" customFormat="1" ht="3" customHeight="1">
      <c r="A14" s="312"/>
      <c r="B14" s="312"/>
      <c r="C14" s="224"/>
      <c r="D14" s="224"/>
      <c r="E14" s="1017" t="s">
        <v>1662</v>
      </c>
      <c r="F14" s="1017"/>
      <c r="G14" s="972" t="str">
        <f>Index!C142</f>
        <v>Štatutárne fondy (423, 42X)</v>
      </c>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3" t="s">
        <v>1663</v>
      </c>
      <c r="AL14" s="973"/>
      <c r="AM14" s="973"/>
      <c r="AN14" s="357"/>
      <c r="AO14" s="366"/>
      <c r="AP14" s="366"/>
      <c r="AQ14" s="366"/>
      <c r="AR14" s="366"/>
      <c r="AS14" s="366"/>
      <c r="AT14" s="366"/>
      <c r="AU14" s="366"/>
      <c r="AV14" s="366"/>
      <c r="AW14" s="366"/>
      <c r="AX14" s="366"/>
      <c r="AY14" s="366"/>
      <c r="AZ14" s="366"/>
      <c r="BA14" s="366"/>
      <c r="BB14" s="366"/>
      <c r="BC14" s="366"/>
      <c r="BD14" s="366"/>
      <c r="BE14" s="304"/>
      <c r="BF14" s="304"/>
      <c r="BG14" s="304"/>
      <c r="BH14" s="304"/>
      <c r="BI14" s="304"/>
      <c r="BJ14" s="304"/>
      <c r="BK14" s="304"/>
      <c r="BL14" s="867"/>
      <c r="BM14" s="867"/>
      <c r="BN14" s="867"/>
      <c r="BO14" s="867"/>
      <c r="BP14" s="867"/>
      <c r="BQ14" s="867"/>
      <c r="BR14" s="867"/>
      <c r="BS14" s="867"/>
      <c r="BT14" s="867"/>
      <c r="BU14" s="867"/>
      <c r="BV14" s="867"/>
      <c r="BW14" s="867"/>
      <c r="BX14" s="867"/>
      <c r="BY14" s="867"/>
      <c r="BZ14" s="867"/>
      <c r="CA14" s="867"/>
      <c r="CB14" s="867"/>
      <c r="CC14" s="304"/>
      <c r="CD14" s="304"/>
      <c r="CE14" s="304"/>
      <c r="CF14" s="304"/>
      <c r="CG14" s="304"/>
      <c r="CH14" s="284"/>
      <c r="CI14" s="288"/>
      <c r="CJ14" s="288"/>
    </row>
    <row r="15" spans="1:89" s="250" customFormat="1" ht="3" customHeight="1">
      <c r="A15" s="312"/>
      <c r="B15" s="312"/>
      <c r="C15" s="312"/>
      <c r="D15" s="312"/>
      <c r="E15" s="1017"/>
      <c r="F15" s="1017"/>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3"/>
      <c r="AL15" s="973"/>
      <c r="AM15" s="973"/>
      <c r="AN15" s="355"/>
      <c r="AO15" s="436"/>
      <c r="AP15" s="436"/>
      <c r="AQ15" s="436"/>
      <c r="AR15" s="435"/>
      <c r="AS15" s="433"/>
      <c r="AT15" s="433"/>
      <c r="AU15" s="433"/>
      <c r="AV15" s="433"/>
      <c r="AW15" s="433"/>
      <c r="AX15" s="434"/>
      <c r="AY15" s="1007"/>
      <c r="AZ15" s="1007"/>
      <c r="BA15" s="1007"/>
      <c r="BB15" s="1007"/>
      <c r="BC15" s="1007"/>
      <c r="BD15" s="1007"/>
      <c r="BE15" s="434"/>
      <c r="BF15" s="968"/>
      <c r="BG15" s="968"/>
      <c r="BH15" s="968"/>
      <c r="BI15" s="968"/>
      <c r="BJ15" s="968"/>
      <c r="BK15" s="851"/>
      <c r="BL15" s="826"/>
      <c r="BM15" s="820"/>
      <c r="BN15" s="820"/>
      <c r="BO15" s="820"/>
      <c r="BP15" s="435"/>
      <c r="BQ15" s="1007"/>
      <c r="BR15" s="1007"/>
      <c r="BS15" s="1007"/>
      <c r="BT15" s="1007"/>
      <c r="BU15" s="1007"/>
      <c r="BV15" s="1008"/>
      <c r="BW15" s="968"/>
      <c r="BX15" s="968"/>
      <c r="BY15" s="968"/>
      <c r="BZ15" s="968"/>
      <c r="CA15" s="968"/>
      <c r="CB15" s="1009"/>
      <c r="CC15" s="968"/>
      <c r="CD15" s="968"/>
      <c r="CE15" s="968"/>
      <c r="CF15" s="968"/>
      <c r="CG15" s="968"/>
      <c r="CH15" s="285"/>
      <c r="CI15" s="288"/>
      <c r="CJ15" s="288"/>
    </row>
    <row r="16" spans="1:89" s="313" customFormat="1" ht="15" customHeight="1">
      <c r="A16" s="312"/>
      <c r="B16" s="312"/>
      <c r="C16" s="312"/>
      <c r="E16" s="1017"/>
      <c r="F16" s="1017"/>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3"/>
      <c r="AL16" s="973"/>
      <c r="AM16" s="973"/>
      <c r="AN16" s="355"/>
      <c r="AO16" s="432" t="str">
        <f>IF(LEN(VLOOKUP(AK14,suvaha!$D$92:$H$158,2,FALSE))&lt;11,"",LEFT(RIGHT(VLOOKUP(AK14,suvaha!$D$92:$H$158,2,FALSE),11),1))</f>
        <v/>
      </c>
      <c r="AP16" s="255"/>
      <c r="AQ16" s="432" t="str">
        <f>IF(LEN(VLOOKUP(AK14,suvaha!$D$92:$H$158,2,FALSE))&lt;10,"",LEFT(RIGHT(VLOOKUP(AK14,suvaha!$D$92:$H$158,2,FALSE),10),1))</f>
        <v/>
      </c>
      <c r="AR16" s="434"/>
      <c r="AS16" s="432" t="str">
        <f>IF(LEN(VLOOKUP(AK14,suvaha!$D$92:$H$158,2,FALSE))&lt;9,"",LEFT(RIGHT(VLOOKUP(AK14,suvaha!$D$92:$H$158,2,FALSE),9),1))</f>
        <v/>
      </c>
      <c r="AT16" s="255"/>
      <c r="AU16" s="432" t="str">
        <f>IF(LEN(VLOOKUP(AK14,suvaha!$D$92:$H$158,2,FALSE))&lt;8,"",LEFT(RIGHT(VLOOKUP(AK14,suvaha!$D$92:$H$158,2,FALSE),8),1))</f>
        <v/>
      </c>
      <c r="AV16" s="434"/>
      <c r="AW16" s="432" t="str">
        <f>IF(LEN(VLOOKUP(AK14,suvaha!$D$92:$H$158,2,FALSE))&lt;7,"",LEFT(RIGHT(VLOOKUP(AK14,suvaha!$D$92:$H$158,2,FALSE),7),1))</f>
        <v/>
      </c>
      <c r="AX16" s="434"/>
      <c r="AY16" s="432" t="str">
        <f>IF(LEN(VLOOKUP(AK14,suvaha!$D$92:$H$158,2,FALSE))&lt;6,"",LEFT(RIGHT(VLOOKUP(AK14,suvaha!$D$92:$H$158,2,FALSE),6),1))</f>
        <v/>
      </c>
      <c r="AZ16" s="255"/>
      <c r="BA16" s="961" t="str">
        <f>IF(LEN(VLOOKUP(AK14,suvaha!$D$92:$H$158,2,FALSE))&lt;5,"",LEFT(RIGHT(VLOOKUP(AK14,suvaha!$D$92:$H$158,2,FALSE),5),1))</f>
        <v/>
      </c>
      <c r="BB16" s="961" t="e">
        <f>IF(LEN(#REF!)&lt;5,"",LEFT(RIGHT(#REF!,5),1))</f>
        <v>#REF!</v>
      </c>
      <c r="BC16" s="434"/>
      <c r="BD16" s="432" t="str">
        <f>IF(LEN(VLOOKUP(AK14,suvaha!$D$92:$H$158,2,FALSE))&lt;4,"",LEFT(RIGHT(VLOOKUP(AK14,suvaha!$D$92:$H$158,2,FALSE),4),1))</f>
        <v/>
      </c>
      <c r="BE16" s="434"/>
      <c r="BF16" s="432" t="str">
        <f>IF(LEN(VLOOKUP(AK14,suvaha!$D$92:$H$158,2,FALSE))&lt;3,"",LEFT(RIGHT(VLOOKUP(AK14,suvaha!$D$92:$H$158,2,FALSE),3),1))</f>
        <v/>
      </c>
      <c r="BG16" s="434"/>
      <c r="BH16" s="432" t="str">
        <f>IF(LEN(VLOOKUP(AK14,suvaha!$D$92:$H$158,2,FALSE))&lt;2,"",LEFT(RIGHT(VLOOKUP(AK14,suvaha!$D$92:$H$158,2,FALSE),2),1))</f>
        <v/>
      </c>
      <c r="BI16" s="434"/>
      <c r="BJ16" s="432" t="str">
        <f>IF(VLOOKUP(AK14,suvaha!$D$92:$H$158,2,FALSE)=0,"",IF(LEN(VLOOKUP(AK14,suvaha!$D$92:$H$158,2,FALSE))&lt;1,"",LEFT(RIGHT(VLOOKUP(AK14,suvaha!$D$92:$H$158,2,FALSE),1),1)))</f>
        <v/>
      </c>
      <c r="BK16" s="851"/>
      <c r="BL16" s="826"/>
      <c r="BM16" s="432" t="str">
        <f>IF(LEN(VLOOKUP(AK14,suvaha!$D$92:$H$158,4,FALSE))&lt;11,"",LEFT(RIGHT(VLOOKUP(AK14,suvaha!$D$92:$H$158,4,FALSE),11),1))</f>
        <v/>
      </c>
      <c r="BN16" s="255"/>
      <c r="BO16" s="432" t="str">
        <f>IF(LEN(VLOOKUP(AK14,suvaha!$D$92:$H$158,4,FALSE))&lt;10,"",LEFT(RIGHT(VLOOKUP(AK14,suvaha!$D$92:$H$158,4,FALSE),10),1))</f>
        <v/>
      </c>
      <c r="BP16" s="434"/>
      <c r="BQ16" s="432" t="str">
        <f>IF(LEN(VLOOKUP(AK14,suvaha!$D$92:$H$158,4,FALSE))&lt;9,"",LEFT(RIGHT(VLOOKUP(AK14,suvaha!$D$92:$H$158,4,FALSE),9),1))</f>
        <v/>
      </c>
      <c r="BR16" s="255"/>
      <c r="BS16" s="432" t="str">
        <f>IF(LEN(VLOOKUP(AK14,suvaha!$D$92:$H$158,4,FALSE))&lt;8,"",LEFT(RIGHT(VLOOKUP(AK14,suvaha!$D$92:$H$158,4,FALSE),8),1))</f>
        <v/>
      </c>
      <c r="BT16" s="434"/>
      <c r="BU16" s="432" t="str">
        <f>IF(LEN(VLOOKUP(AK14,suvaha!$D$92:$H$158,4,FALSE))&lt;7,"",LEFT(RIGHT(VLOOKUP(AK14,suvaha!$D$92:$H$158,4,FALSE),7),1))</f>
        <v/>
      </c>
      <c r="BV16" s="1008"/>
      <c r="BW16" s="432" t="str">
        <f>IF(LEN(VLOOKUP(AK14,suvaha!$D$92:$H$158,4,FALSE))&lt;6,"",LEFT(RIGHT(VLOOKUP(AK14,suvaha!$D$92:$H$158,4,FALSE),6),1))</f>
        <v/>
      </c>
      <c r="BX16" s="434"/>
      <c r="BY16" s="432" t="str">
        <f>IF(LEN(VLOOKUP(AK14,suvaha!$D$92:$H$158,4,FALSE))&lt;5,"",LEFT(RIGHT(VLOOKUP(AK14,suvaha!$D$92:$H$158,4,FALSE),5),1))</f>
        <v/>
      </c>
      <c r="BZ16" s="434"/>
      <c r="CA16" s="432" t="str">
        <f>IF(LEN(VLOOKUP(AK14,suvaha!$D$92:$H$158,4,FALSE))&lt;4,"",LEFT(RIGHT(VLOOKUP(AK14,suvaha!$D$92:$H$158,4,FALSE),4),1))</f>
        <v/>
      </c>
      <c r="CB16" s="1009"/>
      <c r="CC16" s="432" t="str">
        <f>IF(LEN(VLOOKUP(AK14,suvaha!$D$92:$H$158,4,FALSE))&lt;3,"",LEFT(RIGHT(VLOOKUP(AK14,suvaha!$D$92:$H$158,4,FALSE),3),1))</f>
        <v/>
      </c>
      <c r="CD16" s="434"/>
      <c r="CE16" s="432" t="str">
        <f>IF(LEN(VLOOKUP(AK14,suvaha!$D$92:$H$158,4,FALSE))&lt;2,"",LEFT(RIGHT(VLOOKUP(AK14,suvaha!$D$92:$H$158,4,FALSE),2),1))</f>
        <v/>
      </c>
      <c r="CF16" s="434"/>
      <c r="CG16" s="432" t="str">
        <f>IF(VLOOKUP(AK14,suvaha!$D$92:$H$158,4,FALSE)=0,"",IF(LEN(VLOOKUP(AK14,suvaha!$D$92:$H$158,4,FALSE))&lt;1,"",LEFT(RIGHT(VLOOKUP(AK14,suvaha!$D$92:$H$158,4,FALSE),1),1)))</f>
        <v/>
      </c>
      <c r="CH16" s="285"/>
      <c r="CI16" s="312"/>
      <c r="CJ16" s="312"/>
    </row>
    <row r="17" spans="1:88" s="313" customFormat="1" ht="3" customHeight="1">
      <c r="A17" s="312"/>
      <c r="B17" s="312"/>
      <c r="C17" s="312"/>
      <c r="E17" s="1017"/>
      <c r="F17" s="1017"/>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3"/>
      <c r="AL17" s="973"/>
      <c r="AM17" s="973"/>
      <c r="AN17" s="358"/>
      <c r="AO17" s="365"/>
      <c r="AP17" s="365"/>
      <c r="AQ17" s="365"/>
      <c r="AR17" s="365"/>
      <c r="AS17" s="365"/>
      <c r="AT17" s="365"/>
      <c r="AU17" s="365"/>
      <c r="AV17" s="365"/>
      <c r="AW17" s="365"/>
      <c r="AX17" s="365"/>
      <c r="AY17" s="365"/>
      <c r="AZ17" s="365"/>
      <c r="BA17" s="365"/>
      <c r="BB17" s="365"/>
      <c r="BC17" s="365"/>
      <c r="BD17" s="365"/>
      <c r="BE17" s="310"/>
      <c r="BF17" s="310"/>
      <c r="BG17" s="310"/>
      <c r="BH17" s="310"/>
      <c r="BI17" s="310"/>
      <c r="BJ17" s="310"/>
      <c r="BK17" s="310"/>
      <c r="BL17" s="846"/>
      <c r="BM17" s="846"/>
      <c r="BN17" s="846"/>
      <c r="BO17" s="846"/>
      <c r="BP17" s="846"/>
      <c r="BQ17" s="846"/>
      <c r="BR17" s="846"/>
      <c r="BS17" s="846"/>
      <c r="BT17" s="846"/>
      <c r="BU17" s="846"/>
      <c r="BV17" s="846"/>
      <c r="BW17" s="846"/>
      <c r="BX17" s="846"/>
      <c r="BY17" s="846"/>
      <c r="BZ17" s="846"/>
      <c r="CA17" s="846"/>
      <c r="CB17" s="846"/>
      <c r="CC17" s="310"/>
      <c r="CD17" s="310"/>
      <c r="CE17" s="310"/>
      <c r="CF17" s="310"/>
      <c r="CG17" s="310"/>
      <c r="CH17" s="286"/>
      <c r="CI17" s="312"/>
      <c r="CJ17" s="312"/>
    </row>
    <row r="18" spans="1:88" s="250" customFormat="1" ht="3" customHeight="1">
      <c r="A18" s="312"/>
      <c r="B18" s="312"/>
      <c r="C18" s="224"/>
      <c r="D18" s="224"/>
      <c r="E18" s="1033" t="s">
        <v>1542</v>
      </c>
      <c r="F18" s="1034"/>
      <c r="G18" s="972" t="str">
        <f>Index!C143</f>
        <v>Ostatné fondy (427, 42X)</v>
      </c>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3" t="s">
        <v>1665</v>
      </c>
      <c r="AL18" s="973"/>
      <c r="AM18" s="973"/>
      <c r="AN18" s="357"/>
      <c r="AO18" s="366"/>
      <c r="AP18" s="366"/>
      <c r="AQ18" s="366"/>
      <c r="AR18" s="366"/>
      <c r="AS18" s="366"/>
      <c r="AT18" s="366"/>
      <c r="AU18" s="366"/>
      <c r="AV18" s="366"/>
      <c r="AW18" s="366"/>
      <c r="AX18" s="366"/>
      <c r="AY18" s="366"/>
      <c r="AZ18" s="366"/>
      <c r="BA18" s="366"/>
      <c r="BB18" s="366"/>
      <c r="BC18" s="366"/>
      <c r="BD18" s="366"/>
      <c r="BE18" s="304"/>
      <c r="BF18" s="304"/>
      <c r="BG18" s="304"/>
      <c r="BH18" s="304"/>
      <c r="BI18" s="304"/>
      <c r="BJ18" s="304"/>
      <c r="BK18" s="304"/>
      <c r="BL18" s="867"/>
      <c r="BM18" s="867"/>
      <c r="BN18" s="867"/>
      <c r="BO18" s="867"/>
      <c r="BP18" s="867"/>
      <c r="BQ18" s="867"/>
      <c r="BR18" s="867"/>
      <c r="BS18" s="867"/>
      <c r="BT18" s="867"/>
      <c r="BU18" s="867"/>
      <c r="BV18" s="867"/>
      <c r="BW18" s="867"/>
      <c r="BX18" s="867"/>
      <c r="BY18" s="867"/>
      <c r="BZ18" s="867"/>
      <c r="CA18" s="867"/>
      <c r="CB18" s="867"/>
      <c r="CC18" s="304"/>
      <c r="CD18" s="304"/>
      <c r="CE18" s="304"/>
      <c r="CF18" s="304"/>
      <c r="CG18" s="304"/>
      <c r="CH18" s="284"/>
      <c r="CI18" s="288"/>
      <c r="CJ18" s="288"/>
    </row>
    <row r="19" spans="1:88" s="250" customFormat="1" ht="3" customHeight="1">
      <c r="A19" s="312"/>
      <c r="B19" s="312"/>
      <c r="C19" s="312"/>
      <c r="D19" s="312"/>
      <c r="E19" s="1035"/>
      <c r="F19" s="1036"/>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3"/>
      <c r="AL19" s="973"/>
      <c r="AM19" s="973"/>
      <c r="AN19" s="355"/>
      <c r="AO19" s="436"/>
      <c r="AP19" s="436"/>
      <c r="AQ19" s="436"/>
      <c r="AR19" s="435"/>
      <c r="AS19" s="433"/>
      <c r="AT19" s="433"/>
      <c r="AU19" s="433"/>
      <c r="AV19" s="433"/>
      <c r="AW19" s="433"/>
      <c r="AX19" s="434"/>
      <c r="AY19" s="1007"/>
      <c r="AZ19" s="1007"/>
      <c r="BA19" s="1007"/>
      <c r="BB19" s="1007"/>
      <c r="BC19" s="1007"/>
      <c r="BD19" s="1007"/>
      <c r="BE19" s="434"/>
      <c r="BF19" s="968"/>
      <c r="BG19" s="968"/>
      <c r="BH19" s="968"/>
      <c r="BI19" s="968"/>
      <c r="BJ19" s="968"/>
      <c r="BK19" s="851"/>
      <c r="BL19" s="826"/>
      <c r="BM19" s="820"/>
      <c r="BN19" s="820"/>
      <c r="BO19" s="820"/>
      <c r="BP19" s="435"/>
      <c r="BQ19" s="1007"/>
      <c r="BR19" s="1007"/>
      <c r="BS19" s="1007"/>
      <c r="BT19" s="1007"/>
      <c r="BU19" s="1007"/>
      <c r="BV19" s="1008"/>
      <c r="BW19" s="968"/>
      <c r="BX19" s="968"/>
      <c r="BY19" s="968"/>
      <c r="BZ19" s="968"/>
      <c r="CA19" s="968"/>
      <c r="CB19" s="1009"/>
      <c r="CC19" s="968"/>
      <c r="CD19" s="968"/>
      <c r="CE19" s="968"/>
      <c r="CF19" s="968"/>
      <c r="CG19" s="968"/>
      <c r="CH19" s="285"/>
      <c r="CI19" s="288"/>
      <c r="CJ19" s="288"/>
    </row>
    <row r="20" spans="1:88" s="313" customFormat="1" ht="15" customHeight="1">
      <c r="A20" s="312"/>
      <c r="B20" s="312"/>
      <c r="C20" s="312"/>
      <c r="E20" s="1035"/>
      <c r="F20" s="1036"/>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3"/>
      <c r="AL20" s="973"/>
      <c r="AM20" s="973"/>
      <c r="AN20" s="355"/>
      <c r="AO20" s="432" t="str">
        <f>IF(LEN(VLOOKUP(AK18,suvaha!$D$92:$H$158,2,FALSE))&lt;11,"",LEFT(RIGHT(VLOOKUP(AK18,suvaha!$D$92:$H$158,2,FALSE),11),1))</f>
        <v/>
      </c>
      <c r="AP20" s="255"/>
      <c r="AQ20" s="432" t="str">
        <f>IF(LEN(VLOOKUP(AK18,suvaha!$D$92:$H$158,2,FALSE))&lt;10,"",LEFT(RIGHT(VLOOKUP(AK18,suvaha!$D$92:$H$158,2,FALSE),10),1))</f>
        <v/>
      </c>
      <c r="AR20" s="434"/>
      <c r="AS20" s="432" t="str">
        <f>IF(LEN(VLOOKUP(AK18,suvaha!$D$92:$H$158,2,FALSE))&lt;9,"",LEFT(RIGHT(VLOOKUP(AK18,suvaha!$D$92:$H$158,2,FALSE),9),1))</f>
        <v/>
      </c>
      <c r="AT20" s="255"/>
      <c r="AU20" s="432" t="str">
        <f>IF(LEN(VLOOKUP(AK18,suvaha!$D$92:$H$158,2,FALSE))&lt;8,"",LEFT(RIGHT(VLOOKUP(AK18,suvaha!$D$92:$H$158,2,FALSE),8),1))</f>
        <v/>
      </c>
      <c r="AV20" s="434"/>
      <c r="AW20" s="432" t="str">
        <f>IF(LEN(VLOOKUP(AK18,suvaha!$D$92:$H$158,2,FALSE))&lt;7,"",LEFT(RIGHT(VLOOKUP(AK18,suvaha!$D$92:$H$158,2,FALSE),7),1))</f>
        <v/>
      </c>
      <c r="AX20" s="434"/>
      <c r="AY20" s="432" t="str">
        <f>IF(LEN(VLOOKUP(AK18,suvaha!$D$92:$H$158,2,FALSE))&lt;6,"",LEFT(RIGHT(VLOOKUP(AK18,suvaha!$D$92:$H$158,2,FALSE),6),1))</f>
        <v/>
      </c>
      <c r="AZ20" s="255"/>
      <c r="BA20" s="961" t="str">
        <f>IF(LEN(VLOOKUP(AK18,suvaha!$D$92:$H$158,2,FALSE))&lt;5,"",LEFT(RIGHT(VLOOKUP(AK18,suvaha!$D$92:$H$158,2,FALSE),5),1))</f>
        <v/>
      </c>
      <c r="BB20" s="961" t="e">
        <f>IF(LEN(#REF!)&lt;5,"",LEFT(RIGHT(#REF!,5),1))</f>
        <v>#REF!</v>
      </c>
      <c r="BC20" s="434"/>
      <c r="BD20" s="432" t="str">
        <f>IF(LEN(VLOOKUP(AK18,suvaha!$D$92:$H$158,2,FALSE))&lt;4,"",LEFT(RIGHT(VLOOKUP(AK18,suvaha!$D$92:$H$158,2,FALSE),4),1))</f>
        <v/>
      </c>
      <c r="BE20" s="434"/>
      <c r="BF20" s="432" t="str">
        <f>IF(LEN(VLOOKUP(AK18,suvaha!$D$92:$H$158,2,FALSE))&lt;3,"",LEFT(RIGHT(VLOOKUP(AK18,suvaha!$D$92:$H$158,2,FALSE),3),1))</f>
        <v/>
      </c>
      <c r="BG20" s="434"/>
      <c r="BH20" s="432" t="str">
        <f>IF(LEN(VLOOKUP(AK18,suvaha!$D$92:$H$158,2,FALSE))&lt;2,"",LEFT(RIGHT(VLOOKUP(AK18,suvaha!$D$92:$H$158,2,FALSE),2),1))</f>
        <v/>
      </c>
      <c r="BI20" s="434"/>
      <c r="BJ20" s="432" t="str">
        <f>IF(VLOOKUP(AK18,suvaha!$D$92:$H$158,2,FALSE)=0,"",IF(LEN(VLOOKUP(AK18,suvaha!$D$92:$H$158,2,FALSE))&lt;1,"",LEFT(RIGHT(VLOOKUP(AK18,suvaha!$D$92:$H$158,2,FALSE),1),1)))</f>
        <v/>
      </c>
      <c r="BK20" s="851"/>
      <c r="BL20" s="826"/>
      <c r="BM20" s="432" t="str">
        <f>IF(LEN(VLOOKUP(AK18,suvaha!$D$92:$H$158,4,FALSE))&lt;11,"",LEFT(RIGHT(VLOOKUP(AK18,suvaha!$D$92:$H$158,4,FALSE),11),1))</f>
        <v/>
      </c>
      <c r="BN20" s="255"/>
      <c r="BO20" s="432" t="str">
        <f>IF(LEN(VLOOKUP(AK18,suvaha!$D$92:$H$158,4,FALSE))&lt;10,"",LEFT(RIGHT(VLOOKUP(AK18,suvaha!$D$92:$H$158,4,FALSE),10),1))</f>
        <v/>
      </c>
      <c r="BP20" s="434"/>
      <c r="BQ20" s="432" t="str">
        <f>IF(LEN(VLOOKUP(AK18,suvaha!$D$92:$H$158,4,FALSE))&lt;9,"",LEFT(RIGHT(VLOOKUP(AK18,suvaha!$D$92:$H$158,4,FALSE),9),1))</f>
        <v/>
      </c>
      <c r="BR20" s="255"/>
      <c r="BS20" s="432" t="str">
        <f>IF(LEN(VLOOKUP(AK18,suvaha!$D$92:$H$158,4,FALSE))&lt;8,"",LEFT(RIGHT(VLOOKUP(AK18,suvaha!$D$92:$H$158,4,FALSE),8),1))</f>
        <v/>
      </c>
      <c r="BT20" s="434"/>
      <c r="BU20" s="432" t="str">
        <f>IF(LEN(VLOOKUP(AK18,suvaha!$D$92:$H$158,4,FALSE))&lt;7,"",LEFT(RIGHT(VLOOKUP(AK18,suvaha!$D$92:$H$158,4,FALSE),7),1))</f>
        <v/>
      </c>
      <c r="BV20" s="1008"/>
      <c r="BW20" s="432" t="str">
        <f>IF(LEN(VLOOKUP(AK18,suvaha!$D$92:$H$158,4,FALSE))&lt;6,"",LEFT(RIGHT(VLOOKUP(AK18,suvaha!$D$92:$H$158,4,FALSE),6),1))</f>
        <v/>
      </c>
      <c r="BX20" s="434"/>
      <c r="BY20" s="432" t="str">
        <f>IF(LEN(VLOOKUP(AK18,suvaha!$D$92:$H$158,4,FALSE))&lt;5,"",LEFT(RIGHT(VLOOKUP(AK18,suvaha!$D$92:$H$158,4,FALSE),5),1))</f>
        <v/>
      </c>
      <c r="BZ20" s="434"/>
      <c r="CA20" s="432" t="str">
        <f>IF(LEN(VLOOKUP(AK18,suvaha!$D$92:$H$158,4,FALSE))&lt;4,"",LEFT(RIGHT(VLOOKUP(AK18,suvaha!$D$92:$H$158,4,FALSE),4),1))</f>
        <v/>
      </c>
      <c r="CB20" s="1009"/>
      <c r="CC20" s="432" t="str">
        <f>IF(LEN(VLOOKUP(AK18,suvaha!$D$92:$H$158,4,FALSE))&lt;3,"",LEFT(RIGHT(VLOOKUP(AK18,suvaha!$D$92:$H$158,4,FALSE),3),1))</f>
        <v/>
      </c>
      <c r="CD20" s="434"/>
      <c r="CE20" s="432" t="str">
        <f>IF(LEN(VLOOKUP(AK18,suvaha!$D$92:$H$158,4,FALSE))&lt;2,"",LEFT(RIGHT(VLOOKUP(AK18,suvaha!$D$92:$H$158,4,FALSE),2),1))</f>
        <v/>
      </c>
      <c r="CF20" s="434"/>
      <c r="CG20" s="432" t="str">
        <f>IF(VLOOKUP(AK18,suvaha!$D$92:$H$158,4,FALSE)=0,"",IF(LEN(VLOOKUP(AK18,suvaha!$D$92:$H$158,4,FALSE))&lt;1,"",LEFT(RIGHT(VLOOKUP(AK18,suvaha!$D$92:$H$158,4,FALSE),1),1)))</f>
        <v/>
      </c>
      <c r="CH20" s="285"/>
      <c r="CI20" s="312"/>
      <c r="CJ20" s="312"/>
    </row>
    <row r="21" spans="1:88" s="313" customFormat="1" ht="3" customHeight="1">
      <c r="A21" s="312"/>
      <c r="B21" s="312"/>
      <c r="C21" s="312"/>
      <c r="E21" s="1037"/>
      <c r="F21" s="1038"/>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3"/>
      <c r="AL21" s="973"/>
      <c r="AM21" s="973"/>
      <c r="AN21" s="358"/>
      <c r="AO21" s="365"/>
      <c r="AP21" s="365"/>
      <c r="AQ21" s="365"/>
      <c r="AR21" s="365"/>
      <c r="AS21" s="365"/>
      <c r="AT21" s="365"/>
      <c r="AU21" s="365"/>
      <c r="AV21" s="365"/>
      <c r="AW21" s="365"/>
      <c r="AX21" s="365"/>
      <c r="AY21" s="365"/>
      <c r="AZ21" s="365"/>
      <c r="BA21" s="365"/>
      <c r="BB21" s="365"/>
      <c r="BC21" s="365"/>
      <c r="BD21" s="365"/>
      <c r="BE21" s="310"/>
      <c r="BF21" s="310"/>
      <c r="BG21" s="310"/>
      <c r="BH21" s="310"/>
      <c r="BI21" s="310"/>
      <c r="BJ21" s="310"/>
      <c r="BK21" s="310"/>
      <c r="BL21" s="846"/>
      <c r="BM21" s="846"/>
      <c r="BN21" s="846"/>
      <c r="BO21" s="846"/>
      <c r="BP21" s="846"/>
      <c r="BQ21" s="846"/>
      <c r="BR21" s="846"/>
      <c r="BS21" s="846"/>
      <c r="BT21" s="846"/>
      <c r="BU21" s="846"/>
      <c r="BV21" s="846"/>
      <c r="BW21" s="846"/>
      <c r="BX21" s="846"/>
      <c r="BY21" s="846"/>
      <c r="BZ21" s="846"/>
      <c r="CA21" s="846"/>
      <c r="CB21" s="846"/>
      <c r="CC21" s="310"/>
      <c r="CD21" s="310"/>
      <c r="CE21" s="310"/>
      <c r="CF21" s="310"/>
      <c r="CG21" s="310"/>
      <c r="CH21" s="286"/>
      <c r="CI21" s="312"/>
      <c r="CJ21" s="312"/>
    </row>
    <row r="22" spans="1:88" s="250" customFormat="1" ht="3" customHeight="1">
      <c r="A22" s="220"/>
      <c r="B22" s="220"/>
      <c r="C22" s="224"/>
      <c r="D22" s="224"/>
      <c r="E22" s="1018" t="s">
        <v>1666</v>
      </c>
      <c r="F22" s="1019"/>
      <c r="G22" s="1024" t="str">
        <f>Index!C144</f>
        <v>Oceňovacie rozdiely z precenenia súčet (r. 94 až r. 96)</v>
      </c>
      <c r="H22" s="1025"/>
      <c r="I22" s="1025"/>
      <c r="J22" s="1025"/>
      <c r="K22" s="1025"/>
      <c r="L22" s="1025"/>
      <c r="M22" s="1025"/>
      <c r="N22" s="1025"/>
      <c r="O22" s="1025"/>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6"/>
      <c r="AK22" s="977" t="s">
        <v>1668</v>
      </c>
      <c r="AL22" s="977"/>
      <c r="AM22" s="977"/>
      <c r="AN22" s="357"/>
      <c r="AO22" s="366"/>
      <c r="AP22" s="366"/>
      <c r="AQ22" s="366"/>
      <c r="AR22" s="366"/>
      <c r="AS22" s="366"/>
      <c r="AT22" s="366"/>
      <c r="AU22" s="366"/>
      <c r="AV22" s="366"/>
      <c r="AW22" s="366"/>
      <c r="AX22" s="366"/>
      <c r="AY22" s="366"/>
      <c r="AZ22" s="366"/>
      <c r="BA22" s="366"/>
      <c r="BB22" s="366"/>
      <c r="BC22" s="366"/>
      <c r="BD22" s="366"/>
      <c r="BE22" s="304"/>
      <c r="BF22" s="304"/>
      <c r="BG22" s="304"/>
      <c r="BH22" s="304"/>
      <c r="BI22" s="304"/>
      <c r="BJ22" s="304"/>
      <c r="BK22" s="304"/>
      <c r="BL22" s="867"/>
      <c r="BM22" s="867"/>
      <c r="BN22" s="867"/>
      <c r="BO22" s="867"/>
      <c r="BP22" s="867"/>
      <c r="BQ22" s="867"/>
      <c r="BR22" s="867"/>
      <c r="BS22" s="867"/>
      <c r="BT22" s="867"/>
      <c r="BU22" s="867"/>
      <c r="BV22" s="867"/>
      <c r="BW22" s="867"/>
      <c r="BX22" s="867"/>
      <c r="BY22" s="867"/>
      <c r="BZ22" s="867"/>
      <c r="CA22" s="867"/>
      <c r="CB22" s="867"/>
      <c r="CC22" s="304"/>
      <c r="CD22" s="304"/>
      <c r="CE22" s="304"/>
      <c r="CF22" s="304"/>
      <c r="CG22" s="304"/>
      <c r="CH22" s="284"/>
      <c r="CI22" s="288"/>
      <c r="CJ22" s="288"/>
    </row>
    <row r="23" spans="1:88" s="250" customFormat="1" ht="3" customHeight="1">
      <c r="A23" s="220"/>
      <c r="B23" s="220"/>
      <c r="C23" s="220"/>
      <c r="D23" s="220"/>
      <c r="E23" s="1020"/>
      <c r="F23" s="1021"/>
      <c r="G23" s="1027"/>
      <c r="H23" s="1028"/>
      <c r="I23" s="1028"/>
      <c r="J23" s="1028"/>
      <c r="K23" s="1028"/>
      <c r="L23" s="1028"/>
      <c r="M23" s="1028"/>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9"/>
      <c r="AK23" s="977"/>
      <c r="AL23" s="977"/>
      <c r="AM23" s="977"/>
      <c r="AN23" s="355"/>
      <c r="AO23" s="436"/>
      <c r="AP23" s="436"/>
      <c r="AQ23" s="436"/>
      <c r="AR23" s="435"/>
      <c r="AS23" s="439"/>
      <c r="AT23" s="439"/>
      <c r="AU23" s="439"/>
      <c r="AV23" s="439"/>
      <c r="AW23" s="439"/>
      <c r="AX23" s="440"/>
      <c r="AY23" s="821"/>
      <c r="AZ23" s="821"/>
      <c r="BA23" s="821"/>
      <c r="BB23" s="821"/>
      <c r="BC23" s="821"/>
      <c r="BD23" s="821"/>
      <c r="BE23" s="434"/>
      <c r="BF23" s="968"/>
      <c r="BG23" s="968"/>
      <c r="BH23" s="968"/>
      <c r="BI23" s="968"/>
      <c r="BJ23" s="968"/>
      <c r="BK23" s="851"/>
      <c r="BL23" s="826"/>
      <c r="BM23" s="820"/>
      <c r="BN23" s="820"/>
      <c r="BO23" s="820"/>
      <c r="BP23" s="435"/>
      <c r="BQ23" s="821"/>
      <c r="BR23" s="821"/>
      <c r="BS23" s="821"/>
      <c r="BT23" s="821"/>
      <c r="BU23" s="821"/>
      <c r="BV23" s="818"/>
      <c r="BW23" s="822"/>
      <c r="BX23" s="822"/>
      <c r="BY23" s="822"/>
      <c r="BZ23" s="822"/>
      <c r="CA23" s="822"/>
      <c r="CB23" s="819"/>
      <c r="CC23" s="822"/>
      <c r="CD23" s="822"/>
      <c r="CE23" s="822"/>
      <c r="CF23" s="822"/>
      <c r="CG23" s="822"/>
      <c r="CH23" s="285"/>
      <c r="CI23" s="288"/>
      <c r="CJ23" s="288"/>
    </row>
    <row r="24" spans="1:88" ht="15" customHeight="1">
      <c r="E24" s="1020"/>
      <c r="F24" s="1021"/>
      <c r="G24" s="1027"/>
      <c r="H24" s="1028"/>
      <c r="I24" s="1028"/>
      <c r="J24" s="1028"/>
      <c r="K24" s="1028"/>
      <c r="L24" s="1028"/>
      <c r="M24" s="1028"/>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8"/>
      <c r="AI24" s="1028"/>
      <c r="AJ24" s="1029"/>
      <c r="AK24" s="977"/>
      <c r="AL24" s="977"/>
      <c r="AM24" s="977"/>
      <c r="AN24" s="355"/>
      <c r="AO24" s="432" t="str">
        <f>IF(LEN(VLOOKUP(AK22,suvaha!$D$92:$H$158,2,FALSE))&lt;11,"",LEFT(RIGHT(VLOOKUP(AK22,suvaha!$D$92:$H$158,2,FALSE),11),1))</f>
        <v>1</v>
      </c>
      <c r="AP24" s="255"/>
      <c r="AQ24" s="432" t="str">
        <f>IF(LEN(VLOOKUP(AK22,suvaha!$D$92:$H$158,2,FALSE))&lt;10,"",LEFT(RIGHT(VLOOKUP(AK22,suvaha!$D$92:$H$158,2,FALSE),10),1))</f>
        <v>9</v>
      </c>
      <c r="AR24" s="434"/>
      <c r="AS24" s="432" t="str">
        <f>IF(LEN(VLOOKUP(AK22,suvaha!$D$92:$H$158,2,FALSE))&lt;9,"",LEFT(RIGHT(VLOOKUP(AK22,suvaha!$D$92:$H$158,2,FALSE),9),1))</f>
        <v>6</v>
      </c>
      <c r="AT24" s="255"/>
      <c r="AU24" s="432" t="str">
        <f>IF(LEN(VLOOKUP(AK22,suvaha!$D$92:$H$158,2,FALSE))&lt;8,"",LEFT(RIGHT(VLOOKUP(AK22,suvaha!$D$92:$H$158,2,FALSE),8),1))</f>
        <v>6</v>
      </c>
      <c r="AV24" s="434"/>
      <c r="AW24" s="432" t="str">
        <f>IF(LEN(VLOOKUP(AK22,suvaha!$D$92:$H$158,2,FALSE))&lt;7,"",LEFT(RIGHT(VLOOKUP(AK22,suvaha!$D$92:$H$158,2,FALSE),7),1))</f>
        <v>0</v>
      </c>
      <c r="AX24" s="440"/>
      <c r="AY24" s="432" t="str">
        <f>IF(LEN(VLOOKUP(AK22,suvaha!$D$92:$H$158,2,FALSE))&lt;6,"",LEFT(RIGHT(VLOOKUP(AK22,suvaha!$D$92:$H$158,2,FALSE),6),1))</f>
        <v>2</v>
      </c>
      <c r="AZ24" s="255"/>
      <c r="BA24" s="961" t="str">
        <f>IF(LEN(VLOOKUP(AK22,suvaha!$D$92:$H$158,2,FALSE))&lt;5,"",LEFT(RIGHT(VLOOKUP(AK22,suvaha!$D$92:$H$158,2,FALSE),5),1))</f>
        <v>4</v>
      </c>
      <c r="BB24" s="961" t="e">
        <f>IF(LEN(#REF!)&lt;5,"",LEFT(RIGHT(#REF!,5),1))</f>
        <v>#REF!</v>
      </c>
      <c r="BC24" s="434"/>
      <c r="BD24" s="432" t="str">
        <f>IF(LEN(VLOOKUP(AK22,suvaha!$D$92:$H$158,2,FALSE))&lt;4,"",LEFT(RIGHT(VLOOKUP(AK22,suvaha!$D$92:$H$158,2,FALSE),4),1))</f>
        <v>1</v>
      </c>
      <c r="BE24" s="434"/>
      <c r="BF24" s="432" t="str">
        <f>IF(LEN(VLOOKUP(AK22,suvaha!$D$92:$H$158,2,FALSE))&lt;3,"",LEFT(RIGHT(VLOOKUP(AK22,suvaha!$D$92:$H$158,2,FALSE),3),1))</f>
        <v>,</v>
      </c>
      <c r="BG24" s="434"/>
      <c r="BH24" s="432" t="str">
        <f>IF(LEN(VLOOKUP(AK22,suvaha!$D$92:$H$158,2,FALSE))&lt;2,"",LEFT(RIGHT(VLOOKUP(AK22,suvaha!$D$92:$H$158,2,FALSE),2),1))</f>
        <v>5</v>
      </c>
      <c r="BI24" s="434"/>
      <c r="BJ24" s="432" t="str">
        <f>IF(VLOOKUP(AK22,suvaha!$D$92:$H$158,2,FALSE)=0,"",IF(LEN(VLOOKUP(AK22,suvaha!$D$92:$H$158,2,FALSE))&lt;1,"",LEFT(RIGHT(VLOOKUP(AK22,suvaha!$D$92:$H$158,2,FALSE),1),1)))</f>
        <v>3</v>
      </c>
      <c r="BK24" s="851"/>
      <c r="BL24" s="826"/>
      <c r="BM24" s="432" t="str">
        <f>IF(LEN(VLOOKUP(AK22,suvaha!$D$92:$H$158,4,FALSE))&lt;11,"",LEFT(RIGHT(VLOOKUP(AK22,suvaha!$D$92:$H$158,4,FALSE),11),1))</f>
        <v/>
      </c>
      <c r="BN24" s="255"/>
      <c r="BO24" s="432" t="str">
        <f>IF(LEN(VLOOKUP(AK22,suvaha!$D$92:$H$158,4,FALSE))&lt;10,"",LEFT(RIGHT(VLOOKUP(AK22,suvaha!$D$92:$H$158,4,FALSE),10),1))</f>
        <v/>
      </c>
      <c r="BP24" s="434"/>
      <c r="BQ24" s="432" t="str">
        <f>IF(LEN(VLOOKUP(AK22,suvaha!$D$92:$H$158,4,FALSE))&lt;9,"",LEFT(RIGHT(VLOOKUP(AK22,suvaha!$D$92:$H$158,4,FALSE),9),1))</f>
        <v/>
      </c>
      <c r="BR24" s="255"/>
      <c r="BS24" s="432" t="str">
        <f>IF(LEN(VLOOKUP(AK22,suvaha!$D$92:$H$158,4,FALSE))&lt;8,"",LEFT(RIGHT(VLOOKUP(AK22,suvaha!$D$92:$H$158,4,FALSE),8),1))</f>
        <v>-</v>
      </c>
      <c r="BT24" s="434"/>
      <c r="BU24" s="432" t="str">
        <f>IF(LEN(VLOOKUP(AK22,suvaha!$D$92:$H$158,4,FALSE))&lt;7,"",LEFT(RIGHT(VLOOKUP(AK22,suvaha!$D$92:$H$158,4,FALSE),7),1))</f>
        <v>2</v>
      </c>
      <c r="BV24" s="818"/>
      <c r="BW24" s="432" t="str">
        <f>IF(LEN(VLOOKUP(AK22,suvaha!$D$92:$H$158,4,FALSE))&lt;6,"",LEFT(RIGHT(VLOOKUP(AK22,suvaha!$D$92:$H$158,4,FALSE),6),1))</f>
        <v>2</v>
      </c>
      <c r="BX24" s="434"/>
      <c r="BY24" s="432" t="str">
        <f>IF(LEN(VLOOKUP(AK22,suvaha!$D$92:$H$158,4,FALSE))&lt;5,"",LEFT(RIGHT(VLOOKUP(AK22,suvaha!$D$92:$H$158,4,FALSE),5),1))</f>
        <v>6</v>
      </c>
      <c r="BZ24" s="434"/>
      <c r="CA24" s="432" t="str">
        <f>IF(LEN(VLOOKUP(AK22,suvaha!$D$92:$H$158,4,FALSE))&lt;4,"",LEFT(RIGHT(VLOOKUP(AK22,suvaha!$D$92:$H$158,4,FALSE),4),1))</f>
        <v>0</v>
      </c>
      <c r="CB24" s="819"/>
      <c r="CC24" s="432" t="str">
        <f>IF(LEN(VLOOKUP(AK22,suvaha!$D$92:$H$158,4,FALSE))&lt;3,"",LEFT(RIGHT(VLOOKUP(AK22,suvaha!$D$92:$H$158,4,FALSE),3),1))</f>
        <v>2</v>
      </c>
      <c r="CD24" s="434"/>
      <c r="CE24" s="432" t="str">
        <f>IF(LEN(VLOOKUP(AK22,suvaha!$D$92:$H$158,4,FALSE))&lt;2,"",LEFT(RIGHT(VLOOKUP(AK22,suvaha!$D$92:$H$158,4,FALSE),2),1))</f>
        <v>4</v>
      </c>
      <c r="CF24" s="434"/>
      <c r="CG24" s="432" t="str">
        <f>IF(VLOOKUP(AK22,suvaha!$D$92:$H$158,4,FALSE)=0,"",IF(LEN(VLOOKUP(AK22,suvaha!$D$92:$H$158,4,FALSE))&lt;1,"",LEFT(RIGHT(VLOOKUP(AK22,suvaha!$D$92:$H$158,4,FALSE),1),1)))</f>
        <v>0</v>
      </c>
      <c r="CH24" s="285"/>
      <c r="CI24" s="220"/>
      <c r="CJ24" s="220"/>
    </row>
    <row r="25" spans="1:88" ht="3" customHeight="1">
      <c r="E25" s="1022"/>
      <c r="F25" s="1023"/>
      <c r="G25" s="1030"/>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2"/>
      <c r="AK25" s="977"/>
      <c r="AL25" s="977"/>
      <c r="AM25" s="977"/>
      <c r="AN25" s="358"/>
      <c r="AO25" s="365"/>
      <c r="AP25" s="365"/>
      <c r="AQ25" s="365"/>
      <c r="AR25" s="365"/>
      <c r="AS25" s="365"/>
      <c r="AT25" s="365"/>
      <c r="AU25" s="365"/>
      <c r="AV25" s="365"/>
      <c r="AW25" s="365"/>
      <c r="AX25" s="365"/>
      <c r="AY25" s="365"/>
      <c r="AZ25" s="365"/>
      <c r="BA25" s="365"/>
      <c r="BB25" s="365"/>
      <c r="BC25" s="365"/>
      <c r="BD25" s="365"/>
      <c r="BE25" s="310"/>
      <c r="BF25" s="310"/>
      <c r="BG25" s="310"/>
      <c r="BH25" s="310"/>
      <c r="BI25" s="310"/>
      <c r="BJ25" s="310"/>
      <c r="BK25" s="310"/>
      <c r="BL25" s="846"/>
      <c r="BM25" s="846"/>
      <c r="BN25" s="846"/>
      <c r="BO25" s="846"/>
      <c r="BP25" s="846"/>
      <c r="BQ25" s="846"/>
      <c r="BR25" s="846"/>
      <c r="BS25" s="846"/>
      <c r="BT25" s="846"/>
      <c r="BU25" s="846"/>
      <c r="BV25" s="846"/>
      <c r="BW25" s="846"/>
      <c r="BX25" s="846"/>
      <c r="BY25" s="846"/>
      <c r="BZ25" s="846"/>
      <c r="CA25" s="846"/>
      <c r="CB25" s="846"/>
      <c r="CC25" s="310"/>
      <c r="CD25" s="310"/>
      <c r="CE25" s="310"/>
      <c r="CF25" s="310"/>
      <c r="CG25" s="310"/>
      <c r="CH25" s="286"/>
      <c r="CI25" s="220"/>
      <c r="CJ25" s="220"/>
    </row>
    <row r="26" spans="1:88" s="250" customFormat="1" ht="3" customHeight="1">
      <c r="A26" s="220"/>
      <c r="B26" s="220"/>
      <c r="C26" s="224"/>
      <c r="D26" s="224"/>
      <c r="E26" s="1017" t="s">
        <v>1669</v>
      </c>
      <c r="F26" s="1017"/>
      <c r="G26" s="972" t="str">
        <f>Index!C145</f>
        <v>Oceňovacie rozdiely z precenenia majetku a záväzkov (+/- 414)</v>
      </c>
      <c r="H26" s="972"/>
      <c r="I26" s="972"/>
      <c r="J26" s="972"/>
      <c r="K26" s="972"/>
      <c r="L26" s="972"/>
      <c r="M26" s="972"/>
      <c r="N26" s="972"/>
      <c r="O26" s="972"/>
      <c r="P26" s="972"/>
      <c r="Q26" s="972"/>
      <c r="R26" s="972"/>
      <c r="S26" s="972"/>
      <c r="T26" s="972"/>
      <c r="U26" s="972"/>
      <c r="V26" s="972"/>
      <c r="W26" s="972"/>
      <c r="X26" s="972"/>
      <c r="Y26" s="972"/>
      <c r="Z26" s="972"/>
      <c r="AA26" s="972"/>
      <c r="AB26" s="972"/>
      <c r="AC26" s="972"/>
      <c r="AD26" s="972"/>
      <c r="AE26" s="972"/>
      <c r="AF26" s="972"/>
      <c r="AG26" s="972"/>
      <c r="AH26" s="972"/>
      <c r="AI26" s="972"/>
      <c r="AJ26" s="972"/>
      <c r="AK26" s="973" t="s">
        <v>1670</v>
      </c>
      <c r="AL26" s="973"/>
      <c r="AM26" s="973"/>
      <c r="AN26" s="357"/>
      <c r="AO26" s="366"/>
      <c r="AP26" s="366"/>
      <c r="AQ26" s="366"/>
      <c r="AR26" s="366"/>
      <c r="AS26" s="366"/>
      <c r="AT26" s="366"/>
      <c r="AU26" s="366"/>
      <c r="AV26" s="366"/>
      <c r="AW26" s="366"/>
      <c r="AX26" s="366"/>
      <c r="AY26" s="366"/>
      <c r="AZ26" s="366"/>
      <c r="BA26" s="366"/>
      <c r="BB26" s="366"/>
      <c r="BC26" s="366"/>
      <c r="BD26" s="366"/>
      <c r="BE26" s="304"/>
      <c r="BF26" s="304"/>
      <c r="BG26" s="304"/>
      <c r="BH26" s="304"/>
      <c r="BI26" s="304"/>
      <c r="BJ26" s="304"/>
      <c r="BK26" s="304"/>
      <c r="BL26" s="867"/>
      <c r="BM26" s="867"/>
      <c r="BN26" s="867"/>
      <c r="BO26" s="867"/>
      <c r="BP26" s="867"/>
      <c r="BQ26" s="867"/>
      <c r="BR26" s="867"/>
      <c r="BS26" s="867"/>
      <c r="BT26" s="867"/>
      <c r="BU26" s="867"/>
      <c r="BV26" s="867"/>
      <c r="BW26" s="867"/>
      <c r="BX26" s="867"/>
      <c r="BY26" s="867"/>
      <c r="BZ26" s="867"/>
      <c r="CA26" s="867"/>
      <c r="CB26" s="867"/>
      <c r="CC26" s="304"/>
      <c r="CD26" s="304"/>
      <c r="CE26" s="304"/>
      <c r="CF26" s="304"/>
      <c r="CG26" s="304"/>
      <c r="CH26" s="284"/>
      <c r="CI26" s="288"/>
      <c r="CJ26" s="288"/>
    </row>
    <row r="27" spans="1:88" s="250" customFormat="1" ht="3" customHeight="1">
      <c r="A27" s="220"/>
      <c r="B27" s="220"/>
      <c r="C27" s="220"/>
      <c r="D27" s="220"/>
      <c r="E27" s="1017"/>
      <c r="F27" s="1017"/>
      <c r="G27" s="972"/>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973"/>
      <c r="AL27" s="973"/>
      <c r="AM27" s="973"/>
      <c r="AN27" s="355"/>
      <c r="AO27" s="436"/>
      <c r="AP27" s="436"/>
      <c r="AQ27" s="436"/>
      <c r="AR27" s="435"/>
      <c r="AS27" s="439"/>
      <c r="AT27" s="439"/>
      <c r="AU27" s="439"/>
      <c r="AV27" s="439"/>
      <c r="AW27" s="439"/>
      <c r="AX27" s="440"/>
      <c r="AY27" s="821"/>
      <c r="AZ27" s="821"/>
      <c r="BA27" s="821"/>
      <c r="BB27" s="821"/>
      <c r="BC27" s="821"/>
      <c r="BD27" s="821"/>
      <c r="BE27" s="434"/>
      <c r="BF27" s="968"/>
      <c r="BG27" s="968"/>
      <c r="BH27" s="968"/>
      <c r="BI27" s="968"/>
      <c r="BJ27" s="968"/>
      <c r="BK27" s="851"/>
      <c r="BL27" s="826"/>
      <c r="BM27" s="820"/>
      <c r="BN27" s="820"/>
      <c r="BO27" s="820"/>
      <c r="BP27" s="435"/>
      <c r="BQ27" s="821"/>
      <c r="BR27" s="821"/>
      <c r="BS27" s="821"/>
      <c r="BT27" s="821"/>
      <c r="BU27" s="821"/>
      <c r="BV27" s="818"/>
      <c r="BW27" s="822"/>
      <c r="BX27" s="822"/>
      <c r="BY27" s="822"/>
      <c r="BZ27" s="822"/>
      <c r="CA27" s="822"/>
      <c r="CB27" s="819"/>
      <c r="CC27" s="822"/>
      <c r="CD27" s="822"/>
      <c r="CE27" s="822"/>
      <c r="CF27" s="822"/>
      <c r="CG27" s="822"/>
      <c r="CH27" s="285"/>
      <c r="CI27" s="288"/>
      <c r="CJ27" s="288"/>
    </row>
    <row r="28" spans="1:88" ht="15" customHeight="1">
      <c r="E28" s="1017"/>
      <c r="F28" s="1017"/>
      <c r="G28" s="972"/>
      <c r="H28" s="972"/>
      <c r="I28" s="972"/>
      <c r="J28" s="972"/>
      <c r="K28" s="972"/>
      <c r="L28" s="972"/>
      <c r="M28" s="972"/>
      <c r="N28" s="972"/>
      <c r="O28" s="972"/>
      <c r="P28" s="972"/>
      <c r="Q28" s="972"/>
      <c r="R28" s="972"/>
      <c r="S28" s="972"/>
      <c r="T28" s="972"/>
      <c r="U28" s="972"/>
      <c r="V28" s="972"/>
      <c r="W28" s="972"/>
      <c r="X28" s="972"/>
      <c r="Y28" s="972"/>
      <c r="Z28" s="972"/>
      <c r="AA28" s="972"/>
      <c r="AB28" s="972"/>
      <c r="AC28" s="972"/>
      <c r="AD28" s="972"/>
      <c r="AE28" s="972"/>
      <c r="AF28" s="972"/>
      <c r="AG28" s="972"/>
      <c r="AH28" s="972"/>
      <c r="AI28" s="972"/>
      <c r="AJ28" s="972"/>
      <c r="AK28" s="973"/>
      <c r="AL28" s="973"/>
      <c r="AM28" s="973"/>
      <c r="AN28" s="355"/>
      <c r="AO28" s="432" t="str">
        <f>IF(LEN(VLOOKUP(AK26,suvaha!$D$92:$H$158,2,FALSE))&lt;11,"",LEFT(RIGHT(VLOOKUP(AK26,suvaha!$D$92:$H$158,2,FALSE),11),1))</f>
        <v>1</v>
      </c>
      <c r="AP28" s="255"/>
      <c r="AQ28" s="432" t="str">
        <f>IF(LEN(VLOOKUP(AK26,suvaha!$D$92:$H$158,2,FALSE))&lt;10,"",LEFT(RIGHT(VLOOKUP(AK26,suvaha!$D$92:$H$158,2,FALSE),10),1))</f>
        <v>9</v>
      </c>
      <c r="AR28" s="434"/>
      <c r="AS28" s="432" t="str">
        <f>IF(LEN(VLOOKUP(AK26,suvaha!$D$92:$H$158,2,FALSE))&lt;9,"",LEFT(RIGHT(VLOOKUP(AK26,suvaha!$D$92:$H$158,2,FALSE),9),1))</f>
        <v>6</v>
      </c>
      <c r="AT28" s="255"/>
      <c r="AU28" s="432" t="str">
        <f>IF(LEN(VLOOKUP(AK26,suvaha!$D$92:$H$158,2,FALSE))&lt;8,"",LEFT(RIGHT(VLOOKUP(AK26,suvaha!$D$92:$H$158,2,FALSE),8),1))</f>
        <v>6</v>
      </c>
      <c r="AV28" s="434"/>
      <c r="AW28" s="432" t="str">
        <f>IF(LEN(VLOOKUP(AK26,suvaha!$D$92:$H$158,2,FALSE))&lt;7,"",LEFT(RIGHT(VLOOKUP(AK26,suvaha!$D$92:$H$158,2,FALSE),7),1))</f>
        <v>0</v>
      </c>
      <c r="AX28" s="440"/>
      <c r="AY28" s="432" t="str">
        <f>IF(LEN(VLOOKUP(AK26,suvaha!$D$92:$H$158,2,FALSE))&lt;6,"",LEFT(RIGHT(VLOOKUP(AK26,suvaha!$D$92:$H$158,2,FALSE),6),1))</f>
        <v>2</v>
      </c>
      <c r="AZ28" s="255"/>
      <c r="BA28" s="961" t="str">
        <f>IF(LEN(VLOOKUP(AK26,suvaha!$D$92:$H$158,2,FALSE))&lt;5,"",LEFT(RIGHT(VLOOKUP(AK26,suvaha!$D$92:$H$158,2,FALSE),5),1))</f>
        <v>4</v>
      </c>
      <c r="BB28" s="961" t="e">
        <f>IF(LEN(#REF!)&lt;5,"",LEFT(RIGHT(#REF!,5),1))</f>
        <v>#REF!</v>
      </c>
      <c r="BC28" s="434"/>
      <c r="BD28" s="432" t="str">
        <f>IF(LEN(VLOOKUP(AK26,suvaha!$D$92:$H$158,2,FALSE))&lt;4,"",LEFT(RIGHT(VLOOKUP(AK26,suvaha!$D$92:$H$158,2,FALSE),4),1))</f>
        <v>1</v>
      </c>
      <c r="BE28" s="434"/>
      <c r="BF28" s="432" t="str">
        <f>IF(LEN(VLOOKUP(AK26,suvaha!$D$92:$H$158,2,FALSE))&lt;3,"",LEFT(RIGHT(VLOOKUP(AK26,suvaha!$D$92:$H$158,2,FALSE),3),1))</f>
        <v>,</v>
      </c>
      <c r="BG28" s="434"/>
      <c r="BH28" s="432" t="str">
        <f>IF(LEN(VLOOKUP(AK26,suvaha!$D$92:$H$158,2,FALSE))&lt;2,"",LEFT(RIGHT(VLOOKUP(AK26,suvaha!$D$92:$H$158,2,FALSE),2),1))</f>
        <v>5</v>
      </c>
      <c r="BI28" s="434"/>
      <c r="BJ28" s="432" t="str">
        <f>IF(VLOOKUP(AK26,suvaha!$D$92:$H$158,2,FALSE)=0,"",IF(LEN(VLOOKUP(AK26,suvaha!$D$92:$H$158,2,FALSE))&lt;1,"",LEFT(RIGHT(VLOOKUP(AK26,suvaha!$D$92:$H$158,2,FALSE),1),1)))</f>
        <v>3</v>
      </c>
      <c r="BK28" s="851"/>
      <c r="BL28" s="826"/>
      <c r="BM28" s="432" t="str">
        <f>IF(LEN(VLOOKUP(AK26,suvaha!$D$92:$H$158,4,FALSE))&lt;11,"",LEFT(RIGHT(VLOOKUP(AK26,suvaha!$D$92:$H$158,4,FALSE),11),1))</f>
        <v/>
      </c>
      <c r="BN28" s="255"/>
      <c r="BO28" s="432" t="str">
        <f>IF(LEN(VLOOKUP(AK26,suvaha!$D$92:$H$158,4,FALSE))&lt;10,"",LEFT(RIGHT(VLOOKUP(AK26,suvaha!$D$92:$H$158,4,FALSE),10),1))</f>
        <v/>
      </c>
      <c r="BP28" s="434"/>
      <c r="BQ28" s="432" t="str">
        <f>IF(LEN(VLOOKUP(AK26,suvaha!$D$92:$H$158,4,FALSE))&lt;9,"",LEFT(RIGHT(VLOOKUP(AK26,suvaha!$D$92:$H$158,4,FALSE),9),1))</f>
        <v/>
      </c>
      <c r="BR28" s="255"/>
      <c r="BS28" s="432" t="str">
        <f>IF(LEN(VLOOKUP(AK26,suvaha!$D$92:$H$158,4,FALSE))&lt;8,"",LEFT(RIGHT(VLOOKUP(AK26,suvaha!$D$92:$H$158,4,FALSE),8),1))</f>
        <v>-</v>
      </c>
      <c r="BT28" s="434"/>
      <c r="BU28" s="432" t="str">
        <f>IF(LEN(VLOOKUP(AK26,suvaha!$D$92:$H$158,4,FALSE))&lt;7,"",LEFT(RIGHT(VLOOKUP(AK26,suvaha!$D$92:$H$158,4,FALSE),7),1))</f>
        <v>2</v>
      </c>
      <c r="BV28" s="818"/>
      <c r="BW28" s="432" t="str">
        <f>IF(LEN(VLOOKUP(AK26,suvaha!$D$92:$H$158,4,FALSE))&lt;6,"",LEFT(RIGHT(VLOOKUP(AK26,suvaha!$D$92:$H$158,4,FALSE),6),1))</f>
        <v>2</v>
      </c>
      <c r="BX28" s="434"/>
      <c r="BY28" s="432" t="str">
        <f>IF(LEN(VLOOKUP(AK26,suvaha!$D$92:$H$158,4,FALSE))&lt;5,"",LEFT(RIGHT(VLOOKUP(AK26,suvaha!$D$92:$H$158,4,FALSE),5),1))</f>
        <v>6</v>
      </c>
      <c r="BZ28" s="434"/>
      <c r="CA28" s="432" t="str">
        <f>IF(LEN(VLOOKUP(AK26,suvaha!$D$92:$H$158,4,FALSE))&lt;4,"",LEFT(RIGHT(VLOOKUP(AK26,suvaha!$D$92:$H$158,4,FALSE),4),1))</f>
        <v>0</v>
      </c>
      <c r="CB28" s="819"/>
      <c r="CC28" s="432" t="str">
        <f>IF(LEN(VLOOKUP(AK26,suvaha!$D$92:$H$158,4,FALSE))&lt;3,"",LEFT(RIGHT(VLOOKUP(AK26,suvaha!$D$92:$H$158,4,FALSE),3),1))</f>
        <v>2</v>
      </c>
      <c r="CD28" s="434"/>
      <c r="CE28" s="432" t="str">
        <f>IF(LEN(VLOOKUP(AK26,suvaha!$D$92:$H$158,4,FALSE))&lt;2,"",LEFT(RIGHT(VLOOKUP(AK26,suvaha!$D$92:$H$158,4,FALSE),2),1))</f>
        <v>4</v>
      </c>
      <c r="CF28" s="434"/>
      <c r="CG28" s="432" t="str">
        <f>IF(VLOOKUP(AK26,suvaha!$D$92:$H$158,4,FALSE)=0,"",IF(LEN(VLOOKUP(AK26,suvaha!$D$92:$H$158,4,FALSE))&lt;1,"",LEFT(RIGHT(VLOOKUP(AK26,suvaha!$D$92:$H$158,4,FALSE),1),1)))</f>
        <v>0</v>
      </c>
      <c r="CH28" s="285"/>
      <c r="CI28" s="220"/>
      <c r="CJ28" s="220"/>
    </row>
    <row r="29" spans="1:88" ht="3" customHeight="1">
      <c r="E29" s="1017"/>
      <c r="F29" s="1017"/>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3"/>
      <c r="AL29" s="973"/>
      <c r="AM29" s="973"/>
      <c r="AN29" s="358"/>
      <c r="AO29" s="365"/>
      <c r="AP29" s="365"/>
      <c r="AQ29" s="365"/>
      <c r="AR29" s="365"/>
      <c r="AS29" s="365"/>
      <c r="AT29" s="365"/>
      <c r="AU29" s="365"/>
      <c r="AV29" s="365"/>
      <c r="AW29" s="365"/>
      <c r="AX29" s="365"/>
      <c r="AY29" s="365"/>
      <c r="AZ29" s="365"/>
      <c r="BA29" s="365"/>
      <c r="BB29" s="365"/>
      <c r="BC29" s="365"/>
      <c r="BD29" s="365"/>
      <c r="BE29" s="310"/>
      <c r="BF29" s="310"/>
      <c r="BG29" s="310"/>
      <c r="BH29" s="310"/>
      <c r="BI29" s="310"/>
      <c r="BJ29" s="310"/>
      <c r="BK29" s="310"/>
      <c r="BL29" s="846"/>
      <c r="BM29" s="846"/>
      <c r="BN29" s="846"/>
      <c r="BO29" s="846"/>
      <c r="BP29" s="846"/>
      <c r="BQ29" s="846"/>
      <c r="BR29" s="846"/>
      <c r="BS29" s="846"/>
      <c r="BT29" s="846"/>
      <c r="BU29" s="846"/>
      <c r="BV29" s="846"/>
      <c r="BW29" s="846"/>
      <c r="BX29" s="846"/>
      <c r="BY29" s="846"/>
      <c r="BZ29" s="846"/>
      <c r="CA29" s="846"/>
      <c r="CB29" s="846"/>
      <c r="CC29" s="310"/>
      <c r="CD29" s="310"/>
      <c r="CE29" s="310"/>
      <c r="CF29" s="310"/>
      <c r="CG29" s="310"/>
      <c r="CH29" s="286"/>
      <c r="CI29" s="220"/>
      <c r="CJ29" s="220"/>
    </row>
    <row r="30" spans="1:88" s="250" customFormat="1" ht="3" customHeight="1">
      <c r="A30" s="220"/>
      <c r="B30" s="220"/>
      <c r="C30" s="224"/>
      <c r="D30" s="224"/>
      <c r="E30" s="983" t="s">
        <v>1542</v>
      </c>
      <c r="F30" s="983"/>
      <c r="G30" s="972" t="str">
        <f>Index!C146</f>
        <v>Oceňovacie rozdiely z kapitálových účastín (+/- 415)</v>
      </c>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73" t="s">
        <v>1671</v>
      </c>
      <c r="AL30" s="973"/>
      <c r="AM30" s="973"/>
      <c r="AN30" s="357"/>
      <c r="AO30" s="366"/>
      <c r="AP30" s="366"/>
      <c r="AQ30" s="366"/>
      <c r="AR30" s="366"/>
      <c r="AS30" s="366"/>
      <c r="AT30" s="366"/>
      <c r="AU30" s="366"/>
      <c r="AV30" s="366"/>
      <c r="AW30" s="366"/>
      <c r="AX30" s="366"/>
      <c r="AY30" s="366"/>
      <c r="AZ30" s="366"/>
      <c r="BA30" s="366"/>
      <c r="BB30" s="366"/>
      <c r="BC30" s="366"/>
      <c r="BD30" s="366"/>
      <c r="BE30" s="304"/>
      <c r="BF30" s="304"/>
      <c r="BG30" s="304"/>
      <c r="BH30" s="304"/>
      <c r="BI30" s="304"/>
      <c r="BJ30" s="304"/>
      <c r="BK30" s="304"/>
      <c r="BL30" s="867"/>
      <c r="BM30" s="867"/>
      <c r="BN30" s="867"/>
      <c r="BO30" s="867"/>
      <c r="BP30" s="867"/>
      <c r="BQ30" s="867"/>
      <c r="BR30" s="867"/>
      <c r="BS30" s="867"/>
      <c r="BT30" s="867"/>
      <c r="BU30" s="867"/>
      <c r="BV30" s="867"/>
      <c r="BW30" s="867"/>
      <c r="BX30" s="867"/>
      <c r="BY30" s="867"/>
      <c r="BZ30" s="867"/>
      <c r="CA30" s="867"/>
      <c r="CB30" s="867"/>
      <c r="CC30" s="304"/>
      <c r="CD30" s="304"/>
      <c r="CE30" s="304"/>
      <c r="CF30" s="304"/>
      <c r="CG30" s="304"/>
      <c r="CH30" s="284"/>
      <c r="CI30" s="288"/>
      <c r="CJ30" s="288"/>
    </row>
    <row r="31" spans="1:88" s="250" customFormat="1" ht="3" customHeight="1">
      <c r="A31" s="220"/>
      <c r="B31" s="220"/>
      <c r="C31" s="220"/>
      <c r="D31" s="220"/>
      <c r="E31" s="983"/>
      <c r="F31" s="983"/>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73"/>
      <c r="AL31" s="973"/>
      <c r="AM31" s="973"/>
      <c r="AN31" s="355"/>
      <c r="AO31" s="436"/>
      <c r="AP31" s="436"/>
      <c r="AQ31" s="436"/>
      <c r="AR31" s="435"/>
      <c r="AS31" s="439"/>
      <c r="AT31" s="439"/>
      <c r="AU31" s="439"/>
      <c r="AV31" s="439"/>
      <c r="AW31" s="439"/>
      <c r="AX31" s="440"/>
      <c r="AY31" s="821"/>
      <c r="AZ31" s="821"/>
      <c r="BA31" s="821"/>
      <c r="BB31" s="821"/>
      <c r="BC31" s="821"/>
      <c r="BD31" s="821"/>
      <c r="BE31" s="434"/>
      <c r="BF31" s="968"/>
      <c r="BG31" s="968"/>
      <c r="BH31" s="968"/>
      <c r="BI31" s="968"/>
      <c r="BJ31" s="968"/>
      <c r="BK31" s="851"/>
      <c r="BL31" s="826"/>
      <c r="BM31" s="820"/>
      <c r="BN31" s="820"/>
      <c r="BO31" s="820"/>
      <c r="BP31" s="435"/>
      <c r="BQ31" s="821"/>
      <c r="BR31" s="821"/>
      <c r="BS31" s="821"/>
      <c r="BT31" s="821"/>
      <c r="BU31" s="821"/>
      <c r="BV31" s="818"/>
      <c r="BW31" s="822"/>
      <c r="BX31" s="822"/>
      <c r="BY31" s="822"/>
      <c r="BZ31" s="822"/>
      <c r="CA31" s="822"/>
      <c r="CB31" s="819"/>
      <c r="CC31" s="822"/>
      <c r="CD31" s="822"/>
      <c r="CE31" s="822"/>
      <c r="CF31" s="822"/>
      <c r="CG31" s="822"/>
      <c r="CH31" s="285"/>
      <c r="CI31" s="288"/>
      <c r="CJ31" s="288"/>
    </row>
    <row r="32" spans="1:88" ht="15" customHeight="1">
      <c r="E32" s="983"/>
      <c r="F32" s="983"/>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73"/>
      <c r="AL32" s="973"/>
      <c r="AM32" s="973"/>
      <c r="AN32" s="355"/>
      <c r="AO32" s="432" t="str">
        <f>IF(LEN(VLOOKUP(AK30,suvaha!$D$92:$H$158,2,FALSE))&lt;11,"",LEFT(RIGHT(VLOOKUP(AK30,suvaha!$D$92:$H$158,2,FALSE),11),1))</f>
        <v/>
      </c>
      <c r="AP32" s="255"/>
      <c r="AQ32" s="432" t="str">
        <f>IF(LEN(VLOOKUP(AK30,suvaha!$D$92:$H$158,2,FALSE))&lt;10,"",LEFT(RIGHT(VLOOKUP(AK30,suvaha!$D$92:$H$158,2,FALSE),10),1))</f>
        <v/>
      </c>
      <c r="AR32" s="434"/>
      <c r="AS32" s="432" t="str">
        <f>IF(LEN(VLOOKUP(AK30,suvaha!$D$92:$H$158,2,FALSE))&lt;9,"",LEFT(RIGHT(VLOOKUP(AK30,suvaha!$D$92:$H$158,2,FALSE),9),1))</f>
        <v/>
      </c>
      <c r="AT32" s="255"/>
      <c r="AU32" s="432" t="str">
        <f>IF(LEN(VLOOKUP(AK30,suvaha!$D$92:$H$158,2,FALSE))&lt;8,"",LEFT(RIGHT(VLOOKUP(AK30,suvaha!$D$92:$H$158,2,FALSE),8),1))</f>
        <v/>
      </c>
      <c r="AV32" s="434"/>
      <c r="AW32" s="432" t="str">
        <f>IF(LEN(VLOOKUP(AK30,suvaha!$D$92:$H$158,2,FALSE))&lt;7,"",LEFT(RIGHT(VLOOKUP(AK30,suvaha!$D$92:$H$158,2,FALSE),7),1))</f>
        <v/>
      </c>
      <c r="AX32" s="440"/>
      <c r="AY32" s="432" t="str">
        <f>IF(LEN(VLOOKUP(AK30,suvaha!$D$92:$H$158,2,FALSE))&lt;6,"",LEFT(RIGHT(VLOOKUP(AK30,suvaha!$D$92:$H$158,2,FALSE),6),1))</f>
        <v/>
      </c>
      <c r="AZ32" s="255"/>
      <c r="BA32" s="961" t="str">
        <f>IF(LEN(VLOOKUP(AK30,suvaha!$D$92:$H$158,2,FALSE))&lt;5,"",LEFT(RIGHT(VLOOKUP(AK30,suvaha!$D$92:$H$158,2,FALSE),5),1))</f>
        <v/>
      </c>
      <c r="BB32" s="961" t="e">
        <f>IF(LEN(#REF!)&lt;5,"",LEFT(RIGHT(#REF!,5),1))</f>
        <v>#REF!</v>
      </c>
      <c r="BC32" s="434"/>
      <c r="BD32" s="432" t="str">
        <f>IF(LEN(VLOOKUP(AK30,suvaha!$D$92:$H$158,2,FALSE))&lt;4,"",LEFT(RIGHT(VLOOKUP(AK30,suvaha!$D$92:$H$158,2,FALSE),4),1))</f>
        <v/>
      </c>
      <c r="BE32" s="434"/>
      <c r="BF32" s="432" t="str">
        <f>IF(LEN(VLOOKUP(AK30,suvaha!$D$92:$H$158,2,FALSE))&lt;3,"",LEFT(RIGHT(VLOOKUP(AK30,suvaha!$D$92:$H$158,2,FALSE),3),1))</f>
        <v/>
      </c>
      <c r="BG32" s="434"/>
      <c r="BH32" s="432" t="str">
        <f>IF(LEN(VLOOKUP(AK30,suvaha!$D$92:$H$158,2,FALSE))&lt;2,"",LEFT(RIGHT(VLOOKUP(AK30,suvaha!$D$92:$H$158,2,FALSE),2),1))</f>
        <v/>
      </c>
      <c r="BI32" s="434"/>
      <c r="BJ32" s="432" t="str">
        <f>IF(VLOOKUP(AK30,suvaha!$D$92:$H$158,2,FALSE)=0,"",IF(LEN(VLOOKUP(AK30,suvaha!$D$92:$H$158,2,FALSE))&lt;1,"",LEFT(RIGHT(VLOOKUP(AK30,suvaha!$D$92:$H$158,2,FALSE),1),1)))</f>
        <v/>
      </c>
      <c r="BK32" s="851"/>
      <c r="BL32" s="826"/>
      <c r="BM32" s="432" t="str">
        <f>IF(LEN(VLOOKUP(AK30,suvaha!$D$92:$H$158,4,FALSE))&lt;11,"",LEFT(RIGHT(VLOOKUP(AK30,suvaha!$D$92:$H$158,4,FALSE),11),1))</f>
        <v/>
      </c>
      <c r="BN32" s="255"/>
      <c r="BO32" s="432" t="str">
        <f>IF(LEN(VLOOKUP(AK30,suvaha!$D$92:$H$158,4,FALSE))&lt;10,"",LEFT(RIGHT(VLOOKUP(AK30,suvaha!$D$92:$H$158,4,FALSE),10),1))</f>
        <v/>
      </c>
      <c r="BP32" s="434"/>
      <c r="BQ32" s="432" t="str">
        <f>IF(LEN(VLOOKUP(AK30,suvaha!$D$92:$H$158,4,FALSE))&lt;9,"",LEFT(RIGHT(VLOOKUP(AK30,suvaha!$D$92:$H$158,4,FALSE),9),1))</f>
        <v/>
      </c>
      <c r="BR32" s="255"/>
      <c r="BS32" s="432" t="str">
        <f>IF(LEN(VLOOKUP(AK30,suvaha!$D$92:$H$158,4,FALSE))&lt;8,"",LEFT(RIGHT(VLOOKUP(AK30,suvaha!$D$92:$H$158,4,FALSE),8),1))</f>
        <v/>
      </c>
      <c r="BT32" s="434"/>
      <c r="BU32" s="432" t="str">
        <f>IF(LEN(VLOOKUP(AK30,suvaha!$D$92:$H$158,4,FALSE))&lt;7,"",LEFT(RIGHT(VLOOKUP(AK30,suvaha!$D$92:$H$158,4,FALSE),7),1))</f>
        <v/>
      </c>
      <c r="BV32" s="818"/>
      <c r="BW32" s="432" t="str">
        <f>IF(LEN(VLOOKUP(AK30,suvaha!$D$92:$H$158,4,FALSE))&lt;6,"",LEFT(RIGHT(VLOOKUP(AK30,suvaha!$D$92:$H$158,4,FALSE),6),1))</f>
        <v/>
      </c>
      <c r="BX32" s="434"/>
      <c r="BY32" s="432" t="str">
        <f>IF(LEN(VLOOKUP(AK30,suvaha!$D$92:$H$158,4,FALSE))&lt;5,"",LEFT(RIGHT(VLOOKUP(AK30,suvaha!$D$92:$H$158,4,FALSE),5),1))</f>
        <v/>
      </c>
      <c r="BZ32" s="434"/>
      <c r="CA32" s="432" t="str">
        <f>IF(LEN(VLOOKUP(AK30,suvaha!$D$92:$H$158,4,FALSE))&lt;4,"",LEFT(RIGHT(VLOOKUP(AK30,suvaha!$D$92:$H$158,4,FALSE),4),1))</f>
        <v/>
      </c>
      <c r="CB32" s="819"/>
      <c r="CC32" s="432" t="str">
        <f>IF(LEN(VLOOKUP(AK30,suvaha!$D$92:$H$158,4,FALSE))&lt;3,"",LEFT(RIGHT(VLOOKUP(AK30,suvaha!$D$92:$H$158,4,FALSE),3),1))</f>
        <v/>
      </c>
      <c r="CD32" s="434"/>
      <c r="CE32" s="432" t="str">
        <f>IF(LEN(VLOOKUP(AK30,suvaha!$D$92:$H$158,4,FALSE))&lt;2,"",LEFT(RIGHT(VLOOKUP(AK30,suvaha!$D$92:$H$158,4,FALSE),2),1))</f>
        <v/>
      </c>
      <c r="CF32" s="434"/>
      <c r="CG32" s="432" t="str">
        <f>IF(VLOOKUP(AK30,suvaha!$D$92:$H$158,4,FALSE)=0,"",IF(LEN(VLOOKUP(AK30,suvaha!$D$92:$H$158,4,FALSE))&lt;1,"",LEFT(RIGHT(VLOOKUP(AK30,suvaha!$D$92:$H$158,4,FALSE),1),1)))</f>
        <v/>
      </c>
      <c r="CH32" s="285"/>
      <c r="CI32" s="220"/>
      <c r="CJ32" s="220"/>
    </row>
    <row r="33" spans="1:88" ht="3" customHeight="1">
      <c r="E33" s="983"/>
      <c r="F33" s="983"/>
      <c r="G33" s="984"/>
      <c r="H33" s="984"/>
      <c r="I33" s="984"/>
      <c r="J33" s="984"/>
      <c r="K33" s="984"/>
      <c r="L33" s="984"/>
      <c r="M33" s="984"/>
      <c r="N33" s="984"/>
      <c r="O33" s="984"/>
      <c r="P33" s="984"/>
      <c r="Q33" s="984"/>
      <c r="R33" s="984"/>
      <c r="S33" s="984"/>
      <c r="T33" s="984"/>
      <c r="U33" s="984"/>
      <c r="V33" s="984"/>
      <c r="W33" s="984"/>
      <c r="X33" s="984"/>
      <c r="Y33" s="984"/>
      <c r="Z33" s="984"/>
      <c r="AA33" s="984"/>
      <c r="AB33" s="984"/>
      <c r="AC33" s="984"/>
      <c r="AD33" s="984"/>
      <c r="AE33" s="984"/>
      <c r="AF33" s="984"/>
      <c r="AG33" s="984"/>
      <c r="AH33" s="984"/>
      <c r="AI33" s="984"/>
      <c r="AJ33" s="984"/>
      <c r="AK33" s="973"/>
      <c r="AL33" s="973"/>
      <c r="AM33" s="973"/>
      <c r="AN33" s="358"/>
      <c r="AO33" s="365"/>
      <c r="AP33" s="365"/>
      <c r="AQ33" s="365"/>
      <c r="AR33" s="365"/>
      <c r="AS33" s="365"/>
      <c r="AT33" s="365"/>
      <c r="AU33" s="365"/>
      <c r="AV33" s="365"/>
      <c r="AW33" s="365"/>
      <c r="AX33" s="365"/>
      <c r="AY33" s="365"/>
      <c r="AZ33" s="365"/>
      <c r="BA33" s="365"/>
      <c r="BB33" s="365"/>
      <c r="BC33" s="365"/>
      <c r="BD33" s="365"/>
      <c r="BE33" s="310"/>
      <c r="BF33" s="310"/>
      <c r="BG33" s="310"/>
      <c r="BH33" s="310"/>
      <c r="BI33" s="310"/>
      <c r="BJ33" s="310"/>
      <c r="BK33" s="310"/>
      <c r="BL33" s="846"/>
      <c r="BM33" s="846"/>
      <c r="BN33" s="846"/>
      <c r="BO33" s="846"/>
      <c r="BP33" s="846"/>
      <c r="BQ33" s="846"/>
      <c r="BR33" s="846"/>
      <c r="BS33" s="846"/>
      <c r="BT33" s="846"/>
      <c r="BU33" s="846"/>
      <c r="BV33" s="846"/>
      <c r="BW33" s="846"/>
      <c r="BX33" s="846"/>
      <c r="BY33" s="846"/>
      <c r="BZ33" s="846"/>
      <c r="CA33" s="846"/>
      <c r="CB33" s="846"/>
      <c r="CC33" s="310"/>
      <c r="CD33" s="310"/>
      <c r="CE33" s="310"/>
      <c r="CF33" s="310"/>
      <c r="CG33" s="310"/>
      <c r="CH33" s="286"/>
      <c r="CI33" s="220"/>
      <c r="CJ33" s="220"/>
    </row>
    <row r="34" spans="1:88" s="250" customFormat="1" ht="3" customHeight="1">
      <c r="A34" s="220"/>
      <c r="B34" s="220"/>
      <c r="C34" s="224"/>
      <c r="D34" s="224"/>
      <c r="E34" s="983" t="s">
        <v>1543</v>
      </c>
      <c r="F34" s="983"/>
      <c r="G34" s="972" t="str">
        <f>Index!C147</f>
        <v>Oceňovacie rozdiely z precenenia pri zlúčení, splynutí a rozdelení (+/- 416)</v>
      </c>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84"/>
      <c r="AI34" s="984"/>
      <c r="AJ34" s="984"/>
      <c r="AK34" s="973" t="s">
        <v>1672</v>
      </c>
      <c r="AL34" s="973"/>
      <c r="AM34" s="973"/>
      <c r="AN34" s="357"/>
      <c r="AO34" s="366"/>
      <c r="AP34" s="366"/>
      <c r="AQ34" s="366"/>
      <c r="AR34" s="366"/>
      <c r="AS34" s="366"/>
      <c r="AT34" s="366"/>
      <c r="AU34" s="366"/>
      <c r="AV34" s="366"/>
      <c r="AW34" s="366"/>
      <c r="AX34" s="366"/>
      <c r="AY34" s="366"/>
      <c r="AZ34" s="366"/>
      <c r="BA34" s="366"/>
      <c r="BB34" s="366"/>
      <c r="BC34" s="366"/>
      <c r="BD34" s="366"/>
      <c r="BE34" s="304"/>
      <c r="BF34" s="304"/>
      <c r="BG34" s="304"/>
      <c r="BH34" s="304"/>
      <c r="BI34" s="304"/>
      <c r="BJ34" s="304"/>
      <c r="BK34" s="304"/>
      <c r="BL34" s="867"/>
      <c r="BM34" s="867"/>
      <c r="BN34" s="867"/>
      <c r="BO34" s="867"/>
      <c r="BP34" s="867"/>
      <c r="BQ34" s="867"/>
      <c r="BR34" s="867"/>
      <c r="BS34" s="867"/>
      <c r="BT34" s="867"/>
      <c r="BU34" s="867"/>
      <c r="BV34" s="867"/>
      <c r="BW34" s="867"/>
      <c r="BX34" s="867"/>
      <c r="BY34" s="867"/>
      <c r="BZ34" s="867"/>
      <c r="CA34" s="867"/>
      <c r="CB34" s="867"/>
      <c r="CC34" s="304"/>
      <c r="CD34" s="304"/>
      <c r="CE34" s="304"/>
      <c r="CF34" s="304"/>
      <c r="CG34" s="304"/>
      <c r="CH34" s="284"/>
      <c r="CI34" s="288"/>
      <c r="CJ34" s="288"/>
    </row>
    <row r="35" spans="1:88" s="250" customFormat="1" ht="3" customHeight="1">
      <c r="A35" s="220"/>
      <c r="B35" s="220"/>
      <c r="C35" s="220"/>
      <c r="D35" s="220"/>
      <c r="E35" s="983"/>
      <c r="F35" s="983"/>
      <c r="G35" s="984"/>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984"/>
      <c r="AK35" s="973"/>
      <c r="AL35" s="973"/>
      <c r="AM35" s="973"/>
      <c r="AN35" s="355"/>
      <c r="AO35" s="436"/>
      <c r="AP35" s="436"/>
      <c r="AQ35" s="436"/>
      <c r="AR35" s="435"/>
      <c r="AS35" s="439"/>
      <c r="AT35" s="439"/>
      <c r="AU35" s="439"/>
      <c r="AV35" s="439"/>
      <c r="AW35" s="439"/>
      <c r="AX35" s="440"/>
      <c r="AY35" s="821"/>
      <c r="AZ35" s="821"/>
      <c r="BA35" s="821"/>
      <c r="BB35" s="821"/>
      <c r="BC35" s="821"/>
      <c r="BD35" s="821"/>
      <c r="BE35" s="434"/>
      <c r="BF35" s="968"/>
      <c r="BG35" s="968"/>
      <c r="BH35" s="968"/>
      <c r="BI35" s="968"/>
      <c r="BJ35" s="968"/>
      <c r="BK35" s="851"/>
      <c r="BL35" s="826"/>
      <c r="BM35" s="820"/>
      <c r="BN35" s="820"/>
      <c r="BO35" s="820"/>
      <c r="BP35" s="435"/>
      <c r="BQ35" s="821"/>
      <c r="BR35" s="821"/>
      <c r="BS35" s="821"/>
      <c r="BT35" s="821"/>
      <c r="BU35" s="821"/>
      <c r="BV35" s="818"/>
      <c r="BW35" s="822"/>
      <c r="BX35" s="822"/>
      <c r="BY35" s="822"/>
      <c r="BZ35" s="822"/>
      <c r="CA35" s="822"/>
      <c r="CB35" s="819"/>
      <c r="CC35" s="822"/>
      <c r="CD35" s="822"/>
      <c r="CE35" s="822"/>
      <c r="CF35" s="822"/>
      <c r="CG35" s="822"/>
      <c r="CH35" s="285"/>
      <c r="CI35" s="288"/>
      <c r="CJ35" s="288"/>
    </row>
    <row r="36" spans="1:88" ht="15" customHeight="1">
      <c r="E36" s="983"/>
      <c r="F36" s="983"/>
      <c r="G36" s="984"/>
      <c r="H36" s="984"/>
      <c r="I36" s="984"/>
      <c r="J36" s="984"/>
      <c r="K36" s="984"/>
      <c r="L36" s="984"/>
      <c r="M36" s="984"/>
      <c r="N36" s="984"/>
      <c r="O36" s="984"/>
      <c r="P36" s="984"/>
      <c r="Q36" s="984"/>
      <c r="R36" s="984"/>
      <c r="S36" s="984"/>
      <c r="T36" s="984"/>
      <c r="U36" s="984"/>
      <c r="V36" s="984"/>
      <c r="W36" s="984"/>
      <c r="X36" s="984"/>
      <c r="Y36" s="984"/>
      <c r="Z36" s="984"/>
      <c r="AA36" s="984"/>
      <c r="AB36" s="984"/>
      <c r="AC36" s="984"/>
      <c r="AD36" s="984"/>
      <c r="AE36" s="984"/>
      <c r="AF36" s="984"/>
      <c r="AG36" s="984"/>
      <c r="AH36" s="984"/>
      <c r="AI36" s="984"/>
      <c r="AJ36" s="984"/>
      <c r="AK36" s="973"/>
      <c r="AL36" s="973"/>
      <c r="AM36" s="973"/>
      <c r="AN36" s="355"/>
      <c r="AO36" s="432" t="str">
        <f>IF(LEN(VLOOKUP(AK34,suvaha!$D$92:$H$158,2,FALSE))&lt;11,"",LEFT(RIGHT(VLOOKUP(AK34,suvaha!$D$92:$H$158,2,FALSE),11),1))</f>
        <v/>
      </c>
      <c r="AP36" s="255"/>
      <c r="AQ36" s="432" t="str">
        <f>IF(LEN(VLOOKUP(AK34,suvaha!$D$92:$H$158,2,FALSE))&lt;10,"",LEFT(RIGHT(VLOOKUP(AK34,suvaha!$D$92:$H$158,2,FALSE),10),1))</f>
        <v/>
      </c>
      <c r="AR36" s="434"/>
      <c r="AS36" s="432" t="str">
        <f>IF(LEN(VLOOKUP(AK34,suvaha!$D$92:$H$158,2,FALSE))&lt;9,"",LEFT(RIGHT(VLOOKUP(AK34,suvaha!$D$92:$H$158,2,FALSE),9),1))</f>
        <v/>
      </c>
      <c r="AT36" s="255"/>
      <c r="AU36" s="432" t="str">
        <f>IF(LEN(VLOOKUP(AK34,suvaha!$D$92:$H$158,2,FALSE))&lt;8,"",LEFT(RIGHT(VLOOKUP(AK34,suvaha!$D$92:$H$158,2,FALSE),8),1))</f>
        <v/>
      </c>
      <c r="AV36" s="434"/>
      <c r="AW36" s="432" t="str">
        <f>IF(LEN(VLOOKUP(AK34,suvaha!$D$92:$H$158,2,FALSE))&lt;7,"",LEFT(RIGHT(VLOOKUP(AK34,suvaha!$D$92:$H$158,2,FALSE),7),1))</f>
        <v/>
      </c>
      <c r="AX36" s="440"/>
      <c r="AY36" s="432" t="str">
        <f>IF(LEN(VLOOKUP(AK34,suvaha!$D$92:$H$158,2,FALSE))&lt;6,"",LEFT(RIGHT(VLOOKUP(AK34,suvaha!$D$92:$H$158,2,FALSE),6),1))</f>
        <v/>
      </c>
      <c r="AZ36" s="255"/>
      <c r="BA36" s="961" t="str">
        <f>IF(LEN(VLOOKUP(AK34,suvaha!$D$92:$H$158,2,FALSE))&lt;5,"",LEFT(RIGHT(VLOOKUP(AK34,suvaha!$D$92:$H$158,2,FALSE),5),1))</f>
        <v/>
      </c>
      <c r="BB36" s="961" t="e">
        <f>IF(LEN(#REF!)&lt;5,"",LEFT(RIGHT(#REF!,5),1))</f>
        <v>#REF!</v>
      </c>
      <c r="BC36" s="434"/>
      <c r="BD36" s="432" t="str">
        <f>IF(LEN(VLOOKUP(AK34,suvaha!$D$92:$H$158,2,FALSE))&lt;4,"",LEFT(RIGHT(VLOOKUP(AK34,suvaha!$D$92:$H$158,2,FALSE),4),1))</f>
        <v/>
      </c>
      <c r="BE36" s="434"/>
      <c r="BF36" s="432" t="str">
        <f>IF(LEN(VLOOKUP(AK34,suvaha!$D$92:$H$158,2,FALSE))&lt;3,"",LEFT(RIGHT(VLOOKUP(AK34,suvaha!$D$92:$H$158,2,FALSE),3),1))</f>
        <v/>
      </c>
      <c r="BG36" s="434"/>
      <c r="BH36" s="432" t="str">
        <f>IF(LEN(VLOOKUP(AK34,suvaha!$D$92:$H$158,2,FALSE))&lt;2,"",LEFT(RIGHT(VLOOKUP(AK34,suvaha!$D$92:$H$158,2,FALSE),2),1))</f>
        <v/>
      </c>
      <c r="BI36" s="434"/>
      <c r="BJ36" s="432" t="str">
        <f>IF(VLOOKUP(AK34,suvaha!$D$92:$H$158,2,FALSE)=0,"",IF(LEN(VLOOKUP(AK34,suvaha!$D$92:$H$158,2,FALSE))&lt;1,"",LEFT(RIGHT(VLOOKUP(AK34,suvaha!$D$92:$H$158,2,FALSE),1),1)))</f>
        <v/>
      </c>
      <c r="BK36" s="851"/>
      <c r="BL36" s="826"/>
      <c r="BM36" s="432" t="str">
        <f>IF(LEN(VLOOKUP(AK34,suvaha!$D$92:$H$158,4,FALSE))&lt;11,"",LEFT(RIGHT(VLOOKUP(AK34,suvaha!$D$92:$H$158,4,FALSE),11),1))</f>
        <v/>
      </c>
      <c r="BN36" s="255"/>
      <c r="BO36" s="432" t="str">
        <f>IF(LEN(VLOOKUP(AK34,suvaha!$D$92:$H$158,4,FALSE))&lt;10,"",LEFT(RIGHT(VLOOKUP(AK34,suvaha!$D$92:$H$158,4,FALSE),10),1))</f>
        <v/>
      </c>
      <c r="BP36" s="434"/>
      <c r="BQ36" s="432" t="str">
        <f>IF(LEN(VLOOKUP(AK34,suvaha!$D$92:$H$158,4,FALSE))&lt;9,"",LEFT(RIGHT(VLOOKUP(AK34,suvaha!$D$92:$H$158,4,FALSE),9),1))</f>
        <v/>
      </c>
      <c r="BR36" s="255"/>
      <c r="BS36" s="432" t="str">
        <f>IF(LEN(VLOOKUP(AK34,suvaha!$D$92:$H$158,4,FALSE))&lt;8,"",LEFT(RIGHT(VLOOKUP(AK34,suvaha!$D$92:$H$158,4,FALSE),8),1))</f>
        <v/>
      </c>
      <c r="BT36" s="434"/>
      <c r="BU36" s="432" t="str">
        <f>IF(LEN(VLOOKUP(AK34,suvaha!$D$92:$H$158,4,FALSE))&lt;7,"",LEFT(RIGHT(VLOOKUP(AK34,suvaha!$D$92:$H$158,4,FALSE),7),1))</f>
        <v/>
      </c>
      <c r="BV36" s="818"/>
      <c r="BW36" s="432" t="str">
        <f>IF(LEN(VLOOKUP(AK34,suvaha!$D$92:$H$158,4,FALSE))&lt;6,"",LEFT(RIGHT(VLOOKUP(AK34,suvaha!$D$92:$H$158,4,FALSE),6),1))</f>
        <v/>
      </c>
      <c r="BX36" s="434"/>
      <c r="BY36" s="432" t="str">
        <f>IF(LEN(VLOOKUP(AK34,suvaha!$D$92:$H$158,4,FALSE))&lt;5,"",LEFT(RIGHT(VLOOKUP(AK34,suvaha!$D$92:$H$158,4,FALSE),5),1))</f>
        <v/>
      </c>
      <c r="BZ36" s="434"/>
      <c r="CA36" s="432" t="str">
        <f>IF(LEN(VLOOKUP(AK34,suvaha!$D$92:$H$158,4,FALSE))&lt;4,"",LEFT(RIGHT(VLOOKUP(AK34,suvaha!$D$92:$H$158,4,FALSE),4),1))</f>
        <v/>
      </c>
      <c r="CB36" s="819"/>
      <c r="CC36" s="432" t="str">
        <f>IF(LEN(VLOOKUP(AK34,suvaha!$D$92:$H$158,4,FALSE))&lt;3,"",LEFT(RIGHT(VLOOKUP(AK34,suvaha!$D$92:$H$158,4,FALSE),3),1))</f>
        <v/>
      </c>
      <c r="CD36" s="434"/>
      <c r="CE36" s="432" t="str">
        <f>IF(LEN(VLOOKUP(AK34,suvaha!$D$92:$H$158,4,FALSE))&lt;2,"",LEFT(RIGHT(VLOOKUP(AK34,suvaha!$D$92:$H$158,4,FALSE),2),1))</f>
        <v/>
      </c>
      <c r="CF36" s="434"/>
      <c r="CG36" s="432" t="str">
        <f>IF(VLOOKUP(AK34,suvaha!$D$92:$H$158,4,FALSE)=0,"",IF(LEN(VLOOKUP(AK34,suvaha!$D$92:$H$158,4,FALSE))&lt;1,"",LEFT(RIGHT(VLOOKUP(AK34,suvaha!$D$92:$H$158,4,FALSE),1),1)))</f>
        <v/>
      </c>
      <c r="CH36" s="285"/>
      <c r="CI36" s="220"/>
      <c r="CJ36" s="220"/>
    </row>
    <row r="37" spans="1:88" ht="3" customHeight="1">
      <c r="E37" s="983"/>
      <c r="F37" s="983"/>
      <c r="G37" s="984"/>
      <c r="H37" s="984"/>
      <c r="I37" s="984"/>
      <c r="J37" s="984"/>
      <c r="K37" s="984"/>
      <c r="L37" s="984"/>
      <c r="M37" s="984"/>
      <c r="N37" s="984"/>
      <c r="O37" s="984"/>
      <c r="P37" s="984"/>
      <c r="Q37" s="984"/>
      <c r="R37" s="984"/>
      <c r="S37" s="984"/>
      <c r="T37" s="984"/>
      <c r="U37" s="984"/>
      <c r="V37" s="984"/>
      <c r="W37" s="984"/>
      <c r="X37" s="984"/>
      <c r="Y37" s="984"/>
      <c r="Z37" s="984"/>
      <c r="AA37" s="984"/>
      <c r="AB37" s="984"/>
      <c r="AC37" s="984"/>
      <c r="AD37" s="984"/>
      <c r="AE37" s="984"/>
      <c r="AF37" s="984"/>
      <c r="AG37" s="984"/>
      <c r="AH37" s="984"/>
      <c r="AI37" s="984"/>
      <c r="AJ37" s="984"/>
      <c r="AK37" s="973"/>
      <c r="AL37" s="973"/>
      <c r="AM37" s="973"/>
      <c r="AN37" s="358"/>
      <c r="AO37" s="365"/>
      <c r="AP37" s="365"/>
      <c r="AQ37" s="365"/>
      <c r="AR37" s="365"/>
      <c r="AS37" s="365"/>
      <c r="AT37" s="365"/>
      <c r="AU37" s="365"/>
      <c r="AV37" s="365"/>
      <c r="AW37" s="365"/>
      <c r="AX37" s="365"/>
      <c r="AY37" s="365"/>
      <c r="AZ37" s="365"/>
      <c r="BA37" s="365"/>
      <c r="BB37" s="365"/>
      <c r="BC37" s="365"/>
      <c r="BD37" s="365"/>
      <c r="BE37" s="310"/>
      <c r="BF37" s="310"/>
      <c r="BG37" s="310"/>
      <c r="BH37" s="310"/>
      <c r="BI37" s="310"/>
      <c r="BJ37" s="310"/>
      <c r="BK37" s="310"/>
      <c r="BL37" s="846"/>
      <c r="BM37" s="846"/>
      <c r="BN37" s="846"/>
      <c r="BO37" s="846"/>
      <c r="BP37" s="846"/>
      <c r="BQ37" s="846"/>
      <c r="BR37" s="846"/>
      <c r="BS37" s="846"/>
      <c r="BT37" s="846"/>
      <c r="BU37" s="846"/>
      <c r="BV37" s="846"/>
      <c r="BW37" s="846"/>
      <c r="BX37" s="846"/>
      <c r="BY37" s="846"/>
      <c r="BZ37" s="846"/>
      <c r="CA37" s="846"/>
      <c r="CB37" s="846"/>
      <c r="CC37" s="310"/>
      <c r="CD37" s="310"/>
      <c r="CE37" s="310"/>
      <c r="CF37" s="310"/>
      <c r="CG37" s="310"/>
      <c r="CH37" s="286"/>
      <c r="CI37" s="220"/>
      <c r="CJ37" s="220"/>
    </row>
    <row r="38" spans="1:88" s="307" customFormat="1" ht="3" customHeight="1">
      <c r="A38" s="302"/>
      <c r="B38" s="302"/>
      <c r="C38" s="303"/>
      <c r="D38" s="303"/>
      <c r="E38" s="978" t="s">
        <v>1673</v>
      </c>
      <c r="F38" s="978"/>
      <c r="G38" s="976" t="str">
        <f>Index!C148</f>
        <v>Výsledok hospodárenia minulých rokov r. 98 + r. 99</v>
      </c>
      <c r="H38" s="976"/>
      <c r="I38" s="976"/>
      <c r="J38" s="976"/>
      <c r="K38" s="976"/>
      <c r="L38" s="976"/>
      <c r="M38" s="976"/>
      <c r="N38" s="976"/>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7" t="s">
        <v>1674</v>
      </c>
      <c r="AL38" s="977"/>
      <c r="AM38" s="977"/>
      <c r="AN38" s="364"/>
      <c r="AO38" s="366"/>
      <c r="AP38" s="366"/>
      <c r="AQ38" s="366"/>
      <c r="AR38" s="366"/>
      <c r="AS38" s="366"/>
      <c r="AT38" s="366"/>
      <c r="AU38" s="366"/>
      <c r="AV38" s="366"/>
      <c r="AW38" s="366"/>
      <c r="AX38" s="366"/>
      <c r="AY38" s="366"/>
      <c r="AZ38" s="366"/>
      <c r="BA38" s="366"/>
      <c r="BB38" s="366"/>
      <c r="BC38" s="366"/>
      <c r="BD38" s="366"/>
      <c r="BE38" s="304"/>
      <c r="BF38" s="304"/>
      <c r="BG38" s="304"/>
      <c r="BH38" s="304"/>
      <c r="BI38" s="304"/>
      <c r="BJ38" s="304"/>
      <c r="BK38" s="304"/>
      <c r="BL38" s="867"/>
      <c r="BM38" s="867"/>
      <c r="BN38" s="867"/>
      <c r="BO38" s="867"/>
      <c r="BP38" s="867"/>
      <c r="BQ38" s="867"/>
      <c r="BR38" s="867"/>
      <c r="BS38" s="867"/>
      <c r="BT38" s="867"/>
      <c r="BU38" s="867"/>
      <c r="BV38" s="867"/>
      <c r="BW38" s="867"/>
      <c r="BX38" s="867"/>
      <c r="BY38" s="867"/>
      <c r="BZ38" s="867"/>
      <c r="CA38" s="867"/>
      <c r="CB38" s="867"/>
      <c r="CC38" s="304"/>
      <c r="CD38" s="304"/>
      <c r="CE38" s="304"/>
      <c r="CF38" s="304"/>
      <c r="CG38" s="304"/>
      <c r="CH38" s="305"/>
      <c r="CI38" s="306"/>
      <c r="CJ38" s="306"/>
    </row>
    <row r="39" spans="1:88" s="307" customFormat="1" ht="3" customHeight="1">
      <c r="A39" s="302"/>
      <c r="B39" s="302"/>
      <c r="C39" s="302"/>
      <c r="D39" s="302"/>
      <c r="E39" s="978"/>
      <c r="F39" s="978"/>
      <c r="G39" s="976"/>
      <c r="H39" s="976"/>
      <c r="I39" s="976"/>
      <c r="J39" s="976"/>
      <c r="K39" s="976"/>
      <c r="L39" s="976"/>
      <c r="M39" s="976"/>
      <c r="N39" s="976"/>
      <c r="O39" s="976"/>
      <c r="P39" s="976"/>
      <c r="Q39" s="976"/>
      <c r="R39" s="976"/>
      <c r="S39" s="976"/>
      <c r="T39" s="976"/>
      <c r="U39" s="976"/>
      <c r="V39" s="976"/>
      <c r="W39" s="976"/>
      <c r="X39" s="976"/>
      <c r="Y39" s="976"/>
      <c r="Z39" s="976"/>
      <c r="AA39" s="976"/>
      <c r="AB39" s="976"/>
      <c r="AC39" s="976"/>
      <c r="AD39" s="976"/>
      <c r="AE39" s="976"/>
      <c r="AF39" s="976"/>
      <c r="AG39" s="976"/>
      <c r="AH39" s="976"/>
      <c r="AI39" s="976"/>
      <c r="AJ39" s="976"/>
      <c r="AK39" s="977"/>
      <c r="AL39" s="977"/>
      <c r="AM39" s="977"/>
      <c r="AN39" s="367"/>
      <c r="AO39" s="436"/>
      <c r="AP39" s="436"/>
      <c r="AQ39" s="436"/>
      <c r="AR39" s="435"/>
      <c r="AS39" s="433"/>
      <c r="AT39" s="433"/>
      <c r="AU39" s="433"/>
      <c r="AV39" s="433"/>
      <c r="AW39" s="433"/>
      <c r="AX39" s="434"/>
      <c r="AY39" s="1007"/>
      <c r="AZ39" s="1007"/>
      <c r="BA39" s="1007"/>
      <c r="BB39" s="1007"/>
      <c r="BC39" s="1007"/>
      <c r="BD39" s="1007"/>
      <c r="BE39" s="434"/>
      <c r="BF39" s="968"/>
      <c r="BG39" s="968"/>
      <c r="BH39" s="968"/>
      <c r="BI39" s="968"/>
      <c r="BJ39" s="968"/>
      <c r="BK39" s="851"/>
      <c r="BL39" s="826"/>
      <c r="BM39" s="820"/>
      <c r="BN39" s="820"/>
      <c r="BO39" s="820"/>
      <c r="BP39" s="435"/>
      <c r="BQ39" s="1007"/>
      <c r="BR39" s="1007"/>
      <c r="BS39" s="1007"/>
      <c r="BT39" s="1007"/>
      <c r="BU39" s="1007"/>
      <c r="BV39" s="1008"/>
      <c r="BW39" s="968"/>
      <c r="BX39" s="968"/>
      <c r="BY39" s="968"/>
      <c r="BZ39" s="968"/>
      <c r="CA39" s="968"/>
      <c r="CB39" s="1009"/>
      <c r="CC39" s="968"/>
      <c r="CD39" s="968"/>
      <c r="CE39" s="968"/>
      <c r="CF39" s="968"/>
      <c r="CG39" s="968"/>
      <c r="CH39" s="308"/>
      <c r="CI39" s="306"/>
      <c r="CJ39" s="306"/>
    </row>
    <row r="40" spans="1:88" s="309" customFormat="1" ht="15" customHeight="1">
      <c r="A40" s="302"/>
      <c r="B40" s="302"/>
      <c r="C40" s="302"/>
      <c r="E40" s="978"/>
      <c r="F40" s="978"/>
      <c r="G40" s="976"/>
      <c r="H40" s="976"/>
      <c r="I40" s="976"/>
      <c r="J40" s="976"/>
      <c r="K40" s="976"/>
      <c r="L40" s="976"/>
      <c r="M40" s="976"/>
      <c r="N40" s="976"/>
      <c r="O40" s="976"/>
      <c r="P40" s="976"/>
      <c r="Q40" s="976"/>
      <c r="R40" s="976"/>
      <c r="S40" s="976"/>
      <c r="T40" s="976"/>
      <c r="U40" s="976"/>
      <c r="V40" s="976"/>
      <c r="W40" s="976"/>
      <c r="X40" s="976"/>
      <c r="Y40" s="976"/>
      <c r="Z40" s="976"/>
      <c r="AA40" s="976"/>
      <c r="AB40" s="976"/>
      <c r="AC40" s="976"/>
      <c r="AD40" s="976"/>
      <c r="AE40" s="976"/>
      <c r="AF40" s="976"/>
      <c r="AG40" s="976"/>
      <c r="AH40" s="976"/>
      <c r="AI40" s="976"/>
      <c r="AJ40" s="976"/>
      <c r="AK40" s="977"/>
      <c r="AL40" s="977"/>
      <c r="AM40" s="977"/>
      <c r="AN40" s="367"/>
      <c r="AO40" s="432" t="str">
        <f>IF(LEN(VLOOKUP(AK38,suvaha!$D$92:$H$158,2,FALSE))&lt;11,"",LEFT(RIGHT(VLOOKUP(AK38,suvaha!$D$92:$H$158,2,FALSE),11),1))</f>
        <v/>
      </c>
      <c r="AP40" s="255"/>
      <c r="AQ40" s="432" t="str">
        <f>IF(LEN(VLOOKUP(AK38,suvaha!$D$92:$H$158,2,FALSE))&lt;10,"",LEFT(RIGHT(VLOOKUP(AK38,suvaha!$D$92:$H$158,2,FALSE),10),1))</f>
        <v/>
      </c>
      <c r="AR40" s="434"/>
      <c r="AS40" s="432" t="str">
        <f>IF(LEN(VLOOKUP(AK38,suvaha!$D$92:$H$158,2,FALSE))&lt;9,"",LEFT(RIGHT(VLOOKUP(AK38,suvaha!$D$92:$H$158,2,FALSE),9),1))</f>
        <v/>
      </c>
      <c r="AT40" s="255"/>
      <c r="AU40" s="432" t="str">
        <f>IF(LEN(VLOOKUP(AK38,suvaha!$D$92:$H$158,2,FALSE))&lt;8,"",LEFT(RIGHT(VLOOKUP(AK38,suvaha!$D$92:$H$158,2,FALSE),8),1))</f>
        <v>2</v>
      </c>
      <c r="AV40" s="434"/>
      <c r="AW40" s="432" t="str">
        <f>IF(LEN(VLOOKUP(AK38,suvaha!$D$92:$H$158,2,FALSE))&lt;7,"",LEFT(RIGHT(VLOOKUP(AK38,suvaha!$D$92:$H$158,2,FALSE),7),1))</f>
        <v>6</v>
      </c>
      <c r="AX40" s="434"/>
      <c r="AY40" s="432" t="str">
        <f>IF(LEN(VLOOKUP(AK38,suvaha!$D$92:$H$158,2,FALSE))&lt;6,"",LEFT(RIGHT(VLOOKUP(AK38,suvaha!$D$92:$H$158,2,FALSE),6),1))</f>
        <v>8</v>
      </c>
      <c r="AZ40" s="255"/>
      <c r="BA40" s="961" t="str">
        <f>IF(LEN(VLOOKUP(AK38,suvaha!$D$92:$H$158,2,FALSE))&lt;5,"",LEFT(RIGHT(VLOOKUP(AK38,suvaha!$D$92:$H$158,2,FALSE),5),1))</f>
        <v>2</v>
      </c>
      <c r="BB40" s="961" t="e">
        <f>IF(LEN(#REF!)&lt;5,"",LEFT(RIGHT(#REF!,5),1))</f>
        <v>#REF!</v>
      </c>
      <c r="BC40" s="434"/>
      <c r="BD40" s="432" t="str">
        <f>IF(LEN(VLOOKUP(AK38,suvaha!$D$92:$H$158,2,FALSE))&lt;4,"",LEFT(RIGHT(VLOOKUP(AK38,suvaha!$D$92:$H$158,2,FALSE),4),1))</f>
        <v>6</v>
      </c>
      <c r="BE40" s="434"/>
      <c r="BF40" s="432" t="str">
        <f>IF(LEN(VLOOKUP(AK38,suvaha!$D$92:$H$158,2,FALSE))&lt;3,"",LEFT(RIGHT(VLOOKUP(AK38,suvaha!$D$92:$H$158,2,FALSE),3),1))</f>
        <v>2</v>
      </c>
      <c r="BG40" s="434"/>
      <c r="BH40" s="432" t="str">
        <f>IF(LEN(VLOOKUP(AK38,suvaha!$D$92:$H$158,2,FALSE))&lt;2,"",LEFT(RIGHT(VLOOKUP(AK38,suvaha!$D$92:$H$158,2,FALSE),2),1))</f>
        <v>5</v>
      </c>
      <c r="BI40" s="434"/>
      <c r="BJ40" s="432" t="str">
        <f>IF(VLOOKUP(AK38,suvaha!$D$92:$H$158,2,FALSE)=0,"",IF(LEN(VLOOKUP(AK38,suvaha!$D$92:$H$158,2,FALSE))&lt;1,"",LEFT(RIGHT(VLOOKUP(AK38,suvaha!$D$92:$H$158,2,FALSE),1),1)))</f>
        <v>9</v>
      </c>
      <c r="BK40" s="851"/>
      <c r="BL40" s="826"/>
      <c r="BM40" s="432" t="str">
        <f>IF(LEN(VLOOKUP(AK38,suvaha!$D$92:$H$158,4,FALSE))&lt;11,"",LEFT(RIGHT(VLOOKUP(AK38,suvaha!$D$92:$H$158,4,FALSE),11),1))</f>
        <v/>
      </c>
      <c r="BN40" s="255"/>
      <c r="BO40" s="432" t="str">
        <f>IF(LEN(VLOOKUP(AK38,suvaha!$D$92:$H$158,4,FALSE))&lt;10,"",LEFT(RIGHT(VLOOKUP(AK38,suvaha!$D$92:$H$158,4,FALSE),10),1))</f>
        <v/>
      </c>
      <c r="BP40" s="434"/>
      <c r="BQ40" s="432" t="str">
        <f>IF(LEN(VLOOKUP(AK38,suvaha!$D$92:$H$158,4,FALSE))&lt;9,"",LEFT(RIGHT(VLOOKUP(AK38,suvaha!$D$92:$H$158,4,FALSE),9),1))</f>
        <v/>
      </c>
      <c r="BR40" s="255"/>
      <c r="BS40" s="432" t="str">
        <f>IF(LEN(VLOOKUP(AK38,suvaha!$D$92:$H$158,4,FALSE))&lt;8,"",LEFT(RIGHT(VLOOKUP(AK38,suvaha!$D$92:$H$158,4,FALSE),8),1))</f>
        <v>2</v>
      </c>
      <c r="BT40" s="434"/>
      <c r="BU40" s="432" t="str">
        <f>IF(LEN(VLOOKUP(AK38,suvaha!$D$92:$H$158,4,FALSE))&lt;7,"",LEFT(RIGHT(VLOOKUP(AK38,suvaha!$D$92:$H$158,4,FALSE),7),1))</f>
        <v>5</v>
      </c>
      <c r="BV40" s="1008"/>
      <c r="BW40" s="432" t="str">
        <f>IF(LEN(VLOOKUP(AK38,suvaha!$D$92:$H$158,4,FALSE))&lt;6,"",LEFT(RIGHT(VLOOKUP(AK38,suvaha!$D$92:$H$158,4,FALSE),6),1))</f>
        <v>7</v>
      </c>
      <c r="BX40" s="434"/>
      <c r="BY40" s="432" t="str">
        <f>IF(LEN(VLOOKUP(AK38,suvaha!$D$92:$H$158,4,FALSE))&lt;5,"",LEFT(RIGHT(VLOOKUP(AK38,suvaha!$D$92:$H$158,4,FALSE),5),1))</f>
        <v>2</v>
      </c>
      <c r="BZ40" s="434"/>
      <c r="CA40" s="432" t="str">
        <f>IF(LEN(VLOOKUP(AK38,suvaha!$D$92:$H$158,4,FALSE))&lt;4,"",LEFT(RIGHT(VLOOKUP(AK38,suvaha!$D$92:$H$158,4,FALSE),4),1))</f>
        <v>7</v>
      </c>
      <c r="CB40" s="1009"/>
      <c r="CC40" s="432" t="str">
        <f>IF(LEN(VLOOKUP(AK38,suvaha!$D$92:$H$158,4,FALSE))&lt;3,"",LEFT(RIGHT(VLOOKUP(AK38,suvaha!$D$92:$H$158,4,FALSE),3),1))</f>
        <v>0</v>
      </c>
      <c r="CD40" s="434"/>
      <c r="CE40" s="432" t="str">
        <f>IF(LEN(VLOOKUP(AK38,suvaha!$D$92:$H$158,4,FALSE))&lt;2,"",LEFT(RIGHT(VLOOKUP(AK38,suvaha!$D$92:$H$158,4,FALSE),2),1))</f>
        <v>6</v>
      </c>
      <c r="CF40" s="434"/>
      <c r="CG40" s="432" t="str">
        <f>IF(VLOOKUP(AK38,suvaha!$D$92:$H$158,4,FALSE)=0,"",IF(LEN(VLOOKUP(AK38,suvaha!$D$92:$H$158,4,FALSE))&lt;1,"",LEFT(RIGHT(VLOOKUP(AK38,suvaha!$D$92:$H$158,4,FALSE),1),1)))</f>
        <v>1</v>
      </c>
      <c r="CH40" s="308"/>
      <c r="CI40" s="302"/>
      <c r="CJ40" s="302"/>
    </row>
    <row r="41" spans="1:88" s="309" customFormat="1" ht="3" customHeight="1">
      <c r="A41" s="302"/>
      <c r="B41" s="302"/>
      <c r="C41" s="302"/>
      <c r="E41" s="978"/>
      <c r="F41" s="978"/>
      <c r="G41" s="976"/>
      <c r="H41" s="976"/>
      <c r="I41" s="976"/>
      <c r="J41" s="976"/>
      <c r="K41" s="976"/>
      <c r="L41" s="976"/>
      <c r="M41" s="976"/>
      <c r="N41" s="976"/>
      <c r="O41" s="976"/>
      <c r="P41" s="976"/>
      <c r="Q41" s="976"/>
      <c r="R41" s="976"/>
      <c r="S41" s="976"/>
      <c r="T41" s="976"/>
      <c r="U41" s="976"/>
      <c r="V41" s="976"/>
      <c r="W41" s="976"/>
      <c r="X41" s="976"/>
      <c r="Y41" s="976"/>
      <c r="Z41" s="976"/>
      <c r="AA41" s="976"/>
      <c r="AB41" s="976"/>
      <c r="AC41" s="976"/>
      <c r="AD41" s="976"/>
      <c r="AE41" s="976"/>
      <c r="AF41" s="976"/>
      <c r="AG41" s="976"/>
      <c r="AH41" s="976"/>
      <c r="AI41" s="976"/>
      <c r="AJ41" s="976"/>
      <c r="AK41" s="977"/>
      <c r="AL41" s="977"/>
      <c r="AM41" s="977"/>
      <c r="AN41" s="363"/>
      <c r="AO41" s="365"/>
      <c r="AP41" s="365"/>
      <c r="AQ41" s="365"/>
      <c r="AR41" s="365"/>
      <c r="AS41" s="365"/>
      <c r="AT41" s="365"/>
      <c r="AU41" s="365"/>
      <c r="AV41" s="365"/>
      <c r="AW41" s="365"/>
      <c r="AX41" s="365"/>
      <c r="AY41" s="365"/>
      <c r="AZ41" s="365"/>
      <c r="BA41" s="365"/>
      <c r="BB41" s="365"/>
      <c r="BC41" s="365"/>
      <c r="BD41" s="365"/>
      <c r="BE41" s="310"/>
      <c r="BF41" s="310"/>
      <c r="BG41" s="310"/>
      <c r="BH41" s="310"/>
      <c r="BI41" s="310"/>
      <c r="BJ41" s="310"/>
      <c r="BK41" s="310"/>
      <c r="BL41" s="846"/>
      <c r="BM41" s="846"/>
      <c r="BN41" s="846"/>
      <c r="BO41" s="846"/>
      <c r="BP41" s="846"/>
      <c r="BQ41" s="846"/>
      <c r="BR41" s="846"/>
      <c r="BS41" s="846"/>
      <c r="BT41" s="846"/>
      <c r="BU41" s="846"/>
      <c r="BV41" s="846"/>
      <c r="BW41" s="846"/>
      <c r="BX41" s="846"/>
      <c r="BY41" s="846"/>
      <c r="BZ41" s="846"/>
      <c r="CA41" s="846"/>
      <c r="CB41" s="846"/>
      <c r="CC41" s="310"/>
      <c r="CD41" s="310"/>
      <c r="CE41" s="310"/>
      <c r="CF41" s="310"/>
      <c r="CG41" s="310"/>
      <c r="CH41" s="311"/>
      <c r="CI41" s="302"/>
      <c r="CJ41" s="302"/>
    </row>
    <row r="42" spans="1:88" s="250" customFormat="1" ht="3" customHeight="1">
      <c r="A42" s="220"/>
      <c r="B42" s="220"/>
      <c r="C42" s="224"/>
      <c r="D42" s="224"/>
      <c r="E42" s="1015" t="s">
        <v>1675</v>
      </c>
      <c r="F42" s="1016"/>
      <c r="G42" s="1013" t="str">
        <f>Index!C149</f>
        <v>Nerozdelený zisk minulých rokov (428)</v>
      </c>
      <c r="H42" s="1013"/>
      <c r="I42" s="1013"/>
      <c r="J42" s="1013"/>
      <c r="K42" s="1013"/>
      <c r="L42" s="1013"/>
      <c r="M42" s="1013"/>
      <c r="N42" s="1013"/>
      <c r="O42" s="1013"/>
      <c r="P42" s="1013"/>
      <c r="Q42" s="1013"/>
      <c r="R42" s="1013"/>
      <c r="S42" s="1013"/>
      <c r="T42" s="1013"/>
      <c r="U42" s="1013"/>
      <c r="V42" s="1013"/>
      <c r="W42" s="1013"/>
      <c r="X42" s="1013"/>
      <c r="Y42" s="1013"/>
      <c r="Z42" s="1013"/>
      <c r="AA42" s="1013"/>
      <c r="AB42" s="1013"/>
      <c r="AC42" s="1013"/>
      <c r="AD42" s="1013"/>
      <c r="AE42" s="1013"/>
      <c r="AF42" s="1013"/>
      <c r="AG42" s="1013"/>
      <c r="AH42" s="1013"/>
      <c r="AI42" s="1013"/>
      <c r="AJ42" s="1013"/>
      <c r="AK42" s="1014" t="s">
        <v>1676</v>
      </c>
      <c r="AL42" s="1014"/>
      <c r="AM42" s="1014"/>
      <c r="AN42" s="357"/>
      <c r="AO42" s="366"/>
      <c r="AP42" s="366"/>
      <c r="AQ42" s="366"/>
      <c r="AR42" s="366"/>
      <c r="AS42" s="366"/>
      <c r="AT42" s="366"/>
      <c r="AU42" s="366"/>
      <c r="AV42" s="366"/>
      <c r="AW42" s="366"/>
      <c r="AX42" s="366"/>
      <c r="AY42" s="366"/>
      <c r="AZ42" s="366"/>
      <c r="BA42" s="366"/>
      <c r="BB42" s="366"/>
      <c r="BC42" s="366"/>
      <c r="BD42" s="366"/>
      <c r="BE42" s="304"/>
      <c r="BF42" s="304"/>
      <c r="BG42" s="304"/>
      <c r="BH42" s="304"/>
      <c r="BI42" s="304"/>
      <c r="BJ42" s="304"/>
      <c r="BK42" s="304"/>
      <c r="BL42" s="867"/>
      <c r="BM42" s="867"/>
      <c r="BN42" s="867"/>
      <c r="BO42" s="867"/>
      <c r="BP42" s="867"/>
      <c r="BQ42" s="867"/>
      <c r="BR42" s="867"/>
      <c r="BS42" s="867"/>
      <c r="BT42" s="867"/>
      <c r="BU42" s="867"/>
      <c r="BV42" s="867"/>
      <c r="BW42" s="867"/>
      <c r="BX42" s="867"/>
      <c r="BY42" s="867"/>
      <c r="BZ42" s="867"/>
      <c r="CA42" s="867"/>
      <c r="CB42" s="867"/>
      <c r="CC42" s="304"/>
      <c r="CD42" s="304"/>
      <c r="CE42" s="304"/>
      <c r="CF42" s="304"/>
      <c r="CG42" s="304"/>
      <c r="CH42" s="284"/>
      <c r="CI42" s="288"/>
      <c r="CJ42" s="288"/>
    </row>
    <row r="43" spans="1:88" s="250" customFormat="1" ht="3" customHeight="1">
      <c r="A43" s="220"/>
      <c r="B43" s="220"/>
      <c r="C43" s="220"/>
      <c r="D43" s="220"/>
      <c r="E43" s="1015"/>
      <c r="F43" s="1016"/>
      <c r="G43" s="1013"/>
      <c r="H43" s="1013"/>
      <c r="I43" s="1013"/>
      <c r="J43" s="1013"/>
      <c r="K43" s="1013"/>
      <c r="L43" s="1013"/>
      <c r="M43" s="1013"/>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4"/>
      <c r="AL43" s="1014"/>
      <c r="AM43" s="1014"/>
      <c r="AN43" s="355"/>
      <c r="AO43" s="436"/>
      <c r="AP43" s="436"/>
      <c r="AQ43" s="436"/>
      <c r="AR43" s="435"/>
      <c r="AS43" s="439"/>
      <c r="AT43" s="439"/>
      <c r="AU43" s="439"/>
      <c r="AV43" s="439"/>
      <c r="AW43" s="439"/>
      <c r="AX43" s="440"/>
      <c r="AY43" s="821"/>
      <c r="AZ43" s="821"/>
      <c r="BA43" s="821"/>
      <c r="BB43" s="821"/>
      <c r="BC43" s="821"/>
      <c r="BD43" s="821"/>
      <c r="BE43" s="434"/>
      <c r="BF43" s="968"/>
      <c r="BG43" s="968"/>
      <c r="BH43" s="968"/>
      <c r="BI43" s="968"/>
      <c r="BJ43" s="968"/>
      <c r="BK43" s="851"/>
      <c r="BL43" s="826"/>
      <c r="BM43" s="820"/>
      <c r="BN43" s="820"/>
      <c r="BO43" s="820"/>
      <c r="BP43" s="435"/>
      <c r="BQ43" s="821"/>
      <c r="BR43" s="821"/>
      <c r="BS43" s="821"/>
      <c r="BT43" s="821"/>
      <c r="BU43" s="821"/>
      <c r="BV43" s="818"/>
      <c r="BW43" s="822"/>
      <c r="BX43" s="822"/>
      <c r="BY43" s="822"/>
      <c r="BZ43" s="822"/>
      <c r="CA43" s="822"/>
      <c r="CB43" s="819"/>
      <c r="CC43" s="822"/>
      <c r="CD43" s="822"/>
      <c r="CE43" s="822"/>
      <c r="CF43" s="822"/>
      <c r="CG43" s="822"/>
      <c r="CH43" s="285"/>
      <c r="CI43" s="288"/>
      <c r="CJ43" s="288"/>
    </row>
    <row r="44" spans="1:88" ht="15" customHeight="1">
      <c r="E44" s="1015"/>
      <c r="F44" s="1016"/>
      <c r="G44" s="1013"/>
      <c r="H44" s="1013"/>
      <c r="I44" s="1013"/>
      <c r="J44" s="1013"/>
      <c r="K44" s="1013"/>
      <c r="L44" s="1013"/>
      <c r="M44" s="1013"/>
      <c r="N44" s="1013"/>
      <c r="O44" s="1013"/>
      <c r="P44" s="1013"/>
      <c r="Q44" s="1013"/>
      <c r="R44" s="1013"/>
      <c r="S44" s="1013"/>
      <c r="T44" s="1013"/>
      <c r="U44" s="1013"/>
      <c r="V44" s="1013"/>
      <c r="W44" s="1013"/>
      <c r="X44" s="1013"/>
      <c r="Y44" s="1013"/>
      <c r="Z44" s="1013"/>
      <c r="AA44" s="1013"/>
      <c r="AB44" s="1013"/>
      <c r="AC44" s="1013"/>
      <c r="AD44" s="1013"/>
      <c r="AE44" s="1013"/>
      <c r="AF44" s="1013"/>
      <c r="AG44" s="1013"/>
      <c r="AH44" s="1013"/>
      <c r="AI44" s="1013"/>
      <c r="AJ44" s="1013"/>
      <c r="AK44" s="1014"/>
      <c r="AL44" s="1014"/>
      <c r="AM44" s="1014"/>
      <c r="AN44" s="355"/>
      <c r="AO44" s="432" t="str">
        <f>IF(LEN(VLOOKUP(AK42,suvaha!$D$92:$H$158,2,FALSE))&lt;11,"",LEFT(RIGHT(VLOOKUP(AK42,suvaha!$D$92:$H$158,2,FALSE),11),1))</f>
        <v/>
      </c>
      <c r="AP44" s="255"/>
      <c r="AQ44" s="432" t="str">
        <f>IF(LEN(VLOOKUP(AK42,suvaha!$D$92:$H$158,2,FALSE))&lt;10,"",LEFT(RIGHT(VLOOKUP(AK42,suvaha!$D$92:$H$158,2,FALSE),10),1))</f>
        <v/>
      </c>
      <c r="AR44" s="434"/>
      <c r="AS44" s="432" t="str">
        <f>IF(LEN(VLOOKUP(AK42,suvaha!$D$92:$H$158,2,FALSE))&lt;9,"",LEFT(RIGHT(VLOOKUP(AK42,suvaha!$D$92:$H$158,2,FALSE),9),1))</f>
        <v/>
      </c>
      <c r="AT44" s="255"/>
      <c r="AU44" s="432" t="str">
        <f>IF(LEN(VLOOKUP(AK42,suvaha!$D$92:$H$158,2,FALSE))&lt;8,"",LEFT(RIGHT(VLOOKUP(AK42,suvaha!$D$92:$H$158,2,FALSE),8),1))</f>
        <v>2</v>
      </c>
      <c r="AV44" s="434"/>
      <c r="AW44" s="432" t="str">
        <f>IF(LEN(VLOOKUP(AK42,suvaha!$D$92:$H$158,2,FALSE))&lt;7,"",LEFT(RIGHT(VLOOKUP(AK42,suvaha!$D$92:$H$158,2,FALSE),7),1))</f>
        <v>6</v>
      </c>
      <c r="AX44" s="440"/>
      <c r="AY44" s="432" t="str">
        <f>IF(LEN(VLOOKUP(AK42,suvaha!$D$92:$H$158,2,FALSE))&lt;6,"",LEFT(RIGHT(VLOOKUP(AK42,suvaha!$D$92:$H$158,2,FALSE),6),1))</f>
        <v>8</v>
      </c>
      <c r="AZ44" s="255"/>
      <c r="BA44" s="961" t="str">
        <f>IF(LEN(VLOOKUP(AK42,suvaha!$D$92:$H$158,2,FALSE))&lt;5,"",LEFT(RIGHT(VLOOKUP(AK42,suvaha!$D$92:$H$158,2,FALSE),5),1))</f>
        <v>6</v>
      </c>
      <c r="BB44" s="961" t="e">
        <f>IF(LEN(#REF!)&lt;5,"",LEFT(RIGHT(#REF!,5),1))</f>
        <v>#REF!</v>
      </c>
      <c r="BC44" s="434"/>
      <c r="BD44" s="432" t="str">
        <f>IF(LEN(VLOOKUP(AK42,suvaha!$D$92:$H$158,2,FALSE))&lt;4,"",LEFT(RIGHT(VLOOKUP(AK42,suvaha!$D$92:$H$158,2,FALSE),4),1))</f>
        <v>4</v>
      </c>
      <c r="BE44" s="434"/>
      <c r="BF44" s="432" t="str">
        <f>IF(LEN(VLOOKUP(AK42,suvaha!$D$92:$H$158,2,FALSE))&lt;3,"",LEFT(RIGHT(VLOOKUP(AK42,suvaha!$D$92:$H$158,2,FALSE),3),1))</f>
        <v>5</v>
      </c>
      <c r="BG44" s="434"/>
      <c r="BH44" s="432" t="str">
        <f>IF(LEN(VLOOKUP(AK42,suvaha!$D$92:$H$158,2,FALSE))&lt;2,"",LEFT(RIGHT(VLOOKUP(AK42,suvaha!$D$92:$H$158,2,FALSE),2),1))</f>
        <v>9</v>
      </c>
      <c r="BI44" s="434"/>
      <c r="BJ44" s="432" t="str">
        <f>IF(VLOOKUP(AK42,suvaha!$D$92:$H$158,2,FALSE)=0,"",IF(LEN(VLOOKUP(AK42,suvaha!$D$92:$H$158,2,FALSE))&lt;1,"",LEFT(RIGHT(VLOOKUP(AK42,suvaha!$D$92:$H$158,2,FALSE),1),1)))</f>
        <v>7</v>
      </c>
      <c r="BK44" s="851"/>
      <c r="BL44" s="826"/>
      <c r="BM44" s="432" t="str">
        <f>IF(LEN(VLOOKUP(AK42,suvaha!$D$92:$H$158,4,FALSE))&lt;11,"",LEFT(RIGHT(VLOOKUP(AK42,suvaha!$D$92:$H$158,4,FALSE),11),1))</f>
        <v/>
      </c>
      <c r="BN44" s="255"/>
      <c r="BO44" s="432" t="str">
        <f>IF(LEN(VLOOKUP(AK42,suvaha!$D$92:$H$158,4,FALSE))&lt;10,"",LEFT(RIGHT(VLOOKUP(AK42,suvaha!$D$92:$H$158,4,FALSE),10),1))</f>
        <v/>
      </c>
      <c r="BP44" s="434"/>
      <c r="BQ44" s="432" t="str">
        <f>IF(LEN(VLOOKUP(AK42,suvaha!$D$92:$H$158,4,FALSE))&lt;9,"",LEFT(RIGHT(VLOOKUP(AK42,suvaha!$D$92:$H$158,4,FALSE),9),1))</f>
        <v/>
      </c>
      <c r="BR44" s="255"/>
      <c r="BS44" s="432" t="str">
        <f>IF(LEN(VLOOKUP(AK42,suvaha!$D$92:$H$158,4,FALSE))&lt;8,"",LEFT(RIGHT(VLOOKUP(AK42,suvaha!$D$92:$H$158,4,FALSE),8),1))</f>
        <v>2</v>
      </c>
      <c r="BT44" s="434"/>
      <c r="BU44" s="432" t="str">
        <f>IF(LEN(VLOOKUP(AK42,suvaha!$D$92:$H$158,4,FALSE))&lt;7,"",LEFT(RIGHT(VLOOKUP(AK42,suvaha!$D$92:$H$158,4,FALSE),7),1))</f>
        <v>6</v>
      </c>
      <c r="BV44" s="818"/>
      <c r="BW44" s="432" t="str">
        <f>IF(LEN(VLOOKUP(AK42,suvaha!$D$92:$H$158,4,FALSE))&lt;6,"",LEFT(RIGHT(VLOOKUP(AK42,suvaha!$D$92:$H$158,4,FALSE),6),1))</f>
        <v>8</v>
      </c>
      <c r="BX44" s="434"/>
      <c r="BY44" s="432" t="str">
        <f>IF(LEN(VLOOKUP(AK42,suvaha!$D$92:$H$158,4,FALSE))&lt;5,"",LEFT(RIGHT(VLOOKUP(AK42,suvaha!$D$92:$H$158,4,FALSE),5),1))</f>
        <v>6</v>
      </c>
      <c r="BZ44" s="434"/>
      <c r="CA44" s="432" t="str">
        <f>IF(LEN(VLOOKUP(AK42,suvaha!$D$92:$H$158,4,FALSE))&lt;4,"",LEFT(RIGHT(VLOOKUP(AK42,suvaha!$D$92:$H$158,4,FALSE),4),1))</f>
        <v>4</v>
      </c>
      <c r="CB44" s="819"/>
      <c r="CC44" s="432" t="str">
        <f>IF(LEN(VLOOKUP(AK42,suvaha!$D$92:$H$158,4,FALSE))&lt;3,"",LEFT(RIGHT(VLOOKUP(AK42,suvaha!$D$92:$H$158,4,FALSE),3),1))</f>
        <v>5</v>
      </c>
      <c r="CD44" s="434"/>
      <c r="CE44" s="432" t="str">
        <f>IF(LEN(VLOOKUP(AK42,suvaha!$D$92:$H$158,4,FALSE))&lt;2,"",LEFT(RIGHT(VLOOKUP(AK42,suvaha!$D$92:$H$158,4,FALSE),2),1))</f>
        <v>9</v>
      </c>
      <c r="CF44" s="434"/>
      <c r="CG44" s="432" t="str">
        <f>IF(VLOOKUP(AK42,suvaha!$D$92:$H$158,4,FALSE)=0,"",IF(LEN(VLOOKUP(AK42,suvaha!$D$92:$H$158,4,FALSE))&lt;1,"",LEFT(RIGHT(VLOOKUP(AK42,suvaha!$D$92:$H$158,4,FALSE),1),1)))</f>
        <v>6</v>
      </c>
      <c r="CH44" s="285"/>
      <c r="CI44" s="220"/>
      <c r="CJ44" s="220"/>
    </row>
    <row r="45" spans="1:88" ht="3" customHeight="1">
      <c r="E45" s="1015"/>
      <c r="F45" s="1016"/>
      <c r="G45" s="1013"/>
      <c r="H45" s="1013"/>
      <c r="I45" s="1013"/>
      <c r="J45" s="1013"/>
      <c r="K45" s="1013"/>
      <c r="L45" s="1013"/>
      <c r="M45" s="1013"/>
      <c r="N45" s="1013"/>
      <c r="O45" s="1013"/>
      <c r="P45" s="1013"/>
      <c r="Q45" s="1013"/>
      <c r="R45" s="1013"/>
      <c r="S45" s="1013"/>
      <c r="T45" s="1013"/>
      <c r="U45" s="1013"/>
      <c r="V45" s="1013"/>
      <c r="W45" s="1013"/>
      <c r="X45" s="1013"/>
      <c r="Y45" s="1013"/>
      <c r="Z45" s="1013"/>
      <c r="AA45" s="1013"/>
      <c r="AB45" s="1013"/>
      <c r="AC45" s="1013"/>
      <c r="AD45" s="1013"/>
      <c r="AE45" s="1013"/>
      <c r="AF45" s="1013"/>
      <c r="AG45" s="1013"/>
      <c r="AH45" s="1013"/>
      <c r="AI45" s="1013"/>
      <c r="AJ45" s="1013"/>
      <c r="AK45" s="1014"/>
      <c r="AL45" s="1014"/>
      <c r="AM45" s="1014"/>
      <c r="AN45" s="358"/>
      <c r="AO45" s="365"/>
      <c r="AP45" s="365"/>
      <c r="AQ45" s="365"/>
      <c r="AR45" s="365"/>
      <c r="AS45" s="365"/>
      <c r="AT45" s="365"/>
      <c r="AU45" s="365"/>
      <c r="AV45" s="365"/>
      <c r="AW45" s="365"/>
      <c r="AX45" s="365"/>
      <c r="AY45" s="365"/>
      <c r="AZ45" s="365"/>
      <c r="BA45" s="365"/>
      <c r="BB45" s="365"/>
      <c r="BC45" s="365"/>
      <c r="BD45" s="365"/>
      <c r="BE45" s="310"/>
      <c r="BF45" s="310"/>
      <c r="BG45" s="310"/>
      <c r="BH45" s="310"/>
      <c r="BI45" s="310"/>
      <c r="BJ45" s="310"/>
      <c r="BK45" s="310"/>
      <c r="BL45" s="846"/>
      <c r="BM45" s="846"/>
      <c r="BN45" s="846"/>
      <c r="BO45" s="846"/>
      <c r="BP45" s="846"/>
      <c r="BQ45" s="846"/>
      <c r="BR45" s="846"/>
      <c r="BS45" s="846"/>
      <c r="BT45" s="846"/>
      <c r="BU45" s="846"/>
      <c r="BV45" s="846"/>
      <c r="BW45" s="846"/>
      <c r="BX45" s="846"/>
      <c r="BY45" s="846"/>
      <c r="BZ45" s="846"/>
      <c r="CA45" s="846"/>
      <c r="CB45" s="846"/>
      <c r="CC45" s="310"/>
      <c r="CD45" s="310"/>
      <c r="CE45" s="310"/>
      <c r="CF45" s="310"/>
      <c r="CG45" s="310"/>
      <c r="CH45" s="286"/>
      <c r="CI45" s="220"/>
      <c r="CJ45" s="220"/>
    </row>
    <row r="46" spans="1:88" s="250" customFormat="1" ht="3" customHeight="1">
      <c r="A46" s="220"/>
      <c r="B46" s="220"/>
      <c r="C46" s="224"/>
      <c r="D46" s="224"/>
      <c r="E46" s="1011" t="s">
        <v>1542</v>
      </c>
      <c r="F46" s="1012"/>
      <c r="G46" s="1013" t="str">
        <f>Index!C150</f>
        <v>Neuhradená strata minulých rokov (/-/429)</v>
      </c>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4" t="s">
        <v>1677</v>
      </c>
      <c r="AL46" s="1014"/>
      <c r="AM46" s="1014"/>
      <c r="AN46" s="357"/>
      <c r="AO46" s="366"/>
      <c r="AP46" s="366"/>
      <c r="AQ46" s="366"/>
      <c r="AR46" s="366"/>
      <c r="AS46" s="366"/>
      <c r="AT46" s="366"/>
      <c r="AU46" s="366"/>
      <c r="AV46" s="366"/>
      <c r="AW46" s="366"/>
      <c r="AX46" s="366"/>
      <c r="AY46" s="366"/>
      <c r="AZ46" s="366"/>
      <c r="BA46" s="366"/>
      <c r="BB46" s="366"/>
      <c r="BC46" s="366"/>
      <c r="BD46" s="366"/>
      <c r="BE46" s="304"/>
      <c r="BF46" s="304"/>
      <c r="BG46" s="304"/>
      <c r="BH46" s="304"/>
      <c r="BI46" s="304"/>
      <c r="BJ46" s="304"/>
      <c r="BK46" s="304"/>
      <c r="BL46" s="867"/>
      <c r="BM46" s="867"/>
      <c r="BN46" s="867"/>
      <c r="BO46" s="867"/>
      <c r="BP46" s="867"/>
      <c r="BQ46" s="867"/>
      <c r="BR46" s="867"/>
      <c r="BS46" s="867"/>
      <c r="BT46" s="867"/>
      <c r="BU46" s="867"/>
      <c r="BV46" s="867"/>
      <c r="BW46" s="867"/>
      <c r="BX46" s="867"/>
      <c r="BY46" s="867"/>
      <c r="BZ46" s="867"/>
      <c r="CA46" s="867"/>
      <c r="CB46" s="867"/>
      <c r="CC46" s="304"/>
      <c r="CD46" s="304"/>
      <c r="CE46" s="304"/>
      <c r="CF46" s="304"/>
      <c r="CG46" s="304"/>
      <c r="CH46" s="284"/>
      <c r="CI46" s="288"/>
      <c r="CJ46" s="288"/>
    </row>
    <row r="47" spans="1:88" s="250" customFormat="1" ht="3" customHeight="1">
      <c r="A47" s="220"/>
      <c r="B47" s="220"/>
      <c r="C47" s="220"/>
      <c r="D47" s="220"/>
      <c r="E47" s="1011"/>
      <c r="F47" s="1012"/>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4"/>
      <c r="AL47" s="1014"/>
      <c r="AM47" s="1014"/>
      <c r="AN47" s="355"/>
      <c r="AO47" s="436"/>
      <c r="AP47" s="436"/>
      <c r="AQ47" s="436"/>
      <c r="AR47" s="435"/>
      <c r="AS47" s="439"/>
      <c r="AT47" s="439"/>
      <c r="AU47" s="439"/>
      <c r="AV47" s="439"/>
      <c r="AW47" s="439"/>
      <c r="AX47" s="440"/>
      <c r="AY47" s="821"/>
      <c r="AZ47" s="821"/>
      <c r="BA47" s="821"/>
      <c r="BB47" s="821"/>
      <c r="BC47" s="821"/>
      <c r="BD47" s="821"/>
      <c r="BE47" s="434"/>
      <c r="BF47" s="968"/>
      <c r="BG47" s="968"/>
      <c r="BH47" s="968"/>
      <c r="BI47" s="968"/>
      <c r="BJ47" s="968"/>
      <c r="BK47" s="851"/>
      <c r="BL47" s="826"/>
      <c r="BM47" s="820"/>
      <c r="BN47" s="820"/>
      <c r="BO47" s="820"/>
      <c r="BP47" s="435"/>
      <c r="BQ47" s="821"/>
      <c r="BR47" s="821"/>
      <c r="BS47" s="821"/>
      <c r="BT47" s="821"/>
      <c r="BU47" s="821"/>
      <c r="BV47" s="818"/>
      <c r="BW47" s="822"/>
      <c r="BX47" s="822"/>
      <c r="BY47" s="822"/>
      <c r="BZ47" s="822"/>
      <c r="CA47" s="822"/>
      <c r="CB47" s="819"/>
      <c r="CC47" s="822"/>
      <c r="CD47" s="822"/>
      <c r="CE47" s="822"/>
      <c r="CF47" s="822"/>
      <c r="CG47" s="822"/>
      <c r="CH47" s="285"/>
      <c r="CI47" s="288"/>
      <c r="CJ47" s="288"/>
    </row>
    <row r="48" spans="1:88" ht="15" customHeight="1">
      <c r="E48" s="1011"/>
      <c r="F48" s="1012"/>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4"/>
      <c r="AL48" s="1014"/>
      <c r="AM48" s="1014"/>
      <c r="AN48" s="355"/>
      <c r="AO48" s="432" t="str">
        <f>IF(LEN(VLOOKUP(AK46,suvaha!$D$92:$H$158,2,FALSE))&lt;11,"",LEFT(RIGHT(VLOOKUP(AK46,suvaha!$D$92:$H$158,2,FALSE),11),1))</f>
        <v/>
      </c>
      <c r="AP48" s="255"/>
      <c r="AQ48" s="432" t="str">
        <f>IF(LEN(VLOOKUP(AK46,suvaha!$D$92:$H$158,2,FALSE))&lt;10,"",LEFT(RIGHT(VLOOKUP(AK46,suvaha!$D$92:$H$158,2,FALSE),10),1))</f>
        <v/>
      </c>
      <c r="AR48" s="434"/>
      <c r="AS48" s="432" t="str">
        <f>IF(LEN(VLOOKUP(AK46,suvaha!$D$92:$H$158,2,FALSE))&lt;9,"",LEFT(RIGHT(VLOOKUP(AK46,suvaha!$D$92:$H$158,2,FALSE),9),1))</f>
        <v/>
      </c>
      <c r="AT48" s="255"/>
      <c r="AU48" s="432" t="str">
        <f>IF(LEN(VLOOKUP(AK46,suvaha!$D$92:$H$158,2,FALSE))&lt;8,"",LEFT(RIGHT(VLOOKUP(AK46,suvaha!$D$92:$H$158,2,FALSE),8),1))</f>
        <v/>
      </c>
      <c r="AV48" s="434"/>
      <c r="AW48" s="432" t="str">
        <f>IF(LEN(VLOOKUP(AK46,suvaha!$D$92:$H$158,2,FALSE))&lt;7,"",LEFT(RIGHT(VLOOKUP(AK46,suvaha!$D$92:$H$158,2,FALSE),7),1))</f>
        <v/>
      </c>
      <c r="AX48" s="440"/>
      <c r="AY48" s="432" t="str">
        <f>IF(LEN(VLOOKUP(AK46,suvaha!$D$92:$H$158,2,FALSE))&lt;6,"",LEFT(RIGHT(VLOOKUP(AK46,suvaha!$D$92:$H$158,2,FALSE),6),1))</f>
        <v>-</v>
      </c>
      <c r="AZ48" s="255"/>
      <c r="BA48" s="961" t="str">
        <f>IF(LEN(VLOOKUP(AK46,suvaha!$D$92:$H$158,2,FALSE))&lt;5,"",LEFT(RIGHT(VLOOKUP(AK46,suvaha!$D$92:$H$158,2,FALSE),5),1))</f>
        <v>3</v>
      </c>
      <c r="BB48" s="961" t="e">
        <f>IF(LEN(#REF!)&lt;5,"",LEFT(RIGHT(#REF!,5),1))</f>
        <v>#REF!</v>
      </c>
      <c r="BC48" s="434"/>
      <c r="BD48" s="432" t="str">
        <f>IF(LEN(VLOOKUP(AK46,suvaha!$D$92:$H$158,2,FALSE))&lt;4,"",LEFT(RIGHT(VLOOKUP(AK46,suvaha!$D$92:$H$158,2,FALSE),4),1))</f>
        <v>8</v>
      </c>
      <c r="BE48" s="434"/>
      <c r="BF48" s="432" t="str">
        <f>IF(LEN(VLOOKUP(AK46,suvaha!$D$92:$H$158,2,FALSE))&lt;3,"",LEFT(RIGHT(VLOOKUP(AK46,suvaha!$D$92:$H$158,2,FALSE),3),1))</f>
        <v>3</v>
      </c>
      <c r="BG48" s="434"/>
      <c r="BH48" s="432" t="str">
        <f>IF(LEN(VLOOKUP(AK46,suvaha!$D$92:$H$158,2,FALSE))&lt;2,"",LEFT(RIGHT(VLOOKUP(AK46,suvaha!$D$92:$H$158,2,FALSE),2),1))</f>
        <v>3</v>
      </c>
      <c r="BI48" s="434"/>
      <c r="BJ48" s="432" t="str">
        <f>IF(VLOOKUP(AK46,suvaha!$D$92:$H$158,2,FALSE)=0,"",IF(LEN(VLOOKUP(AK46,suvaha!$D$92:$H$158,2,FALSE))&lt;1,"",LEFT(RIGHT(VLOOKUP(AK46,suvaha!$D$92:$H$158,2,FALSE),1),1)))</f>
        <v>8</v>
      </c>
      <c r="BK48" s="851"/>
      <c r="BL48" s="826"/>
      <c r="BM48" s="432" t="str">
        <f>IF(LEN(VLOOKUP(AK46,suvaha!$D$92:$H$158,4,FALSE))&lt;11,"",LEFT(RIGHT(VLOOKUP(AK46,suvaha!$D$92:$H$158,4,FALSE),11),1))</f>
        <v/>
      </c>
      <c r="BN48" s="255"/>
      <c r="BO48" s="432" t="str">
        <f>IF(LEN(VLOOKUP(AK46,suvaha!$D$92:$H$158,4,FALSE))&lt;10,"",LEFT(RIGHT(VLOOKUP(AK46,suvaha!$D$92:$H$158,4,FALSE),10),1))</f>
        <v/>
      </c>
      <c r="BP48" s="434"/>
      <c r="BQ48" s="432" t="str">
        <f>IF(LEN(VLOOKUP(AK46,suvaha!$D$92:$H$158,4,FALSE))&lt;9,"",LEFT(RIGHT(VLOOKUP(AK46,suvaha!$D$92:$H$158,4,FALSE),9),1))</f>
        <v/>
      </c>
      <c r="BR48" s="255"/>
      <c r="BS48" s="432" t="str">
        <f>IF(LEN(VLOOKUP(AK46,suvaha!$D$92:$H$158,4,FALSE))&lt;8,"",LEFT(RIGHT(VLOOKUP(AK46,suvaha!$D$92:$H$158,4,FALSE),8),1))</f>
        <v>-</v>
      </c>
      <c r="BT48" s="434"/>
      <c r="BU48" s="432" t="str">
        <f>IF(LEN(VLOOKUP(AK46,suvaha!$D$92:$H$158,4,FALSE))&lt;7,"",LEFT(RIGHT(VLOOKUP(AK46,suvaha!$D$92:$H$158,4,FALSE),7),1))</f>
        <v>1</v>
      </c>
      <c r="BV48" s="818"/>
      <c r="BW48" s="432" t="str">
        <f>IF(LEN(VLOOKUP(AK46,suvaha!$D$92:$H$158,4,FALSE))&lt;6,"",LEFT(RIGHT(VLOOKUP(AK46,suvaha!$D$92:$H$158,4,FALSE),6),1))</f>
        <v>1</v>
      </c>
      <c r="BX48" s="434"/>
      <c r="BY48" s="432" t="str">
        <f>IF(LEN(VLOOKUP(AK46,suvaha!$D$92:$H$158,4,FALSE))&lt;5,"",LEFT(RIGHT(VLOOKUP(AK46,suvaha!$D$92:$H$158,4,FALSE),5),1))</f>
        <v>3</v>
      </c>
      <c r="BZ48" s="434"/>
      <c r="CA48" s="432" t="str">
        <f>IF(LEN(VLOOKUP(AK46,suvaha!$D$92:$H$158,4,FALSE))&lt;4,"",LEFT(RIGHT(VLOOKUP(AK46,suvaha!$D$92:$H$158,4,FALSE),4),1))</f>
        <v>7</v>
      </c>
      <c r="CB48" s="819"/>
      <c r="CC48" s="432" t="str">
        <f>IF(LEN(VLOOKUP(AK46,suvaha!$D$92:$H$158,4,FALSE))&lt;3,"",LEFT(RIGHT(VLOOKUP(AK46,suvaha!$D$92:$H$158,4,FALSE),3),1))</f>
        <v>5</v>
      </c>
      <c r="CD48" s="434"/>
      <c r="CE48" s="432" t="str">
        <f>IF(LEN(VLOOKUP(AK46,suvaha!$D$92:$H$158,4,FALSE))&lt;2,"",LEFT(RIGHT(VLOOKUP(AK46,suvaha!$D$92:$H$158,4,FALSE),2),1))</f>
        <v>3</v>
      </c>
      <c r="CF48" s="434"/>
      <c r="CG48" s="432" t="str">
        <f>IF(VLOOKUP(AK46,suvaha!$D$92:$H$158,4,FALSE)=0,"",IF(LEN(VLOOKUP(AK46,suvaha!$D$92:$H$158,4,FALSE))&lt;1,"",LEFT(RIGHT(VLOOKUP(AK46,suvaha!$D$92:$H$158,4,FALSE),1),1)))</f>
        <v>5</v>
      </c>
      <c r="CH48" s="285"/>
      <c r="CI48" s="220"/>
      <c r="CJ48" s="220"/>
    </row>
    <row r="49" spans="1:88" ht="3" customHeight="1">
      <c r="E49" s="1011"/>
      <c r="F49" s="1012"/>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4"/>
      <c r="AL49" s="1014"/>
      <c r="AM49" s="1014"/>
      <c r="AN49" s="358"/>
      <c r="AO49" s="365"/>
      <c r="AP49" s="365"/>
      <c r="AQ49" s="365"/>
      <c r="AR49" s="365"/>
      <c r="AS49" s="365"/>
      <c r="AT49" s="365"/>
      <c r="AU49" s="365"/>
      <c r="AV49" s="365"/>
      <c r="AW49" s="365"/>
      <c r="AX49" s="365"/>
      <c r="AY49" s="365"/>
      <c r="AZ49" s="365"/>
      <c r="BA49" s="365"/>
      <c r="BB49" s="365"/>
      <c r="BC49" s="365"/>
      <c r="BD49" s="365"/>
      <c r="BE49" s="310"/>
      <c r="BF49" s="310"/>
      <c r="BG49" s="310"/>
      <c r="BH49" s="310"/>
      <c r="BI49" s="310"/>
      <c r="BJ49" s="310"/>
      <c r="BK49" s="310"/>
      <c r="BL49" s="846"/>
      <c r="BM49" s="846"/>
      <c r="BN49" s="846"/>
      <c r="BO49" s="846"/>
      <c r="BP49" s="846"/>
      <c r="BQ49" s="846"/>
      <c r="BR49" s="846"/>
      <c r="BS49" s="846"/>
      <c r="BT49" s="846"/>
      <c r="BU49" s="846"/>
      <c r="BV49" s="846"/>
      <c r="BW49" s="846"/>
      <c r="BX49" s="846"/>
      <c r="BY49" s="846"/>
      <c r="BZ49" s="846"/>
      <c r="CA49" s="846"/>
      <c r="CB49" s="846"/>
      <c r="CC49" s="310"/>
      <c r="CD49" s="310"/>
      <c r="CE49" s="310"/>
      <c r="CF49" s="310"/>
      <c r="CG49" s="310"/>
      <c r="CH49" s="286"/>
      <c r="CI49" s="220"/>
      <c r="CJ49" s="220"/>
    </row>
    <row r="50" spans="1:88" s="307" customFormat="1" ht="3" customHeight="1">
      <c r="A50" s="302"/>
      <c r="B50" s="302"/>
      <c r="C50" s="303"/>
      <c r="D50" s="303"/>
      <c r="E50" s="974" t="s">
        <v>1678</v>
      </c>
      <c r="F50" s="975"/>
      <c r="G50" s="1010" t="str">
        <f>Index!C151</f>
        <v>Výsledok hospodárenia za účtovné obdobie po zdanení /+-/ r. 01 - (r. 81 + r. 85 + r. 86 + r. 87 + r. 90 + r. 93 + r. 97 + r. 101 + r. 141)</v>
      </c>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c r="AH50" s="1010"/>
      <c r="AI50" s="1010"/>
      <c r="AJ50" s="1010"/>
      <c r="AK50" s="977" t="s">
        <v>603</v>
      </c>
      <c r="AL50" s="977"/>
      <c r="AM50" s="977"/>
      <c r="AN50" s="364"/>
      <c r="AO50" s="366"/>
      <c r="AP50" s="366"/>
      <c r="AQ50" s="366"/>
      <c r="AR50" s="366"/>
      <c r="AS50" s="366"/>
      <c r="AT50" s="366"/>
      <c r="AU50" s="366"/>
      <c r="AV50" s="366"/>
      <c r="AW50" s="366"/>
      <c r="AX50" s="366"/>
      <c r="AY50" s="366"/>
      <c r="AZ50" s="366"/>
      <c r="BA50" s="366"/>
      <c r="BB50" s="366"/>
      <c r="BC50" s="366"/>
      <c r="BD50" s="366"/>
      <c r="BE50" s="304"/>
      <c r="BF50" s="304"/>
      <c r="BG50" s="304"/>
      <c r="BH50" s="304"/>
      <c r="BI50" s="304"/>
      <c r="BJ50" s="304"/>
      <c r="BK50" s="304"/>
      <c r="BL50" s="867"/>
      <c r="BM50" s="867"/>
      <c r="BN50" s="867"/>
      <c r="BO50" s="867"/>
      <c r="BP50" s="867"/>
      <c r="BQ50" s="867"/>
      <c r="BR50" s="867"/>
      <c r="BS50" s="867"/>
      <c r="BT50" s="867"/>
      <c r="BU50" s="867"/>
      <c r="BV50" s="867"/>
      <c r="BW50" s="867"/>
      <c r="BX50" s="867"/>
      <c r="BY50" s="867"/>
      <c r="BZ50" s="867"/>
      <c r="CA50" s="867"/>
      <c r="CB50" s="867"/>
      <c r="CC50" s="304"/>
      <c r="CD50" s="304"/>
      <c r="CE50" s="304"/>
      <c r="CF50" s="304"/>
      <c r="CG50" s="304"/>
      <c r="CH50" s="305"/>
      <c r="CI50" s="306"/>
      <c r="CJ50" s="306"/>
    </row>
    <row r="51" spans="1:88" s="307" customFormat="1" ht="3" customHeight="1">
      <c r="A51" s="302"/>
      <c r="B51" s="302"/>
      <c r="C51" s="302"/>
      <c r="D51" s="302"/>
      <c r="E51" s="974"/>
      <c r="F51" s="975"/>
      <c r="G51" s="1010"/>
      <c r="H51" s="1010"/>
      <c r="I51" s="1010"/>
      <c r="J51" s="1010"/>
      <c r="K51" s="1010"/>
      <c r="L51" s="1010"/>
      <c r="M51" s="1010"/>
      <c r="N51" s="1010"/>
      <c r="O51" s="1010"/>
      <c r="P51" s="1010"/>
      <c r="Q51" s="1010"/>
      <c r="R51" s="1010"/>
      <c r="S51" s="1010"/>
      <c r="T51" s="1010"/>
      <c r="U51" s="1010"/>
      <c r="V51" s="1010"/>
      <c r="W51" s="1010"/>
      <c r="X51" s="1010"/>
      <c r="Y51" s="1010"/>
      <c r="Z51" s="1010"/>
      <c r="AA51" s="1010"/>
      <c r="AB51" s="1010"/>
      <c r="AC51" s="1010"/>
      <c r="AD51" s="1010"/>
      <c r="AE51" s="1010"/>
      <c r="AF51" s="1010"/>
      <c r="AG51" s="1010"/>
      <c r="AH51" s="1010"/>
      <c r="AI51" s="1010"/>
      <c r="AJ51" s="1010"/>
      <c r="AK51" s="977"/>
      <c r="AL51" s="977"/>
      <c r="AM51" s="977"/>
      <c r="AN51" s="367"/>
      <c r="AO51" s="436"/>
      <c r="AP51" s="436"/>
      <c r="AQ51" s="436"/>
      <c r="AR51" s="435"/>
      <c r="AS51" s="433"/>
      <c r="AT51" s="433"/>
      <c r="AU51" s="433"/>
      <c r="AV51" s="433"/>
      <c r="AW51" s="433"/>
      <c r="AX51" s="434"/>
      <c r="AY51" s="1007"/>
      <c r="AZ51" s="1007"/>
      <c r="BA51" s="1007"/>
      <c r="BB51" s="1007"/>
      <c r="BC51" s="1007"/>
      <c r="BD51" s="1007"/>
      <c r="BE51" s="434"/>
      <c r="BF51" s="968"/>
      <c r="BG51" s="968"/>
      <c r="BH51" s="968"/>
      <c r="BI51" s="968"/>
      <c r="BJ51" s="968"/>
      <c r="BK51" s="851"/>
      <c r="BL51" s="826"/>
      <c r="BM51" s="820"/>
      <c r="BN51" s="820"/>
      <c r="BO51" s="820"/>
      <c r="BP51" s="435"/>
      <c r="BQ51" s="1007"/>
      <c r="BR51" s="1007"/>
      <c r="BS51" s="1007"/>
      <c r="BT51" s="1007"/>
      <c r="BU51" s="1007"/>
      <c r="BV51" s="1008"/>
      <c r="BW51" s="968"/>
      <c r="BX51" s="968"/>
      <c r="BY51" s="968"/>
      <c r="BZ51" s="968"/>
      <c r="CA51" s="968"/>
      <c r="CB51" s="1009"/>
      <c r="CC51" s="968"/>
      <c r="CD51" s="968"/>
      <c r="CE51" s="968"/>
      <c r="CF51" s="968"/>
      <c r="CG51" s="968"/>
      <c r="CH51" s="308"/>
      <c r="CI51" s="306"/>
      <c r="CJ51" s="306"/>
    </row>
    <row r="52" spans="1:88" s="309" customFormat="1" ht="15" customHeight="1">
      <c r="A52" s="302"/>
      <c r="B52" s="302"/>
      <c r="C52" s="302"/>
      <c r="E52" s="974"/>
      <c r="F52" s="975"/>
      <c r="G52" s="1010"/>
      <c r="H52" s="1010"/>
      <c r="I52" s="1010"/>
      <c r="J52" s="1010"/>
      <c r="K52" s="1010"/>
      <c r="L52" s="1010"/>
      <c r="M52" s="1010"/>
      <c r="N52" s="1010"/>
      <c r="O52" s="1010"/>
      <c r="P52" s="1010"/>
      <c r="Q52" s="1010"/>
      <c r="R52" s="1010"/>
      <c r="S52" s="1010"/>
      <c r="T52" s="1010"/>
      <c r="U52" s="1010"/>
      <c r="V52" s="1010"/>
      <c r="W52" s="1010"/>
      <c r="X52" s="1010"/>
      <c r="Y52" s="1010"/>
      <c r="Z52" s="1010"/>
      <c r="AA52" s="1010"/>
      <c r="AB52" s="1010"/>
      <c r="AC52" s="1010"/>
      <c r="AD52" s="1010"/>
      <c r="AE52" s="1010"/>
      <c r="AF52" s="1010"/>
      <c r="AG52" s="1010"/>
      <c r="AH52" s="1010"/>
      <c r="AI52" s="1010"/>
      <c r="AJ52" s="1010"/>
      <c r="AK52" s="977"/>
      <c r="AL52" s="977"/>
      <c r="AM52" s="977"/>
      <c r="AN52" s="367"/>
      <c r="AO52" s="432" t="str">
        <f>IF(LEN(VLOOKUP(AK50,suvaha!$D$92:$H$158,2,FALSE))&lt;11,"",LEFT(RIGHT(VLOOKUP(AK50,suvaha!$D$92:$H$158,2,FALSE),11),1))</f>
        <v/>
      </c>
      <c r="AP52" s="255"/>
      <c r="AQ52" s="432" t="str">
        <f>IF(LEN(VLOOKUP(AK50,suvaha!$D$92:$H$158,2,FALSE))&lt;10,"",LEFT(RIGHT(VLOOKUP(AK50,suvaha!$D$92:$H$158,2,FALSE),10),1))</f>
        <v/>
      </c>
      <c r="AR52" s="434"/>
      <c r="AS52" s="432" t="str">
        <f>IF(LEN(VLOOKUP(AK50,suvaha!$D$92:$H$158,2,FALSE))&lt;9,"",LEFT(RIGHT(VLOOKUP(AK50,suvaha!$D$92:$H$158,2,FALSE),9),1))</f>
        <v/>
      </c>
      <c r="AT52" s="255"/>
      <c r="AU52" s="432" t="str">
        <f>IF(LEN(VLOOKUP(AK50,suvaha!$D$92:$H$158,2,FALSE))&lt;8,"",LEFT(RIGHT(VLOOKUP(AK50,suvaha!$D$92:$H$158,2,FALSE),8),1))</f>
        <v/>
      </c>
      <c r="AV52" s="434"/>
      <c r="AW52" s="432" t="str">
        <f>IF(LEN(VLOOKUP(AK50,suvaha!$D$92:$H$158,2,FALSE))&lt;7,"",LEFT(RIGHT(VLOOKUP(AK50,suvaha!$D$92:$H$158,2,FALSE),7),1))</f>
        <v/>
      </c>
      <c r="AX52" s="434"/>
      <c r="AY52" s="432" t="str">
        <f>IF(LEN(VLOOKUP(AK50,suvaha!$D$92:$H$158,2,FALSE))&lt;6,"",LEFT(RIGHT(VLOOKUP(AK50,suvaha!$D$92:$H$158,2,FALSE),6),1))</f>
        <v>4</v>
      </c>
      <c r="AZ52" s="255"/>
      <c r="BA52" s="961" t="str">
        <f>IF(LEN(VLOOKUP(AK50,suvaha!$D$92:$H$158,2,FALSE))&lt;5,"",LEFT(RIGHT(VLOOKUP(AK50,suvaha!$D$92:$H$158,2,FALSE),5),1))</f>
        <v>5</v>
      </c>
      <c r="BB52" s="961" t="e">
        <f>IF(LEN(#REF!)&lt;5,"",LEFT(RIGHT(#REF!,5),1))</f>
        <v>#REF!</v>
      </c>
      <c r="BC52" s="434"/>
      <c r="BD52" s="432" t="str">
        <f>IF(LEN(VLOOKUP(AK50,suvaha!$D$92:$H$158,2,FALSE))&lt;4,"",LEFT(RIGHT(VLOOKUP(AK50,suvaha!$D$92:$H$158,2,FALSE),4),1))</f>
        <v>5</v>
      </c>
      <c r="BE52" s="434"/>
      <c r="BF52" s="432" t="str">
        <f>IF(LEN(VLOOKUP(AK50,suvaha!$D$92:$H$158,2,FALSE))&lt;3,"",LEFT(RIGHT(VLOOKUP(AK50,suvaha!$D$92:$H$158,2,FALSE),3),1))</f>
        <v>7</v>
      </c>
      <c r="BG52" s="434"/>
      <c r="BH52" s="432" t="str">
        <f>IF(LEN(VLOOKUP(AK50,suvaha!$D$92:$H$158,2,FALSE))&lt;2,"",LEFT(RIGHT(VLOOKUP(AK50,suvaha!$D$92:$H$158,2,FALSE),2),1))</f>
        <v>4</v>
      </c>
      <c r="BI52" s="434"/>
      <c r="BJ52" s="432" t="str">
        <f>IF(VLOOKUP(AK50,suvaha!$D$92:$H$158,2,FALSE)=0,"",IF(LEN(VLOOKUP(AK50,suvaha!$D$92:$H$158,2,FALSE))&lt;1,"",LEFT(RIGHT(VLOOKUP(AK50,suvaha!$D$92:$H$158,2,FALSE),1),1)))</f>
        <v>7</v>
      </c>
      <c r="BK52" s="851"/>
      <c r="BL52" s="826"/>
      <c r="BM52" s="432" t="str">
        <f>IF(LEN(VLOOKUP(AK50,suvaha!$D$92:$H$158,4,FALSE))&lt;11,"",LEFT(RIGHT(VLOOKUP(AK50,suvaha!$D$92:$H$158,4,FALSE),11),1))</f>
        <v/>
      </c>
      <c r="BN52" s="255"/>
      <c r="BO52" s="432" t="str">
        <f>IF(LEN(VLOOKUP(AK50,suvaha!$D$92:$H$158,4,FALSE))&lt;10,"",LEFT(RIGHT(VLOOKUP(AK50,suvaha!$D$92:$H$158,4,FALSE),10),1))</f>
        <v/>
      </c>
      <c r="BP52" s="434"/>
      <c r="BQ52" s="432" t="str">
        <f>IF(LEN(VLOOKUP(AK50,suvaha!$D$92:$H$158,4,FALSE))&lt;9,"",LEFT(RIGHT(VLOOKUP(AK50,suvaha!$D$92:$H$158,4,FALSE),9),1))</f>
        <v/>
      </c>
      <c r="BR52" s="255"/>
      <c r="BS52" s="432" t="str">
        <f>IF(LEN(VLOOKUP(AK50,suvaha!$D$92:$H$158,4,FALSE))&lt;8,"",LEFT(RIGHT(VLOOKUP(AK50,suvaha!$D$92:$H$158,4,FALSE),8),1))</f>
        <v/>
      </c>
      <c r="BT52" s="434"/>
      <c r="BU52" s="432" t="str">
        <f>IF(LEN(VLOOKUP(AK50,suvaha!$D$92:$H$158,4,FALSE))&lt;7,"",LEFT(RIGHT(VLOOKUP(AK50,suvaha!$D$92:$H$158,4,FALSE),7),1))</f>
        <v>1</v>
      </c>
      <c r="BV52" s="1008"/>
      <c r="BW52" s="432" t="str">
        <f>IF(LEN(VLOOKUP(AK50,suvaha!$D$92:$H$158,4,FALSE))&lt;6,"",LEFT(RIGHT(VLOOKUP(AK50,suvaha!$D$92:$H$158,4,FALSE),6),1))</f>
        <v>0</v>
      </c>
      <c r="BX52" s="434"/>
      <c r="BY52" s="432" t="str">
        <f>IF(LEN(VLOOKUP(AK50,suvaha!$D$92:$H$158,4,FALSE))&lt;5,"",LEFT(RIGHT(VLOOKUP(AK50,suvaha!$D$92:$H$158,4,FALSE),5),1))</f>
        <v>9</v>
      </c>
      <c r="BZ52" s="434"/>
      <c r="CA52" s="432" t="str">
        <f>IF(LEN(VLOOKUP(AK50,suvaha!$D$92:$H$158,4,FALSE))&lt;4,"",LEFT(RIGHT(VLOOKUP(AK50,suvaha!$D$92:$H$158,4,FALSE),4),1))</f>
        <v>9</v>
      </c>
      <c r="CB52" s="1009"/>
      <c r="CC52" s="432" t="str">
        <f>IF(LEN(VLOOKUP(AK50,suvaha!$D$92:$H$158,4,FALSE))&lt;3,"",LEFT(RIGHT(VLOOKUP(AK50,suvaha!$D$92:$H$158,4,FALSE),3),1))</f>
        <v>1</v>
      </c>
      <c r="CD52" s="434"/>
      <c r="CE52" s="432" t="str">
        <f>IF(LEN(VLOOKUP(AK50,suvaha!$D$92:$H$158,4,FALSE))&lt;2,"",LEFT(RIGHT(VLOOKUP(AK50,suvaha!$D$92:$H$158,4,FALSE),2),1))</f>
        <v>9</v>
      </c>
      <c r="CF52" s="434"/>
      <c r="CG52" s="432" t="str">
        <f>IF(VLOOKUP(AK50,suvaha!$D$92:$H$158,4,FALSE)=0,"",IF(LEN(VLOOKUP(AK50,suvaha!$D$92:$H$158,4,FALSE))&lt;1,"",LEFT(RIGHT(VLOOKUP(AK50,suvaha!$D$92:$H$158,4,FALSE),1),1)))</f>
        <v>7</v>
      </c>
      <c r="CH52" s="308"/>
      <c r="CI52" s="302"/>
      <c r="CJ52" s="302"/>
    </row>
    <row r="53" spans="1:88" s="309" customFormat="1">
      <c r="A53" s="302"/>
      <c r="B53" s="302"/>
      <c r="C53" s="302"/>
      <c r="E53" s="974"/>
      <c r="F53" s="975"/>
      <c r="G53" s="1010"/>
      <c r="H53" s="1010"/>
      <c r="I53" s="1010"/>
      <c r="J53" s="1010"/>
      <c r="K53" s="1010"/>
      <c r="L53" s="1010"/>
      <c r="M53" s="1010"/>
      <c r="N53" s="1010"/>
      <c r="O53" s="1010"/>
      <c r="P53" s="1010"/>
      <c r="Q53" s="1010"/>
      <c r="R53" s="1010"/>
      <c r="S53" s="1010"/>
      <c r="T53" s="1010"/>
      <c r="U53" s="1010"/>
      <c r="V53" s="1010"/>
      <c r="W53" s="1010"/>
      <c r="X53" s="1010"/>
      <c r="Y53" s="1010"/>
      <c r="Z53" s="1010"/>
      <c r="AA53" s="1010"/>
      <c r="AB53" s="1010"/>
      <c r="AC53" s="1010"/>
      <c r="AD53" s="1010"/>
      <c r="AE53" s="1010"/>
      <c r="AF53" s="1010"/>
      <c r="AG53" s="1010"/>
      <c r="AH53" s="1010"/>
      <c r="AI53" s="1010"/>
      <c r="AJ53" s="1010"/>
      <c r="AK53" s="977"/>
      <c r="AL53" s="977"/>
      <c r="AM53" s="977"/>
      <c r="AN53" s="363"/>
      <c r="AO53" s="365"/>
      <c r="AP53" s="365"/>
      <c r="AQ53" s="365"/>
      <c r="AR53" s="365"/>
      <c r="AS53" s="365"/>
      <c r="AT53" s="365"/>
      <c r="AU53" s="365"/>
      <c r="AV53" s="365"/>
      <c r="AW53" s="365"/>
      <c r="AX53" s="365"/>
      <c r="AY53" s="365"/>
      <c r="AZ53" s="365"/>
      <c r="BA53" s="365"/>
      <c r="BB53" s="365"/>
      <c r="BC53" s="365"/>
      <c r="BD53" s="365"/>
      <c r="BE53" s="310"/>
      <c r="BF53" s="310"/>
      <c r="BG53" s="310"/>
      <c r="BH53" s="310"/>
      <c r="BI53" s="310"/>
      <c r="BJ53" s="310"/>
      <c r="BK53" s="310"/>
      <c r="BL53" s="846"/>
      <c r="BM53" s="846"/>
      <c r="BN53" s="846"/>
      <c r="BO53" s="846"/>
      <c r="BP53" s="846"/>
      <c r="BQ53" s="846"/>
      <c r="BR53" s="846"/>
      <c r="BS53" s="846"/>
      <c r="BT53" s="846"/>
      <c r="BU53" s="846"/>
      <c r="BV53" s="846"/>
      <c r="BW53" s="846"/>
      <c r="BX53" s="846"/>
      <c r="BY53" s="846"/>
      <c r="BZ53" s="846"/>
      <c r="CA53" s="846"/>
      <c r="CB53" s="846"/>
      <c r="CC53" s="310"/>
      <c r="CD53" s="310"/>
      <c r="CE53" s="310"/>
      <c r="CF53" s="310"/>
      <c r="CG53" s="310"/>
      <c r="CH53" s="311"/>
      <c r="CI53" s="302"/>
      <c r="CJ53" s="302"/>
    </row>
    <row r="54" spans="1:88" s="307" customFormat="1" ht="3" customHeight="1">
      <c r="A54" s="302"/>
      <c r="B54" s="302"/>
      <c r="C54" s="303"/>
      <c r="D54" s="303"/>
      <c r="E54" s="974" t="s">
        <v>536</v>
      </c>
      <c r="F54" s="975"/>
      <c r="G54" s="1010" t="str">
        <f>Index!C152</f>
        <v>Záväzky (r. 102 + r. 118 + r. 121 + r. 122 + r. 136 + r. 139 + r. 140)</v>
      </c>
      <c r="H54" s="1010"/>
      <c r="I54" s="1010"/>
      <c r="J54" s="1010"/>
      <c r="K54" s="1010"/>
      <c r="L54" s="1010"/>
      <c r="M54" s="1010"/>
      <c r="N54" s="1010"/>
      <c r="O54" s="1010"/>
      <c r="P54" s="1010"/>
      <c r="Q54" s="1010"/>
      <c r="R54" s="1010"/>
      <c r="S54" s="1010"/>
      <c r="T54" s="1010"/>
      <c r="U54" s="1010"/>
      <c r="V54" s="1010"/>
      <c r="W54" s="1010"/>
      <c r="X54" s="1010"/>
      <c r="Y54" s="1010"/>
      <c r="Z54" s="1010"/>
      <c r="AA54" s="1010"/>
      <c r="AB54" s="1010"/>
      <c r="AC54" s="1010"/>
      <c r="AD54" s="1010"/>
      <c r="AE54" s="1010"/>
      <c r="AF54" s="1010"/>
      <c r="AG54" s="1010"/>
      <c r="AH54" s="1010"/>
      <c r="AI54" s="1010"/>
      <c r="AJ54" s="1010"/>
      <c r="AK54" s="977" t="s">
        <v>605</v>
      </c>
      <c r="AL54" s="977"/>
      <c r="AM54" s="977"/>
      <c r="AN54" s="364"/>
      <c r="AO54" s="366"/>
      <c r="AP54" s="366"/>
      <c r="AQ54" s="366"/>
      <c r="AR54" s="366"/>
      <c r="AS54" s="366"/>
      <c r="AT54" s="366"/>
      <c r="AU54" s="366"/>
      <c r="AV54" s="366"/>
      <c r="AW54" s="366"/>
      <c r="AX54" s="366"/>
      <c r="AY54" s="366"/>
      <c r="AZ54" s="366"/>
      <c r="BA54" s="366"/>
      <c r="BB54" s="366"/>
      <c r="BC54" s="366"/>
      <c r="BD54" s="366"/>
      <c r="BE54" s="304"/>
      <c r="BF54" s="304"/>
      <c r="BG54" s="304"/>
      <c r="BH54" s="304"/>
      <c r="BI54" s="304"/>
      <c r="BJ54" s="304"/>
      <c r="BK54" s="304"/>
      <c r="BL54" s="867"/>
      <c r="BM54" s="867"/>
      <c r="BN54" s="867"/>
      <c r="BO54" s="867"/>
      <c r="BP54" s="867"/>
      <c r="BQ54" s="867"/>
      <c r="BR54" s="867"/>
      <c r="BS54" s="867"/>
      <c r="BT54" s="867"/>
      <c r="BU54" s="867"/>
      <c r="BV54" s="867"/>
      <c r="BW54" s="867"/>
      <c r="BX54" s="867"/>
      <c r="BY54" s="867"/>
      <c r="BZ54" s="867"/>
      <c r="CA54" s="867"/>
      <c r="CB54" s="867"/>
      <c r="CC54" s="304"/>
      <c r="CD54" s="304"/>
      <c r="CE54" s="304"/>
      <c r="CF54" s="304"/>
      <c r="CG54" s="304"/>
      <c r="CH54" s="305"/>
      <c r="CI54" s="306"/>
      <c r="CJ54" s="306"/>
    </row>
    <row r="55" spans="1:88" s="307" customFormat="1" ht="3" customHeight="1">
      <c r="A55" s="302"/>
      <c r="B55" s="302"/>
      <c r="C55" s="302"/>
      <c r="D55" s="302"/>
      <c r="E55" s="974"/>
      <c r="F55" s="975"/>
      <c r="G55" s="1010"/>
      <c r="H55" s="1010"/>
      <c r="I55" s="1010"/>
      <c r="J55" s="1010"/>
      <c r="K55" s="1010"/>
      <c r="L55" s="1010"/>
      <c r="M55" s="1010"/>
      <c r="N55" s="1010"/>
      <c r="O55" s="1010"/>
      <c r="P55" s="1010"/>
      <c r="Q55" s="1010"/>
      <c r="R55" s="1010"/>
      <c r="S55" s="1010"/>
      <c r="T55" s="1010"/>
      <c r="U55" s="1010"/>
      <c r="V55" s="1010"/>
      <c r="W55" s="1010"/>
      <c r="X55" s="1010"/>
      <c r="Y55" s="1010"/>
      <c r="Z55" s="1010"/>
      <c r="AA55" s="1010"/>
      <c r="AB55" s="1010"/>
      <c r="AC55" s="1010"/>
      <c r="AD55" s="1010"/>
      <c r="AE55" s="1010"/>
      <c r="AF55" s="1010"/>
      <c r="AG55" s="1010"/>
      <c r="AH55" s="1010"/>
      <c r="AI55" s="1010"/>
      <c r="AJ55" s="1010"/>
      <c r="AK55" s="977"/>
      <c r="AL55" s="977"/>
      <c r="AM55" s="977"/>
      <c r="AN55" s="367"/>
      <c r="AO55" s="436"/>
      <c r="AP55" s="436"/>
      <c r="AQ55" s="436"/>
      <c r="AR55" s="435"/>
      <c r="AS55" s="433"/>
      <c r="AT55" s="433"/>
      <c r="AU55" s="433"/>
      <c r="AV55" s="433"/>
      <c r="AW55" s="433"/>
      <c r="AX55" s="434"/>
      <c r="AY55" s="1007"/>
      <c r="AZ55" s="1007"/>
      <c r="BA55" s="1007"/>
      <c r="BB55" s="1007"/>
      <c r="BC55" s="1007"/>
      <c r="BD55" s="1007"/>
      <c r="BE55" s="434"/>
      <c r="BF55" s="968"/>
      <c r="BG55" s="968"/>
      <c r="BH55" s="968"/>
      <c r="BI55" s="968"/>
      <c r="BJ55" s="968"/>
      <c r="BK55" s="851"/>
      <c r="BL55" s="826"/>
      <c r="BM55" s="820"/>
      <c r="BN55" s="820"/>
      <c r="BO55" s="820"/>
      <c r="BP55" s="435"/>
      <c r="BQ55" s="1007"/>
      <c r="BR55" s="1007"/>
      <c r="BS55" s="1007"/>
      <c r="BT55" s="1007"/>
      <c r="BU55" s="1007"/>
      <c r="BV55" s="1008"/>
      <c r="BW55" s="968"/>
      <c r="BX55" s="968"/>
      <c r="BY55" s="968"/>
      <c r="BZ55" s="968"/>
      <c r="CA55" s="968"/>
      <c r="CB55" s="1009"/>
      <c r="CC55" s="968"/>
      <c r="CD55" s="968"/>
      <c r="CE55" s="968"/>
      <c r="CF55" s="968"/>
      <c r="CG55" s="968"/>
      <c r="CH55" s="308"/>
      <c r="CI55" s="306"/>
      <c r="CJ55" s="306"/>
    </row>
    <row r="56" spans="1:88" s="309" customFormat="1" ht="15" customHeight="1">
      <c r="A56" s="302"/>
      <c r="B56" s="302"/>
      <c r="C56" s="302"/>
      <c r="E56" s="974"/>
      <c r="F56" s="975"/>
      <c r="G56" s="1010"/>
      <c r="H56" s="1010"/>
      <c r="I56" s="1010"/>
      <c r="J56" s="1010"/>
      <c r="K56" s="1010"/>
      <c r="L56" s="1010"/>
      <c r="M56" s="1010"/>
      <c r="N56" s="1010"/>
      <c r="O56" s="1010"/>
      <c r="P56" s="1010"/>
      <c r="Q56" s="1010"/>
      <c r="R56" s="1010"/>
      <c r="S56" s="1010"/>
      <c r="T56" s="1010"/>
      <c r="U56" s="1010"/>
      <c r="V56" s="1010"/>
      <c r="W56" s="1010"/>
      <c r="X56" s="1010"/>
      <c r="Y56" s="1010"/>
      <c r="Z56" s="1010"/>
      <c r="AA56" s="1010"/>
      <c r="AB56" s="1010"/>
      <c r="AC56" s="1010"/>
      <c r="AD56" s="1010"/>
      <c r="AE56" s="1010"/>
      <c r="AF56" s="1010"/>
      <c r="AG56" s="1010"/>
      <c r="AH56" s="1010"/>
      <c r="AI56" s="1010"/>
      <c r="AJ56" s="1010"/>
      <c r="AK56" s="977"/>
      <c r="AL56" s="977"/>
      <c r="AM56" s="977"/>
      <c r="AN56" s="367"/>
      <c r="AO56" s="432" t="str">
        <f>IF(LEN(VLOOKUP(AK54,suvaha!$D$92:$H$158,2,FALSE))&lt;11,"",LEFT(RIGHT(VLOOKUP(AK54,suvaha!$D$92:$H$158,2,FALSE),11),1))</f>
        <v/>
      </c>
      <c r="AP56" s="255"/>
      <c r="AQ56" s="432" t="str">
        <f>IF(LEN(VLOOKUP(AK54,suvaha!$D$92:$H$158,2,FALSE))&lt;10,"",LEFT(RIGHT(VLOOKUP(AK54,suvaha!$D$92:$H$158,2,FALSE),10),1))</f>
        <v/>
      </c>
      <c r="AR56" s="434"/>
      <c r="AS56" s="432" t="str">
        <f>IF(LEN(VLOOKUP(AK54,suvaha!$D$92:$H$158,2,FALSE))&lt;9,"",LEFT(RIGHT(VLOOKUP(AK54,suvaha!$D$92:$H$158,2,FALSE),9),1))</f>
        <v/>
      </c>
      <c r="AT56" s="255"/>
      <c r="AU56" s="432" t="str">
        <f>IF(LEN(VLOOKUP(AK54,suvaha!$D$92:$H$158,2,FALSE))&lt;8,"",LEFT(RIGHT(VLOOKUP(AK54,suvaha!$D$92:$H$158,2,FALSE),8),1))</f>
        <v>1</v>
      </c>
      <c r="AV56" s="434"/>
      <c r="AW56" s="432" t="str">
        <f>IF(LEN(VLOOKUP(AK54,suvaha!$D$92:$H$158,2,FALSE))&lt;7,"",LEFT(RIGHT(VLOOKUP(AK54,suvaha!$D$92:$H$158,2,FALSE),7),1))</f>
        <v>5</v>
      </c>
      <c r="AX56" s="434"/>
      <c r="AY56" s="432" t="str">
        <f>IF(LEN(VLOOKUP(AK54,suvaha!$D$92:$H$158,2,FALSE))&lt;6,"",LEFT(RIGHT(VLOOKUP(AK54,suvaha!$D$92:$H$158,2,FALSE),6),1))</f>
        <v>5</v>
      </c>
      <c r="AZ56" s="255"/>
      <c r="BA56" s="961" t="str">
        <f>IF(LEN(VLOOKUP(AK54,suvaha!$D$92:$H$158,2,FALSE))&lt;5,"",LEFT(RIGHT(VLOOKUP(AK54,suvaha!$D$92:$H$158,2,FALSE),5),1))</f>
        <v>4</v>
      </c>
      <c r="BB56" s="961" t="e">
        <f>IF(LEN(#REF!)&lt;5,"",LEFT(RIGHT(#REF!,5),1))</f>
        <v>#REF!</v>
      </c>
      <c r="BC56" s="434"/>
      <c r="BD56" s="432" t="str">
        <f>IF(LEN(VLOOKUP(AK54,suvaha!$D$92:$H$158,2,FALSE))&lt;4,"",LEFT(RIGHT(VLOOKUP(AK54,suvaha!$D$92:$H$158,2,FALSE),4),1))</f>
        <v>4</v>
      </c>
      <c r="BE56" s="434"/>
      <c r="BF56" s="432" t="str">
        <f>IF(LEN(VLOOKUP(AK54,suvaha!$D$92:$H$158,2,FALSE))&lt;3,"",LEFT(RIGHT(VLOOKUP(AK54,suvaha!$D$92:$H$158,2,FALSE),3),1))</f>
        <v>2</v>
      </c>
      <c r="BG56" s="434"/>
      <c r="BH56" s="432" t="str">
        <f>IF(LEN(VLOOKUP(AK54,suvaha!$D$92:$H$158,2,FALSE))&lt;2,"",LEFT(RIGHT(VLOOKUP(AK54,suvaha!$D$92:$H$158,2,FALSE),2),1))</f>
        <v>5</v>
      </c>
      <c r="BI56" s="434"/>
      <c r="BJ56" s="432" t="str">
        <f>IF(VLOOKUP(AK54,suvaha!$D$92:$H$158,2,FALSE)=0,"",IF(LEN(VLOOKUP(AK54,suvaha!$D$92:$H$158,2,FALSE))&lt;1,"",LEFT(RIGHT(VLOOKUP(AK54,suvaha!$D$92:$H$158,2,FALSE),1),1)))</f>
        <v>0</v>
      </c>
      <c r="BK56" s="851"/>
      <c r="BL56" s="826"/>
      <c r="BM56" s="432" t="str">
        <f>IF(LEN(VLOOKUP(AK54,suvaha!$D$92:$H$158,4,FALSE))&lt;11,"",LEFT(RIGHT(VLOOKUP(AK54,suvaha!$D$92:$H$158,4,FALSE),11),1))</f>
        <v/>
      </c>
      <c r="BN56" s="255"/>
      <c r="BO56" s="432" t="str">
        <f>IF(LEN(VLOOKUP(AK54,suvaha!$D$92:$H$158,4,FALSE))&lt;10,"",LEFT(RIGHT(VLOOKUP(AK54,suvaha!$D$92:$H$158,4,FALSE),10),1))</f>
        <v/>
      </c>
      <c r="BP56" s="434"/>
      <c r="BQ56" s="432" t="str">
        <f>IF(LEN(VLOOKUP(AK54,suvaha!$D$92:$H$158,4,FALSE))&lt;9,"",LEFT(RIGHT(VLOOKUP(AK54,suvaha!$D$92:$H$158,4,FALSE),9),1))</f>
        <v/>
      </c>
      <c r="BR56" s="255"/>
      <c r="BS56" s="432" t="str">
        <f>IF(LEN(VLOOKUP(AK54,suvaha!$D$92:$H$158,4,FALSE))&lt;8,"",LEFT(RIGHT(VLOOKUP(AK54,suvaha!$D$92:$H$158,4,FALSE),8),1))</f>
        <v>2</v>
      </c>
      <c r="BT56" s="434"/>
      <c r="BU56" s="432" t="str">
        <f>IF(LEN(VLOOKUP(AK54,suvaha!$D$92:$H$158,4,FALSE))&lt;7,"",LEFT(RIGHT(VLOOKUP(AK54,suvaha!$D$92:$H$158,4,FALSE),7),1))</f>
        <v>0</v>
      </c>
      <c r="BV56" s="1008"/>
      <c r="BW56" s="432" t="str">
        <f>IF(LEN(VLOOKUP(AK54,suvaha!$D$92:$H$158,4,FALSE))&lt;6,"",LEFT(RIGHT(VLOOKUP(AK54,suvaha!$D$92:$H$158,4,FALSE),6),1))</f>
        <v>9</v>
      </c>
      <c r="BX56" s="434"/>
      <c r="BY56" s="432" t="str">
        <f>IF(LEN(VLOOKUP(AK54,suvaha!$D$92:$H$158,4,FALSE))&lt;5,"",LEFT(RIGHT(VLOOKUP(AK54,suvaha!$D$92:$H$158,4,FALSE),5),1))</f>
        <v>9</v>
      </c>
      <c r="BZ56" s="434"/>
      <c r="CA56" s="432" t="str">
        <f>IF(LEN(VLOOKUP(AK54,suvaha!$D$92:$H$158,4,FALSE))&lt;4,"",LEFT(RIGHT(VLOOKUP(AK54,suvaha!$D$92:$H$158,4,FALSE),4),1))</f>
        <v>4</v>
      </c>
      <c r="CB56" s="1009"/>
      <c r="CC56" s="432" t="str">
        <f>IF(LEN(VLOOKUP(AK54,suvaha!$D$92:$H$158,4,FALSE))&lt;3,"",LEFT(RIGHT(VLOOKUP(AK54,suvaha!$D$92:$H$158,4,FALSE),3),1))</f>
        <v>5</v>
      </c>
      <c r="CD56" s="434"/>
      <c r="CE56" s="432" t="str">
        <f>IF(LEN(VLOOKUP(AK54,suvaha!$D$92:$H$158,4,FALSE))&lt;2,"",LEFT(RIGHT(VLOOKUP(AK54,suvaha!$D$92:$H$158,4,FALSE),2),1))</f>
        <v>4</v>
      </c>
      <c r="CF56" s="434"/>
      <c r="CG56" s="432" t="str">
        <f>IF(VLOOKUP(AK54,suvaha!$D$92:$H$158,4,FALSE)=0,"",IF(LEN(VLOOKUP(AK54,suvaha!$D$92:$H$158,4,FALSE))&lt;1,"",LEFT(RIGHT(VLOOKUP(AK54,suvaha!$D$92:$H$158,4,FALSE),1),1)))</f>
        <v>0</v>
      </c>
      <c r="CH56" s="308"/>
      <c r="CI56" s="302"/>
      <c r="CJ56" s="302"/>
    </row>
    <row r="57" spans="1:88" s="309" customFormat="1" ht="3" customHeight="1">
      <c r="A57" s="302"/>
      <c r="B57" s="302"/>
      <c r="C57" s="302"/>
      <c r="E57" s="974"/>
      <c r="F57" s="975"/>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0"/>
      <c r="AE57" s="1010"/>
      <c r="AF57" s="1010"/>
      <c r="AG57" s="1010"/>
      <c r="AH57" s="1010"/>
      <c r="AI57" s="1010"/>
      <c r="AJ57" s="1010"/>
      <c r="AK57" s="977"/>
      <c r="AL57" s="977"/>
      <c r="AM57" s="977"/>
      <c r="AN57" s="363"/>
      <c r="AO57" s="365"/>
      <c r="AP57" s="365"/>
      <c r="AQ57" s="365"/>
      <c r="AR57" s="365"/>
      <c r="AS57" s="365"/>
      <c r="AT57" s="365"/>
      <c r="AU57" s="365"/>
      <c r="AV57" s="365"/>
      <c r="AW57" s="365"/>
      <c r="AX57" s="365"/>
      <c r="AY57" s="365"/>
      <c r="AZ57" s="365"/>
      <c r="BA57" s="365"/>
      <c r="BB57" s="365"/>
      <c r="BC57" s="365"/>
      <c r="BD57" s="365"/>
      <c r="BE57" s="310"/>
      <c r="BF57" s="310"/>
      <c r="BG57" s="310"/>
      <c r="BH57" s="310"/>
      <c r="BI57" s="310"/>
      <c r="BJ57" s="310"/>
      <c r="BK57" s="310"/>
      <c r="BL57" s="846"/>
      <c r="BM57" s="846"/>
      <c r="BN57" s="846"/>
      <c r="BO57" s="846"/>
      <c r="BP57" s="846"/>
      <c r="BQ57" s="846"/>
      <c r="BR57" s="846"/>
      <c r="BS57" s="846"/>
      <c r="BT57" s="846"/>
      <c r="BU57" s="846"/>
      <c r="BV57" s="846"/>
      <c r="BW57" s="846"/>
      <c r="BX57" s="846"/>
      <c r="BY57" s="846"/>
      <c r="BZ57" s="846"/>
      <c r="CA57" s="846"/>
      <c r="CB57" s="846"/>
      <c r="CC57" s="310"/>
      <c r="CD57" s="310"/>
      <c r="CE57" s="310"/>
      <c r="CF57" s="310"/>
      <c r="CG57" s="310"/>
      <c r="CH57" s="311"/>
      <c r="CI57" s="302"/>
      <c r="CJ57" s="302"/>
    </row>
    <row r="58" spans="1:88" s="307" customFormat="1" ht="3" customHeight="1">
      <c r="A58" s="302"/>
      <c r="B58" s="302"/>
      <c r="C58" s="303"/>
      <c r="D58" s="303"/>
      <c r="E58" s="974" t="s">
        <v>537</v>
      </c>
      <c r="F58" s="975"/>
      <c r="G58" s="1010" t="str">
        <f>Index!C153</f>
        <v>Dlhodobé záväzky súčet (r. 103 + r. 107 až r. 117)</v>
      </c>
      <c r="H58" s="1010"/>
      <c r="I58" s="1010"/>
      <c r="J58" s="1010"/>
      <c r="K58" s="1010"/>
      <c r="L58" s="1010"/>
      <c r="M58" s="1010"/>
      <c r="N58" s="1010"/>
      <c r="O58" s="1010"/>
      <c r="P58" s="1010"/>
      <c r="Q58" s="1010"/>
      <c r="R58" s="1010"/>
      <c r="S58" s="1010"/>
      <c r="T58" s="1010"/>
      <c r="U58" s="1010"/>
      <c r="V58" s="1010"/>
      <c r="W58" s="1010"/>
      <c r="X58" s="1010"/>
      <c r="Y58" s="1010"/>
      <c r="Z58" s="1010"/>
      <c r="AA58" s="1010"/>
      <c r="AB58" s="1010"/>
      <c r="AC58" s="1010"/>
      <c r="AD58" s="1010"/>
      <c r="AE58" s="1010"/>
      <c r="AF58" s="1010"/>
      <c r="AG58" s="1010"/>
      <c r="AH58" s="1010"/>
      <c r="AI58" s="1010"/>
      <c r="AJ58" s="1010"/>
      <c r="AK58" s="977" t="s">
        <v>608</v>
      </c>
      <c r="AL58" s="977"/>
      <c r="AM58" s="977"/>
      <c r="AN58" s="364"/>
      <c r="AO58" s="366"/>
      <c r="AP58" s="366"/>
      <c r="AQ58" s="366"/>
      <c r="AR58" s="366"/>
      <c r="AS58" s="366"/>
      <c r="AT58" s="366"/>
      <c r="AU58" s="366"/>
      <c r="AV58" s="366"/>
      <c r="AW58" s="366"/>
      <c r="AX58" s="366"/>
      <c r="AY58" s="366"/>
      <c r="AZ58" s="366"/>
      <c r="BA58" s="366"/>
      <c r="BB58" s="366"/>
      <c r="BC58" s="366"/>
      <c r="BD58" s="366"/>
      <c r="BE58" s="304"/>
      <c r="BF58" s="304"/>
      <c r="BG58" s="304"/>
      <c r="BH58" s="304"/>
      <c r="BI58" s="304"/>
      <c r="BJ58" s="304"/>
      <c r="BK58" s="304"/>
      <c r="BL58" s="867"/>
      <c r="BM58" s="867"/>
      <c r="BN58" s="867"/>
      <c r="BO58" s="867"/>
      <c r="BP58" s="867"/>
      <c r="BQ58" s="867"/>
      <c r="BR58" s="867"/>
      <c r="BS58" s="867"/>
      <c r="BT58" s="867"/>
      <c r="BU58" s="867"/>
      <c r="BV58" s="867"/>
      <c r="BW58" s="867"/>
      <c r="BX58" s="867"/>
      <c r="BY58" s="867"/>
      <c r="BZ58" s="867"/>
      <c r="CA58" s="867"/>
      <c r="CB58" s="867"/>
      <c r="CC58" s="304"/>
      <c r="CD58" s="304"/>
      <c r="CE58" s="304"/>
      <c r="CF58" s="304"/>
      <c r="CG58" s="304"/>
      <c r="CH58" s="305"/>
      <c r="CI58" s="306"/>
      <c r="CJ58" s="306"/>
    </row>
    <row r="59" spans="1:88" s="307" customFormat="1" ht="3" customHeight="1">
      <c r="A59" s="302"/>
      <c r="B59" s="302"/>
      <c r="C59" s="302"/>
      <c r="D59" s="302"/>
      <c r="E59" s="974"/>
      <c r="F59" s="975"/>
      <c r="G59" s="1010"/>
      <c r="H59" s="1010"/>
      <c r="I59" s="1010"/>
      <c r="J59" s="1010"/>
      <c r="K59" s="1010"/>
      <c r="L59" s="1010"/>
      <c r="M59" s="1010"/>
      <c r="N59" s="1010"/>
      <c r="O59" s="1010"/>
      <c r="P59" s="1010"/>
      <c r="Q59" s="1010"/>
      <c r="R59" s="1010"/>
      <c r="S59" s="1010"/>
      <c r="T59" s="1010"/>
      <c r="U59" s="1010"/>
      <c r="V59" s="1010"/>
      <c r="W59" s="1010"/>
      <c r="X59" s="1010"/>
      <c r="Y59" s="1010"/>
      <c r="Z59" s="1010"/>
      <c r="AA59" s="1010"/>
      <c r="AB59" s="1010"/>
      <c r="AC59" s="1010"/>
      <c r="AD59" s="1010"/>
      <c r="AE59" s="1010"/>
      <c r="AF59" s="1010"/>
      <c r="AG59" s="1010"/>
      <c r="AH59" s="1010"/>
      <c r="AI59" s="1010"/>
      <c r="AJ59" s="1010"/>
      <c r="AK59" s="977"/>
      <c r="AL59" s="977"/>
      <c r="AM59" s="977"/>
      <c r="AN59" s="367"/>
      <c r="AO59" s="436"/>
      <c r="AP59" s="436"/>
      <c r="AQ59" s="436"/>
      <c r="AR59" s="435"/>
      <c r="AS59" s="433"/>
      <c r="AT59" s="433"/>
      <c r="AU59" s="433"/>
      <c r="AV59" s="433"/>
      <c r="AW59" s="433"/>
      <c r="AX59" s="434"/>
      <c r="AY59" s="1007"/>
      <c r="AZ59" s="1007"/>
      <c r="BA59" s="1007"/>
      <c r="BB59" s="1007"/>
      <c r="BC59" s="1007"/>
      <c r="BD59" s="1007"/>
      <c r="BE59" s="434"/>
      <c r="BF59" s="968"/>
      <c r="BG59" s="968"/>
      <c r="BH59" s="968"/>
      <c r="BI59" s="968"/>
      <c r="BJ59" s="968"/>
      <c r="BK59" s="851"/>
      <c r="BL59" s="826"/>
      <c r="BM59" s="820"/>
      <c r="BN59" s="820"/>
      <c r="BO59" s="820"/>
      <c r="BP59" s="435"/>
      <c r="BQ59" s="1007"/>
      <c r="BR59" s="1007"/>
      <c r="BS59" s="1007"/>
      <c r="BT59" s="1007"/>
      <c r="BU59" s="1007"/>
      <c r="BV59" s="1008"/>
      <c r="BW59" s="968"/>
      <c r="BX59" s="968"/>
      <c r="BY59" s="968"/>
      <c r="BZ59" s="968"/>
      <c r="CA59" s="968"/>
      <c r="CB59" s="1009"/>
      <c r="CC59" s="968"/>
      <c r="CD59" s="968"/>
      <c r="CE59" s="968"/>
      <c r="CF59" s="968"/>
      <c r="CG59" s="968"/>
      <c r="CH59" s="308"/>
      <c r="CI59" s="306"/>
      <c r="CJ59" s="306"/>
    </row>
    <row r="60" spans="1:88" s="309" customFormat="1" ht="15" customHeight="1">
      <c r="A60" s="302"/>
      <c r="B60" s="302"/>
      <c r="C60" s="302"/>
      <c r="E60" s="974"/>
      <c r="F60" s="975"/>
      <c r="G60" s="1010"/>
      <c r="H60" s="1010"/>
      <c r="I60" s="1010"/>
      <c r="J60" s="1010"/>
      <c r="K60" s="1010"/>
      <c r="L60" s="1010"/>
      <c r="M60" s="1010"/>
      <c r="N60" s="1010"/>
      <c r="O60" s="1010"/>
      <c r="P60" s="1010"/>
      <c r="Q60" s="1010"/>
      <c r="R60" s="1010"/>
      <c r="S60" s="1010"/>
      <c r="T60" s="1010"/>
      <c r="U60" s="1010"/>
      <c r="V60" s="1010"/>
      <c r="W60" s="1010"/>
      <c r="X60" s="1010"/>
      <c r="Y60" s="1010"/>
      <c r="Z60" s="1010"/>
      <c r="AA60" s="1010"/>
      <c r="AB60" s="1010"/>
      <c r="AC60" s="1010"/>
      <c r="AD60" s="1010"/>
      <c r="AE60" s="1010"/>
      <c r="AF60" s="1010"/>
      <c r="AG60" s="1010"/>
      <c r="AH60" s="1010"/>
      <c r="AI60" s="1010"/>
      <c r="AJ60" s="1010"/>
      <c r="AK60" s="977"/>
      <c r="AL60" s="977"/>
      <c r="AM60" s="977"/>
      <c r="AN60" s="367"/>
      <c r="AO60" s="432" t="str">
        <f>IF(LEN(VLOOKUP(AK58,suvaha!$D$92:$H$158,2,FALSE))&lt;11,"",LEFT(RIGHT(VLOOKUP(AK58,suvaha!$D$92:$H$158,2,FALSE),11),1))</f>
        <v/>
      </c>
      <c r="AP60" s="255"/>
      <c r="AQ60" s="432" t="str">
        <f>IF(LEN(VLOOKUP(AK58,suvaha!$D$92:$H$158,2,FALSE))&lt;10,"",LEFT(RIGHT(VLOOKUP(AK58,suvaha!$D$92:$H$158,2,FALSE),10),1))</f>
        <v/>
      </c>
      <c r="AR60" s="434"/>
      <c r="AS60" s="432" t="str">
        <f>IF(LEN(VLOOKUP(AK58,suvaha!$D$92:$H$158,2,FALSE))&lt;9,"",LEFT(RIGHT(VLOOKUP(AK58,suvaha!$D$92:$H$158,2,FALSE),9),1))</f>
        <v/>
      </c>
      <c r="AT60" s="255"/>
      <c r="AU60" s="432" t="str">
        <f>IF(LEN(VLOOKUP(AK58,suvaha!$D$92:$H$158,2,FALSE))&lt;8,"",LEFT(RIGHT(VLOOKUP(AK58,suvaha!$D$92:$H$158,2,FALSE),8),1))</f>
        <v/>
      </c>
      <c r="AV60" s="434"/>
      <c r="AW60" s="432" t="str">
        <f>IF(LEN(VLOOKUP(AK58,suvaha!$D$92:$H$158,2,FALSE))&lt;7,"",LEFT(RIGHT(VLOOKUP(AK58,suvaha!$D$92:$H$158,2,FALSE),7),1))</f>
        <v/>
      </c>
      <c r="AX60" s="434"/>
      <c r="AY60" s="432" t="str">
        <f>IF(LEN(VLOOKUP(AK58,suvaha!$D$92:$H$158,2,FALSE))&lt;6,"",LEFT(RIGHT(VLOOKUP(AK58,suvaha!$D$92:$H$158,2,FALSE),6),1))</f>
        <v>6</v>
      </c>
      <c r="AZ60" s="255"/>
      <c r="BA60" s="961" t="str">
        <f>IF(LEN(VLOOKUP(AK58,suvaha!$D$92:$H$158,2,FALSE))&lt;5,"",LEFT(RIGHT(VLOOKUP(AK58,suvaha!$D$92:$H$158,2,FALSE),5),1))</f>
        <v>6</v>
      </c>
      <c r="BB60" s="961" t="e">
        <f>IF(LEN(#REF!)&lt;5,"",LEFT(RIGHT(#REF!,5),1))</f>
        <v>#REF!</v>
      </c>
      <c r="BC60" s="434"/>
      <c r="BD60" s="432" t="str">
        <f>IF(LEN(VLOOKUP(AK58,suvaha!$D$92:$H$158,2,FALSE))&lt;4,"",LEFT(RIGHT(VLOOKUP(AK58,suvaha!$D$92:$H$158,2,FALSE),4),1))</f>
        <v>4</v>
      </c>
      <c r="BE60" s="434"/>
      <c r="BF60" s="432" t="str">
        <f>IF(LEN(VLOOKUP(AK58,suvaha!$D$92:$H$158,2,FALSE))&lt;3,"",LEFT(RIGHT(VLOOKUP(AK58,suvaha!$D$92:$H$158,2,FALSE),3),1))</f>
        <v>2</v>
      </c>
      <c r="BG60" s="434"/>
      <c r="BH60" s="432" t="str">
        <f>IF(LEN(VLOOKUP(AK58,suvaha!$D$92:$H$158,2,FALSE))&lt;2,"",LEFT(RIGHT(VLOOKUP(AK58,suvaha!$D$92:$H$158,2,FALSE),2),1))</f>
        <v>1</v>
      </c>
      <c r="BI60" s="434"/>
      <c r="BJ60" s="432" t="str">
        <f>IF(VLOOKUP(AK58,suvaha!$D$92:$H$158,2,FALSE)=0,"",IF(LEN(VLOOKUP(AK58,suvaha!$D$92:$H$158,2,FALSE))&lt;1,"",LEFT(RIGHT(VLOOKUP(AK58,suvaha!$D$92:$H$158,2,FALSE),1),1)))</f>
        <v>3</v>
      </c>
      <c r="BK60" s="851"/>
      <c r="BL60" s="826"/>
      <c r="BM60" s="432" t="str">
        <f>IF(LEN(VLOOKUP(AK58,suvaha!$D$92:$H$158,4,FALSE))&lt;11,"",LEFT(RIGHT(VLOOKUP(AK58,suvaha!$D$92:$H$158,4,FALSE),11),1))</f>
        <v/>
      </c>
      <c r="BN60" s="255"/>
      <c r="BO60" s="432" t="str">
        <f>IF(LEN(VLOOKUP(AK58,suvaha!$D$92:$H$158,4,FALSE))&lt;10,"",LEFT(RIGHT(VLOOKUP(AK58,suvaha!$D$92:$H$158,4,FALSE),10),1))</f>
        <v/>
      </c>
      <c r="BP60" s="434"/>
      <c r="BQ60" s="432" t="str">
        <f>IF(LEN(VLOOKUP(AK58,suvaha!$D$92:$H$158,4,FALSE))&lt;9,"",LEFT(RIGHT(VLOOKUP(AK58,suvaha!$D$92:$H$158,4,FALSE),9),1))</f>
        <v/>
      </c>
      <c r="BR60" s="255"/>
      <c r="BS60" s="432" t="str">
        <f>IF(LEN(VLOOKUP(AK58,suvaha!$D$92:$H$158,4,FALSE))&lt;8,"",LEFT(RIGHT(VLOOKUP(AK58,suvaha!$D$92:$H$158,4,FALSE),8),1))</f>
        <v/>
      </c>
      <c r="BT60" s="434"/>
      <c r="BU60" s="432" t="str">
        <f>IF(LEN(VLOOKUP(AK58,suvaha!$D$92:$H$158,4,FALSE))&lt;7,"",LEFT(RIGHT(VLOOKUP(AK58,suvaha!$D$92:$H$158,4,FALSE),7),1))</f>
        <v>1</v>
      </c>
      <c r="BV60" s="1008"/>
      <c r="BW60" s="432" t="str">
        <f>IF(LEN(VLOOKUP(AK58,suvaha!$D$92:$H$158,4,FALSE))&lt;6,"",LEFT(RIGHT(VLOOKUP(AK58,suvaha!$D$92:$H$158,4,FALSE),6),1))</f>
        <v>5</v>
      </c>
      <c r="BX60" s="434"/>
      <c r="BY60" s="432" t="str">
        <f>IF(LEN(VLOOKUP(AK58,suvaha!$D$92:$H$158,4,FALSE))&lt;5,"",LEFT(RIGHT(VLOOKUP(AK58,suvaha!$D$92:$H$158,4,FALSE),5),1))</f>
        <v>5</v>
      </c>
      <c r="BZ60" s="434"/>
      <c r="CA60" s="432" t="str">
        <f>IF(LEN(VLOOKUP(AK58,suvaha!$D$92:$H$158,4,FALSE))&lt;4,"",LEFT(RIGHT(VLOOKUP(AK58,suvaha!$D$92:$H$158,4,FALSE),4),1))</f>
        <v>7</v>
      </c>
      <c r="CB60" s="1009"/>
      <c r="CC60" s="432" t="str">
        <f>IF(LEN(VLOOKUP(AK58,suvaha!$D$92:$H$158,4,FALSE))&lt;3,"",LEFT(RIGHT(VLOOKUP(AK58,suvaha!$D$92:$H$158,4,FALSE),3),1))</f>
        <v>8</v>
      </c>
      <c r="CD60" s="434"/>
      <c r="CE60" s="432" t="str">
        <f>IF(LEN(VLOOKUP(AK58,suvaha!$D$92:$H$158,4,FALSE))&lt;2,"",LEFT(RIGHT(VLOOKUP(AK58,suvaha!$D$92:$H$158,4,FALSE),2),1))</f>
        <v>7</v>
      </c>
      <c r="CF60" s="434"/>
      <c r="CG60" s="432" t="str">
        <f>IF(VLOOKUP(AK58,suvaha!$D$92:$H$158,4,FALSE)=0,"",IF(LEN(VLOOKUP(AK58,suvaha!$D$92:$H$158,4,FALSE))&lt;1,"",LEFT(RIGHT(VLOOKUP(AK58,suvaha!$D$92:$H$158,4,FALSE),1),1)))</f>
        <v>6</v>
      </c>
      <c r="CH60" s="308"/>
      <c r="CI60" s="302"/>
      <c r="CJ60" s="302"/>
    </row>
    <row r="61" spans="1:88" s="309" customFormat="1" ht="3" customHeight="1">
      <c r="A61" s="302"/>
      <c r="B61" s="302"/>
      <c r="C61" s="302"/>
      <c r="E61" s="974"/>
      <c r="F61" s="975"/>
      <c r="G61" s="1010"/>
      <c r="H61" s="1010"/>
      <c r="I61" s="1010"/>
      <c r="J61" s="1010"/>
      <c r="K61" s="1010"/>
      <c r="L61" s="1010"/>
      <c r="M61" s="1010"/>
      <c r="N61" s="1010"/>
      <c r="O61" s="1010"/>
      <c r="P61" s="1010"/>
      <c r="Q61" s="1010"/>
      <c r="R61" s="1010"/>
      <c r="S61" s="1010"/>
      <c r="T61" s="1010"/>
      <c r="U61" s="1010"/>
      <c r="V61" s="1010"/>
      <c r="W61" s="1010"/>
      <c r="X61" s="1010"/>
      <c r="Y61" s="1010"/>
      <c r="Z61" s="1010"/>
      <c r="AA61" s="1010"/>
      <c r="AB61" s="1010"/>
      <c r="AC61" s="1010"/>
      <c r="AD61" s="1010"/>
      <c r="AE61" s="1010"/>
      <c r="AF61" s="1010"/>
      <c r="AG61" s="1010"/>
      <c r="AH61" s="1010"/>
      <c r="AI61" s="1010"/>
      <c r="AJ61" s="1010"/>
      <c r="AK61" s="977"/>
      <c r="AL61" s="977"/>
      <c r="AM61" s="977"/>
      <c r="AN61" s="363"/>
      <c r="AO61" s="365"/>
      <c r="AP61" s="365"/>
      <c r="AQ61" s="365"/>
      <c r="AR61" s="365"/>
      <c r="AS61" s="365"/>
      <c r="AT61" s="365"/>
      <c r="AU61" s="365"/>
      <c r="AV61" s="365"/>
      <c r="AW61" s="365"/>
      <c r="AX61" s="365"/>
      <c r="AY61" s="365"/>
      <c r="AZ61" s="365"/>
      <c r="BA61" s="365"/>
      <c r="BB61" s="365"/>
      <c r="BC61" s="365"/>
      <c r="BD61" s="365"/>
      <c r="BE61" s="310"/>
      <c r="BF61" s="310"/>
      <c r="BG61" s="310"/>
      <c r="BH61" s="310"/>
      <c r="BI61" s="310"/>
      <c r="BJ61" s="310"/>
      <c r="BK61" s="310"/>
      <c r="BL61" s="846"/>
      <c r="BM61" s="846"/>
      <c r="BN61" s="846"/>
      <c r="BO61" s="846"/>
      <c r="BP61" s="846"/>
      <c r="BQ61" s="846"/>
      <c r="BR61" s="846"/>
      <c r="BS61" s="846"/>
      <c r="BT61" s="846"/>
      <c r="BU61" s="846"/>
      <c r="BV61" s="846"/>
      <c r="BW61" s="846"/>
      <c r="BX61" s="846"/>
      <c r="BY61" s="846"/>
      <c r="BZ61" s="846"/>
      <c r="CA61" s="846"/>
      <c r="CB61" s="846"/>
      <c r="CC61" s="310"/>
      <c r="CD61" s="310"/>
      <c r="CE61" s="310"/>
      <c r="CF61" s="310"/>
      <c r="CG61" s="310"/>
      <c r="CH61" s="311"/>
      <c r="CI61" s="302"/>
      <c r="CJ61" s="302"/>
    </row>
    <row r="62" spans="1:88" s="307" customFormat="1" ht="3" customHeight="1">
      <c r="A62" s="302"/>
      <c r="B62" s="302"/>
      <c r="C62" s="303"/>
      <c r="D62" s="303"/>
      <c r="E62" s="974" t="s">
        <v>538</v>
      </c>
      <c r="F62" s="975"/>
      <c r="G62" s="1010" t="str">
        <f>Index!C154</f>
        <v>Dlhodobé záväzky z obchodného styku súčet (r. 104 až r. 106)</v>
      </c>
      <c r="H62" s="1010"/>
      <c r="I62" s="1010"/>
      <c r="J62" s="1010"/>
      <c r="K62" s="1010"/>
      <c r="L62" s="1010"/>
      <c r="M62" s="1010"/>
      <c r="N62" s="1010"/>
      <c r="O62" s="1010"/>
      <c r="P62" s="1010"/>
      <c r="Q62" s="1010"/>
      <c r="R62" s="1010"/>
      <c r="S62" s="1010"/>
      <c r="T62" s="1010"/>
      <c r="U62" s="1010"/>
      <c r="V62" s="1010"/>
      <c r="W62" s="1010"/>
      <c r="X62" s="1010"/>
      <c r="Y62" s="1010"/>
      <c r="Z62" s="1010"/>
      <c r="AA62" s="1010"/>
      <c r="AB62" s="1010"/>
      <c r="AC62" s="1010"/>
      <c r="AD62" s="1010"/>
      <c r="AE62" s="1010"/>
      <c r="AF62" s="1010"/>
      <c r="AG62" s="1010"/>
      <c r="AH62" s="1010"/>
      <c r="AI62" s="1010"/>
      <c r="AJ62" s="1010"/>
      <c r="AK62" s="977" t="s">
        <v>610</v>
      </c>
      <c r="AL62" s="977"/>
      <c r="AM62" s="977"/>
      <c r="AN62" s="364"/>
      <c r="AO62" s="366"/>
      <c r="AP62" s="366"/>
      <c r="AQ62" s="366"/>
      <c r="AR62" s="366"/>
      <c r="AS62" s="366"/>
      <c r="AT62" s="366"/>
      <c r="AU62" s="366"/>
      <c r="AV62" s="366"/>
      <c r="AW62" s="366"/>
      <c r="AX62" s="366"/>
      <c r="AY62" s="366"/>
      <c r="AZ62" s="366"/>
      <c r="BA62" s="366"/>
      <c r="BB62" s="366"/>
      <c r="BC62" s="366"/>
      <c r="BD62" s="366"/>
      <c r="BE62" s="304"/>
      <c r="BF62" s="304"/>
      <c r="BG62" s="304"/>
      <c r="BH62" s="304"/>
      <c r="BI62" s="304"/>
      <c r="BJ62" s="304"/>
      <c r="BK62" s="304"/>
      <c r="BL62" s="867"/>
      <c r="BM62" s="867"/>
      <c r="BN62" s="867"/>
      <c r="BO62" s="867"/>
      <c r="BP62" s="867"/>
      <c r="BQ62" s="867"/>
      <c r="BR62" s="867"/>
      <c r="BS62" s="867"/>
      <c r="BT62" s="867"/>
      <c r="BU62" s="867"/>
      <c r="BV62" s="867"/>
      <c r="BW62" s="867"/>
      <c r="BX62" s="867"/>
      <c r="BY62" s="867"/>
      <c r="BZ62" s="867"/>
      <c r="CA62" s="867"/>
      <c r="CB62" s="867"/>
      <c r="CC62" s="304"/>
      <c r="CD62" s="304"/>
      <c r="CE62" s="304"/>
      <c r="CF62" s="304"/>
      <c r="CG62" s="304"/>
      <c r="CH62" s="305"/>
      <c r="CI62" s="306"/>
      <c r="CJ62" s="306"/>
    </row>
    <row r="63" spans="1:88" s="307" customFormat="1" ht="3" customHeight="1">
      <c r="A63" s="302"/>
      <c r="B63" s="302"/>
      <c r="C63" s="302"/>
      <c r="D63" s="302"/>
      <c r="E63" s="974"/>
      <c r="F63" s="975"/>
      <c r="G63" s="1010"/>
      <c r="H63" s="1010"/>
      <c r="I63" s="1010"/>
      <c r="J63" s="1010"/>
      <c r="K63" s="1010"/>
      <c r="L63" s="1010"/>
      <c r="M63" s="1010"/>
      <c r="N63" s="1010"/>
      <c r="O63" s="1010"/>
      <c r="P63" s="1010"/>
      <c r="Q63" s="1010"/>
      <c r="R63" s="1010"/>
      <c r="S63" s="1010"/>
      <c r="T63" s="1010"/>
      <c r="U63" s="1010"/>
      <c r="V63" s="1010"/>
      <c r="W63" s="1010"/>
      <c r="X63" s="1010"/>
      <c r="Y63" s="1010"/>
      <c r="Z63" s="1010"/>
      <c r="AA63" s="1010"/>
      <c r="AB63" s="1010"/>
      <c r="AC63" s="1010"/>
      <c r="AD63" s="1010"/>
      <c r="AE63" s="1010"/>
      <c r="AF63" s="1010"/>
      <c r="AG63" s="1010"/>
      <c r="AH63" s="1010"/>
      <c r="AI63" s="1010"/>
      <c r="AJ63" s="1010"/>
      <c r="AK63" s="977"/>
      <c r="AL63" s="977"/>
      <c r="AM63" s="977"/>
      <c r="AN63" s="367"/>
      <c r="AO63" s="436"/>
      <c r="AP63" s="436"/>
      <c r="AQ63" s="436"/>
      <c r="AR63" s="435"/>
      <c r="AS63" s="433"/>
      <c r="AT63" s="433"/>
      <c r="AU63" s="433"/>
      <c r="AV63" s="433"/>
      <c r="AW63" s="433"/>
      <c r="AX63" s="434"/>
      <c r="AY63" s="1007"/>
      <c r="AZ63" s="1007"/>
      <c r="BA63" s="1007"/>
      <c r="BB63" s="1007"/>
      <c r="BC63" s="1007"/>
      <c r="BD63" s="1007"/>
      <c r="BE63" s="434"/>
      <c r="BF63" s="968"/>
      <c r="BG63" s="968"/>
      <c r="BH63" s="968"/>
      <c r="BI63" s="968"/>
      <c r="BJ63" s="968"/>
      <c r="BK63" s="851"/>
      <c r="BL63" s="826"/>
      <c r="BM63" s="820"/>
      <c r="BN63" s="820"/>
      <c r="BO63" s="820"/>
      <c r="BP63" s="435"/>
      <c r="BQ63" s="1007"/>
      <c r="BR63" s="1007"/>
      <c r="BS63" s="1007"/>
      <c r="BT63" s="1007"/>
      <c r="BU63" s="1007"/>
      <c r="BV63" s="1008"/>
      <c r="BW63" s="968"/>
      <c r="BX63" s="968"/>
      <c r="BY63" s="968"/>
      <c r="BZ63" s="968"/>
      <c r="CA63" s="968"/>
      <c r="CB63" s="1009"/>
      <c r="CC63" s="968"/>
      <c r="CD63" s="968"/>
      <c r="CE63" s="968"/>
      <c r="CF63" s="968"/>
      <c r="CG63" s="968"/>
      <c r="CH63" s="308"/>
      <c r="CI63" s="306"/>
      <c r="CJ63" s="306"/>
    </row>
    <row r="64" spans="1:88" s="309" customFormat="1" ht="15" customHeight="1">
      <c r="A64" s="302"/>
      <c r="B64" s="302"/>
      <c r="C64" s="302"/>
      <c r="E64" s="974"/>
      <c r="F64" s="975"/>
      <c r="G64" s="1010"/>
      <c r="H64" s="1010"/>
      <c r="I64" s="1010"/>
      <c r="J64" s="1010"/>
      <c r="K64" s="1010"/>
      <c r="L64" s="1010"/>
      <c r="M64" s="1010"/>
      <c r="N64" s="1010"/>
      <c r="O64" s="1010"/>
      <c r="P64" s="1010"/>
      <c r="Q64" s="1010"/>
      <c r="R64" s="1010"/>
      <c r="S64" s="1010"/>
      <c r="T64" s="1010"/>
      <c r="U64" s="1010"/>
      <c r="V64" s="1010"/>
      <c r="W64" s="1010"/>
      <c r="X64" s="1010"/>
      <c r="Y64" s="1010"/>
      <c r="Z64" s="1010"/>
      <c r="AA64" s="1010"/>
      <c r="AB64" s="1010"/>
      <c r="AC64" s="1010"/>
      <c r="AD64" s="1010"/>
      <c r="AE64" s="1010"/>
      <c r="AF64" s="1010"/>
      <c r="AG64" s="1010"/>
      <c r="AH64" s="1010"/>
      <c r="AI64" s="1010"/>
      <c r="AJ64" s="1010"/>
      <c r="AK64" s="977"/>
      <c r="AL64" s="977"/>
      <c r="AM64" s="977"/>
      <c r="AN64" s="367"/>
      <c r="AO64" s="432" t="str">
        <f>IF(LEN(VLOOKUP(AK62,suvaha!$D$92:$H$158,2,FALSE))&lt;11,"",LEFT(RIGHT(VLOOKUP(AK62,suvaha!$D$92:$H$158,2,FALSE),11),1))</f>
        <v/>
      </c>
      <c r="AP64" s="255"/>
      <c r="AQ64" s="432" t="str">
        <f>IF(LEN(VLOOKUP(AK62,suvaha!$D$92:$H$158,2,FALSE))&lt;10,"",LEFT(RIGHT(VLOOKUP(AK62,suvaha!$D$92:$H$158,2,FALSE),10),1))</f>
        <v/>
      </c>
      <c r="AR64" s="434"/>
      <c r="AS64" s="432" t="str">
        <f>IF(LEN(VLOOKUP(AK62,suvaha!$D$92:$H$158,2,FALSE))&lt;9,"",LEFT(RIGHT(VLOOKUP(AK62,suvaha!$D$92:$H$158,2,FALSE),9),1))</f>
        <v/>
      </c>
      <c r="AT64" s="255"/>
      <c r="AU64" s="432" t="str">
        <f>IF(LEN(VLOOKUP(AK62,suvaha!$D$92:$H$158,2,FALSE))&lt;8,"",LEFT(RIGHT(VLOOKUP(AK62,suvaha!$D$92:$H$158,2,FALSE),8),1))</f>
        <v/>
      </c>
      <c r="AV64" s="434"/>
      <c r="AW64" s="432" t="str">
        <f>IF(LEN(VLOOKUP(AK62,suvaha!$D$92:$H$158,2,FALSE))&lt;7,"",LEFT(RIGHT(VLOOKUP(AK62,suvaha!$D$92:$H$158,2,FALSE),7),1))</f>
        <v/>
      </c>
      <c r="AX64" s="434"/>
      <c r="AY64" s="432" t="str">
        <f>IF(LEN(VLOOKUP(AK62,suvaha!$D$92:$H$158,2,FALSE))&lt;6,"",LEFT(RIGHT(VLOOKUP(AK62,suvaha!$D$92:$H$158,2,FALSE),6),1))</f>
        <v/>
      </c>
      <c r="AZ64" s="255"/>
      <c r="BA64" s="961" t="str">
        <f>IF(LEN(VLOOKUP(AK62,suvaha!$D$92:$H$158,2,FALSE))&lt;5,"",LEFT(RIGHT(VLOOKUP(AK62,suvaha!$D$92:$H$158,2,FALSE),5),1))</f>
        <v/>
      </c>
      <c r="BB64" s="961" t="e">
        <f>IF(LEN(#REF!)&lt;5,"",LEFT(RIGHT(#REF!,5),1))</f>
        <v>#REF!</v>
      </c>
      <c r="BC64" s="434"/>
      <c r="BD64" s="432" t="str">
        <f>IF(LEN(VLOOKUP(AK62,suvaha!$D$92:$H$158,2,FALSE))&lt;4,"",LEFT(RIGHT(VLOOKUP(AK62,suvaha!$D$92:$H$158,2,FALSE),4),1))</f>
        <v/>
      </c>
      <c r="BE64" s="434"/>
      <c r="BF64" s="432" t="str">
        <f>IF(LEN(VLOOKUP(AK62,suvaha!$D$92:$H$158,2,FALSE))&lt;3,"",LEFT(RIGHT(VLOOKUP(AK62,suvaha!$D$92:$H$158,2,FALSE),3),1))</f>
        <v/>
      </c>
      <c r="BG64" s="434"/>
      <c r="BH64" s="432" t="str">
        <f>IF(LEN(VLOOKUP(AK62,suvaha!$D$92:$H$158,2,FALSE))&lt;2,"",LEFT(RIGHT(VLOOKUP(AK62,suvaha!$D$92:$H$158,2,FALSE),2),1))</f>
        <v/>
      </c>
      <c r="BI64" s="434"/>
      <c r="BJ64" s="432" t="str">
        <f>IF(VLOOKUP(AK62,suvaha!$D$92:$H$158,2,FALSE)=0,"",IF(LEN(VLOOKUP(AK62,suvaha!$D$92:$H$158,2,FALSE))&lt;1,"",LEFT(RIGHT(VLOOKUP(AK62,suvaha!$D$92:$H$158,2,FALSE),1),1)))</f>
        <v/>
      </c>
      <c r="BK64" s="851"/>
      <c r="BL64" s="826"/>
      <c r="BM64" s="432" t="str">
        <f>IF(LEN(VLOOKUP(AK62,suvaha!$D$92:$H$158,4,FALSE))&lt;11,"",LEFT(RIGHT(VLOOKUP(AK62,suvaha!$D$92:$H$158,4,FALSE),11),1))</f>
        <v/>
      </c>
      <c r="BN64" s="255"/>
      <c r="BO64" s="432" t="str">
        <f>IF(LEN(VLOOKUP(AK62,suvaha!$D$92:$H$158,4,FALSE))&lt;10,"",LEFT(RIGHT(VLOOKUP(AK62,suvaha!$D$92:$H$158,4,FALSE),10),1))</f>
        <v/>
      </c>
      <c r="BP64" s="434"/>
      <c r="BQ64" s="432" t="str">
        <f>IF(LEN(VLOOKUP(AK62,suvaha!$D$92:$H$158,4,FALSE))&lt;9,"",LEFT(RIGHT(VLOOKUP(AK62,suvaha!$D$92:$H$158,4,FALSE),9),1))</f>
        <v/>
      </c>
      <c r="BR64" s="255"/>
      <c r="BS64" s="432" t="str">
        <f>IF(LEN(VLOOKUP(AK62,suvaha!$D$92:$H$158,4,FALSE))&lt;8,"",LEFT(RIGHT(VLOOKUP(AK62,suvaha!$D$92:$H$158,4,FALSE),8),1))</f>
        <v/>
      </c>
      <c r="BT64" s="434"/>
      <c r="BU64" s="432" t="str">
        <f>IF(LEN(VLOOKUP(AK62,suvaha!$D$92:$H$158,4,FALSE))&lt;7,"",LEFT(RIGHT(VLOOKUP(AK62,suvaha!$D$92:$H$158,4,FALSE),7),1))</f>
        <v/>
      </c>
      <c r="BV64" s="1008"/>
      <c r="BW64" s="432" t="str">
        <f>IF(LEN(VLOOKUP(AK62,suvaha!$D$92:$H$158,4,FALSE))&lt;6,"",LEFT(RIGHT(VLOOKUP(AK62,suvaha!$D$92:$H$158,4,FALSE),6),1))</f>
        <v/>
      </c>
      <c r="BX64" s="434"/>
      <c r="BY64" s="432" t="str">
        <f>IF(LEN(VLOOKUP(AK62,suvaha!$D$92:$H$158,4,FALSE))&lt;5,"",LEFT(RIGHT(VLOOKUP(AK62,suvaha!$D$92:$H$158,4,FALSE),5),1))</f>
        <v/>
      </c>
      <c r="BZ64" s="434"/>
      <c r="CA64" s="432" t="str">
        <f>IF(LEN(VLOOKUP(AK62,suvaha!$D$92:$H$158,4,FALSE))&lt;4,"",LEFT(RIGHT(VLOOKUP(AK62,suvaha!$D$92:$H$158,4,FALSE),4),1))</f>
        <v/>
      </c>
      <c r="CB64" s="1009"/>
      <c r="CC64" s="432" t="str">
        <f>IF(LEN(VLOOKUP(AK62,suvaha!$D$92:$H$158,4,FALSE))&lt;3,"",LEFT(RIGHT(VLOOKUP(AK62,suvaha!$D$92:$H$158,4,FALSE),3),1))</f>
        <v/>
      </c>
      <c r="CD64" s="434"/>
      <c r="CE64" s="432" t="str">
        <f>IF(LEN(VLOOKUP(AK62,suvaha!$D$92:$H$158,4,FALSE))&lt;2,"",LEFT(RIGHT(VLOOKUP(AK62,suvaha!$D$92:$H$158,4,FALSE),2),1))</f>
        <v/>
      </c>
      <c r="CF64" s="434"/>
      <c r="CG64" s="432" t="str">
        <f>IF(VLOOKUP(AK62,suvaha!$D$92:$H$158,4,FALSE)=0,"",IF(LEN(VLOOKUP(AK62,suvaha!$D$92:$H$158,4,FALSE))&lt;1,"",LEFT(RIGHT(VLOOKUP(AK62,suvaha!$D$92:$H$158,4,FALSE),1),1)))</f>
        <v/>
      </c>
      <c r="CH64" s="308"/>
      <c r="CI64" s="302"/>
      <c r="CJ64" s="302"/>
    </row>
    <row r="65" spans="1:88" s="309" customFormat="1" ht="3" customHeight="1">
      <c r="A65" s="302"/>
      <c r="B65" s="302"/>
      <c r="C65" s="302"/>
      <c r="E65" s="974"/>
      <c r="F65" s="975"/>
      <c r="G65" s="1010"/>
      <c r="H65" s="1010"/>
      <c r="I65" s="1010"/>
      <c r="J65" s="1010"/>
      <c r="K65" s="1010"/>
      <c r="L65" s="1010"/>
      <c r="M65" s="1010"/>
      <c r="N65" s="1010"/>
      <c r="O65" s="1010"/>
      <c r="P65" s="1010"/>
      <c r="Q65" s="1010"/>
      <c r="R65" s="1010"/>
      <c r="S65" s="1010"/>
      <c r="T65" s="1010"/>
      <c r="U65" s="1010"/>
      <c r="V65" s="1010"/>
      <c r="W65" s="1010"/>
      <c r="X65" s="1010"/>
      <c r="Y65" s="1010"/>
      <c r="Z65" s="1010"/>
      <c r="AA65" s="1010"/>
      <c r="AB65" s="1010"/>
      <c r="AC65" s="1010"/>
      <c r="AD65" s="1010"/>
      <c r="AE65" s="1010"/>
      <c r="AF65" s="1010"/>
      <c r="AG65" s="1010"/>
      <c r="AH65" s="1010"/>
      <c r="AI65" s="1010"/>
      <c r="AJ65" s="1010"/>
      <c r="AK65" s="977"/>
      <c r="AL65" s="977"/>
      <c r="AM65" s="977"/>
      <c r="AN65" s="363"/>
      <c r="AO65" s="365"/>
      <c r="AP65" s="365"/>
      <c r="AQ65" s="365"/>
      <c r="AR65" s="365"/>
      <c r="AS65" s="365"/>
      <c r="AT65" s="365"/>
      <c r="AU65" s="365"/>
      <c r="AV65" s="365"/>
      <c r="AW65" s="365"/>
      <c r="AX65" s="365"/>
      <c r="AY65" s="365"/>
      <c r="AZ65" s="365"/>
      <c r="BA65" s="365"/>
      <c r="BB65" s="365"/>
      <c r="BC65" s="365"/>
      <c r="BD65" s="365"/>
      <c r="BE65" s="310"/>
      <c r="BF65" s="310"/>
      <c r="BG65" s="310"/>
      <c r="BH65" s="310"/>
      <c r="BI65" s="310"/>
      <c r="BJ65" s="310"/>
      <c r="BK65" s="310"/>
      <c r="BL65" s="846"/>
      <c r="BM65" s="846"/>
      <c r="BN65" s="846"/>
      <c r="BO65" s="846"/>
      <c r="BP65" s="846"/>
      <c r="BQ65" s="846"/>
      <c r="BR65" s="846"/>
      <c r="BS65" s="846"/>
      <c r="BT65" s="846"/>
      <c r="BU65" s="846"/>
      <c r="BV65" s="846"/>
      <c r="BW65" s="846"/>
      <c r="BX65" s="846"/>
      <c r="BY65" s="846"/>
      <c r="BZ65" s="846"/>
      <c r="CA65" s="846"/>
      <c r="CB65" s="846"/>
      <c r="CC65" s="310"/>
      <c r="CD65" s="310"/>
      <c r="CE65" s="310"/>
      <c r="CF65" s="310"/>
      <c r="CG65" s="310"/>
      <c r="CH65" s="311"/>
      <c r="CI65" s="302"/>
      <c r="CJ65" s="302"/>
    </row>
    <row r="66" spans="1:88" s="250" customFormat="1" ht="3" customHeight="1">
      <c r="A66" s="220"/>
      <c r="B66" s="220"/>
      <c r="C66" s="224"/>
      <c r="D66" s="224"/>
      <c r="E66" s="983" t="s">
        <v>1596</v>
      </c>
      <c r="F66" s="983"/>
      <c r="G66" s="972" t="str">
        <f>Index!C155</f>
        <v>Záväzky z obchodného styku voči prepojeným účtovným jednotkám (321A, 475A, 476A)</v>
      </c>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3" t="s">
        <v>611</v>
      </c>
      <c r="AL66" s="973"/>
      <c r="AM66" s="973"/>
      <c r="AN66" s="357"/>
      <c r="AO66" s="366"/>
      <c r="AP66" s="366"/>
      <c r="AQ66" s="366"/>
      <c r="AR66" s="366"/>
      <c r="AS66" s="366"/>
      <c r="AT66" s="366"/>
      <c r="AU66" s="366"/>
      <c r="AV66" s="366"/>
      <c r="AW66" s="366"/>
      <c r="AX66" s="366"/>
      <c r="AY66" s="366"/>
      <c r="AZ66" s="366"/>
      <c r="BA66" s="366"/>
      <c r="BB66" s="366"/>
      <c r="BC66" s="366"/>
      <c r="BD66" s="366"/>
      <c r="BE66" s="304"/>
      <c r="BF66" s="304"/>
      <c r="BG66" s="304"/>
      <c r="BH66" s="304"/>
      <c r="BI66" s="304"/>
      <c r="BJ66" s="304"/>
      <c r="BK66" s="304"/>
      <c r="BL66" s="867"/>
      <c r="BM66" s="867"/>
      <c r="BN66" s="867"/>
      <c r="BO66" s="867"/>
      <c r="BP66" s="867"/>
      <c r="BQ66" s="867"/>
      <c r="BR66" s="867"/>
      <c r="BS66" s="867"/>
      <c r="BT66" s="867"/>
      <c r="BU66" s="867"/>
      <c r="BV66" s="867"/>
      <c r="BW66" s="867"/>
      <c r="BX66" s="867"/>
      <c r="BY66" s="867"/>
      <c r="BZ66" s="867"/>
      <c r="CA66" s="867"/>
      <c r="CB66" s="867"/>
      <c r="CC66" s="304"/>
      <c r="CD66" s="304"/>
      <c r="CE66" s="304"/>
      <c r="CF66" s="304"/>
      <c r="CG66" s="304"/>
      <c r="CH66" s="284"/>
      <c r="CI66" s="288"/>
      <c r="CJ66" s="288"/>
    </row>
    <row r="67" spans="1:88" s="250" customFormat="1" ht="3" customHeight="1">
      <c r="A67" s="220"/>
      <c r="B67" s="220"/>
      <c r="C67" s="220"/>
      <c r="D67" s="220"/>
      <c r="E67" s="983"/>
      <c r="F67" s="983"/>
      <c r="G67" s="972"/>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3"/>
      <c r="AL67" s="973"/>
      <c r="AM67" s="973"/>
      <c r="AN67" s="355"/>
      <c r="AO67" s="436"/>
      <c r="AP67" s="436"/>
      <c r="AQ67" s="436"/>
      <c r="AR67" s="435"/>
      <c r="AS67" s="439"/>
      <c r="AT67" s="439"/>
      <c r="AU67" s="439"/>
      <c r="AV67" s="439"/>
      <c r="AW67" s="439"/>
      <c r="AX67" s="440"/>
      <c r="AY67" s="821"/>
      <c r="AZ67" s="821"/>
      <c r="BA67" s="821"/>
      <c r="BB67" s="821"/>
      <c r="BC67" s="821"/>
      <c r="BD67" s="821"/>
      <c r="BE67" s="434"/>
      <c r="BF67" s="968"/>
      <c r="BG67" s="968"/>
      <c r="BH67" s="968"/>
      <c r="BI67" s="968"/>
      <c r="BJ67" s="968"/>
      <c r="BK67" s="851"/>
      <c r="BL67" s="826"/>
      <c r="BM67" s="820"/>
      <c r="BN67" s="820"/>
      <c r="BO67" s="820"/>
      <c r="BP67" s="435"/>
      <c r="BQ67" s="821"/>
      <c r="BR67" s="821"/>
      <c r="BS67" s="821"/>
      <c r="BT67" s="821"/>
      <c r="BU67" s="821"/>
      <c r="BV67" s="818"/>
      <c r="BW67" s="822"/>
      <c r="BX67" s="822"/>
      <c r="BY67" s="822"/>
      <c r="BZ67" s="822"/>
      <c r="CA67" s="822"/>
      <c r="CB67" s="819"/>
      <c r="CC67" s="822"/>
      <c r="CD67" s="822"/>
      <c r="CE67" s="822"/>
      <c r="CF67" s="822"/>
      <c r="CG67" s="822"/>
      <c r="CH67" s="285"/>
      <c r="CI67" s="288"/>
      <c r="CJ67" s="288"/>
    </row>
    <row r="68" spans="1:88" ht="15" customHeight="1">
      <c r="E68" s="983"/>
      <c r="F68" s="983"/>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3"/>
      <c r="AL68" s="973"/>
      <c r="AM68" s="973"/>
      <c r="AN68" s="355"/>
      <c r="AO68" s="432" t="str">
        <f>IF(LEN(VLOOKUP(AK66,suvaha!$D$92:$H$158,2,FALSE))&lt;11,"",LEFT(RIGHT(VLOOKUP(AK66,suvaha!$D$92:$H$158,2,FALSE),11),1))</f>
        <v/>
      </c>
      <c r="AP68" s="255"/>
      <c r="AQ68" s="432" t="str">
        <f>IF(LEN(VLOOKUP(AK66,suvaha!$D$92:$H$158,2,FALSE))&lt;10,"",LEFT(RIGHT(VLOOKUP(AK66,suvaha!$D$92:$H$158,2,FALSE),10),1))</f>
        <v/>
      </c>
      <c r="AR68" s="434"/>
      <c r="AS68" s="432" t="str">
        <f>IF(LEN(VLOOKUP(AK66,suvaha!$D$92:$H$158,2,FALSE))&lt;9,"",LEFT(RIGHT(VLOOKUP(AK66,suvaha!$D$92:$H$158,2,FALSE),9),1))</f>
        <v/>
      </c>
      <c r="AT68" s="255"/>
      <c r="AU68" s="432" t="str">
        <f>IF(LEN(VLOOKUP(AK66,suvaha!$D$92:$H$158,2,FALSE))&lt;8,"",LEFT(RIGHT(VLOOKUP(AK66,suvaha!$D$92:$H$158,2,FALSE),8),1))</f>
        <v/>
      </c>
      <c r="AV68" s="434"/>
      <c r="AW68" s="432" t="str">
        <f>IF(LEN(VLOOKUP(AK66,suvaha!$D$92:$H$158,2,FALSE))&lt;7,"",LEFT(RIGHT(VLOOKUP(AK66,suvaha!$D$92:$H$158,2,FALSE),7),1))</f>
        <v/>
      </c>
      <c r="AX68" s="440"/>
      <c r="AY68" s="432" t="str">
        <f>IF(LEN(VLOOKUP(AK66,suvaha!$D$92:$H$158,2,FALSE))&lt;6,"",LEFT(RIGHT(VLOOKUP(AK66,suvaha!$D$92:$H$158,2,FALSE),6),1))</f>
        <v/>
      </c>
      <c r="AZ68" s="255"/>
      <c r="BA68" s="961" t="str">
        <f>IF(LEN(VLOOKUP(AK66,suvaha!$D$92:$H$158,2,FALSE))&lt;5,"",LEFT(RIGHT(VLOOKUP(AK66,suvaha!$D$92:$H$158,2,FALSE),5),1))</f>
        <v/>
      </c>
      <c r="BB68" s="961" t="e">
        <f>IF(LEN(#REF!)&lt;5,"",LEFT(RIGHT(#REF!,5),1))</f>
        <v>#REF!</v>
      </c>
      <c r="BC68" s="434"/>
      <c r="BD68" s="432" t="str">
        <f>IF(LEN(VLOOKUP(AK66,suvaha!$D$92:$H$158,2,FALSE))&lt;4,"",LEFT(RIGHT(VLOOKUP(AK66,suvaha!$D$92:$H$158,2,FALSE),4),1))</f>
        <v/>
      </c>
      <c r="BE68" s="434"/>
      <c r="BF68" s="432" t="str">
        <f>IF(LEN(VLOOKUP(AK66,suvaha!$D$92:$H$158,2,FALSE))&lt;3,"",LEFT(RIGHT(VLOOKUP(AK66,suvaha!$D$92:$H$158,2,FALSE),3),1))</f>
        <v/>
      </c>
      <c r="BG68" s="434"/>
      <c r="BH68" s="432" t="str">
        <f>IF(LEN(VLOOKUP(AK66,suvaha!$D$92:$H$158,2,FALSE))&lt;2,"",LEFT(RIGHT(VLOOKUP(AK66,suvaha!$D$92:$H$158,2,FALSE),2),1))</f>
        <v/>
      </c>
      <c r="BI68" s="434"/>
      <c r="BJ68" s="432" t="str">
        <f>IF(VLOOKUP(AK66,suvaha!$D$92:$H$158,2,FALSE)=0,"",IF(LEN(VLOOKUP(AK66,suvaha!$D$92:$H$158,2,FALSE))&lt;1,"",LEFT(RIGHT(VLOOKUP(AK66,suvaha!$D$92:$H$158,2,FALSE),1),1)))</f>
        <v/>
      </c>
      <c r="BK68" s="851"/>
      <c r="BL68" s="826"/>
      <c r="BM68" s="432" t="str">
        <f>IF(LEN(VLOOKUP(AK66,suvaha!$D$92:$H$158,4,FALSE))&lt;11,"",LEFT(RIGHT(VLOOKUP(AK66,suvaha!$D$92:$H$158,4,FALSE),11),1))</f>
        <v/>
      </c>
      <c r="BN68" s="255"/>
      <c r="BO68" s="432" t="str">
        <f>IF(LEN(VLOOKUP(AK66,suvaha!$D$92:$H$158,4,FALSE))&lt;10,"",LEFT(RIGHT(VLOOKUP(AK66,suvaha!$D$92:$H$158,4,FALSE),10),1))</f>
        <v/>
      </c>
      <c r="BP68" s="434"/>
      <c r="BQ68" s="432" t="str">
        <f>IF(LEN(VLOOKUP(AK66,suvaha!$D$92:$H$158,4,FALSE))&lt;9,"",LEFT(RIGHT(VLOOKUP(AK66,suvaha!$D$92:$H$158,4,FALSE),9),1))</f>
        <v/>
      </c>
      <c r="BR68" s="255"/>
      <c r="BS68" s="432" t="str">
        <f>IF(LEN(VLOOKUP(AK66,suvaha!$D$92:$H$158,4,FALSE))&lt;8,"",LEFT(RIGHT(VLOOKUP(AK66,suvaha!$D$92:$H$158,4,FALSE),8),1))</f>
        <v/>
      </c>
      <c r="BT68" s="434"/>
      <c r="BU68" s="432" t="str">
        <f>IF(LEN(VLOOKUP(AK66,suvaha!$D$92:$H$158,4,FALSE))&lt;7,"",LEFT(RIGHT(VLOOKUP(AK66,suvaha!$D$92:$H$158,4,FALSE),7),1))</f>
        <v/>
      </c>
      <c r="BV68" s="818"/>
      <c r="BW68" s="432" t="str">
        <f>IF(LEN(VLOOKUP(AK66,suvaha!$D$92:$H$158,4,FALSE))&lt;6,"",LEFT(RIGHT(VLOOKUP(AK66,suvaha!$D$92:$H$158,4,FALSE),6),1))</f>
        <v/>
      </c>
      <c r="BX68" s="434"/>
      <c r="BY68" s="432" t="str">
        <f>IF(LEN(VLOOKUP(AK66,suvaha!$D$92:$H$158,4,FALSE))&lt;5,"",LEFT(RIGHT(VLOOKUP(AK66,suvaha!$D$92:$H$158,4,FALSE),5),1))</f>
        <v/>
      </c>
      <c r="BZ68" s="434"/>
      <c r="CA68" s="432" t="str">
        <f>IF(LEN(VLOOKUP(AK66,suvaha!$D$92:$H$158,4,FALSE))&lt;4,"",LEFT(RIGHT(VLOOKUP(AK66,suvaha!$D$92:$H$158,4,FALSE),4),1))</f>
        <v/>
      </c>
      <c r="CB68" s="819"/>
      <c r="CC68" s="432" t="str">
        <f>IF(LEN(VLOOKUP(AK66,suvaha!$D$92:$H$158,4,FALSE))&lt;3,"",LEFT(RIGHT(VLOOKUP(AK66,suvaha!$D$92:$H$158,4,FALSE),3),1))</f>
        <v/>
      </c>
      <c r="CD68" s="434"/>
      <c r="CE68" s="432" t="str">
        <f>IF(LEN(VLOOKUP(AK66,suvaha!$D$92:$H$158,4,FALSE))&lt;2,"",LEFT(RIGHT(VLOOKUP(AK66,suvaha!$D$92:$H$158,4,FALSE),2),1))</f>
        <v/>
      </c>
      <c r="CF68" s="434"/>
      <c r="CG68" s="432" t="str">
        <f>IF(VLOOKUP(AK66,suvaha!$D$92:$H$158,4,FALSE)=0,"",IF(LEN(VLOOKUP(AK66,suvaha!$D$92:$H$158,4,FALSE))&lt;1,"",LEFT(RIGHT(VLOOKUP(AK66,suvaha!$D$92:$H$158,4,FALSE),1),1)))</f>
        <v/>
      </c>
      <c r="CH68" s="285"/>
      <c r="CI68" s="220"/>
      <c r="CJ68" s="220"/>
    </row>
    <row r="69" spans="1:88">
      <c r="E69" s="983"/>
      <c r="F69" s="983"/>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3"/>
      <c r="AL69" s="973"/>
      <c r="AM69" s="973"/>
      <c r="AN69" s="358"/>
      <c r="AO69" s="365"/>
      <c r="AP69" s="365"/>
      <c r="AQ69" s="365"/>
      <c r="AR69" s="365"/>
      <c r="AS69" s="365"/>
      <c r="AT69" s="365"/>
      <c r="AU69" s="365"/>
      <c r="AV69" s="365"/>
      <c r="AW69" s="365"/>
      <c r="AX69" s="365"/>
      <c r="AY69" s="365"/>
      <c r="AZ69" s="365"/>
      <c r="BA69" s="365"/>
      <c r="BB69" s="365"/>
      <c r="BC69" s="365"/>
      <c r="BD69" s="365"/>
      <c r="BE69" s="310"/>
      <c r="BF69" s="310"/>
      <c r="BG69" s="310"/>
      <c r="BH69" s="310"/>
      <c r="BI69" s="310"/>
      <c r="BJ69" s="310"/>
      <c r="BK69" s="310"/>
      <c r="BL69" s="846"/>
      <c r="BM69" s="846"/>
      <c r="BN69" s="846"/>
      <c r="BO69" s="846"/>
      <c r="BP69" s="846"/>
      <c r="BQ69" s="846"/>
      <c r="BR69" s="846"/>
      <c r="BS69" s="846"/>
      <c r="BT69" s="846"/>
      <c r="BU69" s="846"/>
      <c r="BV69" s="846"/>
      <c r="BW69" s="846"/>
      <c r="BX69" s="846"/>
      <c r="BY69" s="846"/>
      <c r="BZ69" s="846"/>
      <c r="CA69" s="846"/>
      <c r="CB69" s="846"/>
      <c r="CC69" s="310"/>
      <c r="CD69" s="310"/>
      <c r="CE69" s="310"/>
      <c r="CF69" s="310"/>
      <c r="CG69" s="310"/>
      <c r="CH69" s="286"/>
      <c r="CI69" s="220"/>
      <c r="CJ69" s="220"/>
    </row>
    <row r="70" spans="1:88" s="250" customFormat="1" ht="3" customHeight="1">
      <c r="A70" s="220"/>
      <c r="B70" s="220"/>
      <c r="C70" s="224"/>
      <c r="D70" s="224"/>
      <c r="E70" s="983" t="s">
        <v>1598</v>
      </c>
      <c r="F70" s="983"/>
      <c r="G70" s="1006" t="str">
        <f>Index!C156</f>
        <v>Záväzky z obchodného styku v rámci podielovej účasti okrem záväzkov voči prepojeným účtovným jednotkám (321A, 475A, 476A)</v>
      </c>
      <c r="H70" s="1006"/>
      <c r="I70" s="1006"/>
      <c r="J70" s="1006"/>
      <c r="K70" s="1006"/>
      <c r="L70" s="1006"/>
      <c r="M70" s="1006"/>
      <c r="N70" s="1006"/>
      <c r="O70" s="1006"/>
      <c r="P70" s="1006"/>
      <c r="Q70" s="1006"/>
      <c r="R70" s="1006"/>
      <c r="S70" s="1006"/>
      <c r="T70" s="1006"/>
      <c r="U70" s="1006"/>
      <c r="V70" s="1006"/>
      <c r="W70" s="1006"/>
      <c r="X70" s="1006"/>
      <c r="Y70" s="1006"/>
      <c r="Z70" s="1006"/>
      <c r="AA70" s="1006"/>
      <c r="AB70" s="1006"/>
      <c r="AC70" s="1006"/>
      <c r="AD70" s="1006"/>
      <c r="AE70" s="1006"/>
      <c r="AF70" s="1006"/>
      <c r="AG70" s="1006"/>
      <c r="AH70" s="1006"/>
      <c r="AI70" s="1006"/>
      <c r="AJ70" s="1006"/>
      <c r="AK70" s="973" t="s">
        <v>613</v>
      </c>
      <c r="AL70" s="973"/>
      <c r="AM70" s="973"/>
      <c r="AN70" s="357"/>
      <c r="AO70" s="366"/>
      <c r="AP70" s="366"/>
      <c r="AQ70" s="366"/>
      <c r="AR70" s="366"/>
      <c r="AS70" s="366"/>
      <c r="AT70" s="366"/>
      <c r="AU70" s="366"/>
      <c r="AV70" s="366"/>
      <c r="AW70" s="366"/>
      <c r="AX70" s="366"/>
      <c r="AY70" s="366"/>
      <c r="AZ70" s="366"/>
      <c r="BA70" s="366"/>
      <c r="BB70" s="366"/>
      <c r="BC70" s="366"/>
      <c r="BD70" s="366"/>
      <c r="BE70" s="304"/>
      <c r="BF70" s="304"/>
      <c r="BG70" s="304"/>
      <c r="BH70" s="304"/>
      <c r="BI70" s="304"/>
      <c r="BJ70" s="304"/>
      <c r="BK70" s="304"/>
      <c r="BL70" s="867"/>
      <c r="BM70" s="867"/>
      <c r="BN70" s="867"/>
      <c r="BO70" s="867"/>
      <c r="BP70" s="867"/>
      <c r="BQ70" s="867"/>
      <c r="BR70" s="867"/>
      <c r="BS70" s="867"/>
      <c r="BT70" s="867"/>
      <c r="BU70" s="867"/>
      <c r="BV70" s="867"/>
      <c r="BW70" s="867"/>
      <c r="BX70" s="867"/>
      <c r="BY70" s="867"/>
      <c r="BZ70" s="867"/>
      <c r="CA70" s="867"/>
      <c r="CB70" s="867"/>
      <c r="CC70" s="304"/>
      <c r="CD70" s="304"/>
      <c r="CE70" s="304"/>
      <c r="CF70" s="304"/>
      <c r="CG70" s="304"/>
      <c r="CH70" s="284"/>
      <c r="CI70" s="288"/>
      <c r="CJ70" s="288"/>
    </row>
    <row r="71" spans="1:88" s="250" customFormat="1" ht="3" customHeight="1">
      <c r="A71" s="220"/>
      <c r="B71" s="220"/>
      <c r="C71" s="220"/>
      <c r="D71" s="220"/>
      <c r="E71" s="983"/>
      <c r="F71" s="983"/>
      <c r="G71" s="1006"/>
      <c r="H71" s="1006"/>
      <c r="I71" s="1006"/>
      <c r="J71" s="1006"/>
      <c r="K71" s="1006"/>
      <c r="L71" s="1006"/>
      <c r="M71" s="1006"/>
      <c r="N71" s="1006"/>
      <c r="O71" s="1006"/>
      <c r="P71" s="1006"/>
      <c r="Q71" s="1006"/>
      <c r="R71" s="1006"/>
      <c r="S71" s="1006"/>
      <c r="T71" s="1006"/>
      <c r="U71" s="1006"/>
      <c r="V71" s="1006"/>
      <c r="W71" s="1006"/>
      <c r="X71" s="1006"/>
      <c r="Y71" s="1006"/>
      <c r="Z71" s="1006"/>
      <c r="AA71" s="1006"/>
      <c r="AB71" s="1006"/>
      <c r="AC71" s="1006"/>
      <c r="AD71" s="1006"/>
      <c r="AE71" s="1006"/>
      <c r="AF71" s="1006"/>
      <c r="AG71" s="1006"/>
      <c r="AH71" s="1006"/>
      <c r="AI71" s="1006"/>
      <c r="AJ71" s="1006"/>
      <c r="AK71" s="973"/>
      <c r="AL71" s="973"/>
      <c r="AM71" s="973"/>
      <c r="AN71" s="355"/>
      <c r="AO71" s="436"/>
      <c r="AP71" s="436"/>
      <c r="AQ71" s="436"/>
      <c r="AR71" s="435"/>
      <c r="AS71" s="439"/>
      <c r="AT71" s="439"/>
      <c r="AU71" s="439"/>
      <c r="AV71" s="439"/>
      <c r="AW71" s="439"/>
      <c r="AX71" s="440"/>
      <c r="AY71" s="821"/>
      <c r="AZ71" s="821"/>
      <c r="BA71" s="821"/>
      <c r="BB71" s="821"/>
      <c r="BC71" s="821"/>
      <c r="BD71" s="821"/>
      <c r="BE71" s="434"/>
      <c r="BF71" s="968"/>
      <c r="BG71" s="968"/>
      <c r="BH71" s="968"/>
      <c r="BI71" s="968"/>
      <c r="BJ71" s="968"/>
      <c r="BK71" s="851"/>
      <c r="BL71" s="826"/>
      <c r="BM71" s="820"/>
      <c r="BN71" s="820"/>
      <c r="BO71" s="820"/>
      <c r="BP71" s="435"/>
      <c r="BQ71" s="821"/>
      <c r="BR71" s="821"/>
      <c r="BS71" s="821"/>
      <c r="BT71" s="821"/>
      <c r="BU71" s="821"/>
      <c r="BV71" s="818"/>
      <c r="BW71" s="822"/>
      <c r="BX71" s="822"/>
      <c r="BY71" s="822"/>
      <c r="BZ71" s="822"/>
      <c r="CA71" s="822"/>
      <c r="CB71" s="819"/>
      <c r="CC71" s="822"/>
      <c r="CD71" s="822"/>
      <c r="CE71" s="822"/>
      <c r="CF71" s="822"/>
      <c r="CG71" s="822"/>
      <c r="CH71" s="285"/>
      <c r="CI71" s="288"/>
      <c r="CJ71" s="288"/>
    </row>
    <row r="72" spans="1:88" ht="15" customHeight="1">
      <c r="E72" s="983"/>
      <c r="F72" s="983"/>
      <c r="G72" s="1006"/>
      <c r="H72" s="1006"/>
      <c r="I72" s="1006"/>
      <c r="J72" s="1006"/>
      <c r="K72" s="1006"/>
      <c r="L72" s="1006"/>
      <c r="M72" s="1006"/>
      <c r="N72" s="1006"/>
      <c r="O72" s="1006"/>
      <c r="P72" s="1006"/>
      <c r="Q72" s="1006"/>
      <c r="R72" s="1006"/>
      <c r="S72" s="1006"/>
      <c r="T72" s="1006"/>
      <c r="U72" s="1006"/>
      <c r="V72" s="1006"/>
      <c r="W72" s="1006"/>
      <c r="X72" s="1006"/>
      <c r="Y72" s="1006"/>
      <c r="Z72" s="1006"/>
      <c r="AA72" s="1006"/>
      <c r="AB72" s="1006"/>
      <c r="AC72" s="1006"/>
      <c r="AD72" s="1006"/>
      <c r="AE72" s="1006"/>
      <c r="AF72" s="1006"/>
      <c r="AG72" s="1006"/>
      <c r="AH72" s="1006"/>
      <c r="AI72" s="1006"/>
      <c r="AJ72" s="1006"/>
      <c r="AK72" s="973"/>
      <c r="AL72" s="973"/>
      <c r="AM72" s="973"/>
      <c r="AN72" s="355"/>
      <c r="AO72" s="432" t="str">
        <f>IF(LEN(VLOOKUP(AK70,suvaha!$D$92:$H$158,2,FALSE))&lt;11,"",LEFT(RIGHT(VLOOKUP(AK70,suvaha!$D$92:$H$158,2,FALSE),11),1))</f>
        <v/>
      </c>
      <c r="AP72" s="255"/>
      <c r="AQ72" s="432" t="str">
        <f>IF(LEN(VLOOKUP(AK70,suvaha!$D$92:$H$158,2,FALSE))&lt;10,"",LEFT(RIGHT(VLOOKUP(AK70,suvaha!$D$92:$H$158,2,FALSE),10),1))</f>
        <v/>
      </c>
      <c r="AR72" s="434"/>
      <c r="AS72" s="432" t="str">
        <f>IF(LEN(VLOOKUP(AK70,suvaha!$D$92:$H$158,2,FALSE))&lt;9,"",LEFT(RIGHT(VLOOKUP(AK70,suvaha!$D$92:$H$158,2,FALSE),9),1))</f>
        <v/>
      </c>
      <c r="AT72" s="255"/>
      <c r="AU72" s="432" t="str">
        <f>IF(LEN(VLOOKUP(AK70,suvaha!$D$92:$H$158,2,FALSE))&lt;8,"",LEFT(RIGHT(VLOOKUP(AK70,suvaha!$D$92:$H$158,2,FALSE),8),1))</f>
        <v/>
      </c>
      <c r="AV72" s="434"/>
      <c r="AW72" s="432" t="str">
        <f>IF(LEN(VLOOKUP(AK70,suvaha!$D$92:$H$158,2,FALSE))&lt;7,"",LEFT(RIGHT(VLOOKUP(AK70,suvaha!$D$92:$H$158,2,FALSE),7),1))</f>
        <v/>
      </c>
      <c r="AX72" s="440"/>
      <c r="AY72" s="432" t="str">
        <f>IF(LEN(VLOOKUP(AK70,suvaha!$D$92:$H$158,2,FALSE))&lt;6,"",LEFT(RIGHT(VLOOKUP(AK70,suvaha!$D$92:$H$158,2,FALSE),6),1))</f>
        <v/>
      </c>
      <c r="AZ72" s="255"/>
      <c r="BA72" s="961" t="str">
        <f>IF(LEN(VLOOKUP(AK70,suvaha!$D$92:$H$158,2,FALSE))&lt;5,"",LEFT(RIGHT(VLOOKUP(AK70,suvaha!$D$92:$H$158,2,FALSE),5),1))</f>
        <v/>
      </c>
      <c r="BB72" s="961" t="e">
        <f>IF(LEN(#REF!)&lt;5,"",LEFT(RIGHT(#REF!,5),1))</f>
        <v>#REF!</v>
      </c>
      <c r="BC72" s="434"/>
      <c r="BD72" s="432" t="str">
        <f>IF(LEN(VLOOKUP(AK70,suvaha!$D$92:$H$158,2,FALSE))&lt;4,"",LEFT(RIGHT(VLOOKUP(AK70,suvaha!$D$92:$H$158,2,FALSE),4),1))</f>
        <v/>
      </c>
      <c r="BE72" s="434"/>
      <c r="BF72" s="432" t="str">
        <f>IF(LEN(VLOOKUP(AK70,suvaha!$D$92:$H$158,2,FALSE))&lt;3,"",LEFT(RIGHT(VLOOKUP(AK70,suvaha!$D$92:$H$158,2,FALSE),3),1))</f>
        <v/>
      </c>
      <c r="BG72" s="434"/>
      <c r="BH72" s="432" t="str">
        <f>IF(LEN(VLOOKUP(AK70,suvaha!$D$92:$H$158,2,FALSE))&lt;2,"",LEFT(RIGHT(VLOOKUP(AK70,suvaha!$D$92:$H$158,2,FALSE),2),1))</f>
        <v/>
      </c>
      <c r="BI72" s="434"/>
      <c r="BJ72" s="432" t="str">
        <f>IF(VLOOKUP(AK70,suvaha!$D$92:$H$158,2,FALSE)=0,"",IF(LEN(VLOOKUP(AK70,suvaha!$D$92:$H$158,2,FALSE))&lt;1,"",LEFT(RIGHT(VLOOKUP(AK70,suvaha!$D$92:$H$158,2,FALSE),1),1)))</f>
        <v/>
      </c>
      <c r="BK72" s="851"/>
      <c r="BL72" s="826"/>
      <c r="BM72" s="432" t="str">
        <f>IF(LEN(VLOOKUP(AK70,suvaha!$D$92:$H$158,4,FALSE))&lt;11,"",LEFT(RIGHT(VLOOKUP(AK70,suvaha!$D$92:$H$158,4,FALSE),11),1))</f>
        <v/>
      </c>
      <c r="BN72" s="255"/>
      <c r="BO72" s="432" t="str">
        <f>IF(LEN(VLOOKUP(AK70,suvaha!$D$92:$H$158,4,FALSE))&lt;10,"",LEFT(RIGHT(VLOOKUP(AK70,suvaha!$D$92:$H$158,4,FALSE),10),1))</f>
        <v/>
      </c>
      <c r="BP72" s="434"/>
      <c r="BQ72" s="432" t="str">
        <f>IF(LEN(VLOOKUP(AK70,suvaha!$D$92:$H$158,4,FALSE))&lt;9,"",LEFT(RIGHT(VLOOKUP(AK70,suvaha!$D$92:$H$158,4,FALSE),9),1))</f>
        <v/>
      </c>
      <c r="BR72" s="255"/>
      <c r="BS72" s="432" t="str">
        <f>IF(LEN(VLOOKUP(AK70,suvaha!$D$92:$H$158,4,FALSE))&lt;8,"",LEFT(RIGHT(VLOOKUP(AK70,suvaha!$D$92:$H$158,4,FALSE),8),1))</f>
        <v/>
      </c>
      <c r="BT72" s="434"/>
      <c r="BU72" s="432" t="str">
        <f>IF(LEN(VLOOKUP(AK70,suvaha!$D$92:$H$158,4,FALSE))&lt;7,"",LEFT(RIGHT(VLOOKUP(AK70,suvaha!$D$92:$H$158,4,FALSE),7),1))</f>
        <v/>
      </c>
      <c r="BV72" s="818"/>
      <c r="BW72" s="432" t="str">
        <f>IF(LEN(VLOOKUP(AK70,suvaha!$D$92:$H$158,4,FALSE))&lt;6,"",LEFT(RIGHT(VLOOKUP(AK70,suvaha!$D$92:$H$158,4,FALSE),6),1))</f>
        <v/>
      </c>
      <c r="BX72" s="434"/>
      <c r="BY72" s="432" t="str">
        <f>IF(LEN(VLOOKUP(AK70,suvaha!$D$92:$H$158,4,FALSE))&lt;5,"",LEFT(RIGHT(VLOOKUP(AK70,suvaha!$D$92:$H$158,4,FALSE),5),1))</f>
        <v/>
      </c>
      <c r="BZ72" s="434"/>
      <c r="CA72" s="432" t="str">
        <f>IF(LEN(VLOOKUP(AK70,suvaha!$D$92:$H$158,4,FALSE))&lt;4,"",LEFT(RIGHT(VLOOKUP(AK70,suvaha!$D$92:$H$158,4,FALSE),4),1))</f>
        <v/>
      </c>
      <c r="CB72" s="819"/>
      <c r="CC72" s="432" t="str">
        <f>IF(LEN(VLOOKUP(AK70,suvaha!$D$92:$H$158,4,FALSE))&lt;3,"",LEFT(RIGHT(VLOOKUP(AK70,suvaha!$D$92:$H$158,4,FALSE),3),1))</f>
        <v/>
      </c>
      <c r="CD72" s="434"/>
      <c r="CE72" s="432" t="str">
        <f>IF(LEN(VLOOKUP(AK70,suvaha!$D$92:$H$158,4,FALSE))&lt;2,"",LEFT(RIGHT(VLOOKUP(AK70,suvaha!$D$92:$H$158,4,FALSE),2),1))</f>
        <v/>
      </c>
      <c r="CF72" s="434"/>
      <c r="CG72" s="432" t="str">
        <f>IF(VLOOKUP(AK70,suvaha!$D$92:$H$158,4,FALSE)=0,"",IF(LEN(VLOOKUP(AK70,suvaha!$D$92:$H$158,4,FALSE))&lt;1,"",LEFT(RIGHT(VLOOKUP(AK70,suvaha!$D$92:$H$158,4,FALSE),1),1)))</f>
        <v/>
      </c>
      <c r="CH72" s="285"/>
      <c r="CI72" s="220"/>
      <c r="CJ72" s="220"/>
    </row>
    <row r="73" spans="1:88">
      <c r="E73" s="983"/>
      <c r="F73" s="983"/>
      <c r="G73" s="1006"/>
      <c r="H73" s="1006"/>
      <c r="I73" s="1006"/>
      <c r="J73" s="1006"/>
      <c r="K73" s="1006"/>
      <c r="L73" s="1006"/>
      <c r="M73" s="1006"/>
      <c r="N73" s="1006"/>
      <c r="O73" s="1006"/>
      <c r="P73" s="1006"/>
      <c r="Q73" s="1006"/>
      <c r="R73" s="1006"/>
      <c r="S73" s="1006"/>
      <c r="T73" s="1006"/>
      <c r="U73" s="1006"/>
      <c r="V73" s="1006"/>
      <c r="W73" s="1006"/>
      <c r="X73" s="1006"/>
      <c r="Y73" s="1006"/>
      <c r="Z73" s="1006"/>
      <c r="AA73" s="1006"/>
      <c r="AB73" s="1006"/>
      <c r="AC73" s="1006"/>
      <c r="AD73" s="1006"/>
      <c r="AE73" s="1006"/>
      <c r="AF73" s="1006"/>
      <c r="AG73" s="1006"/>
      <c r="AH73" s="1006"/>
      <c r="AI73" s="1006"/>
      <c r="AJ73" s="1006"/>
      <c r="AK73" s="973"/>
      <c r="AL73" s="973"/>
      <c r="AM73" s="973"/>
      <c r="AN73" s="358"/>
      <c r="AO73" s="365"/>
      <c r="AP73" s="365"/>
      <c r="AQ73" s="365"/>
      <c r="AR73" s="365"/>
      <c r="AS73" s="365"/>
      <c r="AT73" s="365"/>
      <c r="AU73" s="365"/>
      <c r="AV73" s="365"/>
      <c r="AW73" s="365"/>
      <c r="AX73" s="365"/>
      <c r="AY73" s="365"/>
      <c r="AZ73" s="365"/>
      <c r="BA73" s="365"/>
      <c r="BB73" s="365"/>
      <c r="BC73" s="365"/>
      <c r="BD73" s="365"/>
      <c r="BE73" s="310"/>
      <c r="BF73" s="310"/>
      <c r="BG73" s="310"/>
      <c r="BH73" s="310"/>
      <c r="BI73" s="310"/>
      <c r="BJ73" s="310"/>
      <c r="BK73" s="310"/>
      <c r="BL73" s="846"/>
      <c r="BM73" s="846"/>
      <c r="BN73" s="846"/>
      <c r="BO73" s="846"/>
      <c r="BP73" s="846"/>
      <c r="BQ73" s="846"/>
      <c r="BR73" s="846"/>
      <c r="BS73" s="846"/>
      <c r="BT73" s="846"/>
      <c r="BU73" s="846"/>
      <c r="BV73" s="846"/>
      <c r="BW73" s="846"/>
      <c r="BX73" s="846"/>
      <c r="BY73" s="846"/>
      <c r="BZ73" s="846"/>
      <c r="CA73" s="846"/>
      <c r="CB73" s="846"/>
      <c r="CC73" s="310"/>
      <c r="CD73" s="310"/>
      <c r="CE73" s="310"/>
      <c r="CF73" s="310"/>
      <c r="CG73" s="310"/>
      <c r="CH73" s="286"/>
      <c r="CI73" s="220"/>
      <c r="CJ73" s="220"/>
    </row>
    <row r="74" spans="1:88" s="250" customFormat="1" ht="3" customHeight="1">
      <c r="A74" s="220"/>
      <c r="B74" s="220"/>
      <c r="C74" s="224"/>
      <c r="D74" s="224"/>
      <c r="E74" s="983" t="s">
        <v>1600</v>
      </c>
      <c r="F74" s="983"/>
      <c r="G74" s="972" t="str">
        <f>Index!C157</f>
        <v>Ostatné záväzky z obchodného styku (321A, 475A, 476A)</v>
      </c>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2"/>
      <c r="AK74" s="973" t="s">
        <v>614</v>
      </c>
      <c r="AL74" s="973"/>
      <c r="AM74" s="973"/>
      <c r="AN74" s="357"/>
      <c r="AO74" s="366"/>
      <c r="AP74" s="366"/>
      <c r="AQ74" s="366"/>
      <c r="AR74" s="366"/>
      <c r="AS74" s="366"/>
      <c r="AT74" s="366"/>
      <c r="AU74" s="366"/>
      <c r="AV74" s="366"/>
      <c r="AW74" s="366"/>
      <c r="AX74" s="366"/>
      <c r="AY74" s="366"/>
      <c r="AZ74" s="366"/>
      <c r="BA74" s="366"/>
      <c r="BB74" s="366"/>
      <c r="BC74" s="366"/>
      <c r="BD74" s="366"/>
      <c r="BE74" s="304"/>
      <c r="BF74" s="304"/>
      <c r="BG74" s="304"/>
      <c r="BH74" s="304"/>
      <c r="BI74" s="304"/>
      <c r="BJ74" s="304"/>
      <c r="BK74" s="304"/>
      <c r="BL74" s="867"/>
      <c r="BM74" s="867"/>
      <c r="BN74" s="867"/>
      <c r="BO74" s="867"/>
      <c r="BP74" s="867"/>
      <c r="BQ74" s="867"/>
      <c r="BR74" s="867"/>
      <c r="BS74" s="867"/>
      <c r="BT74" s="867"/>
      <c r="BU74" s="867"/>
      <c r="BV74" s="867"/>
      <c r="BW74" s="867"/>
      <c r="BX74" s="867"/>
      <c r="BY74" s="867"/>
      <c r="BZ74" s="867"/>
      <c r="CA74" s="867"/>
      <c r="CB74" s="867"/>
      <c r="CC74" s="304"/>
      <c r="CD74" s="304"/>
      <c r="CE74" s="304"/>
      <c r="CF74" s="304"/>
      <c r="CG74" s="304"/>
      <c r="CH74" s="284"/>
      <c r="CI74" s="288"/>
      <c r="CJ74" s="288"/>
    </row>
    <row r="75" spans="1:88" s="250" customFormat="1" ht="3" customHeight="1">
      <c r="A75" s="220"/>
      <c r="B75" s="220"/>
      <c r="C75" s="220"/>
      <c r="D75" s="220"/>
      <c r="E75" s="983"/>
      <c r="F75" s="983"/>
      <c r="G75" s="972"/>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3"/>
      <c r="AL75" s="973"/>
      <c r="AM75" s="973"/>
      <c r="AN75" s="355"/>
      <c r="AO75" s="436"/>
      <c r="AP75" s="436"/>
      <c r="AQ75" s="436"/>
      <c r="AR75" s="435"/>
      <c r="AS75" s="439"/>
      <c r="AT75" s="439"/>
      <c r="AU75" s="439"/>
      <c r="AV75" s="439"/>
      <c r="AW75" s="439"/>
      <c r="AX75" s="440"/>
      <c r="AY75" s="821"/>
      <c r="AZ75" s="821"/>
      <c r="BA75" s="821"/>
      <c r="BB75" s="821"/>
      <c r="BC75" s="821"/>
      <c r="BD75" s="821"/>
      <c r="BE75" s="434"/>
      <c r="BF75" s="968"/>
      <c r="BG75" s="968"/>
      <c r="BH75" s="968"/>
      <c r="BI75" s="968"/>
      <c r="BJ75" s="968"/>
      <c r="BK75" s="851"/>
      <c r="BL75" s="826"/>
      <c r="BM75" s="820"/>
      <c r="BN75" s="820"/>
      <c r="BO75" s="820"/>
      <c r="BP75" s="435"/>
      <c r="BQ75" s="821"/>
      <c r="BR75" s="821"/>
      <c r="BS75" s="821"/>
      <c r="BT75" s="821"/>
      <c r="BU75" s="821"/>
      <c r="BV75" s="818"/>
      <c r="BW75" s="822"/>
      <c r="BX75" s="822"/>
      <c r="BY75" s="822"/>
      <c r="BZ75" s="822"/>
      <c r="CA75" s="822"/>
      <c r="CB75" s="819"/>
      <c r="CC75" s="822"/>
      <c r="CD75" s="822"/>
      <c r="CE75" s="822"/>
      <c r="CF75" s="822"/>
      <c r="CG75" s="822"/>
      <c r="CH75" s="285"/>
      <c r="CI75" s="288"/>
      <c r="CJ75" s="288"/>
    </row>
    <row r="76" spans="1:88" ht="15" customHeight="1">
      <c r="E76" s="983"/>
      <c r="F76" s="983"/>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3"/>
      <c r="AL76" s="973"/>
      <c r="AM76" s="973"/>
      <c r="AN76" s="355"/>
      <c r="AO76" s="432" t="str">
        <f>IF(LEN(VLOOKUP(AK74,suvaha!$D$92:$H$158,2,FALSE))&lt;11,"",LEFT(RIGHT(VLOOKUP(AK74,suvaha!$D$92:$H$158,2,FALSE),11),1))</f>
        <v/>
      </c>
      <c r="AP76" s="255"/>
      <c r="AQ76" s="432" t="str">
        <f>IF(LEN(VLOOKUP(AK74,suvaha!$D$92:$H$158,2,FALSE))&lt;10,"",LEFT(RIGHT(VLOOKUP(AK74,suvaha!$D$92:$H$158,2,FALSE),10),1))</f>
        <v/>
      </c>
      <c r="AR76" s="434"/>
      <c r="AS76" s="432" t="str">
        <f>IF(LEN(VLOOKUP(AK74,suvaha!$D$92:$H$158,2,FALSE))&lt;9,"",LEFT(RIGHT(VLOOKUP(AK74,suvaha!$D$92:$H$158,2,FALSE),9),1))</f>
        <v/>
      </c>
      <c r="AT76" s="255"/>
      <c r="AU76" s="432" t="str">
        <f>IF(LEN(VLOOKUP(AK74,suvaha!$D$92:$H$158,2,FALSE))&lt;8,"",LEFT(RIGHT(VLOOKUP(AK74,suvaha!$D$92:$H$158,2,FALSE),8),1))</f>
        <v/>
      </c>
      <c r="AV76" s="434"/>
      <c r="AW76" s="432" t="str">
        <f>IF(LEN(VLOOKUP(AK74,suvaha!$D$92:$H$158,2,FALSE))&lt;7,"",LEFT(RIGHT(VLOOKUP(AK74,suvaha!$D$92:$H$158,2,FALSE),7),1))</f>
        <v/>
      </c>
      <c r="AX76" s="440"/>
      <c r="AY76" s="432" t="str">
        <f>IF(LEN(VLOOKUP(AK74,suvaha!$D$92:$H$158,2,FALSE))&lt;6,"",LEFT(RIGHT(VLOOKUP(AK74,suvaha!$D$92:$H$158,2,FALSE),6),1))</f>
        <v/>
      </c>
      <c r="AZ76" s="255"/>
      <c r="BA76" s="961" t="str">
        <f>IF(LEN(VLOOKUP(AK74,suvaha!$D$92:$H$158,2,FALSE))&lt;5,"",LEFT(RIGHT(VLOOKUP(AK74,suvaha!$D$92:$H$158,2,FALSE),5),1))</f>
        <v/>
      </c>
      <c r="BB76" s="961" t="e">
        <f>IF(LEN(#REF!)&lt;5,"",LEFT(RIGHT(#REF!,5),1))</f>
        <v>#REF!</v>
      </c>
      <c r="BC76" s="434"/>
      <c r="BD76" s="432" t="str">
        <f>IF(LEN(VLOOKUP(AK74,suvaha!$D$92:$H$158,2,FALSE))&lt;4,"",LEFT(RIGHT(VLOOKUP(AK74,suvaha!$D$92:$H$158,2,FALSE),4),1))</f>
        <v/>
      </c>
      <c r="BE76" s="434"/>
      <c r="BF76" s="432" t="str">
        <f>IF(LEN(VLOOKUP(AK74,suvaha!$D$92:$H$158,2,FALSE))&lt;3,"",LEFT(RIGHT(VLOOKUP(AK74,suvaha!$D$92:$H$158,2,FALSE),3),1))</f>
        <v/>
      </c>
      <c r="BG76" s="434"/>
      <c r="BH76" s="432" t="str">
        <f>IF(LEN(VLOOKUP(AK74,suvaha!$D$92:$H$158,2,FALSE))&lt;2,"",LEFT(RIGHT(VLOOKUP(AK74,suvaha!$D$92:$H$158,2,FALSE),2),1))</f>
        <v/>
      </c>
      <c r="BI76" s="434"/>
      <c r="BJ76" s="432" t="str">
        <f>IF(VLOOKUP(AK74,suvaha!$D$92:$H$158,2,FALSE)=0,"",IF(LEN(VLOOKUP(AK74,suvaha!$D$92:$H$158,2,FALSE))&lt;1,"",LEFT(RIGHT(VLOOKUP(AK74,suvaha!$D$92:$H$158,2,FALSE),1),1)))</f>
        <v/>
      </c>
      <c r="BK76" s="851"/>
      <c r="BL76" s="826"/>
      <c r="BM76" s="432" t="str">
        <f>IF(LEN(VLOOKUP(AK74,suvaha!$D$92:$H$158,4,FALSE))&lt;11,"",LEFT(RIGHT(VLOOKUP(AK74,suvaha!$D$92:$H$158,4,FALSE),11),1))</f>
        <v/>
      </c>
      <c r="BN76" s="255"/>
      <c r="BO76" s="432" t="str">
        <f>IF(LEN(VLOOKUP(AK74,suvaha!$D$92:$H$158,4,FALSE))&lt;10,"",LEFT(RIGHT(VLOOKUP(AK74,suvaha!$D$92:$H$158,4,FALSE),10),1))</f>
        <v/>
      </c>
      <c r="BP76" s="434"/>
      <c r="BQ76" s="432" t="str">
        <f>IF(LEN(VLOOKUP(AK74,suvaha!$D$92:$H$158,4,FALSE))&lt;9,"",LEFT(RIGHT(VLOOKUP(AK74,suvaha!$D$92:$H$158,4,FALSE),9),1))</f>
        <v/>
      </c>
      <c r="BR76" s="255"/>
      <c r="BS76" s="432" t="str">
        <f>IF(LEN(VLOOKUP(AK74,suvaha!$D$92:$H$158,4,FALSE))&lt;8,"",LEFT(RIGHT(VLOOKUP(AK74,suvaha!$D$92:$H$158,4,FALSE),8),1))</f>
        <v/>
      </c>
      <c r="BT76" s="434"/>
      <c r="BU76" s="432" t="str">
        <f>IF(LEN(VLOOKUP(AK74,suvaha!$D$92:$H$158,4,FALSE))&lt;7,"",LEFT(RIGHT(VLOOKUP(AK74,suvaha!$D$92:$H$158,4,FALSE),7),1))</f>
        <v/>
      </c>
      <c r="BV76" s="818"/>
      <c r="BW76" s="432" t="str">
        <f>IF(LEN(VLOOKUP(AK74,suvaha!$D$92:$H$158,4,FALSE))&lt;6,"",LEFT(RIGHT(VLOOKUP(AK74,suvaha!$D$92:$H$158,4,FALSE),6),1))</f>
        <v/>
      </c>
      <c r="BX76" s="434"/>
      <c r="BY76" s="432" t="str">
        <f>IF(LEN(VLOOKUP(AK74,suvaha!$D$92:$H$158,4,FALSE))&lt;5,"",LEFT(RIGHT(VLOOKUP(AK74,suvaha!$D$92:$H$158,4,FALSE),5),1))</f>
        <v/>
      </c>
      <c r="BZ76" s="434"/>
      <c r="CA76" s="432" t="str">
        <f>IF(LEN(VLOOKUP(AK74,suvaha!$D$92:$H$158,4,FALSE))&lt;4,"",LEFT(RIGHT(VLOOKUP(AK74,suvaha!$D$92:$H$158,4,FALSE),4),1))</f>
        <v/>
      </c>
      <c r="CB76" s="819"/>
      <c r="CC76" s="432" t="str">
        <f>IF(LEN(VLOOKUP(AK74,suvaha!$D$92:$H$158,4,FALSE))&lt;3,"",LEFT(RIGHT(VLOOKUP(AK74,suvaha!$D$92:$H$158,4,FALSE),3),1))</f>
        <v/>
      </c>
      <c r="CD76" s="434"/>
      <c r="CE76" s="432" t="str">
        <f>IF(LEN(VLOOKUP(AK74,suvaha!$D$92:$H$158,4,FALSE))&lt;2,"",LEFT(RIGHT(VLOOKUP(AK74,suvaha!$D$92:$H$158,4,FALSE),2),1))</f>
        <v/>
      </c>
      <c r="CF76" s="434"/>
      <c r="CG76" s="432" t="str">
        <f>IF(VLOOKUP(AK74,suvaha!$D$92:$H$158,4,FALSE)=0,"",IF(LEN(VLOOKUP(AK74,suvaha!$D$92:$H$158,4,FALSE))&lt;1,"",LEFT(RIGHT(VLOOKUP(AK74,suvaha!$D$92:$H$158,4,FALSE),1),1)))</f>
        <v/>
      </c>
      <c r="CH76" s="285"/>
      <c r="CI76" s="220"/>
      <c r="CJ76" s="220"/>
    </row>
    <row r="77" spans="1:88" ht="3" customHeight="1">
      <c r="E77" s="983"/>
      <c r="F77" s="983"/>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3"/>
      <c r="AL77" s="973"/>
      <c r="AM77" s="973"/>
      <c r="AN77" s="358"/>
      <c r="AO77" s="365"/>
      <c r="AP77" s="365"/>
      <c r="AQ77" s="365"/>
      <c r="AR77" s="365"/>
      <c r="AS77" s="365"/>
      <c r="AT77" s="365"/>
      <c r="AU77" s="365"/>
      <c r="AV77" s="365"/>
      <c r="AW77" s="365"/>
      <c r="AX77" s="365"/>
      <c r="AY77" s="365"/>
      <c r="AZ77" s="365"/>
      <c r="BA77" s="365"/>
      <c r="BB77" s="365"/>
      <c r="BC77" s="365"/>
      <c r="BD77" s="365"/>
      <c r="BE77" s="310"/>
      <c r="BF77" s="310"/>
      <c r="BG77" s="310"/>
      <c r="BH77" s="310"/>
      <c r="BI77" s="310"/>
      <c r="BJ77" s="310"/>
      <c r="BK77" s="310"/>
      <c r="BL77" s="846"/>
      <c r="BM77" s="846"/>
      <c r="BN77" s="846"/>
      <c r="BO77" s="846"/>
      <c r="BP77" s="846"/>
      <c r="BQ77" s="846"/>
      <c r="BR77" s="846"/>
      <c r="BS77" s="846"/>
      <c r="BT77" s="846"/>
      <c r="BU77" s="846"/>
      <c r="BV77" s="846"/>
      <c r="BW77" s="846"/>
      <c r="BX77" s="846"/>
      <c r="BY77" s="846"/>
      <c r="BZ77" s="846"/>
      <c r="CA77" s="846"/>
      <c r="CB77" s="846"/>
      <c r="CC77" s="310"/>
      <c r="CD77" s="310"/>
      <c r="CE77" s="310"/>
      <c r="CF77" s="310"/>
      <c r="CG77" s="310"/>
      <c r="CH77" s="286"/>
      <c r="CI77" s="220"/>
      <c r="CJ77" s="220"/>
    </row>
    <row r="78" spans="1:88" s="250" customFormat="1" ht="3" customHeight="1">
      <c r="A78" s="220"/>
      <c r="B78" s="220"/>
      <c r="C78" s="224"/>
      <c r="D78" s="224"/>
      <c r="E78" s="983" t="s">
        <v>1542</v>
      </c>
      <c r="F78" s="983"/>
      <c r="G78" s="972" t="str">
        <f>Index!C158</f>
        <v>Čistá hodnota zákazky (316A)</v>
      </c>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3" t="s">
        <v>615</v>
      </c>
      <c r="AL78" s="973"/>
      <c r="AM78" s="973"/>
      <c r="AN78" s="357"/>
      <c r="AO78" s="366"/>
      <c r="AP78" s="366"/>
      <c r="AQ78" s="366"/>
      <c r="AR78" s="366"/>
      <c r="AS78" s="366"/>
      <c r="AT78" s="366"/>
      <c r="AU78" s="366"/>
      <c r="AV78" s="366"/>
      <c r="AW78" s="366"/>
      <c r="AX78" s="366"/>
      <c r="AY78" s="366"/>
      <c r="AZ78" s="366"/>
      <c r="BA78" s="366"/>
      <c r="BB78" s="366"/>
      <c r="BC78" s="366"/>
      <c r="BD78" s="366"/>
      <c r="BE78" s="304"/>
      <c r="BF78" s="304"/>
      <c r="BG78" s="304"/>
      <c r="BH78" s="304"/>
      <c r="BI78" s="304"/>
      <c r="BJ78" s="304"/>
      <c r="BK78" s="304"/>
      <c r="BL78" s="867"/>
      <c r="BM78" s="867"/>
      <c r="BN78" s="867"/>
      <c r="BO78" s="867"/>
      <c r="BP78" s="867"/>
      <c r="BQ78" s="867"/>
      <c r="BR78" s="867"/>
      <c r="BS78" s="867"/>
      <c r="BT78" s="867"/>
      <c r="BU78" s="867"/>
      <c r="BV78" s="867"/>
      <c r="BW78" s="867"/>
      <c r="BX78" s="867"/>
      <c r="BY78" s="867"/>
      <c r="BZ78" s="867"/>
      <c r="CA78" s="867"/>
      <c r="CB78" s="867"/>
      <c r="CC78" s="304"/>
      <c r="CD78" s="304"/>
      <c r="CE78" s="304"/>
      <c r="CF78" s="304"/>
      <c r="CG78" s="304"/>
      <c r="CH78" s="284"/>
      <c r="CI78" s="288"/>
      <c r="CJ78" s="288"/>
    </row>
    <row r="79" spans="1:88" s="250" customFormat="1" ht="3" customHeight="1">
      <c r="A79" s="220"/>
      <c r="B79" s="220"/>
      <c r="C79" s="220"/>
      <c r="D79" s="220"/>
      <c r="E79" s="983"/>
      <c r="F79" s="983"/>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3"/>
      <c r="AL79" s="973"/>
      <c r="AM79" s="973"/>
      <c r="AN79" s="355"/>
      <c r="AO79" s="436"/>
      <c r="AP79" s="436"/>
      <c r="AQ79" s="436"/>
      <c r="AR79" s="435"/>
      <c r="AS79" s="439"/>
      <c r="AT79" s="439"/>
      <c r="AU79" s="439"/>
      <c r="AV79" s="439"/>
      <c r="AW79" s="439"/>
      <c r="AX79" s="440"/>
      <c r="AY79" s="821"/>
      <c r="AZ79" s="821"/>
      <c r="BA79" s="821"/>
      <c r="BB79" s="821"/>
      <c r="BC79" s="821"/>
      <c r="BD79" s="821"/>
      <c r="BE79" s="434"/>
      <c r="BF79" s="968"/>
      <c r="BG79" s="968"/>
      <c r="BH79" s="968"/>
      <c r="BI79" s="968"/>
      <c r="BJ79" s="968"/>
      <c r="BK79" s="851"/>
      <c r="BL79" s="826"/>
      <c r="BM79" s="820"/>
      <c r="BN79" s="820"/>
      <c r="BO79" s="820"/>
      <c r="BP79" s="435"/>
      <c r="BQ79" s="821"/>
      <c r="BR79" s="821"/>
      <c r="BS79" s="821"/>
      <c r="BT79" s="821"/>
      <c r="BU79" s="821"/>
      <c r="BV79" s="818"/>
      <c r="BW79" s="822"/>
      <c r="BX79" s="822"/>
      <c r="BY79" s="822"/>
      <c r="BZ79" s="822"/>
      <c r="CA79" s="822"/>
      <c r="CB79" s="819"/>
      <c r="CC79" s="822"/>
      <c r="CD79" s="822"/>
      <c r="CE79" s="822"/>
      <c r="CF79" s="822"/>
      <c r="CG79" s="822"/>
      <c r="CH79" s="285"/>
      <c r="CI79" s="288"/>
      <c r="CJ79" s="288"/>
    </row>
    <row r="80" spans="1:88" ht="15" customHeight="1">
      <c r="E80" s="983"/>
      <c r="F80" s="983"/>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3"/>
      <c r="AL80" s="973"/>
      <c r="AM80" s="973"/>
      <c r="AN80" s="355"/>
      <c r="AO80" s="432" t="str">
        <f>IF(LEN(VLOOKUP(AK78,suvaha!$D$92:$H$158,2,FALSE))&lt;11,"",LEFT(RIGHT(VLOOKUP(AK78,suvaha!$D$92:$H$158,2,FALSE),11),1))</f>
        <v/>
      </c>
      <c r="AP80" s="255"/>
      <c r="AQ80" s="432" t="str">
        <f>IF(LEN(VLOOKUP(AK78,suvaha!$D$92:$H$158,2,FALSE))&lt;10,"",LEFT(RIGHT(VLOOKUP(AK78,suvaha!$D$92:$H$158,2,FALSE),10),1))</f>
        <v/>
      </c>
      <c r="AR80" s="434"/>
      <c r="AS80" s="432" t="str">
        <f>IF(LEN(VLOOKUP(AK78,suvaha!$D$92:$H$158,2,FALSE))&lt;9,"",LEFT(RIGHT(VLOOKUP(AK78,suvaha!$D$92:$H$158,2,FALSE),9),1))</f>
        <v/>
      </c>
      <c r="AT80" s="255"/>
      <c r="AU80" s="432" t="str">
        <f>IF(LEN(VLOOKUP(AK78,suvaha!$D$92:$H$158,2,FALSE))&lt;8,"",LEFT(RIGHT(VLOOKUP(AK78,suvaha!$D$92:$H$158,2,FALSE),8),1))</f>
        <v/>
      </c>
      <c r="AV80" s="434"/>
      <c r="AW80" s="432" t="str">
        <f>IF(LEN(VLOOKUP(AK78,suvaha!$D$92:$H$158,2,FALSE))&lt;7,"",LEFT(RIGHT(VLOOKUP(AK78,suvaha!$D$92:$H$158,2,FALSE),7),1))</f>
        <v/>
      </c>
      <c r="AX80" s="440"/>
      <c r="AY80" s="432" t="str">
        <f>IF(LEN(VLOOKUP(AK78,suvaha!$D$92:$H$158,2,FALSE))&lt;6,"",LEFT(RIGHT(VLOOKUP(AK78,suvaha!$D$92:$H$158,2,FALSE),6),1))</f>
        <v/>
      </c>
      <c r="AZ80" s="255"/>
      <c r="BA80" s="961" t="str">
        <f>IF(LEN(VLOOKUP(AK78,suvaha!$D$92:$H$158,2,FALSE))&lt;5,"",LEFT(RIGHT(VLOOKUP(AK78,suvaha!$D$92:$H$158,2,FALSE),5),1))</f>
        <v/>
      </c>
      <c r="BB80" s="961" t="e">
        <f>IF(LEN(#REF!)&lt;5,"",LEFT(RIGHT(#REF!,5),1))</f>
        <v>#REF!</v>
      </c>
      <c r="BC80" s="434"/>
      <c r="BD80" s="432" t="str">
        <f>IF(LEN(VLOOKUP(AK78,suvaha!$D$92:$H$158,2,FALSE))&lt;4,"",LEFT(RIGHT(VLOOKUP(AK78,suvaha!$D$92:$H$158,2,FALSE),4),1))</f>
        <v/>
      </c>
      <c r="BE80" s="434"/>
      <c r="BF80" s="432" t="str">
        <f>IF(LEN(VLOOKUP(AK78,suvaha!$D$92:$H$158,2,FALSE))&lt;3,"",LEFT(RIGHT(VLOOKUP(AK78,suvaha!$D$92:$H$158,2,FALSE),3),1))</f>
        <v/>
      </c>
      <c r="BG80" s="434"/>
      <c r="BH80" s="432" t="str">
        <f>IF(LEN(VLOOKUP(AK78,suvaha!$D$92:$H$158,2,FALSE))&lt;2,"",LEFT(RIGHT(VLOOKUP(AK78,suvaha!$D$92:$H$158,2,FALSE),2),1))</f>
        <v/>
      </c>
      <c r="BI80" s="434"/>
      <c r="BJ80" s="432" t="str">
        <f>IF(VLOOKUP(AK78,suvaha!$D$92:$H$158,2,FALSE)=0,"",IF(LEN(VLOOKUP(AK78,suvaha!$D$92:$H$158,2,FALSE))&lt;1,"",LEFT(RIGHT(VLOOKUP(AK78,suvaha!$D$92:$H$158,2,FALSE),1),1)))</f>
        <v/>
      </c>
      <c r="BK80" s="851"/>
      <c r="BL80" s="826"/>
      <c r="BM80" s="432" t="str">
        <f>IF(LEN(VLOOKUP(AK78,suvaha!$D$92:$H$158,4,FALSE))&lt;11,"",LEFT(RIGHT(VLOOKUP(AK78,suvaha!$D$92:$H$158,4,FALSE),11),1))</f>
        <v/>
      </c>
      <c r="BN80" s="255"/>
      <c r="BO80" s="432" t="str">
        <f>IF(LEN(VLOOKUP(AK78,suvaha!$D$92:$H$158,4,FALSE))&lt;10,"",LEFT(RIGHT(VLOOKUP(AK78,suvaha!$D$92:$H$158,4,FALSE),10),1))</f>
        <v/>
      </c>
      <c r="BP80" s="434"/>
      <c r="BQ80" s="432" t="str">
        <f>IF(LEN(VLOOKUP(AK78,suvaha!$D$92:$H$158,4,FALSE))&lt;9,"",LEFT(RIGHT(VLOOKUP(AK78,suvaha!$D$92:$H$158,4,FALSE),9),1))</f>
        <v/>
      </c>
      <c r="BR80" s="255"/>
      <c r="BS80" s="432" t="str">
        <f>IF(LEN(VLOOKUP(AK78,suvaha!$D$92:$H$158,4,FALSE))&lt;8,"",LEFT(RIGHT(VLOOKUP(AK78,suvaha!$D$92:$H$158,4,FALSE),8),1))</f>
        <v/>
      </c>
      <c r="BT80" s="434"/>
      <c r="BU80" s="432" t="str">
        <f>IF(LEN(VLOOKUP(AK78,suvaha!$D$92:$H$158,4,FALSE))&lt;7,"",LEFT(RIGHT(VLOOKUP(AK78,suvaha!$D$92:$H$158,4,FALSE),7),1))</f>
        <v/>
      </c>
      <c r="BV80" s="818"/>
      <c r="BW80" s="432" t="str">
        <f>IF(LEN(VLOOKUP(AK78,suvaha!$D$92:$H$158,4,FALSE))&lt;6,"",LEFT(RIGHT(VLOOKUP(AK78,suvaha!$D$92:$H$158,4,FALSE),6),1))</f>
        <v/>
      </c>
      <c r="BX80" s="434"/>
      <c r="BY80" s="432" t="str">
        <f>IF(LEN(VLOOKUP(AK78,suvaha!$D$92:$H$158,4,FALSE))&lt;5,"",LEFT(RIGHT(VLOOKUP(AK78,suvaha!$D$92:$H$158,4,FALSE),5),1))</f>
        <v/>
      </c>
      <c r="BZ80" s="434"/>
      <c r="CA80" s="432" t="str">
        <f>IF(LEN(VLOOKUP(AK78,suvaha!$D$92:$H$158,4,FALSE))&lt;4,"",LEFT(RIGHT(VLOOKUP(AK78,suvaha!$D$92:$H$158,4,FALSE),4),1))</f>
        <v/>
      </c>
      <c r="CB80" s="819"/>
      <c r="CC80" s="432" t="str">
        <f>IF(LEN(VLOOKUP(AK78,suvaha!$D$92:$H$158,4,FALSE))&lt;3,"",LEFT(RIGHT(VLOOKUP(AK78,suvaha!$D$92:$H$158,4,FALSE),3),1))</f>
        <v/>
      </c>
      <c r="CD80" s="434"/>
      <c r="CE80" s="432" t="str">
        <f>IF(LEN(VLOOKUP(AK78,suvaha!$D$92:$H$158,4,FALSE))&lt;2,"",LEFT(RIGHT(VLOOKUP(AK78,suvaha!$D$92:$H$158,4,FALSE),2),1))</f>
        <v/>
      </c>
      <c r="CF80" s="434"/>
      <c r="CG80" s="432" t="str">
        <f>IF(VLOOKUP(AK78,suvaha!$D$92:$H$158,4,FALSE)=0,"",IF(LEN(VLOOKUP(AK78,suvaha!$D$92:$H$158,4,FALSE))&lt;1,"",LEFT(RIGHT(VLOOKUP(AK78,suvaha!$D$92:$H$158,4,FALSE),1),1)))</f>
        <v/>
      </c>
      <c r="CH80" s="285"/>
      <c r="CI80" s="220"/>
      <c r="CJ80" s="220"/>
    </row>
    <row r="81" spans="1:88" ht="3" customHeight="1">
      <c r="E81" s="983"/>
      <c r="F81" s="983"/>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3"/>
      <c r="AL81" s="973"/>
      <c r="AM81" s="973"/>
      <c r="AN81" s="358"/>
      <c r="AO81" s="365"/>
      <c r="AP81" s="365"/>
      <c r="AQ81" s="365"/>
      <c r="AR81" s="365"/>
      <c r="AS81" s="365"/>
      <c r="AT81" s="365"/>
      <c r="AU81" s="365"/>
      <c r="AV81" s="365"/>
      <c r="AW81" s="365"/>
      <c r="AX81" s="365"/>
      <c r="AY81" s="365"/>
      <c r="AZ81" s="365"/>
      <c r="BA81" s="365"/>
      <c r="BB81" s="365"/>
      <c r="BC81" s="365"/>
      <c r="BD81" s="365"/>
      <c r="BE81" s="310"/>
      <c r="BF81" s="310"/>
      <c r="BG81" s="310"/>
      <c r="BH81" s="310"/>
      <c r="BI81" s="310"/>
      <c r="BJ81" s="310"/>
      <c r="BK81" s="310"/>
      <c r="BL81" s="846"/>
      <c r="BM81" s="846"/>
      <c r="BN81" s="846"/>
      <c r="BO81" s="846"/>
      <c r="BP81" s="846"/>
      <c r="BQ81" s="846"/>
      <c r="BR81" s="846"/>
      <c r="BS81" s="846"/>
      <c r="BT81" s="846"/>
      <c r="BU81" s="846"/>
      <c r="BV81" s="846"/>
      <c r="BW81" s="846"/>
      <c r="BX81" s="846"/>
      <c r="BY81" s="846"/>
      <c r="BZ81" s="846"/>
      <c r="CA81" s="846"/>
      <c r="CB81" s="846"/>
      <c r="CC81" s="310"/>
      <c r="CD81" s="310"/>
      <c r="CE81" s="310"/>
      <c r="CF81" s="310"/>
      <c r="CG81" s="310"/>
      <c r="CH81" s="286"/>
      <c r="CI81" s="220"/>
      <c r="CJ81" s="220"/>
    </row>
    <row r="82" spans="1:88" s="250" customFormat="1" ht="3" customHeight="1">
      <c r="A82" s="220"/>
      <c r="B82" s="220"/>
      <c r="C82" s="224"/>
      <c r="D82" s="224"/>
      <c r="E82" s="983" t="s">
        <v>1543</v>
      </c>
      <c r="F82" s="983"/>
      <c r="G82" s="972" t="str">
        <f>Index!C159</f>
        <v>Ostatné záväzky voči prepojeným účtovným jednotkám (471A, 47XA)</v>
      </c>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3" t="s">
        <v>616</v>
      </c>
      <c r="AL82" s="973"/>
      <c r="AM82" s="973"/>
      <c r="AN82" s="357"/>
      <c r="AO82" s="366"/>
      <c r="AP82" s="366"/>
      <c r="AQ82" s="366"/>
      <c r="AR82" s="366"/>
      <c r="AS82" s="366"/>
      <c r="AT82" s="366"/>
      <c r="AU82" s="366"/>
      <c r="AV82" s="366"/>
      <c r="AW82" s="366"/>
      <c r="AX82" s="366"/>
      <c r="AY82" s="366"/>
      <c r="AZ82" s="366"/>
      <c r="BA82" s="366"/>
      <c r="BB82" s="366"/>
      <c r="BC82" s="366"/>
      <c r="BD82" s="366"/>
      <c r="BE82" s="304"/>
      <c r="BF82" s="304"/>
      <c r="BG82" s="304"/>
      <c r="BH82" s="304"/>
      <c r="BI82" s="304"/>
      <c r="BJ82" s="304"/>
      <c r="BK82" s="304"/>
      <c r="BL82" s="867"/>
      <c r="BM82" s="867"/>
      <c r="BN82" s="867"/>
      <c r="BO82" s="867"/>
      <c r="BP82" s="867"/>
      <c r="BQ82" s="867"/>
      <c r="BR82" s="867"/>
      <c r="BS82" s="867"/>
      <c r="BT82" s="867"/>
      <c r="BU82" s="867"/>
      <c r="BV82" s="867"/>
      <c r="BW82" s="867"/>
      <c r="BX82" s="867"/>
      <c r="BY82" s="867"/>
      <c r="BZ82" s="867"/>
      <c r="CA82" s="867"/>
      <c r="CB82" s="867"/>
      <c r="CC82" s="304"/>
      <c r="CD82" s="304"/>
      <c r="CE82" s="304"/>
      <c r="CF82" s="304"/>
      <c r="CG82" s="304"/>
      <c r="CH82" s="284"/>
      <c r="CI82" s="288"/>
      <c r="CJ82" s="288"/>
    </row>
    <row r="83" spans="1:88" s="250" customFormat="1" ht="3" customHeight="1">
      <c r="A83" s="220"/>
      <c r="B83" s="220"/>
      <c r="C83" s="220"/>
      <c r="D83" s="220"/>
      <c r="E83" s="983"/>
      <c r="F83" s="983"/>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3"/>
      <c r="AL83" s="973"/>
      <c r="AM83" s="973"/>
      <c r="AN83" s="355"/>
      <c r="AO83" s="436"/>
      <c r="AP83" s="436"/>
      <c r="AQ83" s="436"/>
      <c r="AR83" s="435"/>
      <c r="AS83" s="439"/>
      <c r="AT83" s="439"/>
      <c r="AU83" s="439"/>
      <c r="AV83" s="439"/>
      <c r="AW83" s="439"/>
      <c r="AX83" s="440"/>
      <c r="AY83" s="821"/>
      <c r="AZ83" s="821"/>
      <c r="BA83" s="821"/>
      <c r="BB83" s="821"/>
      <c r="BC83" s="821"/>
      <c r="BD83" s="821"/>
      <c r="BE83" s="434"/>
      <c r="BF83" s="968"/>
      <c r="BG83" s="968"/>
      <c r="BH83" s="968"/>
      <c r="BI83" s="968"/>
      <c r="BJ83" s="968"/>
      <c r="BK83" s="851"/>
      <c r="BL83" s="826"/>
      <c r="BM83" s="820"/>
      <c r="BN83" s="820"/>
      <c r="BO83" s="820"/>
      <c r="BP83" s="435"/>
      <c r="BQ83" s="821"/>
      <c r="BR83" s="821"/>
      <c r="BS83" s="821"/>
      <c r="BT83" s="821"/>
      <c r="BU83" s="821"/>
      <c r="BV83" s="818"/>
      <c r="BW83" s="822"/>
      <c r="BX83" s="822"/>
      <c r="BY83" s="822"/>
      <c r="BZ83" s="822"/>
      <c r="CA83" s="822"/>
      <c r="CB83" s="819"/>
      <c r="CC83" s="822"/>
      <c r="CD83" s="822"/>
      <c r="CE83" s="822"/>
      <c r="CF83" s="822"/>
      <c r="CG83" s="822"/>
      <c r="CH83" s="285"/>
      <c r="CI83" s="288"/>
      <c r="CJ83" s="288"/>
    </row>
    <row r="84" spans="1:88" ht="15" customHeight="1">
      <c r="E84" s="983"/>
      <c r="F84" s="983"/>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3"/>
      <c r="AL84" s="973"/>
      <c r="AM84" s="973"/>
      <c r="AN84" s="355"/>
      <c r="AO84" s="432" t="str">
        <f>IF(LEN(VLOOKUP(AK82,suvaha!$D$92:$H$158,2,FALSE))&lt;11,"",LEFT(RIGHT(VLOOKUP(AK82,suvaha!$D$92:$H$158,2,FALSE),11),1))</f>
        <v/>
      </c>
      <c r="AP84" s="255"/>
      <c r="AQ84" s="432" t="str">
        <f>IF(LEN(VLOOKUP(AK82,suvaha!$D$92:$H$158,2,FALSE))&lt;10,"",LEFT(RIGHT(VLOOKUP(AK82,suvaha!$D$92:$H$158,2,FALSE),10),1))</f>
        <v/>
      </c>
      <c r="AR84" s="434"/>
      <c r="AS84" s="432" t="str">
        <f>IF(LEN(VLOOKUP(AK82,suvaha!$D$92:$H$158,2,FALSE))&lt;9,"",LEFT(RIGHT(VLOOKUP(AK82,suvaha!$D$92:$H$158,2,FALSE),9),1))</f>
        <v/>
      </c>
      <c r="AT84" s="255"/>
      <c r="AU84" s="432" t="str">
        <f>IF(LEN(VLOOKUP(AK82,suvaha!$D$92:$H$158,2,FALSE))&lt;8,"",LEFT(RIGHT(VLOOKUP(AK82,suvaha!$D$92:$H$158,2,FALSE),8),1))</f>
        <v/>
      </c>
      <c r="AV84" s="434"/>
      <c r="AW84" s="432" t="str">
        <f>IF(LEN(VLOOKUP(AK82,suvaha!$D$92:$H$158,2,FALSE))&lt;7,"",LEFT(RIGHT(VLOOKUP(AK82,suvaha!$D$92:$H$158,2,FALSE),7),1))</f>
        <v/>
      </c>
      <c r="AX84" s="440"/>
      <c r="AY84" s="432" t="str">
        <f>IF(LEN(VLOOKUP(AK82,suvaha!$D$92:$H$158,2,FALSE))&lt;6,"",LEFT(RIGHT(VLOOKUP(AK82,suvaha!$D$92:$H$158,2,FALSE),6),1))</f>
        <v/>
      </c>
      <c r="AZ84" s="255"/>
      <c r="BA84" s="961" t="str">
        <f>IF(LEN(VLOOKUP(AK82,suvaha!$D$92:$H$158,2,FALSE))&lt;5,"",LEFT(RIGHT(VLOOKUP(AK82,suvaha!$D$92:$H$158,2,FALSE),5),1))</f>
        <v/>
      </c>
      <c r="BB84" s="961" t="e">
        <f>IF(LEN(#REF!)&lt;5,"",LEFT(RIGHT(#REF!,5),1))</f>
        <v>#REF!</v>
      </c>
      <c r="BC84" s="434"/>
      <c r="BD84" s="432" t="str">
        <f>IF(LEN(VLOOKUP(AK82,suvaha!$D$92:$H$158,2,FALSE))&lt;4,"",LEFT(RIGHT(VLOOKUP(AK82,suvaha!$D$92:$H$158,2,FALSE),4),1))</f>
        <v/>
      </c>
      <c r="BE84" s="434"/>
      <c r="BF84" s="432" t="str">
        <f>IF(LEN(VLOOKUP(AK82,suvaha!$D$92:$H$158,2,FALSE))&lt;3,"",LEFT(RIGHT(VLOOKUP(AK82,suvaha!$D$92:$H$158,2,FALSE),3),1))</f>
        <v/>
      </c>
      <c r="BG84" s="434"/>
      <c r="BH84" s="432" t="str">
        <f>IF(LEN(VLOOKUP(AK82,suvaha!$D$92:$H$158,2,FALSE))&lt;2,"",LEFT(RIGHT(VLOOKUP(AK82,suvaha!$D$92:$H$158,2,FALSE),2),1))</f>
        <v/>
      </c>
      <c r="BI84" s="434"/>
      <c r="BJ84" s="432" t="str">
        <f>IF(VLOOKUP(AK82,suvaha!$D$92:$H$158,2,FALSE)=0,"",IF(LEN(VLOOKUP(AK82,suvaha!$D$92:$H$158,2,FALSE))&lt;1,"",LEFT(RIGHT(VLOOKUP(AK82,suvaha!$D$92:$H$158,2,FALSE),1),1)))</f>
        <v/>
      </c>
      <c r="BK84" s="851"/>
      <c r="BL84" s="826"/>
      <c r="BM84" s="432" t="str">
        <f>IF(LEN(VLOOKUP(AK82,suvaha!$D$92:$H$158,4,FALSE))&lt;11,"",LEFT(RIGHT(VLOOKUP(AK82,suvaha!$D$92:$H$158,4,FALSE),11),1))</f>
        <v/>
      </c>
      <c r="BN84" s="255"/>
      <c r="BO84" s="432" t="str">
        <f>IF(LEN(VLOOKUP(AK82,suvaha!$D$92:$H$158,4,FALSE))&lt;10,"",LEFT(RIGHT(VLOOKUP(AK82,suvaha!$D$92:$H$158,4,FALSE),10),1))</f>
        <v/>
      </c>
      <c r="BP84" s="434"/>
      <c r="BQ84" s="432" t="str">
        <f>IF(LEN(VLOOKUP(AK82,suvaha!$D$92:$H$158,4,FALSE))&lt;9,"",LEFT(RIGHT(VLOOKUP(AK82,suvaha!$D$92:$H$158,4,FALSE),9),1))</f>
        <v/>
      </c>
      <c r="BR84" s="255"/>
      <c r="BS84" s="432" t="str">
        <f>IF(LEN(VLOOKUP(AK82,suvaha!$D$92:$H$158,4,FALSE))&lt;8,"",LEFT(RIGHT(VLOOKUP(AK82,suvaha!$D$92:$H$158,4,FALSE),8),1))</f>
        <v/>
      </c>
      <c r="BT84" s="434"/>
      <c r="BU84" s="432" t="str">
        <f>IF(LEN(VLOOKUP(AK82,suvaha!$D$92:$H$158,4,FALSE))&lt;7,"",LEFT(RIGHT(VLOOKUP(AK82,suvaha!$D$92:$H$158,4,FALSE),7),1))</f>
        <v/>
      </c>
      <c r="BV84" s="818"/>
      <c r="BW84" s="432" t="str">
        <f>IF(LEN(VLOOKUP(AK82,suvaha!$D$92:$H$158,4,FALSE))&lt;6,"",LEFT(RIGHT(VLOOKUP(AK82,suvaha!$D$92:$H$158,4,FALSE),6),1))</f>
        <v/>
      </c>
      <c r="BX84" s="434"/>
      <c r="BY84" s="432" t="str">
        <f>IF(LEN(VLOOKUP(AK82,suvaha!$D$92:$H$158,4,FALSE))&lt;5,"",LEFT(RIGHT(VLOOKUP(AK82,suvaha!$D$92:$H$158,4,FALSE),5),1))</f>
        <v/>
      </c>
      <c r="BZ84" s="434"/>
      <c r="CA84" s="432" t="str">
        <f>IF(LEN(VLOOKUP(AK82,suvaha!$D$92:$H$158,4,FALSE))&lt;4,"",LEFT(RIGHT(VLOOKUP(AK82,suvaha!$D$92:$H$158,4,FALSE),4),1))</f>
        <v/>
      </c>
      <c r="CB84" s="819"/>
      <c r="CC84" s="432" t="str">
        <f>IF(LEN(VLOOKUP(AK82,suvaha!$D$92:$H$158,4,FALSE))&lt;3,"",LEFT(RIGHT(VLOOKUP(AK82,suvaha!$D$92:$H$158,4,FALSE),3),1))</f>
        <v/>
      </c>
      <c r="CD84" s="434"/>
      <c r="CE84" s="432" t="str">
        <f>IF(LEN(VLOOKUP(AK82,suvaha!$D$92:$H$158,4,FALSE))&lt;2,"",LEFT(RIGHT(VLOOKUP(AK82,suvaha!$D$92:$H$158,4,FALSE),2),1))</f>
        <v/>
      </c>
      <c r="CF84" s="434"/>
      <c r="CG84" s="432" t="str">
        <f>IF(VLOOKUP(AK82,suvaha!$D$92:$H$158,4,FALSE)=0,"",IF(LEN(VLOOKUP(AK82,suvaha!$D$92:$H$158,4,FALSE))&lt;1,"",LEFT(RIGHT(VLOOKUP(AK82,suvaha!$D$92:$H$158,4,FALSE),1),1)))</f>
        <v/>
      </c>
      <c r="CH84" s="285"/>
      <c r="CI84" s="220"/>
      <c r="CJ84" s="220"/>
    </row>
    <row r="85" spans="1:88" ht="3" customHeight="1">
      <c r="E85" s="983"/>
      <c r="F85" s="983"/>
      <c r="G85" s="972"/>
      <c r="H85" s="972"/>
      <c r="I85" s="972"/>
      <c r="J85" s="972"/>
      <c r="K85" s="972"/>
      <c r="L85" s="972"/>
      <c r="M85" s="972"/>
      <c r="N85" s="972"/>
      <c r="O85" s="972"/>
      <c r="P85" s="972"/>
      <c r="Q85" s="972"/>
      <c r="R85" s="972"/>
      <c r="S85" s="972"/>
      <c r="T85" s="972"/>
      <c r="U85" s="972"/>
      <c r="V85" s="972"/>
      <c r="W85" s="972"/>
      <c r="X85" s="972"/>
      <c r="Y85" s="972"/>
      <c r="Z85" s="972"/>
      <c r="AA85" s="972"/>
      <c r="AB85" s="972"/>
      <c r="AC85" s="972"/>
      <c r="AD85" s="972"/>
      <c r="AE85" s="972"/>
      <c r="AF85" s="972"/>
      <c r="AG85" s="972"/>
      <c r="AH85" s="972"/>
      <c r="AI85" s="972"/>
      <c r="AJ85" s="972"/>
      <c r="AK85" s="973"/>
      <c r="AL85" s="973"/>
      <c r="AM85" s="973"/>
      <c r="AN85" s="358"/>
      <c r="AO85" s="365"/>
      <c r="AP85" s="365"/>
      <c r="AQ85" s="365"/>
      <c r="AR85" s="365"/>
      <c r="AS85" s="365"/>
      <c r="AT85" s="365"/>
      <c r="AU85" s="365"/>
      <c r="AV85" s="365"/>
      <c r="AW85" s="365"/>
      <c r="AX85" s="365"/>
      <c r="AY85" s="365"/>
      <c r="AZ85" s="365"/>
      <c r="BA85" s="365"/>
      <c r="BB85" s="365"/>
      <c r="BC85" s="365"/>
      <c r="BD85" s="365"/>
      <c r="BE85" s="310"/>
      <c r="BF85" s="310"/>
      <c r="BG85" s="310"/>
      <c r="BH85" s="310"/>
      <c r="BI85" s="310"/>
      <c r="BJ85" s="310"/>
      <c r="BK85" s="310"/>
      <c r="BL85" s="846"/>
      <c r="BM85" s="846"/>
      <c r="BN85" s="846"/>
      <c r="BO85" s="846"/>
      <c r="BP85" s="846"/>
      <c r="BQ85" s="846"/>
      <c r="BR85" s="846"/>
      <c r="BS85" s="846"/>
      <c r="BT85" s="846"/>
      <c r="BU85" s="846"/>
      <c r="BV85" s="846"/>
      <c r="BW85" s="846"/>
      <c r="BX85" s="846"/>
      <c r="BY85" s="846"/>
      <c r="BZ85" s="846"/>
      <c r="CA85" s="846"/>
      <c r="CB85" s="846"/>
      <c r="CC85" s="310"/>
      <c r="CD85" s="310"/>
      <c r="CE85" s="310"/>
      <c r="CF85" s="310"/>
      <c r="CG85" s="310"/>
      <c r="CH85" s="286"/>
      <c r="CI85" s="220"/>
      <c r="CJ85" s="220"/>
    </row>
    <row r="86" spans="1:88" s="250" customFormat="1" ht="3" customHeight="1">
      <c r="A86" s="220"/>
      <c r="B86" s="220"/>
      <c r="C86" s="224"/>
      <c r="D86" s="224"/>
      <c r="E86" s="983" t="s">
        <v>1544</v>
      </c>
      <c r="F86" s="983"/>
      <c r="G86" s="1006" t="str">
        <f>Index!C160</f>
        <v>Ostatné záväzky v rámci podielovej účasti okrem záväzkov voči prepojeným účtovným jednotkám (471A, 47XA)</v>
      </c>
      <c r="H86" s="1006"/>
      <c r="I86" s="1006"/>
      <c r="J86" s="1006"/>
      <c r="K86" s="1006"/>
      <c r="L86" s="1006"/>
      <c r="M86" s="1006"/>
      <c r="N86" s="1006"/>
      <c r="O86" s="1006"/>
      <c r="P86" s="1006"/>
      <c r="Q86" s="1006"/>
      <c r="R86" s="1006"/>
      <c r="S86" s="1006"/>
      <c r="T86" s="1006"/>
      <c r="U86" s="1006"/>
      <c r="V86" s="1006"/>
      <c r="W86" s="1006"/>
      <c r="X86" s="1006"/>
      <c r="Y86" s="1006"/>
      <c r="Z86" s="1006"/>
      <c r="AA86" s="1006"/>
      <c r="AB86" s="1006"/>
      <c r="AC86" s="1006"/>
      <c r="AD86" s="1006"/>
      <c r="AE86" s="1006"/>
      <c r="AF86" s="1006"/>
      <c r="AG86" s="1006"/>
      <c r="AH86" s="1006"/>
      <c r="AI86" s="1006"/>
      <c r="AJ86" s="1006"/>
      <c r="AK86" s="973" t="s">
        <v>617</v>
      </c>
      <c r="AL86" s="973"/>
      <c r="AM86" s="973"/>
      <c r="AN86" s="357"/>
      <c r="AO86" s="366"/>
      <c r="AP86" s="366"/>
      <c r="AQ86" s="366"/>
      <c r="AR86" s="366"/>
      <c r="AS86" s="366"/>
      <c r="AT86" s="366"/>
      <c r="AU86" s="366"/>
      <c r="AV86" s="366"/>
      <c r="AW86" s="366"/>
      <c r="AX86" s="366"/>
      <c r="AY86" s="366"/>
      <c r="AZ86" s="366"/>
      <c r="BA86" s="366"/>
      <c r="BB86" s="366"/>
      <c r="BC86" s="366"/>
      <c r="BD86" s="366"/>
      <c r="BE86" s="304"/>
      <c r="BF86" s="304"/>
      <c r="BG86" s="304"/>
      <c r="BH86" s="304"/>
      <c r="BI86" s="304"/>
      <c r="BJ86" s="304"/>
      <c r="BK86" s="304"/>
      <c r="BL86" s="867"/>
      <c r="BM86" s="867"/>
      <c r="BN86" s="867"/>
      <c r="BO86" s="867"/>
      <c r="BP86" s="867"/>
      <c r="BQ86" s="867"/>
      <c r="BR86" s="867"/>
      <c r="BS86" s="867"/>
      <c r="BT86" s="867"/>
      <c r="BU86" s="867"/>
      <c r="BV86" s="867"/>
      <c r="BW86" s="867"/>
      <c r="BX86" s="867"/>
      <c r="BY86" s="867"/>
      <c r="BZ86" s="867"/>
      <c r="CA86" s="867"/>
      <c r="CB86" s="867"/>
      <c r="CC86" s="304"/>
      <c r="CD86" s="304"/>
      <c r="CE86" s="304"/>
      <c r="CF86" s="304"/>
      <c r="CG86" s="304"/>
      <c r="CH86" s="284"/>
      <c r="CI86" s="288"/>
      <c r="CJ86" s="288"/>
    </row>
    <row r="87" spans="1:88" s="250" customFormat="1" ht="3" customHeight="1">
      <c r="A87" s="220"/>
      <c r="B87" s="220"/>
      <c r="C87" s="220"/>
      <c r="D87" s="220"/>
      <c r="E87" s="983"/>
      <c r="F87" s="983"/>
      <c r="G87" s="1006"/>
      <c r="H87" s="1006"/>
      <c r="I87" s="1006"/>
      <c r="J87" s="1006"/>
      <c r="K87" s="1006"/>
      <c r="L87" s="1006"/>
      <c r="M87" s="1006"/>
      <c r="N87" s="1006"/>
      <c r="O87" s="1006"/>
      <c r="P87" s="1006"/>
      <c r="Q87" s="1006"/>
      <c r="R87" s="1006"/>
      <c r="S87" s="1006"/>
      <c r="T87" s="1006"/>
      <c r="U87" s="1006"/>
      <c r="V87" s="1006"/>
      <c r="W87" s="1006"/>
      <c r="X87" s="1006"/>
      <c r="Y87" s="1006"/>
      <c r="Z87" s="1006"/>
      <c r="AA87" s="1006"/>
      <c r="AB87" s="1006"/>
      <c r="AC87" s="1006"/>
      <c r="AD87" s="1006"/>
      <c r="AE87" s="1006"/>
      <c r="AF87" s="1006"/>
      <c r="AG87" s="1006"/>
      <c r="AH87" s="1006"/>
      <c r="AI87" s="1006"/>
      <c r="AJ87" s="1006"/>
      <c r="AK87" s="973"/>
      <c r="AL87" s="973"/>
      <c r="AM87" s="973"/>
      <c r="AN87" s="355"/>
      <c r="AO87" s="436"/>
      <c r="AP87" s="436"/>
      <c r="AQ87" s="436"/>
      <c r="AR87" s="435"/>
      <c r="AS87" s="439"/>
      <c r="AT87" s="439"/>
      <c r="AU87" s="439"/>
      <c r="AV87" s="439"/>
      <c r="AW87" s="439"/>
      <c r="AX87" s="440"/>
      <c r="AY87" s="821"/>
      <c r="AZ87" s="821"/>
      <c r="BA87" s="821"/>
      <c r="BB87" s="821"/>
      <c r="BC87" s="821"/>
      <c r="BD87" s="821"/>
      <c r="BE87" s="434"/>
      <c r="BF87" s="968"/>
      <c r="BG87" s="968"/>
      <c r="BH87" s="968"/>
      <c r="BI87" s="968"/>
      <c r="BJ87" s="968"/>
      <c r="BK87" s="851"/>
      <c r="BL87" s="826"/>
      <c r="BM87" s="820"/>
      <c r="BN87" s="820"/>
      <c r="BO87" s="820"/>
      <c r="BP87" s="435"/>
      <c r="BQ87" s="821"/>
      <c r="BR87" s="821"/>
      <c r="BS87" s="821"/>
      <c r="BT87" s="821"/>
      <c r="BU87" s="821"/>
      <c r="BV87" s="818"/>
      <c r="BW87" s="822"/>
      <c r="BX87" s="822"/>
      <c r="BY87" s="822"/>
      <c r="BZ87" s="822"/>
      <c r="CA87" s="822"/>
      <c r="CB87" s="819"/>
      <c r="CC87" s="822"/>
      <c r="CD87" s="822"/>
      <c r="CE87" s="822"/>
      <c r="CF87" s="822"/>
      <c r="CG87" s="822"/>
      <c r="CH87" s="285"/>
      <c r="CI87" s="288"/>
      <c r="CJ87" s="288"/>
    </row>
    <row r="88" spans="1:88" ht="15" customHeight="1">
      <c r="E88" s="983"/>
      <c r="F88" s="983"/>
      <c r="G88" s="1006"/>
      <c r="H88" s="1006"/>
      <c r="I88" s="1006"/>
      <c r="J88" s="1006"/>
      <c r="K88" s="1006"/>
      <c r="L88" s="1006"/>
      <c r="M88" s="1006"/>
      <c r="N88" s="1006"/>
      <c r="O88" s="1006"/>
      <c r="P88" s="1006"/>
      <c r="Q88" s="1006"/>
      <c r="R88" s="1006"/>
      <c r="S88" s="1006"/>
      <c r="T88" s="1006"/>
      <c r="U88" s="1006"/>
      <c r="V88" s="1006"/>
      <c r="W88" s="1006"/>
      <c r="X88" s="1006"/>
      <c r="Y88" s="1006"/>
      <c r="Z88" s="1006"/>
      <c r="AA88" s="1006"/>
      <c r="AB88" s="1006"/>
      <c r="AC88" s="1006"/>
      <c r="AD88" s="1006"/>
      <c r="AE88" s="1006"/>
      <c r="AF88" s="1006"/>
      <c r="AG88" s="1006"/>
      <c r="AH88" s="1006"/>
      <c r="AI88" s="1006"/>
      <c r="AJ88" s="1006"/>
      <c r="AK88" s="973"/>
      <c r="AL88" s="973"/>
      <c r="AM88" s="973"/>
      <c r="AN88" s="355"/>
      <c r="AO88" s="432" t="str">
        <f>IF(LEN(VLOOKUP(AK86,suvaha!$D$92:$H$158,2,FALSE))&lt;11,"",LEFT(RIGHT(VLOOKUP(AK86,suvaha!$D$92:$H$158,2,FALSE),11),1))</f>
        <v/>
      </c>
      <c r="AP88" s="255"/>
      <c r="AQ88" s="432" t="str">
        <f>IF(LEN(VLOOKUP(AK86,suvaha!$D$92:$H$158,2,FALSE))&lt;10,"",LEFT(RIGHT(VLOOKUP(AK86,suvaha!$D$92:$H$158,2,FALSE),10),1))</f>
        <v/>
      </c>
      <c r="AR88" s="434"/>
      <c r="AS88" s="432" t="str">
        <f>IF(LEN(VLOOKUP(AK86,suvaha!$D$92:$H$158,2,FALSE))&lt;9,"",LEFT(RIGHT(VLOOKUP(AK86,suvaha!$D$92:$H$158,2,FALSE),9),1))</f>
        <v/>
      </c>
      <c r="AT88" s="255"/>
      <c r="AU88" s="432" t="str">
        <f>IF(LEN(VLOOKUP(AK86,suvaha!$D$92:$H$158,2,FALSE))&lt;8,"",LEFT(RIGHT(VLOOKUP(AK86,suvaha!$D$92:$H$158,2,FALSE),8),1))</f>
        <v/>
      </c>
      <c r="AV88" s="434"/>
      <c r="AW88" s="432" t="str">
        <f>IF(LEN(VLOOKUP(AK86,suvaha!$D$92:$H$158,2,FALSE))&lt;7,"",LEFT(RIGHT(VLOOKUP(AK86,suvaha!$D$92:$H$158,2,FALSE),7),1))</f>
        <v/>
      </c>
      <c r="AX88" s="440"/>
      <c r="AY88" s="432" t="str">
        <f>IF(LEN(VLOOKUP(AK86,suvaha!$D$92:$H$158,2,FALSE))&lt;6,"",LEFT(RIGHT(VLOOKUP(AK86,suvaha!$D$92:$H$158,2,FALSE),6),1))</f>
        <v/>
      </c>
      <c r="AZ88" s="255"/>
      <c r="BA88" s="961" t="str">
        <f>IF(LEN(VLOOKUP(AK86,suvaha!$D$92:$H$158,2,FALSE))&lt;5,"",LEFT(RIGHT(VLOOKUP(AK86,suvaha!$D$92:$H$158,2,FALSE),5),1))</f>
        <v/>
      </c>
      <c r="BB88" s="961" t="e">
        <f>IF(LEN(#REF!)&lt;5,"",LEFT(RIGHT(#REF!,5),1))</f>
        <v>#REF!</v>
      </c>
      <c r="BC88" s="434"/>
      <c r="BD88" s="432" t="str">
        <f>IF(LEN(VLOOKUP(AK86,suvaha!$D$92:$H$158,2,FALSE))&lt;4,"",LEFT(RIGHT(VLOOKUP(AK86,suvaha!$D$92:$H$158,2,FALSE),4),1))</f>
        <v/>
      </c>
      <c r="BE88" s="434"/>
      <c r="BF88" s="432" t="str">
        <f>IF(LEN(VLOOKUP(AK86,suvaha!$D$92:$H$158,2,FALSE))&lt;3,"",LEFT(RIGHT(VLOOKUP(AK86,suvaha!$D$92:$H$158,2,FALSE),3),1))</f>
        <v/>
      </c>
      <c r="BG88" s="434"/>
      <c r="BH88" s="432" t="str">
        <f>IF(LEN(VLOOKUP(AK86,suvaha!$D$92:$H$158,2,FALSE))&lt;2,"",LEFT(RIGHT(VLOOKUP(AK86,suvaha!$D$92:$H$158,2,FALSE),2),1))</f>
        <v/>
      </c>
      <c r="BI88" s="434"/>
      <c r="BJ88" s="432" t="str">
        <f>IF(VLOOKUP(AK86,suvaha!$D$92:$H$158,2,FALSE)=0,"",IF(LEN(VLOOKUP(AK86,suvaha!$D$92:$H$158,2,FALSE))&lt;1,"",LEFT(RIGHT(VLOOKUP(AK86,suvaha!$D$92:$H$158,2,FALSE),1),1)))</f>
        <v/>
      </c>
      <c r="BK88" s="851"/>
      <c r="BL88" s="826"/>
      <c r="BM88" s="432" t="str">
        <f>IF(LEN(VLOOKUP(AK86,suvaha!$D$92:$H$158,4,FALSE))&lt;11,"",LEFT(RIGHT(VLOOKUP(AK86,suvaha!$D$92:$H$158,4,FALSE),11),1))</f>
        <v/>
      </c>
      <c r="BN88" s="255"/>
      <c r="BO88" s="432" t="str">
        <f>IF(LEN(VLOOKUP(AK86,suvaha!$D$92:$H$158,4,FALSE))&lt;10,"",LEFT(RIGHT(VLOOKUP(AK86,suvaha!$D$92:$H$158,4,FALSE),10),1))</f>
        <v/>
      </c>
      <c r="BP88" s="434"/>
      <c r="BQ88" s="432" t="str">
        <f>IF(LEN(VLOOKUP(AK86,suvaha!$D$92:$H$158,4,FALSE))&lt;9,"",LEFT(RIGHT(VLOOKUP(AK86,suvaha!$D$92:$H$158,4,FALSE),9),1))</f>
        <v/>
      </c>
      <c r="BR88" s="255"/>
      <c r="BS88" s="432" t="str">
        <f>IF(LEN(VLOOKUP(AK86,suvaha!$D$92:$H$158,4,FALSE))&lt;8,"",LEFT(RIGHT(VLOOKUP(AK86,suvaha!$D$92:$H$158,4,FALSE),8),1))</f>
        <v/>
      </c>
      <c r="BT88" s="434"/>
      <c r="BU88" s="432" t="str">
        <f>IF(LEN(VLOOKUP(AK86,suvaha!$D$92:$H$158,4,FALSE))&lt;7,"",LEFT(RIGHT(VLOOKUP(AK86,suvaha!$D$92:$H$158,4,FALSE),7),1))</f>
        <v/>
      </c>
      <c r="BV88" s="818"/>
      <c r="BW88" s="432" t="str">
        <f>IF(LEN(VLOOKUP(AK86,suvaha!$D$92:$H$158,4,FALSE))&lt;6,"",LEFT(RIGHT(VLOOKUP(AK86,suvaha!$D$92:$H$158,4,FALSE),6),1))</f>
        <v/>
      </c>
      <c r="BX88" s="434"/>
      <c r="BY88" s="432" t="str">
        <f>IF(LEN(VLOOKUP(AK86,suvaha!$D$92:$H$158,4,FALSE))&lt;5,"",LEFT(RIGHT(VLOOKUP(AK86,suvaha!$D$92:$H$158,4,FALSE),5),1))</f>
        <v/>
      </c>
      <c r="BZ88" s="434"/>
      <c r="CA88" s="432" t="str">
        <f>IF(LEN(VLOOKUP(AK86,suvaha!$D$92:$H$158,4,FALSE))&lt;4,"",LEFT(RIGHT(VLOOKUP(AK86,suvaha!$D$92:$H$158,4,FALSE),4),1))</f>
        <v/>
      </c>
      <c r="CB88" s="819"/>
      <c r="CC88" s="432" t="str">
        <f>IF(LEN(VLOOKUP(AK86,suvaha!$D$92:$H$158,4,FALSE))&lt;3,"",LEFT(RIGHT(VLOOKUP(AK86,suvaha!$D$92:$H$158,4,FALSE),3),1))</f>
        <v/>
      </c>
      <c r="CD88" s="434"/>
      <c r="CE88" s="432" t="str">
        <f>IF(LEN(VLOOKUP(AK86,suvaha!$D$92:$H$158,4,FALSE))&lt;2,"",LEFT(RIGHT(VLOOKUP(AK86,suvaha!$D$92:$H$158,4,FALSE),2),1))</f>
        <v/>
      </c>
      <c r="CF88" s="434"/>
      <c r="CG88" s="432" t="str">
        <f>IF(VLOOKUP(AK86,suvaha!$D$92:$H$158,4,FALSE)=0,"",IF(LEN(VLOOKUP(AK86,suvaha!$D$92:$H$158,4,FALSE))&lt;1,"",LEFT(RIGHT(VLOOKUP(AK86,suvaha!$D$92:$H$158,4,FALSE),1),1)))</f>
        <v/>
      </c>
      <c r="CH88" s="285"/>
      <c r="CI88" s="220"/>
      <c r="CJ88" s="220"/>
    </row>
    <row r="89" spans="1:88" ht="3" customHeight="1">
      <c r="E89" s="983"/>
      <c r="F89" s="983"/>
      <c r="G89" s="1006"/>
      <c r="H89" s="1006"/>
      <c r="I89" s="1006"/>
      <c r="J89" s="1006"/>
      <c r="K89" s="1006"/>
      <c r="L89" s="1006"/>
      <c r="M89" s="1006"/>
      <c r="N89" s="1006"/>
      <c r="O89" s="1006"/>
      <c r="P89" s="1006"/>
      <c r="Q89" s="1006"/>
      <c r="R89" s="1006"/>
      <c r="S89" s="1006"/>
      <c r="T89" s="1006"/>
      <c r="U89" s="1006"/>
      <c r="V89" s="1006"/>
      <c r="W89" s="1006"/>
      <c r="X89" s="1006"/>
      <c r="Y89" s="1006"/>
      <c r="Z89" s="1006"/>
      <c r="AA89" s="1006"/>
      <c r="AB89" s="1006"/>
      <c r="AC89" s="1006"/>
      <c r="AD89" s="1006"/>
      <c r="AE89" s="1006"/>
      <c r="AF89" s="1006"/>
      <c r="AG89" s="1006"/>
      <c r="AH89" s="1006"/>
      <c r="AI89" s="1006"/>
      <c r="AJ89" s="1006"/>
      <c r="AK89" s="973"/>
      <c r="AL89" s="973"/>
      <c r="AM89" s="973"/>
      <c r="AN89" s="358"/>
      <c r="AO89" s="365"/>
      <c r="AP89" s="365"/>
      <c r="AQ89" s="365"/>
      <c r="AR89" s="365"/>
      <c r="AS89" s="365"/>
      <c r="AT89" s="365"/>
      <c r="AU89" s="365"/>
      <c r="AV89" s="365"/>
      <c r="AW89" s="365"/>
      <c r="AX89" s="365"/>
      <c r="AY89" s="365"/>
      <c r="AZ89" s="365"/>
      <c r="BA89" s="365"/>
      <c r="BB89" s="365"/>
      <c r="BC89" s="365"/>
      <c r="BD89" s="365"/>
      <c r="BE89" s="310"/>
      <c r="BF89" s="310"/>
      <c r="BG89" s="310"/>
      <c r="BH89" s="310"/>
      <c r="BI89" s="310"/>
      <c r="BJ89" s="310"/>
      <c r="BK89" s="310"/>
      <c r="BL89" s="846"/>
      <c r="BM89" s="846"/>
      <c r="BN89" s="846"/>
      <c r="BO89" s="846"/>
      <c r="BP89" s="846"/>
      <c r="BQ89" s="846"/>
      <c r="BR89" s="846"/>
      <c r="BS89" s="846"/>
      <c r="BT89" s="846"/>
      <c r="BU89" s="846"/>
      <c r="BV89" s="846"/>
      <c r="BW89" s="846"/>
      <c r="BX89" s="846"/>
      <c r="BY89" s="846"/>
      <c r="BZ89" s="846"/>
      <c r="CA89" s="846"/>
      <c r="CB89" s="846"/>
      <c r="CC89" s="310"/>
      <c r="CD89" s="310"/>
      <c r="CE89" s="310"/>
      <c r="CF89" s="310"/>
      <c r="CG89" s="310"/>
      <c r="CH89" s="286"/>
      <c r="CI89" s="220"/>
      <c r="CJ89" s="220"/>
    </row>
    <row r="90" spans="1:88" s="250" customFormat="1" ht="3" customHeight="1">
      <c r="A90" s="220"/>
      <c r="B90" s="220"/>
      <c r="C90" s="224"/>
      <c r="D90" s="224"/>
      <c r="E90" s="983" t="s">
        <v>1545</v>
      </c>
      <c r="F90" s="983"/>
      <c r="G90" s="972" t="str">
        <f>Index!C161</f>
        <v>Ostatné dlhodobé záväzky (479A, 47XA)</v>
      </c>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3" t="s">
        <v>618</v>
      </c>
      <c r="AL90" s="973"/>
      <c r="AM90" s="973"/>
      <c r="AN90" s="357"/>
      <c r="AO90" s="366"/>
      <c r="AP90" s="366"/>
      <c r="AQ90" s="366"/>
      <c r="AR90" s="366"/>
      <c r="AS90" s="366"/>
      <c r="AT90" s="366"/>
      <c r="AU90" s="366"/>
      <c r="AV90" s="366"/>
      <c r="AW90" s="366"/>
      <c r="AX90" s="366"/>
      <c r="AY90" s="366"/>
      <c r="AZ90" s="366"/>
      <c r="BA90" s="366"/>
      <c r="BB90" s="366"/>
      <c r="BC90" s="366"/>
      <c r="BD90" s="366"/>
      <c r="BE90" s="304"/>
      <c r="BF90" s="304"/>
      <c r="BG90" s="304"/>
      <c r="BH90" s="304"/>
      <c r="BI90" s="304"/>
      <c r="BJ90" s="304"/>
      <c r="BK90" s="304"/>
      <c r="BL90" s="867"/>
      <c r="BM90" s="867"/>
      <c r="BN90" s="867"/>
      <c r="BO90" s="867"/>
      <c r="BP90" s="867"/>
      <c r="BQ90" s="867"/>
      <c r="BR90" s="867"/>
      <c r="BS90" s="867"/>
      <c r="BT90" s="867"/>
      <c r="BU90" s="867"/>
      <c r="BV90" s="867"/>
      <c r="BW90" s="867"/>
      <c r="BX90" s="867"/>
      <c r="BY90" s="867"/>
      <c r="BZ90" s="867"/>
      <c r="CA90" s="867"/>
      <c r="CB90" s="867"/>
      <c r="CC90" s="304"/>
      <c r="CD90" s="304"/>
      <c r="CE90" s="304"/>
      <c r="CF90" s="304"/>
      <c r="CG90" s="304"/>
      <c r="CH90" s="284"/>
      <c r="CI90" s="288"/>
      <c r="CJ90" s="288"/>
    </row>
    <row r="91" spans="1:88" s="250" customFormat="1" ht="3" customHeight="1">
      <c r="A91" s="220"/>
      <c r="B91" s="220"/>
      <c r="C91" s="220"/>
      <c r="D91" s="220"/>
      <c r="E91" s="983"/>
      <c r="F91" s="983"/>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3"/>
      <c r="AL91" s="973"/>
      <c r="AM91" s="973"/>
      <c r="AN91" s="355"/>
      <c r="AO91" s="436"/>
      <c r="AP91" s="436"/>
      <c r="AQ91" s="436"/>
      <c r="AR91" s="435"/>
      <c r="AS91" s="439"/>
      <c r="AT91" s="439"/>
      <c r="AU91" s="439"/>
      <c r="AV91" s="439"/>
      <c r="AW91" s="439"/>
      <c r="AX91" s="440"/>
      <c r="AY91" s="821"/>
      <c r="AZ91" s="821"/>
      <c r="BA91" s="821"/>
      <c r="BB91" s="821"/>
      <c r="BC91" s="821"/>
      <c r="BD91" s="821"/>
      <c r="BE91" s="434"/>
      <c r="BF91" s="968"/>
      <c r="BG91" s="968"/>
      <c r="BH91" s="968"/>
      <c r="BI91" s="968"/>
      <c r="BJ91" s="968"/>
      <c r="BK91" s="851"/>
      <c r="BL91" s="826"/>
      <c r="BM91" s="820"/>
      <c r="BN91" s="820"/>
      <c r="BO91" s="820"/>
      <c r="BP91" s="435"/>
      <c r="BQ91" s="821"/>
      <c r="BR91" s="821"/>
      <c r="BS91" s="821"/>
      <c r="BT91" s="821"/>
      <c r="BU91" s="821"/>
      <c r="BV91" s="818"/>
      <c r="BW91" s="822"/>
      <c r="BX91" s="822"/>
      <c r="BY91" s="822"/>
      <c r="BZ91" s="822"/>
      <c r="CA91" s="822"/>
      <c r="CB91" s="819"/>
      <c r="CC91" s="822"/>
      <c r="CD91" s="822"/>
      <c r="CE91" s="822"/>
      <c r="CF91" s="822"/>
      <c r="CG91" s="822"/>
      <c r="CH91" s="285"/>
      <c r="CI91" s="288"/>
      <c r="CJ91" s="288"/>
    </row>
    <row r="92" spans="1:88" ht="15" customHeight="1">
      <c r="E92" s="983"/>
      <c r="F92" s="983"/>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3"/>
      <c r="AL92" s="973"/>
      <c r="AM92" s="973"/>
      <c r="AN92" s="355"/>
      <c r="AO92" s="432" t="str">
        <f>IF(LEN(VLOOKUP(AK90,suvaha!$D$92:$H$158,2,FALSE))&lt;11,"",LEFT(RIGHT(VLOOKUP(AK90,suvaha!$D$92:$H$158,2,FALSE),11),1))</f>
        <v/>
      </c>
      <c r="AP92" s="255"/>
      <c r="AQ92" s="432" t="str">
        <f>IF(LEN(VLOOKUP(AK90,suvaha!$D$92:$H$158,2,FALSE))&lt;10,"",LEFT(RIGHT(VLOOKUP(AK90,suvaha!$D$92:$H$158,2,FALSE),10),1))</f>
        <v/>
      </c>
      <c r="AR92" s="434"/>
      <c r="AS92" s="432" t="str">
        <f>IF(LEN(VLOOKUP(AK90,suvaha!$D$92:$H$158,2,FALSE))&lt;9,"",LEFT(RIGHT(VLOOKUP(AK90,suvaha!$D$92:$H$158,2,FALSE),9),1))</f>
        <v/>
      </c>
      <c r="AT92" s="255"/>
      <c r="AU92" s="432" t="str">
        <f>IF(LEN(VLOOKUP(AK90,suvaha!$D$92:$H$158,2,FALSE))&lt;8,"",LEFT(RIGHT(VLOOKUP(AK90,suvaha!$D$92:$H$158,2,FALSE),8),1))</f>
        <v/>
      </c>
      <c r="AV92" s="434"/>
      <c r="AW92" s="432" t="str">
        <f>IF(LEN(VLOOKUP(AK90,suvaha!$D$92:$H$158,2,FALSE))&lt;7,"",LEFT(RIGHT(VLOOKUP(AK90,suvaha!$D$92:$H$158,2,FALSE),7),1))</f>
        <v/>
      </c>
      <c r="AX92" s="440"/>
      <c r="AY92" s="432" t="str">
        <f>IF(LEN(VLOOKUP(AK90,suvaha!$D$92:$H$158,2,FALSE))&lt;6,"",LEFT(RIGHT(VLOOKUP(AK90,suvaha!$D$92:$H$158,2,FALSE),6),1))</f>
        <v/>
      </c>
      <c r="AZ92" s="255"/>
      <c r="BA92" s="961" t="str">
        <f>IF(LEN(VLOOKUP(AK90,suvaha!$D$92:$H$158,2,FALSE))&lt;5,"",LEFT(RIGHT(VLOOKUP(AK90,suvaha!$D$92:$H$158,2,FALSE),5),1))</f>
        <v/>
      </c>
      <c r="BB92" s="961" t="e">
        <f>IF(LEN(#REF!)&lt;5,"",LEFT(RIGHT(#REF!,5),1))</f>
        <v>#REF!</v>
      </c>
      <c r="BC92" s="434"/>
      <c r="BD92" s="432" t="str">
        <f>IF(LEN(VLOOKUP(AK90,suvaha!$D$92:$H$158,2,FALSE))&lt;4,"",LEFT(RIGHT(VLOOKUP(AK90,suvaha!$D$92:$H$158,2,FALSE),4),1))</f>
        <v/>
      </c>
      <c r="BE92" s="434"/>
      <c r="BF92" s="432" t="str">
        <f>IF(LEN(VLOOKUP(AK90,suvaha!$D$92:$H$158,2,FALSE))&lt;3,"",LEFT(RIGHT(VLOOKUP(AK90,suvaha!$D$92:$H$158,2,FALSE),3),1))</f>
        <v/>
      </c>
      <c r="BG92" s="434"/>
      <c r="BH92" s="432" t="str">
        <f>IF(LEN(VLOOKUP(AK90,suvaha!$D$92:$H$158,2,FALSE))&lt;2,"",LEFT(RIGHT(VLOOKUP(AK90,suvaha!$D$92:$H$158,2,FALSE),2),1))</f>
        <v/>
      </c>
      <c r="BI92" s="434"/>
      <c r="BJ92" s="432" t="str">
        <f>IF(VLOOKUP(AK90,suvaha!$D$92:$H$158,2,FALSE)=0,"",IF(LEN(VLOOKUP(AK90,suvaha!$D$92:$H$158,2,FALSE))&lt;1,"",LEFT(RIGHT(VLOOKUP(AK90,suvaha!$D$92:$H$158,2,FALSE),1),1)))</f>
        <v/>
      </c>
      <c r="BK92" s="851"/>
      <c r="BL92" s="826"/>
      <c r="BM92" s="432" t="str">
        <f>IF(LEN(VLOOKUP(AK90,suvaha!$D$92:$H$158,4,FALSE))&lt;11,"",LEFT(RIGHT(VLOOKUP(AK90,suvaha!$D$92:$H$158,4,FALSE),11),1))</f>
        <v/>
      </c>
      <c r="BN92" s="255"/>
      <c r="BO92" s="432" t="str">
        <f>IF(LEN(VLOOKUP(AK90,suvaha!$D$92:$H$158,4,FALSE))&lt;10,"",LEFT(RIGHT(VLOOKUP(AK90,suvaha!$D$92:$H$158,4,FALSE),10),1))</f>
        <v/>
      </c>
      <c r="BP92" s="434"/>
      <c r="BQ92" s="432" t="str">
        <f>IF(LEN(VLOOKUP(AK90,suvaha!$D$92:$H$158,4,FALSE))&lt;9,"",LEFT(RIGHT(VLOOKUP(AK90,suvaha!$D$92:$H$158,4,FALSE),9),1))</f>
        <v/>
      </c>
      <c r="BR92" s="255"/>
      <c r="BS92" s="432" t="str">
        <f>IF(LEN(VLOOKUP(AK90,suvaha!$D$92:$H$158,4,FALSE))&lt;8,"",LEFT(RIGHT(VLOOKUP(AK90,suvaha!$D$92:$H$158,4,FALSE),8),1))</f>
        <v/>
      </c>
      <c r="BT92" s="434"/>
      <c r="BU92" s="432" t="str">
        <f>IF(LEN(VLOOKUP(AK90,suvaha!$D$92:$H$158,4,FALSE))&lt;7,"",LEFT(RIGHT(VLOOKUP(AK90,suvaha!$D$92:$H$158,4,FALSE),7),1))</f>
        <v/>
      </c>
      <c r="BV92" s="818"/>
      <c r="BW92" s="432" t="str">
        <f>IF(LEN(VLOOKUP(AK90,suvaha!$D$92:$H$158,4,FALSE))&lt;6,"",LEFT(RIGHT(VLOOKUP(AK90,suvaha!$D$92:$H$158,4,FALSE),6),1))</f>
        <v/>
      </c>
      <c r="BX92" s="434"/>
      <c r="BY92" s="432" t="str">
        <f>IF(LEN(VLOOKUP(AK90,suvaha!$D$92:$H$158,4,FALSE))&lt;5,"",LEFT(RIGHT(VLOOKUP(AK90,suvaha!$D$92:$H$158,4,FALSE),5),1))</f>
        <v/>
      </c>
      <c r="BZ92" s="434"/>
      <c r="CA92" s="432" t="str">
        <f>IF(LEN(VLOOKUP(AK90,suvaha!$D$92:$H$158,4,FALSE))&lt;4,"",LEFT(RIGHT(VLOOKUP(AK90,suvaha!$D$92:$H$158,4,FALSE),4),1))</f>
        <v/>
      </c>
      <c r="CB92" s="819"/>
      <c r="CC92" s="432" t="str">
        <f>IF(LEN(VLOOKUP(AK90,suvaha!$D$92:$H$158,4,FALSE))&lt;3,"",LEFT(RIGHT(VLOOKUP(AK90,suvaha!$D$92:$H$158,4,FALSE),3),1))</f>
        <v/>
      </c>
      <c r="CD92" s="434"/>
      <c r="CE92" s="432" t="str">
        <f>IF(LEN(VLOOKUP(AK90,suvaha!$D$92:$H$158,4,FALSE))&lt;2,"",LEFT(RIGHT(VLOOKUP(AK90,suvaha!$D$92:$H$158,4,FALSE),2),1))</f>
        <v/>
      </c>
      <c r="CF92" s="434"/>
      <c r="CG92" s="432" t="str">
        <f>IF(VLOOKUP(AK90,suvaha!$D$92:$H$158,4,FALSE)=0,"",IF(LEN(VLOOKUP(AK90,suvaha!$D$92:$H$158,4,FALSE))&lt;1,"",LEFT(RIGHT(VLOOKUP(AK90,suvaha!$D$92:$H$158,4,FALSE),1),1)))</f>
        <v/>
      </c>
      <c r="CH92" s="285"/>
      <c r="CI92" s="220"/>
      <c r="CJ92" s="220"/>
    </row>
    <row r="93" spans="1:88" ht="3" customHeight="1">
      <c r="E93" s="983"/>
      <c r="F93" s="983"/>
      <c r="G93" s="972"/>
      <c r="H93" s="972"/>
      <c r="I93" s="972"/>
      <c r="J93" s="972"/>
      <c r="K93" s="972"/>
      <c r="L93" s="972"/>
      <c r="M93" s="972"/>
      <c r="N93" s="972"/>
      <c r="O93" s="972"/>
      <c r="P93" s="972"/>
      <c r="Q93" s="972"/>
      <c r="R93" s="972"/>
      <c r="S93" s="972"/>
      <c r="T93" s="972"/>
      <c r="U93" s="972"/>
      <c r="V93" s="972"/>
      <c r="W93" s="972"/>
      <c r="X93" s="972"/>
      <c r="Y93" s="972"/>
      <c r="Z93" s="972"/>
      <c r="AA93" s="972"/>
      <c r="AB93" s="972"/>
      <c r="AC93" s="972"/>
      <c r="AD93" s="972"/>
      <c r="AE93" s="972"/>
      <c r="AF93" s="972"/>
      <c r="AG93" s="972"/>
      <c r="AH93" s="972"/>
      <c r="AI93" s="972"/>
      <c r="AJ93" s="972"/>
      <c r="AK93" s="973"/>
      <c r="AL93" s="973"/>
      <c r="AM93" s="973"/>
      <c r="AN93" s="358"/>
      <c r="AO93" s="365"/>
      <c r="AP93" s="365"/>
      <c r="AQ93" s="365"/>
      <c r="AR93" s="365"/>
      <c r="AS93" s="365"/>
      <c r="AT93" s="365"/>
      <c r="AU93" s="365"/>
      <c r="AV93" s="365"/>
      <c r="AW93" s="365"/>
      <c r="AX93" s="365"/>
      <c r="AY93" s="365"/>
      <c r="AZ93" s="365"/>
      <c r="BA93" s="365"/>
      <c r="BB93" s="365"/>
      <c r="BC93" s="365"/>
      <c r="BD93" s="365"/>
      <c r="BE93" s="310"/>
      <c r="BF93" s="310"/>
      <c r="BG93" s="310"/>
      <c r="BH93" s="310"/>
      <c r="BI93" s="310"/>
      <c r="BJ93" s="310"/>
      <c r="BK93" s="310"/>
      <c r="BL93" s="846"/>
      <c r="BM93" s="846"/>
      <c r="BN93" s="846"/>
      <c r="BO93" s="846"/>
      <c r="BP93" s="846"/>
      <c r="BQ93" s="846"/>
      <c r="BR93" s="846"/>
      <c r="BS93" s="846"/>
      <c r="BT93" s="846"/>
      <c r="BU93" s="846"/>
      <c r="BV93" s="846"/>
      <c r="BW93" s="846"/>
      <c r="BX93" s="846"/>
      <c r="BY93" s="846"/>
      <c r="BZ93" s="846"/>
      <c r="CA93" s="846"/>
      <c r="CB93" s="846"/>
      <c r="CC93" s="310"/>
      <c r="CD93" s="310"/>
      <c r="CE93" s="310"/>
      <c r="CF93" s="310"/>
      <c r="CG93" s="310"/>
      <c r="CH93" s="286"/>
      <c r="CI93" s="220"/>
      <c r="CJ93" s="220"/>
    </row>
    <row r="94" spans="1:88" s="250" customFormat="1" ht="3" customHeight="1">
      <c r="A94" s="220"/>
      <c r="B94" s="220"/>
      <c r="C94" s="224"/>
      <c r="D94" s="224"/>
      <c r="E94" s="983" t="s">
        <v>1546</v>
      </c>
      <c r="F94" s="983"/>
      <c r="G94" s="972" t="str">
        <f>Index!C162</f>
        <v>Dlhodobé prijaté preddavky (475A)</v>
      </c>
      <c r="H94" s="972"/>
      <c r="I94" s="972"/>
      <c r="J94" s="972"/>
      <c r="K94" s="972"/>
      <c r="L94" s="972"/>
      <c r="M94" s="972"/>
      <c r="N94" s="972"/>
      <c r="O94" s="972"/>
      <c r="P94" s="972"/>
      <c r="Q94" s="972"/>
      <c r="R94" s="972"/>
      <c r="S94" s="972"/>
      <c r="T94" s="972"/>
      <c r="U94" s="972"/>
      <c r="V94" s="972"/>
      <c r="W94" s="972"/>
      <c r="X94" s="972"/>
      <c r="Y94" s="972"/>
      <c r="Z94" s="972"/>
      <c r="AA94" s="972"/>
      <c r="AB94" s="972"/>
      <c r="AC94" s="972"/>
      <c r="AD94" s="972"/>
      <c r="AE94" s="972"/>
      <c r="AF94" s="972"/>
      <c r="AG94" s="972"/>
      <c r="AH94" s="972"/>
      <c r="AI94" s="972"/>
      <c r="AJ94" s="972"/>
      <c r="AK94" s="973" t="s">
        <v>619</v>
      </c>
      <c r="AL94" s="973"/>
      <c r="AM94" s="973"/>
      <c r="AN94" s="357"/>
      <c r="AO94" s="366"/>
      <c r="AP94" s="366"/>
      <c r="AQ94" s="366"/>
      <c r="AR94" s="366"/>
      <c r="AS94" s="366"/>
      <c r="AT94" s="366"/>
      <c r="AU94" s="366"/>
      <c r="AV94" s="366"/>
      <c r="AW94" s="366"/>
      <c r="AX94" s="366"/>
      <c r="AY94" s="366"/>
      <c r="AZ94" s="366"/>
      <c r="BA94" s="366"/>
      <c r="BB94" s="366"/>
      <c r="BC94" s="366"/>
      <c r="BD94" s="366"/>
      <c r="BE94" s="304"/>
      <c r="BF94" s="304"/>
      <c r="BG94" s="304"/>
      <c r="BH94" s="304"/>
      <c r="BI94" s="304"/>
      <c r="BJ94" s="304"/>
      <c r="BK94" s="304"/>
      <c r="BL94" s="867"/>
      <c r="BM94" s="867"/>
      <c r="BN94" s="867"/>
      <c r="BO94" s="867"/>
      <c r="BP94" s="867"/>
      <c r="BQ94" s="867"/>
      <c r="BR94" s="867"/>
      <c r="BS94" s="867"/>
      <c r="BT94" s="867"/>
      <c r="BU94" s="867"/>
      <c r="BV94" s="867"/>
      <c r="BW94" s="867"/>
      <c r="BX94" s="867"/>
      <c r="BY94" s="867"/>
      <c r="BZ94" s="867"/>
      <c r="CA94" s="867"/>
      <c r="CB94" s="867"/>
      <c r="CC94" s="304"/>
      <c r="CD94" s="304"/>
      <c r="CE94" s="304"/>
      <c r="CF94" s="304"/>
      <c r="CG94" s="304"/>
      <c r="CH94" s="284"/>
      <c r="CI94" s="288"/>
      <c r="CJ94" s="288"/>
    </row>
    <row r="95" spans="1:88" s="250" customFormat="1" ht="3" customHeight="1">
      <c r="A95" s="220"/>
      <c r="B95" s="220"/>
      <c r="C95" s="220"/>
      <c r="D95" s="220"/>
      <c r="E95" s="983"/>
      <c r="F95" s="983"/>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3"/>
      <c r="AL95" s="973"/>
      <c r="AM95" s="973"/>
      <c r="AN95" s="355"/>
      <c r="AO95" s="436"/>
      <c r="AP95" s="436"/>
      <c r="AQ95" s="436"/>
      <c r="AR95" s="435"/>
      <c r="AS95" s="439"/>
      <c r="AT95" s="439"/>
      <c r="AU95" s="439"/>
      <c r="AV95" s="439"/>
      <c r="AW95" s="439"/>
      <c r="AX95" s="440"/>
      <c r="AY95" s="821"/>
      <c r="AZ95" s="821"/>
      <c r="BA95" s="821"/>
      <c r="BB95" s="821"/>
      <c r="BC95" s="821"/>
      <c r="BD95" s="821"/>
      <c r="BE95" s="434"/>
      <c r="BF95" s="968"/>
      <c r="BG95" s="968"/>
      <c r="BH95" s="968"/>
      <c r="BI95" s="968"/>
      <c r="BJ95" s="968"/>
      <c r="BK95" s="851"/>
      <c r="BL95" s="826"/>
      <c r="BM95" s="820"/>
      <c r="BN95" s="820"/>
      <c r="BO95" s="820"/>
      <c r="BP95" s="435"/>
      <c r="BQ95" s="821"/>
      <c r="BR95" s="821"/>
      <c r="BS95" s="821"/>
      <c r="BT95" s="821"/>
      <c r="BU95" s="821"/>
      <c r="BV95" s="818"/>
      <c r="BW95" s="822"/>
      <c r="BX95" s="822"/>
      <c r="BY95" s="822"/>
      <c r="BZ95" s="822"/>
      <c r="CA95" s="822"/>
      <c r="CB95" s="819"/>
      <c r="CC95" s="822"/>
      <c r="CD95" s="822"/>
      <c r="CE95" s="822"/>
      <c r="CF95" s="822"/>
      <c r="CG95" s="822"/>
      <c r="CH95" s="285"/>
      <c r="CI95" s="288"/>
      <c r="CJ95" s="288"/>
    </row>
    <row r="96" spans="1:88" ht="15" customHeight="1">
      <c r="E96" s="983"/>
      <c r="F96" s="983"/>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3"/>
      <c r="AL96" s="973"/>
      <c r="AM96" s="973"/>
      <c r="AN96" s="355"/>
      <c r="AO96" s="432" t="str">
        <f>IF(LEN(VLOOKUP(AK94,suvaha!$D$92:$H$158,2,FALSE))&lt;11,"",LEFT(RIGHT(VLOOKUP(AK94,suvaha!$D$92:$H$158,2,FALSE),11),1))</f>
        <v/>
      </c>
      <c r="AP96" s="255"/>
      <c r="AQ96" s="432" t="str">
        <f>IF(LEN(VLOOKUP(AK94,suvaha!$D$92:$H$158,2,FALSE))&lt;10,"",LEFT(RIGHT(VLOOKUP(AK94,suvaha!$D$92:$H$158,2,FALSE),10),1))</f>
        <v/>
      </c>
      <c r="AR96" s="434"/>
      <c r="AS96" s="432" t="str">
        <f>IF(LEN(VLOOKUP(AK94,suvaha!$D$92:$H$158,2,FALSE))&lt;9,"",LEFT(RIGHT(VLOOKUP(AK94,suvaha!$D$92:$H$158,2,FALSE),9),1))</f>
        <v/>
      </c>
      <c r="AT96" s="255"/>
      <c r="AU96" s="432" t="str">
        <f>IF(LEN(VLOOKUP(AK94,suvaha!$D$92:$H$158,2,FALSE))&lt;8,"",LEFT(RIGHT(VLOOKUP(AK94,suvaha!$D$92:$H$158,2,FALSE),8),1))</f>
        <v/>
      </c>
      <c r="AV96" s="434"/>
      <c r="AW96" s="432" t="str">
        <f>IF(LEN(VLOOKUP(AK94,suvaha!$D$92:$H$158,2,FALSE))&lt;7,"",LEFT(RIGHT(VLOOKUP(AK94,suvaha!$D$92:$H$158,2,FALSE),7),1))</f>
        <v/>
      </c>
      <c r="AX96" s="440"/>
      <c r="AY96" s="432" t="str">
        <f>IF(LEN(VLOOKUP(AK94,suvaha!$D$92:$H$158,2,FALSE))&lt;6,"",LEFT(RIGHT(VLOOKUP(AK94,suvaha!$D$92:$H$158,2,FALSE),6),1))</f>
        <v/>
      </c>
      <c r="AZ96" s="255"/>
      <c r="BA96" s="961" t="str">
        <f>IF(LEN(VLOOKUP(AK94,suvaha!$D$92:$H$158,2,FALSE))&lt;5,"",LEFT(RIGHT(VLOOKUP(AK94,suvaha!$D$92:$H$158,2,FALSE),5),1))</f>
        <v/>
      </c>
      <c r="BB96" s="961" t="e">
        <f>IF(LEN(#REF!)&lt;5,"",LEFT(RIGHT(#REF!,5),1))</f>
        <v>#REF!</v>
      </c>
      <c r="BC96" s="434"/>
      <c r="BD96" s="432" t="str">
        <f>IF(LEN(VLOOKUP(AK94,suvaha!$D$92:$H$158,2,FALSE))&lt;4,"",LEFT(RIGHT(VLOOKUP(AK94,suvaha!$D$92:$H$158,2,FALSE),4),1))</f>
        <v/>
      </c>
      <c r="BE96" s="434"/>
      <c r="BF96" s="432" t="str">
        <f>IF(LEN(VLOOKUP(AK94,suvaha!$D$92:$H$158,2,FALSE))&lt;3,"",LEFT(RIGHT(VLOOKUP(AK94,suvaha!$D$92:$H$158,2,FALSE),3),1))</f>
        <v/>
      </c>
      <c r="BG96" s="434"/>
      <c r="BH96" s="432" t="str">
        <f>IF(LEN(VLOOKUP(AK94,suvaha!$D$92:$H$158,2,FALSE))&lt;2,"",LEFT(RIGHT(VLOOKUP(AK94,suvaha!$D$92:$H$158,2,FALSE),2),1))</f>
        <v/>
      </c>
      <c r="BI96" s="434"/>
      <c r="BJ96" s="432" t="str">
        <f>IF(VLOOKUP(AK94,suvaha!$D$92:$H$158,2,FALSE)=0,"",IF(LEN(VLOOKUP(AK94,suvaha!$D$92:$H$158,2,FALSE))&lt;1,"",LEFT(RIGHT(VLOOKUP(AK94,suvaha!$D$92:$H$158,2,FALSE),1),1)))</f>
        <v/>
      </c>
      <c r="BK96" s="851"/>
      <c r="BL96" s="826"/>
      <c r="BM96" s="432" t="str">
        <f>IF(LEN(VLOOKUP(AK94,suvaha!$D$92:$H$158,4,FALSE))&lt;11,"",LEFT(RIGHT(VLOOKUP(AK94,suvaha!$D$92:$H$158,4,FALSE),11),1))</f>
        <v/>
      </c>
      <c r="BN96" s="255"/>
      <c r="BO96" s="432" t="str">
        <f>IF(LEN(VLOOKUP(AK94,suvaha!$D$92:$H$158,4,FALSE))&lt;10,"",LEFT(RIGHT(VLOOKUP(AK94,suvaha!$D$92:$H$158,4,FALSE),10),1))</f>
        <v/>
      </c>
      <c r="BP96" s="434"/>
      <c r="BQ96" s="432" t="str">
        <f>IF(LEN(VLOOKUP(AK94,suvaha!$D$92:$H$158,4,FALSE))&lt;9,"",LEFT(RIGHT(VLOOKUP(AK94,suvaha!$D$92:$H$158,4,FALSE),9),1))</f>
        <v/>
      </c>
      <c r="BR96" s="255"/>
      <c r="BS96" s="432" t="str">
        <f>IF(LEN(VLOOKUP(AK94,suvaha!$D$92:$H$158,4,FALSE))&lt;8,"",LEFT(RIGHT(VLOOKUP(AK94,suvaha!$D$92:$H$158,4,FALSE),8),1))</f>
        <v/>
      </c>
      <c r="BT96" s="434"/>
      <c r="BU96" s="432" t="str">
        <f>IF(LEN(VLOOKUP(AK94,suvaha!$D$92:$H$158,4,FALSE))&lt;7,"",LEFT(RIGHT(VLOOKUP(AK94,suvaha!$D$92:$H$158,4,FALSE),7),1))</f>
        <v/>
      </c>
      <c r="BV96" s="818"/>
      <c r="BW96" s="432" t="str">
        <f>IF(LEN(VLOOKUP(AK94,suvaha!$D$92:$H$158,4,FALSE))&lt;6,"",LEFT(RIGHT(VLOOKUP(AK94,suvaha!$D$92:$H$158,4,FALSE),6),1))</f>
        <v/>
      </c>
      <c r="BX96" s="434"/>
      <c r="BY96" s="432" t="str">
        <f>IF(LEN(VLOOKUP(AK94,suvaha!$D$92:$H$158,4,FALSE))&lt;5,"",LEFT(RIGHT(VLOOKUP(AK94,suvaha!$D$92:$H$158,4,FALSE),5),1))</f>
        <v/>
      </c>
      <c r="BZ96" s="434"/>
      <c r="CA96" s="432" t="str">
        <f>IF(LEN(VLOOKUP(AK94,suvaha!$D$92:$H$158,4,FALSE))&lt;4,"",LEFT(RIGHT(VLOOKUP(AK94,suvaha!$D$92:$H$158,4,FALSE),4),1))</f>
        <v/>
      </c>
      <c r="CB96" s="819"/>
      <c r="CC96" s="432" t="str">
        <f>IF(LEN(VLOOKUP(AK94,suvaha!$D$92:$H$158,4,FALSE))&lt;3,"",LEFT(RIGHT(VLOOKUP(AK94,suvaha!$D$92:$H$158,4,FALSE),3),1))</f>
        <v/>
      </c>
      <c r="CD96" s="434"/>
      <c r="CE96" s="432" t="str">
        <f>IF(LEN(VLOOKUP(AK94,suvaha!$D$92:$H$158,4,FALSE))&lt;2,"",LEFT(RIGHT(VLOOKUP(AK94,suvaha!$D$92:$H$158,4,FALSE),2),1))</f>
        <v/>
      </c>
      <c r="CF96" s="434"/>
      <c r="CG96" s="432" t="str">
        <f>IF(VLOOKUP(AK94,suvaha!$D$92:$H$158,4,FALSE)=0,"",IF(LEN(VLOOKUP(AK94,suvaha!$D$92:$H$158,4,FALSE))&lt;1,"",LEFT(RIGHT(VLOOKUP(AK94,suvaha!$D$92:$H$158,4,FALSE),1),1)))</f>
        <v/>
      </c>
      <c r="CH96" s="285"/>
      <c r="CI96" s="220"/>
      <c r="CJ96" s="220"/>
    </row>
    <row r="97" spans="1:88" ht="3" customHeight="1">
      <c r="E97" s="983"/>
      <c r="F97" s="983"/>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3"/>
      <c r="AL97" s="973"/>
      <c r="AM97" s="973"/>
      <c r="AN97" s="358"/>
      <c r="AO97" s="365"/>
      <c r="AP97" s="365"/>
      <c r="AQ97" s="365"/>
      <c r="AR97" s="365"/>
      <c r="AS97" s="365"/>
      <c r="AT97" s="365"/>
      <c r="AU97" s="365"/>
      <c r="AV97" s="365"/>
      <c r="AW97" s="365"/>
      <c r="AX97" s="365"/>
      <c r="AY97" s="365"/>
      <c r="AZ97" s="365"/>
      <c r="BA97" s="365"/>
      <c r="BB97" s="365"/>
      <c r="BC97" s="365"/>
      <c r="BD97" s="365"/>
      <c r="BE97" s="310"/>
      <c r="BF97" s="310"/>
      <c r="BG97" s="310"/>
      <c r="BH97" s="310"/>
      <c r="BI97" s="310"/>
      <c r="BJ97" s="310"/>
      <c r="BK97" s="310"/>
      <c r="BL97" s="846"/>
      <c r="BM97" s="846"/>
      <c r="BN97" s="846"/>
      <c r="BO97" s="846"/>
      <c r="BP97" s="846"/>
      <c r="BQ97" s="846"/>
      <c r="BR97" s="846"/>
      <c r="BS97" s="846"/>
      <c r="BT97" s="846"/>
      <c r="BU97" s="846"/>
      <c r="BV97" s="846"/>
      <c r="BW97" s="846"/>
      <c r="BX97" s="846"/>
      <c r="BY97" s="846"/>
      <c r="BZ97" s="846"/>
      <c r="CA97" s="846"/>
      <c r="CB97" s="846"/>
      <c r="CC97" s="310"/>
      <c r="CD97" s="310"/>
      <c r="CE97" s="310"/>
      <c r="CF97" s="310"/>
      <c r="CG97" s="310"/>
      <c r="CH97" s="286"/>
      <c r="CI97" s="220"/>
      <c r="CJ97" s="220"/>
    </row>
    <row r="98" spans="1:88" s="250" customFormat="1" ht="3" customHeight="1">
      <c r="A98" s="220"/>
      <c r="B98" s="220"/>
      <c r="C98" s="224"/>
      <c r="D98" s="224"/>
      <c r="E98" s="983" t="s">
        <v>1547</v>
      </c>
      <c r="F98" s="983"/>
      <c r="G98" s="972" t="str">
        <f>Index!C163</f>
        <v>Dlhodobé zmenky na úhradu (478A)</v>
      </c>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3" t="s">
        <v>621</v>
      </c>
      <c r="AL98" s="973"/>
      <c r="AM98" s="973"/>
      <c r="AN98" s="357"/>
      <c r="AO98" s="366"/>
      <c r="AP98" s="366"/>
      <c r="AQ98" s="366"/>
      <c r="AR98" s="366"/>
      <c r="AS98" s="366"/>
      <c r="AT98" s="366"/>
      <c r="AU98" s="366"/>
      <c r="AV98" s="366"/>
      <c r="AW98" s="366"/>
      <c r="AX98" s="366"/>
      <c r="AY98" s="366"/>
      <c r="AZ98" s="366"/>
      <c r="BA98" s="366"/>
      <c r="BB98" s="366"/>
      <c r="BC98" s="366"/>
      <c r="BD98" s="366"/>
      <c r="BE98" s="304"/>
      <c r="BF98" s="304"/>
      <c r="BG98" s="304"/>
      <c r="BH98" s="304"/>
      <c r="BI98" s="304"/>
      <c r="BJ98" s="304"/>
      <c r="BK98" s="304"/>
      <c r="BL98" s="867"/>
      <c r="BM98" s="867"/>
      <c r="BN98" s="867"/>
      <c r="BO98" s="867"/>
      <c r="BP98" s="867"/>
      <c r="BQ98" s="867"/>
      <c r="BR98" s="867"/>
      <c r="BS98" s="867"/>
      <c r="BT98" s="867"/>
      <c r="BU98" s="867"/>
      <c r="BV98" s="867"/>
      <c r="BW98" s="867"/>
      <c r="BX98" s="867"/>
      <c r="BY98" s="867"/>
      <c r="BZ98" s="867"/>
      <c r="CA98" s="867"/>
      <c r="CB98" s="867"/>
      <c r="CC98" s="304"/>
      <c r="CD98" s="304"/>
      <c r="CE98" s="304"/>
      <c r="CF98" s="304"/>
      <c r="CG98" s="304"/>
      <c r="CH98" s="284"/>
      <c r="CI98" s="288"/>
      <c r="CJ98" s="288"/>
    </row>
    <row r="99" spans="1:88" s="250" customFormat="1" ht="3" customHeight="1">
      <c r="A99" s="220"/>
      <c r="B99" s="220"/>
      <c r="C99" s="220"/>
      <c r="D99" s="220"/>
      <c r="E99" s="983"/>
      <c r="F99" s="983"/>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3"/>
      <c r="AL99" s="973"/>
      <c r="AM99" s="973"/>
      <c r="AN99" s="355"/>
      <c r="AO99" s="436"/>
      <c r="AP99" s="436"/>
      <c r="AQ99" s="436"/>
      <c r="AR99" s="435"/>
      <c r="AS99" s="439"/>
      <c r="AT99" s="439"/>
      <c r="AU99" s="439"/>
      <c r="AV99" s="439"/>
      <c r="AW99" s="439"/>
      <c r="AX99" s="440"/>
      <c r="AY99" s="821"/>
      <c r="AZ99" s="821"/>
      <c r="BA99" s="821"/>
      <c r="BB99" s="821"/>
      <c r="BC99" s="821"/>
      <c r="BD99" s="821"/>
      <c r="BE99" s="434"/>
      <c r="BF99" s="968"/>
      <c r="BG99" s="968"/>
      <c r="BH99" s="968"/>
      <c r="BI99" s="968"/>
      <c r="BJ99" s="968"/>
      <c r="BK99" s="851"/>
      <c r="BL99" s="826"/>
      <c r="BM99" s="820"/>
      <c r="BN99" s="820"/>
      <c r="BO99" s="820"/>
      <c r="BP99" s="435"/>
      <c r="BQ99" s="821"/>
      <c r="BR99" s="821"/>
      <c r="BS99" s="821"/>
      <c r="BT99" s="821"/>
      <c r="BU99" s="821"/>
      <c r="BV99" s="818"/>
      <c r="BW99" s="822"/>
      <c r="BX99" s="822"/>
      <c r="BY99" s="822"/>
      <c r="BZ99" s="822"/>
      <c r="CA99" s="822"/>
      <c r="CB99" s="819"/>
      <c r="CC99" s="822"/>
      <c r="CD99" s="822"/>
      <c r="CE99" s="822"/>
      <c r="CF99" s="822"/>
      <c r="CG99" s="822"/>
      <c r="CH99" s="285"/>
      <c r="CI99" s="288"/>
      <c r="CJ99" s="288"/>
    </row>
    <row r="100" spans="1:88" ht="15" customHeight="1">
      <c r="E100" s="983"/>
      <c r="F100" s="983"/>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3"/>
      <c r="AL100" s="973"/>
      <c r="AM100" s="973"/>
      <c r="AN100" s="355"/>
      <c r="AO100" s="432" t="str">
        <f>IF(LEN(VLOOKUP(AK98,suvaha!$D$92:$H$158,2,FALSE))&lt;11,"",LEFT(RIGHT(VLOOKUP(AK98,suvaha!$D$92:$H$158,2,FALSE),11),1))</f>
        <v/>
      </c>
      <c r="AP100" s="255"/>
      <c r="AQ100" s="432" t="str">
        <f>IF(LEN(VLOOKUP(AK98,suvaha!$D$92:$H$158,2,FALSE))&lt;10,"",LEFT(RIGHT(VLOOKUP(AK98,suvaha!$D$92:$H$158,2,FALSE),10),1))</f>
        <v/>
      </c>
      <c r="AR100" s="434"/>
      <c r="AS100" s="432" t="str">
        <f>IF(LEN(VLOOKUP(AK98,suvaha!$D$92:$H$158,2,FALSE))&lt;9,"",LEFT(RIGHT(VLOOKUP(AK98,suvaha!$D$92:$H$158,2,FALSE),9),1))</f>
        <v/>
      </c>
      <c r="AT100" s="255"/>
      <c r="AU100" s="432" t="str">
        <f>IF(LEN(VLOOKUP(AK98,suvaha!$D$92:$H$158,2,FALSE))&lt;8,"",LEFT(RIGHT(VLOOKUP(AK98,suvaha!$D$92:$H$158,2,FALSE),8),1))</f>
        <v/>
      </c>
      <c r="AV100" s="434"/>
      <c r="AW100" s="432" t="str">
        <f>IF(LEN(VLOOKUP(AK98,suvaha!$D$92:$H$158,2,FALSE))&lt;7,"",LEFT(RIGHT(VLOOKUP(AK98,suvaha!$D$92:$H$158,2,FALSE),7),1))</f>
        <v/>
      </c>
      <c r="AX100" s="440"/>
      <c r="AY100" s="432" t="str">
        <f>IF(LEN(VLOOKUP(AK98,suvaha!$D$92:$H$158,2,FALSE))&lt;6,"",LEFT(RIGHT(VLOOKUP(AK98,suvaha!$D$92:$H$158,2,FALSE),6),1))</f>
        <v/>
      </c>
      <c r="AZ100" s="255"/>
      <c r="BA100" s="961" t="str">
        <f>IF(LEN(VLOOKUP(AK98,suvaha!$D$92:$H$158,2,FALSE))&lt;5,"",LEFT(RIGHT(VLOOKUP(AK98,suvaha!$D$92:$H$158,2,FALSE),5),1))</f>
        <v/>
      </c>
      <c r="BB100" s="961" t="e">
        <f>IF(LEN(#REF!)&lt;5,"",LEFT(RIGHT(#REF!,5),1))</f>
        <v>#REF!</v>
      </c>
      <c r="BC100" s="434"/>
      <c r="BD100" s="432" t="str">
        <f>IF(LEN(VLOOKUP(AK98,suvaha!$D$92:$H$158,2,FALSE))&lt;4,"",LEFT(RIGHT(VLOOKUP(AK98,suvaha!$D$92:$H$158,2,FALSE),4),1))</f>
        <v/>
      </c>
      <c r="BE100" s="434"/>
      <c r="BF100" s="432" t="str">
        <f>IF(LEN(VLOOKUP(AK98,suvaha!$D$92:$H$158,2,FALSE))&lt;3,"",LEFT(RIGHT(VLOOKUP(AK98,suvaha!$D$92:$H$158,2,FALSE),3),1))</f>
        <v/>
      </c>
      <c r="BG100" s="434"/>
      <c r="BH100" s="432" t="str">
        <f>IF(LEN(VLOOKUP(AK98,suvaha!$D$92:$H$158,2,FALSE))&lt;2,"",LEFT(RIGHT(VLOOKUP(AK98,suvaha!$D$92:$H$158,2,FALSE),2),1))</f>
        <v/>
      </c>
      <c r="BI100" s="434"/>
      <c r="BJ100" s="432" t="str">
        <f>IF(VLOOKUP(AK98,suvaha!$D$92:$H$158,2,FALSE)=0,"",IF(LEN(VLOOKUP(AK98,suvaha!$D$92:$H$158,2,FALSE))&lt;1,"",LEFT(RIGHT(VLOOKUP(AK98,suvaha!$D$92:$H$158,2,FALSE),1),1)))</f>
        <v/>
      </c>
      <c r="BK100" s="851"/>
      <c r="BL100" s="826"/>
      <c r="BM100" s="432" t="str">
        <f>IF(LEN(VLOOKUP(AK98,suvaha!$D$92:$H$158,4,FALSE))&lt;11,"",LEFT(RIGHT(VLOOKUP(AK98,suvaha!$D$92:$H$158,4,FALSE),11),1))</f>
        <v/>
      </c>
      <c r="BN100" s="255"/>
      <c r="BO100" s="432" t="str">
        <f>IF(LEN(VLOOKUP(AK98,suvaha!$D$92:$H$158,4,FALSE))&lt;10,"",LEFT(RIGHT(VLOOKUP(AK98,suvaha!$D$92:$H$158,4,FALSE),10),1))</f>
        <v/>
      </c>
      <c r="BP100" s="434"/>
      <c r="BQ100" s="432" t="str">
        <f>IF(LEN(VLOOKUP(AK98,suvaha!$D$92:$H$158,4,FALSE))&lt;9,"",LEFT(RIGHT(VLOOKUP(AK98,suvaha!$D$92:$H$158,4,FALSE),9),1))</f>
        <v/>
      </c>
      <c r="BR100" s="255"/>
      <c r="BS100" s="432" t="str">
        <f>IF(LEN(VLOOKUP(AK98,suvaha!$D$92:$H$158,4,FALSE))&lt;8,"",LEFT(RIGHT(VLOOKUP(AK98,suvaha!$D$92:$H$158,4,FALSE),8),1))</f>
        <v/>
      </c>
      <c r="BT100" s="434"/>
      <c r="BU100" s="432" t="str">
        <f>IF(LEN(VLOOKUP(AK98,suvaha!$D$92:$H$158,4,FALSE))&lt;7,"",LEFT(RIGHT(VLOOKUP(AK98,suvaha!$D$92:$H$158,4,FALSE),7),1))</f>
        <v/>
      </c>
      <c r="BV100" s="818"/>
      <c r="BW100" s="432" t="str">
        <f>IF(LEN(VLOOKUP(AK98,suvaha!$D$92:$H$158,4,FALSE))&lt;6,"",LEFT(RIGHT(VLOOKUP(AK98,suvaha!$D$92:$H$158,4,FALSE),6),1))</f>
        <v/>
      </c>
      <c r="BX100" s="434"/>
      <c r="BY100" s="432" t="str">
        <f>IF(LEN(VLOOKUP(AK98,suvaha!$D$92:$H$158,4,FALSE))&lt;5,"",LEFT(RIGHT(VLOOKUP(AK98,suvaha!$D$92:$H$158,4,FALSE),5),1))</f>
        <v/>
      </c>
      <c r="BZ100" s="434"/>
      <c r="CA100" s="432" t="str">
        <f>IF(LEN(VLOOKUP(AK98,suvaha!$D$92:$H$158,4,FALSE))&lt;4,"",LEFT(RIGHT(VLOOKUP(AK98,suvaha!$D$92:$H$158,4,FALSE),4),1))</f>
        <v/>
      </c>
      <c r="CB100" s="819"/>
      <c r="CC100" s="432" t="str">
        <f>IF(LEN(VLOOKUP(AK98,suvaha!$D$92:$H$158,4,FALSE))&lt;3,"",LEFT(RIGHT(VLOOKUP(AK98,suvaha!$D$92:$H$158,4,FALSE),3),1))</f>
        <v/>
      </c>
      <c r="CD100" s="434"/>
      <c r="CE100" s="432" t="str">
        <f>IF(LEN(VLOOKUP(AK98,suvaha!$D$92:$H$158,4,FALSE))&lt;2,"",LEFT(RIGHT(VLOOKUP(AK98,suvaha!$D$92:$H$158,4,FALSE),2),1))</f>
        <v/>
      </c>
      <c r="CF100" s="434"/>
      <c r="CG100" s="432" t="str">
        <f>IF(VLOOKUP(AK98,suvaha!$D$92:$H$158,4,FALSE)=0,"",IF(LEN(VLOOKUP(AK98,suvaha!$D$92:$H$158,4,FALSE))&lt;1,"",LEFT(RIGHT(VLOOKUP(AK98,suvaha!$D$92:$H$158,4,FALSE),1),1)))</f>
        <v/>
      </c>
      <c r="CH100" s="285"/>
      <c r="CI100" s="220"/>
      <c r="CJ100" s="220"/>
    </row>
    <row r="101" spans="1:88" ht="3" customHeight="1">
      <c r="E101" s="983"/>
      <c r="F101" s="983"/>
      <c r="G101" s="972"/>
      <c r="H101" s="972"/>
      <c r="I101" s="972"/>
      <c r="J101" s="972"/>
      <c r="K101" s="972"/>
      <c r="L101" s="972"/>
      <c r="M101" s="972"/>
      <c r="N101" s="972"/>
      <c r="O101" s="972"/>
      <c r="P101" s="972"/>
      <c r="Q101" s="972"/>
      <c r="R101" s="972"/>
      <c r="S101" s="972"/>
      <c r="T101" s="972"/>
      <c r="U101" s="972"/>
      <c r="V101" s="972"/>
      <c r="W101" s="972"/>
      <c r="X101" s="972"/>
      <c r="Y101" s="972"/>
      <c r="Z101" s="972"/>
      <c r="AA101" s="972"/>
      <c r="AB101" s="972"/>
      <c r="AC101" s="972"/>
      <c r="AD101" s="972"/>
      <c r="AE101" s="972"/>
      <c r="AF101" s="972"/>
      <c r="AG101" s="972"/>
      <c r="AH101" s="972"/>
      <c r="AI101" s="972"/>
      <c r="AJ101" s="972"/>
      <c r="AK101" s="973"/>
      <c r="AL101" s="973"/>
      <c r="AM101" s="973"/>
      <c r="AN101" s="358"/>
      <c r="AO101" s="365"/>
      <c r="AP101" s="365"/>
      <c r="AQ101" s="365"/>
      <c r="AR101" s="365"/>
      <c r="AS101" s="365"/>
      <c r="AT101" s="365"/>
      <c r="AU101" s="365"/>
      <c r="AV101" s="365"/>
      <c r="AW101" s="365"/>
      <c r="AX101" s="365"/>
      <c r="AY101" s="365"/>
      <c r="AZ101" s="365"/>
      <c r="BA101" s="365"/>
      <c r="BB101" s="365"/>
      <c r="BC101" s="365"/>
      <c r="BD101" s="365"/>
      <c r="BE101" s="310"/>
      <c r="BF101" s="310"/>
      <c r="BG101" s="310"/>
      <c r="BH101" s="310"/>
      <c r="BI101" s="310"/>
      <c r="BJ101" s="310"/>
      <c r="BK101" s="310"/>
      <c r="BL101" s="846"/>
      <c r="BM101" s="846"/>
      <c r="BN101" s="846"/>
      <c r="BO101" s="846"/>
      <c r="BP101" s="846"/>
      <c r="BQ101" s="846"/>
      <c r="BR101" s="846"/>
      <c r="BS101" s="846"/>
      <c r="BT101" s="846"/>
      <c r="BU101" s="846"/>
      <c r="BV101" s="846"/>
      <c r="BW101" s="846"/>
      <c r="BX101" s="846"/>
      <c r="BY101" s="846"/>
      <c r="BZ101" s="846"/>
      <c r="CA101" s="846"/>
      <c r="CB101" s="846"/>
      <c r="CC101" s="310"/>
      <c r="CD101" s="310"/>
      <c r="CE101" s="310"/>
      <c r="CF101" s="310"/>
      <c r="CG101" s="310"/>
      <c r="CH101" s="286"/>
      <c r="CI101" s="220"/>
      <c r="CJ101" s="220"/>
    </row>
    <row r="102" spans="1:88" s="250" customFormat="1" ht="3" customHeight="1">
      <c r="A102" s="220"/>
      <c r="B102" s="220"/>
      <c r="C102" s="224"/>
      <c r="D102" s="224"/>
      <c r="E102" s="983" t="s">
        <v>1559</v>
      </c>
      <c r="F102" s="983"/>
      <c r="G102" s="972" t="str">
        <f>Index!C164</f>
        <v>Vydané dlhopisy (473A/-/255A)</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3" t="s">
        <v>623</v>
      </c>
      <c r="AL102" s="973"/>
      <c r="AM102" s="973"/>
      <c r="AN102" s="357"/>
      <c r="AO102" s="366"/>
      <c r="AP102" s="366"/>
      <c r="AQ102" s="366"/>
      <c r="AR102" s="366"/>
      <c r="AS102" s="366"/>
      <c r="AT102" s="366"/>
      <c r="AU102" s="366"/>
      <c r="AV102" s="366"/>
      <c r="AW102" s="366"/>
      <c r="AX102" s="366"/>
      <c r="AY102" s="366"/>
      <c r="AZ102" s="366"/>
      <c r="BA102" s="366"/>
      <c r="BB102" s="366"/>
      <c r="BC102" s="366"/>
      <c r="BD102" s="366"/>
      <c r="BE102" s="304"/>
      <c r="BF102" s="304"/>
      <c r="BG102" s="304"/>
      <c r="BH102" s="304"/>
      <c r="BI102" s="304"/>
      <c r="BJ102" s="304"/>
      <c r="BK102" s="304"/>
      <c r="BL102" s="867"/>
      <c r="BM102" s="867"/>
      <c r="BN102" s="867"/>
      <c r="BO102" s="867"/>
      <c r="BP102" s="867"/>
      <c r="BQ102" s="867"/>
      <c r="BR102" s="867"/>
      <c r="BS102" s="867"/>
      <c r="BT102" s="867"/>
      <c r="BU102" s="867"/>
      <c r="BV102" s="867"/>
      <c r="BW102" s="867"/>
      <c r="BX102" s="867"/>
      <c r="BY102" s="867"/>
      <c r="BZ102" s="867"/>
      <c r="CA102" s="867"/>
      <c r="CB102" s="867"/>
      <c r="CC102" s="304"/>
      <c r="CD102" s="304"/>
      <c r="CE102" s="304"/>
      <c r="CF102" s="304"/>
      <c r="CG102" s="304"/>
      <c r="CH102" s="284"/>
      <c r="CI102" s="288"/>
      <c r="CJ102" s="288"/>
    </row>
    <row r="103" spans="1:88" s="250" customFormat="1" ht="3" customHeight="1">
      <c r="A103" s="220"/>
      <c r="B103" s="220"/>
      <c r="C103" s="220"/>
      <c r="D103" s="220"/>
      <c r="E103" s="983"/>
      <c r="F103" s="983"/>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3"/>
      <c r="AL103" s="973"/>
      <c r="AM103" s="973"/>
      <c r="AN103" s="355"/>
      <c r="AO103" s="436"/>
      <c r="AP103" s="436"/>
      <c r="AQ103" s="436"/>
      <c r="AR103" s="435"/>
      <c r="AS103" s="439"/>
      <c r="AT103" s="439"/>
      <c r="AU103" s="439"/>
      <c r="AV103" s="439"/>
      <c r="AW103" s="439"/>
      <c r="AX103" s="440"/>
      <c r="AY103" s="821"/>
      <c r="AZ103" s="821"/>
      <c r="BA103" s="821"/>
      <c r="BB103" s="821"/>
      <c r="BC103" s="821"/>
      <c r="BD103" s="821"/>
      <c r="BE103" s="434"/>
      <c r="BF103" s="968"/>
      <c r="BG103" s="968"/>
      <c r="BH103" s="968"/>
      <c r="BI103" s="968"/>
      <c r="BJ103" s="968"/>
      <c r="BK103" s="851"/>
      <c r="BL103" s="826"/>
      <c r="BM103" s="820"/>
      <c r="BN103" s="820"/>
      <c r="BO103" s="820"/>
      <c r="BP103" s="435"/>
      <c r="BQ103" s="821"/>
      <c r="BR103" s="821"/>
      <c r="BS103" s="821"/>
      <c r="BT103" s="821"/>
      <c r="BU103" s="821"/>
      <c r="BV103" s="818"/>
      <c r="BW103" s="822"/>
      <c r="BX103" s="822"/>
      <c r="BY103" s="822"/>
      <c r="BZ103" s="822"/>
      <c r="CA103" s="822"/>
      <c r="CB103" s="819"/>
      <c r="CC103" s="822"/>
      <c r="CD103" s="822"/>
      <c r="CE103" s="822"/>
      <c r="CF103" s="822"/>
      <c r="CG103" s="822"/>
      <c r="CH103" s="285"/>
      <c r="CI103" s="288"/>
      <c r="CJ103" s="288"/>
    </row>
    <row r="104" spans="1:88" ht="15" customHeight="1">
      <c r="E104" s="983"/>
      <c r="F104" s="983"/>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3"/>
      <c r="AL104" s="973"/>
      <c r="AM104" s="973"/>
      <c r="AN104" s="355"/>
      <c r="AO104" s="432" t="str">
        <f>IF(LEN(VLOOKUP(AK102,suvaha!$D$92:$H$158,2,FALSE))&lt;11,"",LEFT(RIGHT(VLOOKUP(AK102,suvaha!$D$92:$H$158,2,FALSE),11),1))</f>
        <v/>
      </c>
      <c r="AP104" s="255"/>
      <c r="AQ104" s="432" t="str">
        <f>IF(LEN(VLOOKUP(AK102,suvaha!$D$92:$H$158,2,FALSE))&lt;10,"",LEFT(RIGHT(VLOOKUP(AK102,suvaha!$D$92:$H$158,2,FALSE),10),1))</f>
        <v/>
      </c>
      <c r="AR104" s="434"/>
      <c r="AS104" s="432" t="str">
        <f>IF(LEN(VLOOKUP(AK102,suvaha!$D$92:$H$158,2,FALSE))&lt;9,"",LEFT(RIGHT(VLOOKUP(AK102,suvaha!$D$92:$H$158,2,FALSE),9),1))</f>
        <v/>
      </c>
      <c r="AT104" s="255"/>
      <c r="AU104" s="432" t="str">
        <f>IF(LEN(VLOOKUP(AK102,suvaha!$D$92:$H$158,2,FALSE))&lt;8,"",LEFT(RIGHT(VLOOKUP(AK102,suvaha!$D$92:$H$158,2,FALSE),8),1))</f>
        <v/>
      </c>
      <c r="AV104" s="434"/>
      <c r="AW104" s="432" t="str">
        <f>IF(LEN(VLOOKUP(AK102,suvaha!$D$92:$H$158,2,FALSE))&lt;7,"",LEFT(RIGHT(VLOOKUP(AK102,suvaha!$D$92:$H$158,2,FALSE),7),1))</f>
        <v/>
      </c>
      <c r="AX104" s="440"/>
      <c r="AY104" s="432" t="str">
        <f>IF(LEN(VLOOKUP(AK102,suvaha!$D$92:$H$158,2,FALSE))&lt;6,"",LEFT(RIGHT(VLOOKUP(AK102,suvaha!$D$92:$H$158,2,FALSE),6),1))</f>
        <v/>
      </c>
      <c r="AZ104" s="255"/>
      <c r="BA104" s="961" t="str">
        <f>IF(LEN(VLOOKUP(AK102,suvaha!$D$92:$H$158,2,FALSE))&lt;5,"",LEFT(RIGHT(VLOOKUP(AK102,suvaha!$D$92:$H$158,2,FALSE),5),1))</f>
        <v/>
      </c>
      <c r="BB104" s="961" t="e">
        <f>IF(LEN(#REF!)&lt;5,"",LEFT(RIGHT(#REF!,5),1))</f>
        <v>#REF!</v>
      </c>
      <c r="BC104" s="434"/>
      <c r="BD104" s="432" t="str">
        <f>IF(LEN(VLOOKUP(AK102,suvaha!$D$92:$H$158,2,FALSE))&lt;4,"",LEFT(RIGHT(VLOOKUP(AK102,suvaha!$D$92:$H$158,2,FALSE),4),1))</f>
        <v/>
      </c>
      <c r="BE104" s="434"/>
      <c r="BF104" s="432" t="str">
        <f>IF(LEN(VLOOKUP(AK102,suvaha!$D$92:$H$158,2,FALSE))&lt;3,"",LEFT(RIGHT(VLOOKUP(AK102,suvaha!$D$92:$H$158,2,FALSE),3),1))</f>
        <v/>
      </c>
      <c r="BG104" s="434"/>
      <c r="BH104" s="432" t="str">
        <f>IF(LEN(VLOOKUP(AK102,suvaha!$D$92:$H$158,2,FALSE))&lt;2,"",LEFT(RIGHT(VLOOKUP(AK102,suvaha!$D$92:$H$158,2,FALSE),2),1))</f>
        <v/>
      </c>
      <c r="BI104" s="434"/>
      <c r="BJ104" s="432" t="str">
        <f>IF(VLOOKUP(AK102,suvaha!$D$92:$H$158,2,FALSE)=0,"",IF(LEN(VLOOKUP(AK102,suvaha!$D$92:$H$158,2,FALSE))&lt;1,"",LEFT(RIGHT(VLOOKUP(AK102,suvaha!$D$92:$H$158,2,FALSE),1),1)))</f>
        <v/>
      </c>
      <c r="BK104" s="851"/>
      <c r="BL104" s="826"/>
      <c r="BM104" s="432" t="str">
        <f>IF(LEN(VLOOKUP(AK102,suvaha!$D$92:$H$158,4,FALSE))&lt;11,"",LEFT(RIGHT(VLOOKUP(AK102,suvaha!$D$92:$H$158,4,FALSE),11),1))</f>
        <v/>
      </c>
      <c r="BN104" s="255"/>
      <c r="BO104" s="432" t="str">
        <f>IF(LEN(VLOOKUP(AK102,suvaha!$D$92:$H$158,4,FALSE))&lt;10,"",LEFT(RIGHT(VLOOKUP(AK102,suvaha!$D$92:$H$158,4,FALSE),10),1))</f>
        <v/>
      </c>
      <c r="BP104" s="434"/>
      <c r="BQ104" s="432" t="str">
        <f>IF(LEN(VLOOKUP(AK102,suvaha!$D$92:$H$158,4,FALSE))&lt;9,"",LEFT(RIGHT(VLOOKUP(AK102,suvaha!$D$92:$H$158,4,FALSE),9),1))</f>
        <v/>
      </c>
      <c r="BR104" s="255"/>
      <c r="BS104" s="432" t="str">
        <f>IF(LEN(VLOOKUP(AK102,suvaha!$D$92:$H$158,4,FALSE))&lt;8,"",LEFT(RIGHT(VLOOKUP(AK102,suvaha!$D$92:$H$158,4,FALSE),8),1))</f>
        <v/>
      </c>
      <c r="BT104" s="434"/>
      <c r="BU104" s="432" t="str">
        <f>IF(LEN(VLOOKUP(AK102,suvaha!$D$92:$H$158,4,FALSE))&lt;7,"",LEFT(RIGHT(VLOOKUP(AK102,suvaha!$D$92:$H$158,4,FALSE),7),1))</f>
        <v/>
      </c>
      <c r="BV104" s="818"/>
      <c r="BW104" s="432" t="str">
        <f>IF(LEN(VLOOKUP(AK102,suvaha!$D$92:$H$158,4,FALSE))&lt;6,"",LEFT(RIGHT(VLOOKUP(AK102,suvaha!$D$92:$H$158,4,FALSE),6),1))</f>
        <v/>
      </c>
      <c r="BX104" s="434"/>
      <c r="BY104" s="432" t="str">
        <f>IF(LEN(VLOOKUP(AK102,suvaha!$D$92:$H$158,4,FALSE))&lt;5,"",LEFT(RIGHT(VLOOKUP(AK102,suvaha!$D$92:$H$158,4,FALSE),5),1))</f>
        <v/>
      </c>
      <c r="BZ104" s="434"/>
      <c r="CA104" s="432" t="str">
        <f>IF(LEN(VLOOKUP(AK102,suvaha!$D$92:$H$158,4,FALSE))&lt;4,"",LEFT(RIGHT(VLOOKUP(AK102,suvaha!$D$92:$H$158,4,FALSE),4),1))</f>
        <v/>
      </c>
      <c r="CB104" s="819"/>
      <c r="CC104" s="432" t="str">
        <f>IF(LEN(VLOOKUP(AK102,suvaha!$D$92:$H$158,4,FALSE))&lt;3,"",LEFT(RIGHT(VLOOKUP(AK102,suvaha!$D$92:$H$158,4,FALSE),3),1))</f>
        <v/>
      </c>
      <c r="CD104" s="434"/>
      <c r="CE104" s="432" t="str">
        <f>IF(LEN(VLOOKUP(AK102,suvaha!$D$92:$H$158,4,FALSE))&lt;2,"",LEFT(RIGHT(VLOOKUP(AK102,suvaha!$D$92:$H$158,4,FALSE),2),1))</f>
        <v/>
      </c>
      <c r="CF104" s="434"/>
      <c r="CG104" s="432" t="str">
        <f>IF(VLOOKUP(AK102,suvaha!$D$92:$H$158,4,FALSE)=0,"",IF(LEN(VLOOKUP(AK102,suvaha!$D$92:$H$158,4,FALSE))&lt;1,"",LEFT(RIGHT(VLOOKUP(AK102,suvaha!$D$92:$H$158,4,FALSE),1),1)))</f>
        <v/>
      </c>
      <c r="CH104" s="285"/>
      <c r="CI104" s="220"/>
      <c r="CJ104" s="220"/>
    </row>
    <row r="105" spans="1:88" ht="3" customHeight="1">
      <c r="E105" s="983"/>
      <c r="F105" s="983"/>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3"/>
      <c r="AL105" s="973"/>
      <c r="AM105" s="973"/>
      <c r="AN105" s="358"/>
      <c r="AO105" s="365"/>
      <c r="AP105" s="365"/>
      <c r="AQ105" s="365"/>
      <c r="AR105" s="365"/>
      <c r="AS105" s="365"/>
      <c r="AT105" s="365"/>
      <c r="AU105" s="365"/>
      <c r="AV105" s="365"/>
      <c r="AW105" s="365"/>
      <c r="AX105" s="365"/>
      <c r="AY105" s="365"/>
      <c r="AZ105" s="365"/>
      <c r="BA105" s="365"/>
      <c r="BB105" s="365"/>
      <c r="BC105" s="365"/>
      <c r="BD105" s="365"/>
      <c r="BE105" s="310"/>
      <c r="BF105" s="310"/>
      <c r="BG105" s="310"/>
      <c r="BH105" s="310"/>
      <c r="BI105" s="310"/>
      <c r="BJ105" s="310"/>
      <c r="BK105" s="310"/>
      <c r="BL105" s="846"/>
      <c r="BM105" s="846"/>
      <c r="BN105" s="846"/>
      <c r="BO105" s="846"/>
      <c r="BP105" s="846"/>
      <c r="BQ105" s="846"/>
      <c r="BR105" s="846"/>
      <c r="BS105" s="846"/>
      <c r="BT105" s="846"/>
      <c r="BU105" s="846"/>
      <c r="BV105" s="846"/>
      <c r="BW105" s="846"/>
      <c r="BX105" s="846"/>
      <c r="BY105" s="846"/>
      <c r="BZ105" s="846"/>
      <c r="CA105" s="846"/>
      <c r="CB105" s="846"/>
      <c r="CC105" s="310"/>
      <c r="CD105" s="310"/>
      <c r="CE105" s="310"/>
      <c r="CF105" s="310"/>
      <c r="CG105" s="310"/>
      <c r="CH105" s="286"/>
      <c r="CI105" s="220"/>
      <c r="CJ105" s="220"/>
    </row>
    <row r="106" spans="1:88" s="250" customFormat="1" ht="3" customHeight="1">
      <c r="A106" s="220"/>
      <c r="B106" s="220"/>
      <c r="C106" s="224"/>
      <c r="D106" s="224"/>
      <c r="E106" s="983" t="s">
        <v>1561</v>
      </c>
      <c r="F106" s="983"/>
      <c r="G106" s="972" t="str">
        <f>Index!C165</f>
        <v>Záväzky zo sociálneho fondu (472)</v>
      </c>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3" t="s">
        <v>624</v>
      </c>
      <c r="AL106" s="973"/>
      <c r="AM106" s="973"/>
      <c r="AN106" s="357"/>
      <c r="AO106" s="366"/>
      <c r="AP106" s="366"/>
      <c r="AQ106" s="366"/>
      <c r="AR106" s="366"/>
      <c r="AS106" s="366"/>
      <c r="AT106" s="366"/>
      <c r="AU106" s="366"/>
      <c r="AV106" s="366"/>
      <c r="AW106" s="366"/>
      <c r="AX106" s="366"/>
      <c r="AY106" s="366"/>
      <c r="AZ106" s="366"/>
      <c r="BA106" s="366"/>
      <c r="BB106" s="366"/>
      <c r="BC106" s="366"/>
      <c r="BD106" s="366"/>
      <c r="BE106" s="304"/>
      <c r="BF106" s="304"/>
      <c r="BG106" s="304"/>
      <c r="BH106" s="304"/>
      <c r="BI106" s="304"/>
      <c r="BJ106" s="304"/>
      <c r="BK106" s="304"/>
      <c r="BL106" s="867"/>
      <c r="BM106" s="867"/>
      <c r="BN106" s="867"/>
      <c r="BO106" s="867"/>
      <c r="BP106" s="867"/>
      <c r="BQ106" s="867"/>
      <c r="BR106" s="867"/>
      <c r="BS106" s="867"/>
      <c r="BT106" s="867"/>
      <c r="BU106" s="867"/>
      <c r="BV106" s="867"/>
      <c r="BW106" s="867"/>
      <c r="BX106" s="867"/>
      <c r="BY106" s="867"/>
      <c r="BZ106" s="867"/>
      <c r="CA106" s="867"/>
      <c r="CB106" s="867"/>
      <c r="CC106" s="304"/>
      <c r="CD106" s="304"/>
      <c r="CE106" s="304"/>
      <c r="CF106" s="304"/>
      <c r="CG106" s="304"/>
      <c r="CH106" s="284"/>
      <c r="CI106" s="288"/>
      <c r="CJ106" s="288"/>
    </row>
    <row r="107" spans="1:88" s="250" customFormat="1" ht="3" customHeight="1">
      <c r="A107" s="220"/>
      <c r="B107" s="220"/>
      <c r="C107" s="220"/>
      <c r="D107" s="220"/>
      <c r="E107" s="983"/>
      <c r="F107" s="983"/>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3"/>
      <c r="AL107" s="973"/>
      <c r="AM107" s="973"/>
      <c r="AN107" s="355"/>
      <c r="AO107" s="436"/>
      <c r="AP107" s="436"/>
      <c r="AQ107" s="436"/>
      <c r="AR107" s="435"/>
      <c r="AS107" s="439"/>
      <c r="AT107" s="439"/>
      <c r="AU107" s="439"/>
      <c r="AV107" s="439"/>
      <c r="AW107" s="439"/>
      <c r="AX107" s="440"/>
      <c r="AY107" s="821"/>
      <c r="AZ107" s="821"/>
      <c r="BA107" s="821"/>
      <c r="BB107" s="821"/>
      <c r="BC107" s="821"/>
      <c r="BD107" s="821"/>
      <c r="BE107" s="434"/>
      <c r="BF107" s="968"/>
      <c r="BG107" s="968"/>
      <c r="BH107" s="968"/>
      <c r="BI107" s="968"/>
      <c r="BJ107" s="968"/>
      <c r="BK107" s="851"/>
      <c r="BL107" s="826"/>
      <c r="BM107" s="820"/>
      <c r="BN107" s="820"/>
      <c r="BO107" s="820"/>
      <c r="BP107" s="435"/>
      <c r="BQ107" s="821"/>
      <c r="BR107" s="821"/>
      <c r="BS107" s="821"/>
      <c r="BT107" s="821"/>
      <c r="BU107" s="821"/>
      <c r="BV107" s="818"/>
      <c r="BW107" s="822"/>
      <c r="BX107" s="822"/>
      <c r="BY107" s="822"/>
      <c r="BZ107" s="822"/>
      <c r="CA107" s="822"/>
      <c r="CB107" s="819"/>
      <c r="CC107" s="822"/>
      <c r="CD107" s="822"/>
      <c r="CE107" s="822"/>
      <c r="CF107" s="822"/>
      <c r="CG107" s="822"/>
      <c r="CH107" s="285"/>
      <c r="CI107" s="288"/>
      <c r="CJ107" s="288"/>
    </row>
    <row r="108" spans="1:88" ht="15" customHeight="1">
      <c r="E108" s="983"/>
      <c r="F108" s="983"/>
      <c r="G108" s="972"/>
      <c r="H108" s="972"/>
      <c r="I108" s="972"/>
      <c r="J108" s="972"/>
      <c r="K108" s="972"/>
      <c r="L108" s="972"/>
      <c r="M108" s="972"/>
      <c r="N108" s="972"/>
      <c r="O108" s="972"/>
      <c r="P108" s="972"/>
      <c r="Q108" s="972"/>
      <c r="R108" s="972"/>
      <c r="S108" s="972"/>
      <c r="T108" s="972"/>
      <c r="U108" s="972"/>
      <c r="V108" s="972"/>
      <c r="W108" s="972"/>
      <c r="X108" s="972"/>
      <c r="Y108" s="972"/>
      <c r="Z108" s="972"/>
      <c r="AA108" s="972"/>
      <c r="AB108" s="972"/>
      <c r="AC108" s="972"/>
      <c r="AD108" s="972"/>
      <c r="AE108" s="972"/>
      <c r="AF108" s="972"/>
      <c r="AG108" s="972"/>
      <c r="AH108" s="972"/>
      <c r="AI108" s="972"/>
      <c r="AJ108" s="972"/>
      <c r="AK108" s="973"/>
      <c r="AL108" s="973"/>
      <c r="AM108" s="973"/>
      <c r="AN108" s="355"/>
      <c r="AO108" s="432" t="str">
        <f>IF(LEN(VLOOKUP(AK106,suvaha!$D$92:$H$158,2,FALSE))&lt;11,"",LEFT(RIGHT(VLOOKUP(AK106,suvaha!$D$92:$H$158,2,FALSE),11),1))</f>
        <v/>
      </c>
      <c r="AP108" s="255"/>
      <c r="AQ108" s="432" t="str">
        <f>IF(LEN(VLOOKUP(AK106,suvaha!$D$92:$H$158,2,FALSE))&lt;10,"",LEFT(RIGHT(VLOOKUP(AK106,suvaha!$D$92:$H$158,2,FALSE),10),1))</f>
        <v/>
      </c>
      <c r="AR108" s="434"/>
      <c r="AS108" s="432" t="str">
        <f>IF(LEN(VLOOKUP(AK106,suvaha!$D$92:$H$158,2,FALSE))&lt;9,"",LEFT(RIGHT(VLOOKUP(AK106,suvaha!$D$92:$H$158,2,FALSE),9),1))</f>
        <v/>
      </c>
      <c r="AT108" s="255"/>
      <c r="AU108" s="432" t="str">
        <f>IF(LEN(VLOOKUP(AK106,suvaha!$D$92:$H$158,2,FALSE))&lt;8,"",LEFT(RIGHT(VLOOKUP(AK106,suvaha!$D$92:$H$158,2,FALSE),8),1))</f>
        <v/>
      </c>
      <c r="AV108" s="434"/>
      <c r="AW108" s="432" t="str">
        <f>IF(LEN(VLOOKUP(AK106,suvaha!$D$92:$H$158,2,FALSE))&lt;7,"",LEFT(RIGHT(VLOOKUP(AK106,suvaha!$D$92:$H$158,2,FALSE),7),1))</f>
        <v/>
      </c>
      <c r="AX108" s="440"/>
      <c r="AY108" s="432" t="str">
        <f>IF(LEN(VLOOKUP(AK106,suvaha!$D$92:$H$158,2,FALSE))&lt;6,"",LEFT(RIGHT(VLOOKUP(AK106,suvaha!$D$92:$H$158,2,FALSE),6),1))</f>
        <v/>
      </c>
      <c r="AZ108" s="255"/>
      <c r="BA108" s="961" t="str">
        <f>IF(LEN(VLOOKUP(AK106,suvaha!$D$92:$H$158,2,FALSE))&lt;5,"",LEFT(RIGHT(VLOOKUP(AK106,suvaha!$D$92:$H$158,2,FALSE),5),1))</f>
        <v/>
      </c>
      <c r="BB108" s="961" t="e">
        <f>IF(LEN(#REF!)&lt;5,"",LEFT(RIGHT(#REF!,5),1))</f>
        <v>#REF!</v>
      </c>
      <c r="BC108" s="434"/>
      <c r="BD108" s="432" t="str">
        <f>IF(LEN(VLOOKUP(AK106,suvaha!$D$92:$H$158,2,FALSE))&lt;4,"",LEFT(RIGHT(VLOOKUP(AK106,suvaha!$D$92:$H$158,2,FALSE),4),1))</f>
        <v/>
      </c>
      <c r="BE108" s="434"/>
      <c r="BF108" s="432" t="str">
        <f>IF(LEN(VLOOKUP(AK106,suvaha!$D$92:$H$158,2,FALSE))&lt;3,"",LEFT(RIGHT(VLOOKUP(AK106,suvaha!$D$92:$H$158,2,FALSE),3),1))</f>
        <v>5</v>
      </c>
      <c r="BG108" s="434"/>
      <c r="BH108" s="432" t="str">
        <f>IF(LEN(VLOOKUP(AK106,suvaha!$D$92:$H$158,2,FALSE))&lt;2,"",LEFT(RIGHT(VLOOKUP(AK106,suvaha!$D$92:$H$158,2,FALSE),2),1))</f>
        <v>7</v>
      </c>
      <c r="BI108" s="434"/>
      <c r="BJ108" s="432" t="str">
        <f>IF(VLOOKUP(AK106,suvaha!$D$92:$H$158,2,FALSE)=0,"",IF(LEN(VLOOKUP(AK106,suvaha!$D$92:$H$158,2,FALSE))&lt;1,"",LEFT(RIGHT(VLOOKUP(AK106,suvaha!$D$92:$H$158,2,FALSE),1),1)))</f>
        <v>6</v>
      </c>
      <c r="BK108" s="851"/>
      <c r="BL108" s="826"/>
      <c r="BM108" s="432" t="str">
        <f>IF(LEN(VLOOKUP(AK106,suvaha!$D$92:$H$158,4,FALSE))&lt;11,"",LEFT(RIGHT(VLOOKUP(AK106,suvaha!$D$92:$H$158,4,FALSE),11),1))</f>
        <v/>
      </c>
      <c r="BN108" s="255"/>
      <c r="BO108" s="432" t="str">
        <f>IF(LEN(VLOOKUP(AK106,suvaha!$D$92:$H$158,4,FALSE))&lt;10,"",LEFT(RIGHT(VLOOKUP(AK106,suvaha!$D$92:$H$158,4,FALSE),10),1))</f>
        <v/>
      </c>
      <c r="BP108" s="434"/>
      <c r="BQ108" s="432" t="str">
        <f>IF(LEN(VLOOKUP(AK106,suvaha!$D$92:$H$158,4,FALSE))&lt;9,"",LEFT(RIGHT(VLOOKUP(AK106,suvaha!$D$92:$H$158,4,FALSE),9),1))</f>
        <v/>
      </c>
      <c r="BR108" s="255"/>
      <c r="BS108" s="432" t="str">
        <f>IF(LEN(VLOOKUP(AK106,suvaha!$D$92:$H$158,4,FALSE))&lt;8,"",LEFT(RIGHT(VLOOKUP(AK106,suvaha!$D$92:$H$158,4,FALSE),8),1))</f>
        <v/>
      </c>
      <c r="BT108" s="434"/>
      <c r="BU108" s="432" t="str">
        <f>IF(LEN(VLOOKUP(AK106,suvaha!$D$92:$H$158,4,FALSE))&lt;7,"",LEFT(RIGHT(VLOOKUP(AK106,suvaha!$D$92:$H$158,4,FALSE),7),1))</f>
        <v/>
      </c>
      <c r="BV108" s="818"/>
      <c r="BW108" s="432" t="str">
        <f>IF(LEN(VLOOKUP(AK106,suvaha!$D$92:$H$158,4,FALSE))&lt;6,"",LEFT(RIGHT(VLOOKUP(AK106,suvaha!$D$92:$H$158,4,FALSE),6),1))</f>
        <v/>
      </c>
      <c r="BX108" s="434"/>
      <c r="BY108" s="432" t="str">
        <f>IF(LEN(VLOOKUP(AK106,suvaha!$D$92:$H$158,4,FALSE))&lt;5,"",LEFT(RIGHT(VLOOKUP(AK106,suvaha!$D$92:$H$158,4,FALSE),5),1))</f>
        <v/>
      </c>
      <c r="BZ108" s="434"/>
      <c r="CA108" s="432" t="str">
        <f>IF(LEN(VLOOKUP(AK106,suvaha!$D$92:$H$158,4,FALSE))&lt;4,"",LEFT(RIGHT(VLOOKUP(AK106,suvaha!$D$92:$H$158,4,FALSE),4),1))</f>
        <v/>
      </c>
      <c r="CB108" s="819"/>
      <c r="CC108" s="432" t="str">
        <f>IF(LEN(VLOOKUP(AK106,suvaha!$D$92:$H$158,4,FALSE))&lt;3,"",LEFT(RIGHT(VLOOKUP(AK106,suvaha!$D$92:$H$158,4,FALSE),3),1))</f>
        <v>2</v>
      </c>
      <c r="CD108" s="434"/>
      <c r="CE108" s="432" t="str">
        <f>IF(LEN(VLOOKUP(AK106,suvaha!$D$92:$H$158,4,FALSE))&lt;2,"",LEFT(RIGHT(VLOOKUP(AK106,suvaha!$D$92:$H$158,4,FALSE),2),1))</f>
        <v>2</v>
      </c>
      <c r="CF108" s="434"/>
      <c r="CG108" s="432" t="str">
        <f>IF(VLOOKUP(AK106,suvaha!$D$92:$H$158,4,FALSE)=0,"",IF(LEN(VLOOKUP(AK106,suvaha!$D$92:$H$158,4,FALSE))&lt;1,"",LEFT(RIGHT(VLOOKUP(AK106,suvaha!$D$92:$H$158,4,FALSE),1),1)))</f>
        <v>7</v>
      </c>
      <c r="CH108" s="285"/>
      <c r="CI108" s="220"/>
      <c r="CJ108" s="220"/>
    </row>
    <row r="109" spans="1:88" ht="3" customHeight="1">
      <c r="E109" s="983"/>
      <c r="F109" s="983"/>
      <c r="G109" s="972"/>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3"/>
      <c r="AL109" s="973"/>
      <c r="AM109" s="973"/>
      <c r="AN109" s="358"/>
      <c r="AO109" s="365"/>
      <c r="AP109" s="365"/>
      <c r="AQ109" s="365"/>
      <c r="AR109" s="365"/>
      <c r="AS109" s="365"/>
      <c r="AT109" s="365"/>
      <c r="AU109" s="365"/>
      <c r="AV109" s="365"/>
      <c r="AW109" s="365"/>
      <c r="AX109" s="365"/>
      <c r="AY109" s="365"/>
      <c r="AZ109" s="365"/>
      <c r="BA109" s="365"/>
      <c r="BB109" s="365"/>
      <c r="BC109" s="365"/>
      <c r="BD109" s="365"/>
      <c r="BE109" s="310"/>
      <c r="BF109" s="310"/>
      <c r="BG109" s="310"/>
      <c r="BH109" s="310"/>
      <c r="BI109" s="310"/>
      <c r="BJ109" s="310"/>
      <c r="BK109" s="310"/>
      <c r="BL109" s="846"/>
      <c r="BM109" s="846"/>
      <c r="BN109" s="846"/>
      <c r="BO109" s="846"/>
      <c r="BP109" s="846"/>
      <c r="BQ109" s="846"/>
      <c r="BR109" s="846"/>
      <c r="BS109" s="846"/>
      <c r="BT109" s="846"/>
      <c r="BU109" s="846"/>
      <c r="BV109" s="846"/>
      <c r="BW109" s="846"/>
      <c r="BX109" s="846"/>
      <c r="BY109" s="846"/>
      <c r="BZ109" s="846"/>
      <c r="CA109" s="846"/>
      <c r="CB109" s="846"/>
      <c r="CC109" s="310"/>
      <c r="CD109" s="310"/>
      <c r="CE109" s="310"/>
      <c r="CF109" s="310"/>
      <c r="CG109" s="310"/>
      <c r="CH109" s="286"/>
      <c r="CI109" s="220"/>
      <c r="CJ109" s="220"/>
    </row>
    <row r="110" spans="1:88" s="250" customFormat="1" ht="3" customHeight="1">
      <c r="A110" s="220"/>
      <c r="B110" s="220"/>
      <c r="C110" s="224"/>
      <c r="D110" s="224"/>
      <c r="E110" s="983" t="s">
        <v>1578</v>
      </c>
      <c r="F110" s="983"/>
      <c r="G110" s="972" t="str">
        <f>Index!C166</f>
        <v>Iné dlhodobé záväzky (336A, 372A, 474A, 47XA)</v>
      </c>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3" t="s">
        <v>627</v>
      </c>
      <c r="AL110" s="973"/>
      <c r="AM110" s="973"/>
      <c r="AN110" s="357"/>
      <c r="AO110" s="366"/>
      <c r="AP110" s="366"/>
      <c r="AQ110" s="366"/>
      <c r="AR110" s="366"/>
      <c r="AS110" s="366"/>
      <c r="AT110" s="366"/>
      <c r="AU110" s="366"/>
      <c r="AV110" s="366"/>
      <c r="AW110" s="366"/>
      <c r="AX110" s="366"/>
      <c r="AY110" s="366"/>
      <c r="AZ110" s="366"/>
      <c r="BA110" s="366"/>
      <c r="BB110" s="366"/>
      <c r="BC110" s="366"/>
      <c r="BD110" s="366"/>
      <c r="BE110" s="304"/>
      <c r="BF110" s="304"/>
      <c r="BG110" s="304"/>
      <c r="BH110" s="304"/>
      <c r="BI110" s="304"/>
      <c r="BJ110" s="304"/>
      <c r="BK110" s="304"/>
      <c r="BL110" s="867"/>
      <c r="BM110" s="867"/>
      <c r="BN110" s="867"/>
      <c r="BO110" s="867"/>
      <c r="BP110" s="867"/>
      <c r="BQ110" s="867"/>
      <c r="BR110" s="867"/>
      <c r="BS110" s="867"/>
      <c r="BT110" s="867"/>
      <c r="BU110" s="867"/>
      <c r="BV110" s="867"/>
      <c r="BW110" s="867"/>
      <c r="BX110" s="867"/>
      <c r="BY110" s="867"/>
      <c r="BZ110" s="867"/>
      <c r="CA110" s="867"/>
      <c r="CB110" s="867"/>
      <c r="CC110" s="304"/>
      <c r="CD110" s="304"/>
      <c r="CE110" s="304"/>
      <c r="CF110" s="304"/>
      <c r="CG110" s="304"/>
      <c r="CH110" s="284"/>
      <c r="CI110" s="288"/>
      <c r="CJ110" s="288"/>
    </row>
    <row r="111" spans="1:88" s="250" customFormat="1" ht="3" customHeight="1">
      <c r="A111" s="220"/>
      <c r="B111" s="220"/>
      <c r="C111" s="220"/>
      <c r="D111" s="220"/>
      <c r="E111" s="983"/>
      <c r="F111" s="983"/>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3"/>
      <c r="AL111" s="973"/>
      <c r="AM111" s="973"/>
      <c r="AN111" s="355"/>
      <c r="AO111" s="436"/>
      <c r="AP111" s="436"/>
      <c r="AQ111" s="436"/>
      <c r="AR111" s="435"/>
      <c r="AS111" s="439"/>
      <c r="AT111" s="439"/>
      <c r="AU111" s="439"/>
      <c r="AV111" s="439"/>
      <c r="AW111" s="439"/>
      <c r="AX111" s="440"/>
      <c r="AY111" s="821"/>
      <c r="AZ111" s="821"/>
      <c r="BA111" s="821"/>
      <c r="BB111" s="821"/>
      <c r="BC111" s="821"/>
      <c r="BD111" s="821"/>
      <c r="BE111" s="434"/>
      <c r="BF111" s="968"/>
      <c r="BG111" s="968"/>
      <c r="BH111" s="968"/>
      <c r="BI111" s="968"/>
      <c r="BJ111" s="968"/>
      <c r="BK111" s="851"/>
      <c r="BL111" s="826"/>
      <c r="BM111" s="820"/>
      <c r="BN111" s="820"/>
      <c r="BO111" s="820"/>
      <c r="BP111" s="435"/>
      <c r="BQ111" s="821"/>
      <c r="BR111" s="821"/>
      <c r="BS111" s="821"/>
      <c r="BT111" s="821"/>
      <c r="BU111" s="821"/>
      <c r="BV111" s="818"/>
      <c r="BW111" s="822"/>
      <c r="BX111" s="822"/>
      <c r="BY111" s="822"/>
      <c r="BZ111" s="822"/>
      <c r="CA111" s="822"/>
      <c r="CB111" s="819"/>
      <c r="CC111" s="822"/>
      <c r="CD111" s="822"/>
      <c r="CE111" s="822"/>
      <c r="CF111" s="822"/>
      <c r="CG111" s="822"/>
      <c r="CH111" s="285"/>
      <c r="CI111" s="288"/>
      <c r="CJ111" s="288"/>
    </row>
    <row r="112" spans="1:88" ht="15" customHeight="1">
      <c r="E112" s="983"/>
      <c r="F112" s="983"/>
      <c r="G112" s="972"/>
      <c r="H112" s="972"/>
      <c r="I112" s="972"/>
      <c r="J112" s="972"/>
      <c r="K112" s="972"/>
      <c r="L112" s="972"/>
      <c r="M112" s="972"/>
      <c r="N112" s="972"/>
      <c r="O112" s="972"/>
      <c r="P112" s="972"/>
      <c r="Q112" s="972"/>
      <c r="R112" s="972"/>
      <c r="S112" s="972"/>
      <c r="T112" s="972"/>
      <c r="U112" s="972"/>
      <c r="V112" s="972"/>
      <c r="W112" s="972"/>
      <c r="X112" s="972"/>
      <c r="Y112" s="972"/>
      <c r="Z112" s="972"/>
      <c r="AA112" s="972"/>
      <c r="AB112" s="972"/>
      <c r="AC112" s="972"/>
      <c r="AD112" s="972"/>
      <c r="AE112" s="972"/>
      <c r="AF112" s="972"/>
      <c r="AG112" s="972"/>
      <c r="AH112" s="972"/>
      <c r="AI112" s="972"/>
      <c r="AJ112" s="972"/>
      <c r="AK112" s="973"/>
      <c r="AL112" s="973"/>
      <c r="AM112" s="973"/>
      <c r="AN112" s="355"/>
      <c r="AO112" s="432" t="str">
        <f>IF(LEN(VLOOKUP(AK110,suvaha!$D$92:$H$158,2,FALSE))&lt;11,"",LEFT(RIGHT(VLOOKUP(AK110,suvaha!$D$92:$H$158,2,FALSE),11),1))</f>
        <v/>
      </c>
      <c r="AP112" s="255"/>
      <c r="AQ112" s="432" t="str">
        <f>IF(LEN(VLOOKUP(AK110,suvaha!$D$92:$H$158,2,FALSE))&lt;10,"",LEFT(RIGHT(VLOOKUP(AK110,suvaha!$D$92:$H$158,2,FALSE),10),1))</f>
        <v/>
      </c>
      <c r="AR112" s="434"/>
      <c r="AS112" s="432" t="str">
        <f>IF(LEN(VLOOKUP(AK110,suvaha!$D$92:$H$158,2,FALSE))&lt;9,"",LEFT(RIGHT(VLOOKUP(AK110,suvaha!$D$92:$H$158,2,FALSE),9),1))</f>
        <v/>
      </c>
      <c r="AT112" s="255"/>
      <c r="AU112" s="432" t="str">
        <f>IF(LEN(VLOOKUP(AK110,suvaha!$D$92:$H$158,2,FALSE))&lt;8,"",LEFT(RIGHT(VLOOKUP(AK110,suvaha!$D$92:$H$158,2,FALSE),8),1))</f>
        <v/>
      </c>
      <c r="AV112" s="434"/>
      <c r="AW112" s="432" t="str">
        <f>IF(LEN(VLOOKUP(AK110,suvaha!$D$92:$H$158,2,FALSE))&lt;7,"",LEFT(RIGHT(VLOOKUP(AK110,suvaha!$D$92:$H$158,2,FALSE),7),1))</f>
        <v/>
      </c>
      <c r="AX112" s="440"/>
      <c r="AY112" s="432" t="str">
        <f>IF(LEN(VLOOKUP(AK110,suvaha!$D$92:$H$158,2,FALSE))&lt;6,"",LEFT(RIGHT(VLOOKUP(AK110,suvaha!$D$92:$H$158,2,FALSE),6),1))</f>
        <v/>
      </c>
      <c r="AZ112" s="255"/>
      <c r="BA112" s="961" t="str">
        <f>IF(LEN(VLOOKUP(AK110,suvaha!$D$92:$H$158,2,FALSE))&lt;5,"",LEFT(RIGHT(VLOOKUP(AK110,suvaha!$D$92:$H$158,2,FALSE),5),1))</f>
        <v/>
      </c>
      <c r="BB112" s="961" t="e">
        <f>IF(LEN(#REF!)&lt;5,"",LEFT(RIGHT(#REF!,5),1))</f>
        <v>#REF!</v>
      </c>
      <c r="BC112" s="434"/>
      <c r="BD112" s="432" t="str">
        <f>IF(LEN(VLOOKUP(AK110,suvaha!$D$92:$H$158,2,FALSE))&lt;4,"",LEFT(RIGHT(VLOOKUP(AK110,suvaha!$D$92:$H$158,2,FALSE),4),1))</f>
        <v/>
      </c>
      <c r="BE112" s="434"/>
      <c r="BF112" s="432" t="str">
        <f>IF(LEN(VLOOKUP(AK110,suvaha!$D$92:$H$158,2,FALSE))&lt;3,"",LEFT(RIGHT(VLOOKUP(AK110,suvaha!$D$92:$H$158,2,FALSE),3),1))</f>
        <v/>
      </c>
      <c r="BG112" s="434"/>
      <c r="BH112" s="432" t="str">
        <f>IF(LEN(VLOOKUP(AK110,suvaha!$D$92:$H$158,2,FALSE))&lt;2,"",LEFT(RIGHT(VLOOKUP(AK110,suvaha!$D$92:$H$158,2,FALSE),2),1))</f>
        <v/>
      </c>
      <c r="BI112" s="434"/>
      <c r="BJ112" s="432" t="str">
        <f>IF(VLOOKUP(AK110,suvaha!$D$92:$H$158,2,FALSE)=0,"",IF(LEN(VLOOKUP(AK110,suvaha!$D$92:$H$158,2,FALSE))&lt;1,"",LEFT(RIGHT(VLOOKUP(AK110,suvaha!$D$92:$H$158,2,FALSE),1),1)))</f>
        <v/>
      </c>
      <c r="BK112" s="851"/>
      <c r="BL112" s="826"/>
      <c r="BM112" s="432" t="str">
        <f>IF(LEN(VLOOKUP(AK110,suvaha!$D$92:$H$158,4,FALSE))&lt;11,"",LEFT(RIGHT(VLOOKUP(AK110,suvaha!$D$92:$H$158,4,FALSE),11),1))</f>
        <v/>
      </c>
      <c r="BN112" s="255"/>
      <c r="BO112" s="432" t="str">
        <f>IF(LEN(VLOOKUP(AK110,suvaha!$D$92:$H$158,4,FALSE))&lt;10,"",LEFT(RIGHT(VLOOKUP(AK110,suvaha!$D$92:$H$158,4,FALSE),10),1))</f>
        <v/>
      </c>
      <c r="BP112" s="434"/>
      <c r="BQ112" s="432" t="str">
        <f>IF(LEN(VLOOKUP(AK110,suvaha!$D$92:$H$158,4,FALSE))&lt;9,"",LEFT(RIGHT(VLOOKUP(AK110,suvaha!$D$92:$H$158,4,FALSE),9),1))</f>
        <v/>
      </c>
      <c r="BR112" s="255"/>
      <c r="BS112" s="432" t="str">
        <f>IF(LEN(VLOOKUP(AK110,suvaha!$D$92:$H$158,4,FALSE))&lt;8,"",LEFT(RIGHT(VLOOKUP(AK110,suvaha!$D$92:$H$158,4,FALSE),8),1))</f>
        <v/>
      </c>
      <c r="BT112" s="434"/>
      <c r="BU112" s="432" t="str">
        <f>IF(LEN(VLOOKUP(AK110,suvaha!$D$92:$H$158,4,FALSE))&lt;7,"",LEFT(RIGHT(VLOOKUP(AK110,suvaha!$D$92:$H$158,4,FALSE),7),1))</f>
        <v/>
      </c>
      <c r="BV112" s="818"/>
      <c r="BW112" s="432" t="str">
        <f>IF(LEN(VLOOKUP(AK110,suvaha!$D$92:$H$158,4,FALSE))&lt;6,"",LEFT(RIGHT(VLOOKUP(AK110,suvaha!$D$92:$H$158,4,FALSE),6),1))</f>
        <v/>
      </c>
      <c r="BX112" s="434"/>
      <c r="BY112" s="432" t="str">
        <f>IF(LEN(VLOOKUP(AK110,suvaha!$D$92:$H$158,4,FALSE))&lt;5,"",LEFT(RIGHT(VLOOKUP(AK110,suvaha!$D$92:$H$158,4,FALSE),5),1))</f>
        <v/>
      </c>
      <c r="BZ112" s="434"/>
      <c r="CA112" s="432" t="str">
        <f>IF(LEN(VLOOKUP(AK110,suvaha!$D$92:$H$158,4,FALSE))&lt;4,"",LEFT(RIGHT(VLOOKUP(AK110,suvaha!$D$92:$H$158,4,FALSE),4),1))</f>
        <v/>
      </c>
      <c r="CB112" s="819"/>
      <c r="CC112" s="432" t="str">
        <f>IF(LEN(VLOOKUP(AK110,suvaha!$D$92:$H$158,4,FALSE))&lt;3,"",LEFT(RIGHT(VLOOKUP(AK110,suvaha!$D$92:$H$158,4,FALSE),3),1))</f>
        <v/>
      </c>
      <c r="CD112" s="434"/>
      <c r="CE112" s="432" t="str">
        <f>IF(LEN(VLOOKUP(AK110,suvaha!$D$92:$H$158,4,FALSE))&lt;2,"",LEFT(RIGHT(VLOOKUP(AK110,suvaha!$D$92:$H$158,4,FALSE),2),1))</f>
        <v/>
      </c>
      <c r="CF112" s="434"/>
      <c r="CG112" s="432" t="str">
        <f>IF(VLOOKUP(AK110,suvaha!$D$92:$H$158,4,FALSE)=0,"",IF(LEN(VLOOKUP(AK110,suvaha!$D$92:$H$158,4,FALSE))&lt;1,"",LEFT(RIGHT(VLOOKUP(AK110,suvaha!$D$92:$H$158,4,FALSE),1),1)))</f>
        <v/>
      </c>
      <c r="CH112" s="285"/>
      <c r="CI112" s="220"/>
      <c r="CJ112" s="220"/>
    </row>
    <row r="113" spans="1:88" ht="3" customHeight="1">
      <c r="E113" s="983"/>
      <c r="F113" s="983"/>
      <c r="G113" s="972"/>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3"/>
      <c r="AL113" s="973"/>
      <c r="AM113" s="973"/>
      <c r="AN113" s="358"/>
      <c r="AO113" s="365"/>
      <c r="AP113" s="365"/>
      <c r="AQ113" s="365"/>
      <c r="AR113" s="365"/>
      <c r="AS113" s="365"/>
      <c r="AT113" s="365"/>
      <c r="AU113" s="365"/>
      <c r="AV113" s="365"/>
      <c r="AW113" s="365"/>
      <c r="AX113" s="365"/>
      <c r="AY113" s="365"/>
      <c r="AZ113" s="365"/>
      <c r="BA113" s="365"/>
      <c r="BB113" s="365"/>
      <c r="BC113" s="365"/>
      <c r="BD113" s="365"/>
      <c r="BE113" s="310"/>
      <c r="BF113" s="310"/>
      <c r="BG113" s="310"/>
      <c r="BH113" s="310"/>
      <c r="BI113" s="310"/>
      <c r="BJ113" s="310"/>
      <c r="BK113" s="310"/>
      <c r="BL113" s="846"/>
      <c r="BM113" s="846"/>
      <c r="BN113" s="846"/>
      <c r="BO113" s="846"/>
      <c r="BP113" s="846"/>
      <c r="BQ113" s="846"/>
      <c r="BR113" s="846"/>
      <c r="BS113" s="846"/>
      <c r="BT113" s="846"/>
      <c r="BU113" s="846"/>
      <c r="BV113" s="846"/>
      <c r="BW113" s="846"/>
      <c r="BX113" s="846"/>
      <c r="BY113" s="846"/>
      <c r="BZ113" s="846"/>
      <c r="CA113" s="846"/>
      <c r="CB113" s="846"/>
      <c r="CC113" s="310"/>
      <c r="CD113" s="310"/>
      <c r="CE113" s="310"/>
      <c r="CF113" s="310"/>
      <c r="CG113" s="310"/>
      <c r="CH113" s="286"/>
      <c r="CI113" s="220"/>
      <c r="CJ113" s="220"/>
    </row>
    <row r="114" spans="1:88" s="250" customFormat="1" ht="3" customHeight="1">
      <c r="A114" s="220"/>
      <c r="B114" s="220"/>
      <c r="C114" s="224"/>
      <c r="D114" s="224"/>
      <c r="E114" s="983" t="s">
        <v>1580</v>
      </c>
      <c r="F114" s="983"/>
      <c r="G114" s="972" t="str">
        <f>Index!C167</f>
        <v>Dlhodobé záväzky z derivátových operácií (373A, 377A)</v>
      </c>
      <c r="H114" s="972"/>
      <c r="I114" s="972"/>
      <c r="J114" s="972"/>
      <c r="K114" s="972"/>
      <c r="L114" s="972"/>
      <c r="M114" s="972"/>
      <c r="N114" s="972"/>
      <c r="O114" s="972"/>
      <c r="P114" s="972"/>
      <c r="Q114" s="972"/>
      <c r="R114" s="972"/>
      <c r="S114" s="972"/>
      <c r="T114" s="972"/>
      <c r="U114" s="972"/>
      <c r="V114" s="972"/>
      <c r="W114" s="972"/>
      <c r="X114" s="972"/>
      <c r="Y114" s="972"/>
      <c r="Z114" s="972"/>
      <c r="AA114" s="972"/>
      <c r="AB114" s="972"/>
      <c r="AC114" s="972"/>
      <c r="AD114" s="972"/>
      <c r="AE114" s="972"/>
      <c r="AF114" s="972"/>
      <c r="AG114" s="972"/>
      <c r="AH114" s="972"/>
      <c r="AI114" s="972"/>
      <c r="AJ114" s="972"/>
      <c r="AK114" s="973" t="s">
        <v>628</v>
      </c>
      <c r="AL114" s="973"/>
      <c r="AM114" s="973"/>
      <c r="AN114" s="357"/>
      <c r="AO114" s="366"/>
      <c r="AP114" s="366"/>
      <c r="AQ114" s="366"/>
      <c r="AR114" s="366"/>
      <c r="AS114" s="366"/>
      <c r="AT114" s="366"/>
      <c r="AU114" s="366"/>
      <c r="AV114" s="366"/>
      <c r="AW114" s="366"/>
      <c r="AX114" s="366"/>
      <c r="AY114" s="366"/>
      <c r="AZ114" s="366"/>
      <c r="BA114" s="366"/>
      <c r="BB114" s="366"/>
      <c r="BC114" s="366"/>
      <c r="BD114" s="366"/>
      <c r="BE114" s="304"/>
      <c r="BF114" s="304"/>
      <c r="BG114" s="304"/>
      <c r="BH114" s="304"/>
      <c r="BI114" s="304"/>
      <c r="BJ114" s="304"/>
      <c r="BK114" s="304"/>
      <c r="BL114" s="867"/>
      <c r="BM114" s="867"/>
      <c r="BN114" s="867"/>
      <c r="BO114" s="867"/>
      <c r="BP114" s="867"/>
      <c r="BQ114" s="867"/>
      <c r="BR114" s="867"/>
      <c r="BS114" s="867"/>
      <c r="BT114" s="867"/>
      <c r="BU114" s="867"/>
      <c r="BV114" s="867"/>
      <c r="BW114" s="867"/>
      <c r="BX114" s="867"/>
      <c r="BY114" s="867"/>
      <c r="BZ114" s="867"/>
      <c r="CA114" s="867"/>
      <c r="CB114" s="867"/>
      <c r="CC114" s="304"/>
      <c r="CD114" s="304"/>
      <c r="CE114" s="304"/>
      <c r="CF114" s="304"/>
      <c r="CG114" s="304"/>
      <c r="CH114" s="284"/>
      <c r="CI114" s="288"/>
      <c r="CJ114" s="288"/>
    </row>
    <row r="115" spans="1:88" s="250" customFormat="1" ht="3" customHeight="1">
      <c r="A115" s="220"/>
      <c r="B115" s="220"/>
      <c r="C115" s="220"/>
      <c r="D115" s="220"/>
      <c r="E115" s="983"/>
      <c r="F115" s="983"/>
      <c r="G115" s="972"/>
      <c r="H115" s="972"/>
      <c r="I115" s="972"/>
      <c r="J115" s="972"/>
      <c r="K115" s="972"/>
      <c r="L115" s="972"/>
      <c r="M115" s="972"/>
      <c r="N115" s="972"/>
      <c r="O115" s="972"/>
      <c r="P115" s="972"/>
      <c r="Q115" s="972"/>
      <c r="R115" s="972"/>
      <c r="S115" s="972"/>
      <c r="T115" s="972"/>
      <c r="U115" s="972"/>
      <c r="V115" s="972"/>
      <c r="W115" s="972"/>
      <c r="X115" s="972"/>
      <c r="Y115" s="972"/>
      <c r="Z115" s="972"/>
      <c r="AA115" s="972"/>
      <c r="AB115" s="972"/>
      <c r="AC115" s="972"/>
      <c r="AD115" s="972"/>
      <c r="AE115" s="972"/>
      <c r="AF115" s="972"/>
      <c r="AG115" s="972"/>
      <c r="AH115" s="972"/>
      <c r="AI115" s="972"/>
      <c r="AJ115" s="972"/>
      <c r="AK115" s="973"/>
      <c r="AL115" s="973"/>
      <c r="AM115" s="973"/>
      <c r="AN115" s="355"/>
      <c r="AO115" s="436"/>
      <c r="AP115" s="436"/>
      <c r="AQ115" s="436"/>
      <c r="AR115" s="435"/>
      <c r="AS115" s="439"/>
      <c r="AT115" s="439"/>
      <c r="AU115" s="439"/>
      <c r="AV115" s="439"/>
      <c r="AW115" s="439"/>
      <c r="AX115" s="440"/>
      <c r="AY115" s="821"/>
      <c r="AZ115" s="821"/>
      <c r="BA115" s="821"/>
      <c r="BB115" s="821"/>
      <c r="BC115" s="821"/>
      <c r="BD115" s="821"/>
      <c r="BE115" s="434"/>
      <c r="BF115" s="968"/>
      <c r="BG115" s="968"/>
      <c r="BH115" s="968"/>
      <c r="BI115" s="968"/>
      <c r="BJ115" s="968"/>
      <c r="BK115" s="851"/>
      <c r="BL115" s="826"/>
      <c r="BM115" s="820"/>
      <c r="BN115" s="820"/>
      <c r="BO115" s="820"/>
      <c r="BP115" s="435"/>
      <c r="BQ115" s="821"/>
      <c r="BR115" s="821"/>
      <c r="BS115" s="821"/>
      <c r="BT115" s="821"/>
      <c r="BU115" s="821"/>
      <c r="BV115" s="818"/>
      <c r="BW115" s="822"/>
      <c r="BX115" s="822"/>
      <c r="BY115" s="822"/>
      <c r="BZ115" s="822"/>
      <c r="CA115" s="822"/>
      <c r="CB115" s="819"/>
      <c r="CC115" s="822"/>
      <c r="CD115" s="822"/>
      <c r="CE115" s="822"/>
      <c r="CF115" s="822"/>
      <c r="CG115" s="822"/>
      <c r="CH115" s="285"/>
      <c r="CI115" s="288"/>
      <c r="CJ115" s="288"/>
    </row>
    <row r="116" spans="1:88" ht="15" customHeight="1">
      <c r="E116" s="983"/>
      <c r="F116" s="983"/>
      <c r="G116" s="972"/>
      <c r="H116" s="972"/>
      <c r="I116" s="972"/>
      <c r="J116" s="972"/>
      <c r="K116" s="972"/>
      <c r="L116" s="972"/>
      <c r="M116" s="972"/>
      <c r="N116" s="972"/>
      <c r="O116" s="972"/>
      <c r="P116" s="972"/>
      <c r="Q116" s="972"/>
      <c r="R116" s="972"/>
      <c r="S116" s="972"/>
      <c r="T116" s="972"/>
      <c r="U116" s="972"/>
      <c r="V116" s="972"/>
      <c r="W116" s="972"/>
      <c r="X116" s="972"/>
      <c r="Y116" s="972"/>
      <c r="Z116" s="972"/>
      <c r="AA116" s="972"/>
      <c r="AB116" s="972"/>
      <c r="AC116" s="972"/>
      <c r="AD116" s="972"/>
      <c r="AE116" s="972"/>
      <c r="AF116" s="972"/>
      <c r="AG116" s="972"/>
      <c r="AH116" s="972"/>
      <c r="AI116" s="972"/>
      <c r="AJ116" s="972"/>
      <c r="AK116" s="973"/>
      <c r="AL116" s="973"/>
      <c r="AM116" s="973"/>
      <c r="AN116" s="355"/>
      <c r="AO116" s="432" t="str">
        <f>IF(LEN(VLOOKUP(AK114,suvaha!$D$92:$H$158,2,FALSE))&lt;11,"",LEFT(RIGHT(VLOOKUP(AK114,suvaha!$D$92:$H$158,2,FALSE),11),1))</f>
        <v/>
      </c>
      <c r="AP116" s="255"/>
      <c r="AQ116" s="432" t="str">
        <f>IF(LEN(VLOOKUP(AK114,suvaha!$D$92:$H$158,2,FALSE))&lt;10,"",LEFT(RIGHT(VLOOKUP(AK114,suvaha!$D$92:$H$158,2,FALSE),10),1))</f>
        <v/>
      </c>
      <c r="AR116" s="434"/>
      <c r="AS116" s="432" t="str">
        <f>IF(LEN(VLOOKUP(AK114,suvaha!$D$92:$H$158,2,FALSE))&lt;9,"",LEFT(RIGHT(VLOOKUP(AK114,suvaha!$D$92:$H$158,2,FALSE),9),1))</f>
        <v/>
      </c>
      <c r="AT116" s="255"/>
      <c r="AU116" s="432" t="str">
        <f>IF(LEN(VLOOKUP(AK114,suvaha!$D$92:$H$158,2,FALSE))&lt;8,"",LEFT(RIGHT(VLOOKUP(AK114,suvaha!$D$92:$H$158,2,FALSE),8),1))</f>
        <v/>
      </c>
      <c r="AV116" s="434"/>
      <c r="AW116" s="432" t="str">
        <f>IF(LEN(VLOOKUP(AK114,suvaha!$D$92:$H$158,2,FALSE))&lt;7,"",LEFT(RIGHT(VLOOKUP(AK114,suvaha!$D$92:$H$158,2,FALSE),7),1))</f>
        <v/>
      </c>
      <c r="AX116" s="440"/>
      <c r="AY116" s="432" t="str">
        <f>IF(LEN(VLOOKUP(AK114,suvaha!$D$92:$H$158,2,FALSE))&lt;6,"",LEFT(RIGHT(VLOOKUP(AK114,suvaha!$D$92:$H$158,2,FALSE),6),1))</f>
        <v/>
      </c>
      <c r="AZ116" s="255"/>
      <c r="BA116" s="961" t="str">
        <f>IF(LEN(VLOOKUP(AK114,suvaha!$D$92:$H$158,2,FALSE))&lt;5,"",LEFT(RIGHT(VLOOKUP(AK114,suvaha!$D$92:$H$158,2,FALSE),5),1))</f>
        <v/>
      </c>
      <c r="BB116" s="961" t="e">
        <f>IF(LEN(#REF!)&lt;5,"",LEFT(RIGHT(#REF!,5),1))</f>
        <v>#REF!</v>
      </c>
      <c r="BC116" s="434"/>
      <c r="BD116" s="432" t="str">
        <f>IF(LEN(VLOOKUP(AK114,suvaha!$D$92:$H$158,2,FALSE))&lt;4,"",LEFT(RIGHT(VLOOKUP(AK114,suvaha!$D$92:$H$158,2,FALSE),4),1))</f>
        <v/>
      </c>
      <c r="BE116" s="434"/>
      <c r="BF116" s="432" t="str">
        <f>IF(LEN(VLOOKUP(AK114,suvaha!$D$92:$H$158,2,FALSE))&lt;3,"",LEFT(RIGHT(VLOOKUP(AK114,suvaha!$D$92:$H$158,2,FALSE),3),1))</f>
        <v/>
      </c>
      <c r="BG116" s="434"/>
      <c r="BH116" s="432" t="str">
        <f>IF(LEN(VLOOKUP(AK114,suvaha!$D$92:$H$158,2,FALSE))&lt;2,"",LEFT(RIGHT(VLOOKUP(AK114,suvaha!$D$92:$H$158,2,FALSE),2),1))</f>
        <v/>
      </c>
      <c r="BI116" s="434"/>
      <c r="BJ116" s="432" t="str">
        <f>IF(VLOOKUP(AK114,suvaha!$D$92:$H$158,2,FALSE)=0,"",IF(LEN(VLOOKUP(AK114,suvaha!$D$92:$H$158,2,FALSE))&lt;1,"",LEFT(RIGHT(VLOOKUP(AK114,suvaha!$D$92:$H$158,2,FALSE),1),1)))</f>
        <v/>
      </c>
      <c r="BK116" s="851"/>
      <c r="BL116" s="826"/>
      <c r="BM116" s="432" t="str">
        <f>IF(LEN(VLOOKUP(AK114,suvaha!$D$92:$H$158,4,FALSE))&lt;11,"",LEFT(RIGHT(VLOOKUP(AK114,suvaha!$D$92:$H$158,4,FALSE),11),1))</f>
        <v/>
      </c>
      <c r="BN116" s="255"/>
      <c r="BO116" s="432" t="str">
        <f>IF(LEN(VLOOKUP(AK114,suvaha!$D$92:$H$158,4,FALSE))&lt;10,"",LEFT(RIGHT(VLOOKUP(AK114,suvaha!$D$92:$H$158,4,FALSE),10),1))</f>
        <v/>
      </c>
      <c r="BP116" s="434"/>
      <c r="BQ116" s="432" t="str">
        <f>IF(LEN(VLOOKUP(AK114,suvaha!$D$92:$H$158,4,FALSE))&lt;9,"",LEFT(RIGHT(VLOOKUP(AK114,suvaha!$D$92:$H$158,4,FALSE),9),1))</f>
        <v/>
      </c>
      <c r="BR116" s="255"/>
      <c r="BS116" s="432" t="str">
        <f>IF(LEN(VLOOKUP(AK114,suvaha!$D$92:$H$158,4,FALSE))&lt;8,"",LEFT(RIGHT(VLOOKUP(AK114,suvaha!$D$92:$H$158,4,FALSE),8),1))</f>
        <v/>
      </c>
      <c r="BT116" s="434"/>
      <c r="BU116" s="432" t="str">
        <f>IF(LEN(VLOOKUP(AK114,suvaha!$D$92:$H$158,4,FALSE))&lt;7,"",LEFT(RIGHT(VLOOKUP(AK114,suvaha!$D$92:$H$158,4,FALSE),7),1))</f>
        <v/>
      </c>
      <c r="BV116" s="818"/>
      <c r="BW116" s="432" t="str">
        <f>IF(LEN(VLOOKUP(AK114,suvaha!$D$92:$H$158,4,FALSE))&lt;6,"",LEFT(RIGHT(VLOOKUP(AK114,suvaha!$D$92:$H$158,4,FALSE),6),1))</f>
        <v/>
      </c>
      <c r="BX116" s="434"/>
      <c r="BY116" s="432" t="str">
        <f>IF(LEN(VLOOKUP(AK114,suvaha!$D$92:$H$158,4,FALSE))&lt;5,"",LEFT(RIGHT(VLOOKUP(AK114,suvaha!$D$92:$H$158,4,FALSE),5),1))</f>
        <v/>
      </c>
      <c r="BZ116" s="434"/>
      <c r="CA116" s="432" t="str">
        <f>IF(LEN(VLOOKUP(AK114,suvaha!$D$92:$H$158,4,FALSE))&lt;4,"",LEFT(RIGHT(VLOOKUP(AK114,suvaha!$D$92:$H$158,4,FALSE),4),1))</f>
        <v/>
      </c>
      <c r="CB116" s="819"/>
      <c r="CC116" s="432" t="str">
        <f>IF(LEN(VLOOKUP(AK114,suvaha!$D$92:$H$158,4,FALSE))&lt;3,"",LEFT(RIGHT(VLOOKUP(AK114,suvaha!$D$92:$H$158,4,FALSE),3),1))</f>
        <v/>
      </c>
      <c r="CD116" s="434"/>
      <c r="CE116" s="432" t="str">
        <f>IF(LEN(VLOOKUP(AK114,suvaha!$D$92:$H$158,4,FALSE))&lt;2,"",LEFT(RIGHT(VLOOKUP(AK114,suvaha!$D$92:$H$158,4,FALSE),2),1))</f>
        <v/>
      </c>
      <c r="CF116" s="434"/>
      <c r="CG116" s="432" t="str">
        <f>IF(VLOOKUP(AK114,suvaha!$D$92:$H$158,4,FALSE)=0,"",IF(LEN(VLOOKUP(AK114,suvaha!$D$92:$H$158,4,FALSE))&lt;1,"",LEFT(RIGHT(VLOOKUP(AK114,suvaha!$D$92:$H$158,4,FALSE),1),1)))</f>
        <v/>
      </c>
      <c r="CH116" s="285"/>
      <c r="CI116" s="220"/>
      <c r="CJ116" s="220"/>
    </row>
    <row r="117" spans="1:88" ht="3" customHeight="1">
      <c r="E117" s="983"/>
      <c r="F117" s="983"/>
      <c r="G117" s="972"/>
      <c r="H117" s="972"/>
      <c r="I117" s="972"/>
      <c r="J117" s="972"/>
      <c r="K117" s="972"/>
      <c r="L117" s="972"/>
      <c r="M117" s="972"/>
      <c r="N117" s="972"/>
      <c r="O117" s="972"/>
      <c r="P117" s="972"/>
      <c r="Q117" s="972"/>
      <c r="R117" s="972"/>
      <c r="S117" s="972"/>
      <c r="T117" s="972"/>
      <c r="U117" s="972"/>
      <c r="V117" s="972"/>
      <c r="W117" s="972"/>
      <c r="X117" s="972"/>
      <c r="Y117" s="972"/>
      <c r="Z117" s="972"/>
      <c r="AA117" s="972"/>
      <c r="AB117" s="972"/>
      <c r="AC117" s="972"/>
      <c r="AD117" s="972"/>
      <c r="AE117" s="972"/>
      <c r="AF117" s="972"/>
      <c r="AG117" s="972"/>
      <c r="AH117" s="972"/>
      <c r="AI117" s="972"/>
      <c r="AJ117" s="972"/>
      <c r="AK117" s="973"/>
      <c r="AL117" s="973"/>
      <c r="AM117" s="973"/>
      <c r="AN117" s="358"/>
      <c r="AO117" s="365"/>
      <c r="AP117" s="365"/>
      <c r="AQ117" s="365"/>
      <c r="AR117" s="365"/>
      <c r="AS117" s="365"/>
      <c r="AT117" s="365"/>
      <c r="AU117" s="365"/>
      <c r="AV117" s="365"/>
      <c r="AW117" s="365"/>
      <c r="AX117" s="365"/>
      <c r="AY117" s="365"/>
      <c r="AZ117" s="365"/>
      <c r="BA117" s="365"/>
      <c r="BB117" s="365"/>
      <c r="BC117" s="365"/>
      <c r="BD117" s="365"/>
      <c r="BE117" s="310"/>
      <c r="BF117" s="310"/>
      <c r="BG117" s="310"/>
      <c r="BH117" s="310"/>
      <c r="BI117" s="310"/>
      <c r="BJ117" s="310"/>
      <c r="BK117" s="310"/>
      <c r="BL117" s="846"/>
      <c r="BM117" s="846"/>
      <c r="BN117" s="846"/>
      <c r="BO117" s="846"/>
      <c r="BP117" s="846"/>
      <c r="BQ117" s="846"/>
      <c r="BR117" s="846"/>
      <c r="BS117" s="846"/>
      <c r="BT117" s="846"/>
      <c r="BU117" s="846"/>
      <c r="BV117" s="846"/>
      <c r="BW117" s="846"/>
      <c r="BX117" s="846"/>
      <c r="BY117" s="846"/>
      <c r="BZ117" s="846"/>
      <c r="CA117" s="846"/>
      <c r="CB117" s="846"/>
      <c r="CC117" s="310"/>
      <c r="CD117" s="310"/>
      <c r="CE117" s="310"/>
      <c r="CF117" s="310"/>
      <c r="CG117" s="310"/>
      <c r="CH117" s="286"/>
      <c r="CI117" s="220"/>
      <c r="CJ117" s="220"/>
    </row>
    <row r="118" spans="1:88" s="250" customFormat="1" ht="3" customHeight="1" thickBot="1">
      <c r="A118" s="220"/>
      <c r="B118" s="220"/>
      <c r="C118" s="224"/>
      <c r="D118" s="224"/>
      <c r="E118" s="962" t="s">
        <v>1685</v>
      </c>
      <c r="F118" s="962"/>
      <c r="G118" s="964" t="str">
        <f>Index!C168</f>
        <v>Odložený daňový záväzok (481A)</v>
      </c>
      <c r="H118" s="964"/>
      <c r="I118" s="964"/>
      <c r="J118" s="964"/>
      <c r="K118" s="964"/>
      <c r="L118" s="964"/>
      <c r="M118" s="964"/>
      <c r="N118" s="964"/>
      <c r="O118" s="964"/>
      <c r="P118" s="964"/>
      <c r="Q118" s="964"/>
      <c r="R118" s="964"/>
      <c r="S118" s="964"/>
      <c r="T118" s="964"/>
      <c r="U118" s="964"/>
      <c r="V118" s="964"/>
      <c r="W118" s="964"/>
      <c r="X118" s="964"/>
      <c r="Y118" s="964"/>
      <c r="Z118" s="964"/>
      <c r="AA118" s="964"/>
      <c r="AB118" s="964"/>
      <c r="AC118" s="964"/>
      <c r="AD118" s="964"/>
      <c r="AE118" s="964"/>
      <c r="AF118" s="964"/>
      <c r="AG118" s="964"/>
      <c r="AH118" s="964"/>
      <c r="AI118" s="964"/>
      <c r="AJ118" s="964"/>
      <c r="AK118" s="966" t="s">
        <v>630</v>
      </c>
      <c r="AL118" s="966"/>
      <c r="AM118" s="966"/>
      <c r="AN118" s="357"/>
      <c r="AO118" s="366"/>
      <c r="AP118" s="366"/>
      <c r="AQ118" s="366"/>
      <c r="AR118" s="366"/>
      <c r="AS118" s="366"/>
      <c r="AT118" s="366"/>
      <c r="AU118" s="366"/>
      <c r="AV118" s="366"/>
      <c r="AW118" s="366"/>
      <c r="AX118" s="366"/>
      <c r="AY118" s="366"/>
      <c r="AZ118" s="366"/>
      <c r="BA118" s="366"/>
      <c r="BB118" s="366"/>
      <c r="BC118" s="366"/>
      <c r="BD118" s="366"/>
      <c r="BE118" s="304"/>
      <c r="BF118" s="304"/>
      <c r="BG118" s="304"/>
      <c r="BH118" s="304"/>
      <c r="BI118" s="304"/>
      <c r="BJ118" s="304"/>
      <c r="BK118" s="304"/>
      <c r="BL118" s="867"/>
      <c r="BM118" s="867"/>
      <c r="BN118" s="867"/>
      <c r="BO118" s="867"/>
      <c r="BP118" s="867"/>
      <c r="BQ118" s="867"/>
      <c r="BR118" s="867"/>
      <c r="BS118" s="867"/>
      <c r="BT118" s="867"/>
      <c r="BU118" s="867"/>
      <c r="BV118" s="867"/>
      <c r="BW118" s="867"/>
      <c r="BX118" s="867"/>
      <c r="BY118" s="867"/>
      <c r="BZ118" s="867"/>
      <c r="CA118" s="867"/>
      <c r="CB118" s="867"/>
      <c r="CC118" s="304"/>
      <c r="CD118" s="304"/>
      <c r="CE118" s="304"/>
      <c r="CF118" s="304"/>
      <c r="CG118" s="304"/>
      <c r="CH118" s="284"/>
      <c r="CI118" s="288"/>
      <c r="CJ118" s="288"/>
    </row>
    <row r="119" spans="1:88" s="250" customFormat="1" ht="3" customHeight="1" thickBot="1">
      <c r="A119" s="220"/>
      <c r="B119" s="220"/>
      <c r="C119" s="220"/>
      <c r="D119" s="220"/>
      <c r="E119" s="963"/>
      <c r="F119" s="963"/>
      <c r="G119" s="965"/>
      <c r="H119" s="965"/>
      <c r="I119" s="965"/>
      <c r="J119" s="965"/>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65"/>
      <c r="AI119" s="965"/>
      <c r="AJ119" s="965"/>
      <c r="AK119" s="967"/>
      <c r="AL119" s="967"/>
      <c r="AM119" s="967"/>
      <c r="AN119" s="355"/>
      <c r="AO119" s="436"/>
      <c r="AP119" s="436"/>
      <c r="AQ119" s="436"/>
      <c r="AR119" s="435"/>
      <c r="AS119" s="439"/>
      <c r="AT119" s="439"/>
      <c r="AU119" s="439"/>
      <c r="AV119" s="439"/>
      <c r="AW119" s="439"/>
      <c r="AX119" s="440"/>
      <c r="AY119" s="821"/>
      <c r="AZ119" s="821"/>
      <c r="BA119" s="821"/>
      <c r="BB119" s="821"/>
      <c r="BC119" s="821"/>
      <c r="BD119" s="821"/>
      <c r="BE119" s="434"/>
      <c r="BF119" s="968"/>
      <c r="BG119" s="968"/>
      <c r="BH119" s="968"/>
      <c r="BI119" s="968"/>
      <c r="BJ119" s="968"/>
      <c r="BK119" s="851"/>
      <c r="BL119" s="826"/>
      <c r="BM119" s="820"/>
      <c r="BN119" s="820"/>
      <c r="BO119" s="820"/>
      <c r="BP119" s="435"/>
      <c r="BQ119" s="821"/>
      <c r="BR119" s="821"/>
      <c r="BS119" s="821"/>
      <c r="BT119" s="821"/>
      <c r="BU119" s="821"/>
      <c r="BV119" s="818"/>
      <c r="BW119" s="822"/>
      <c r="BX119" s="822"/>
      <c r="BY119" s="822"/>
      <c r="BZ119" s="822"/>
      <c r="CA119" s="822"/>
      <c r="CB119" s="819"/>
      <c r="CC119" s="822"/>
      <c r="CD119" s="822"/>
      <c r="CE119" s="822"/>
      <c r="CF119" s="822"/>
      <c r="CG119" s="822"/>
      <c r="CH119" s="285"/>
      <c r="CI119" s="288"/>
      <c r="CJ119" s="288"/>
    </row>
    <row r="120" spans="1:88" ht="15" customHeight="1" thickBot="1">
      <c r="E120" s="963"/>
      <c r="F120" s="963"/>
      <c r="G120" s="965"/>
      <c r="H120" s="965"/>
      <c r="I120" s="965"/>
      <c r="J120" s="965"/>
      <c r="K120" s="965"/>
      <c r="L120" s="965"/>
      <c r="M120" s="965"/>
      <c r="N120" s="965"/>
      <c r="O120" s="965"/>
      <c r="P120" s="965"/>
      <c r="Q120" s="965"/>
      <c r="R120" s="965"/>
      <c r="S120" s="965"/>
      <c r="T120" s="965"/>
      <c r="U120" s="965"/>
      <c r="V120" s="965"/>
      <c r="W120" s="965"/>
      <c r="X120" s="965"/>
      <c r="Y120" s="965"/>
      <c r="Z120" s="965"/>
      <c r="AA120" s="965"/>
      <c r="AB120" s="965"/>
      <c r="AC120" s="965"/>
      <c r="AD120" s="965"/>
      <c r="AE120" s="965"/>
      <c r="AF120" s="965"/>
      <c r="AG120" s="965"/>
      <c r="AH120" s="965"/>
      <c r="AI120" s="965"/>
      <c r="AJ120" s="965"/>
      <c r="AK120" s="967"/>
      <c r="AL120" s="967"/>
      <c r="AM120" s="967"/>
      <c r="AN120" s="355"/>
      <c r="AO120" s="432" t="str">
        <f>IF(LEN(VLOOKUP(AK118,suvaha!$D$92:$H$158,2,FALSE))&lt;11,"",LEFT(RIGHT(VLOOKUP(AK118,suvaha!$D$92:$H$158,2,FALSE),11),1))</f>
        <v/>
      </c>
      <c r="AP120" s="255"/>
      <c r="AQ120" s="432" t="str">
        <f>IF(LEN(VLOOKUP(AK118,suvaha!$D$92:$H$158,2,FALSE))&lt;10,"",LEFT(RIGHT(VLOOKUP(AK118,suvaha!$D$92:$H$158,2,FALSE),10),1))</f>
        <v/>
      </c>
      <c r="AR120" s="434"/>
      <c r="AS120" s="432" t="str">
        <f>IF(LEN(VLOOKUP(AK118,suvaha!$D$92:$H$158,2,FALSE))&lt;9,"",LEFT(RIGHT(VLOOKUP(AK118,suvaha!$D$92:$H$158,2,FALSE),9),1))</f>
        <v/>
      </c>
      <c r="AT120" s="255"/>
      <c r="AU120" s="432" t="str">
        <f>IF(LEN(VLOOKUP(AK118,suvaha!$D$92:$H$158,2,FALSE))&lt;8,"",LEFT(RIGHT(VLOOKUP(AK118,suvaha!$D$92:$H$158,2,FALSE),8),1))</f>
        <v/>
      </c>
      <c r="AV120" s="434"/>
      <c r="AW120" s="432" t="str">
        <f>IF(LEN(VLOOKUP(AK118,suvaha!$D$92:$H$158,2,FALSE))&lt;7,"",LEFT(RIGHT(VLOOKUP(AK118,suvaha!$D$92:$H$158,2,FALSE),7),1))</f>
        <v/>
      </c>
      <c r="AX120" s="440"/>
      <c r="AY120" s="432" t="str">
        <f>IF(LEN(VLOOKUP(AK118,suvaha!$D$92:$H$158,2,FALSE))&lt;6,"",LEFT(RIGHT(VLOOKUP(AK118,suvaha!$D$92:$H$158,2,FALSE),6),1))</f>
        <v>6</v>
      </c>
      <c r="AZ120" s="255"/>
      <c r="BA120" s="961" t="str">
        <f>IF(LEN(VLOOKUP(AK118,suvaha!$D$92:$H$158,2,FALSE))&lt;5,"",LEFT(RIGHT(VLOOKUP(AK118,suvaha!$D$92:$H$158,2,FALSE),5),1))</f>
        <v>6</v>
      </c>
      <c r="BB120" s="961" t="e">
        <f>IF(LEN(#REF!)&lt;5,"",LEFT(RIGHT(#REF!,5),1))</f>
        <v>#REF!</v>
      </c>
      <c r="BC120" s="434"/>
      <c r="BD120" s="432" t="str">
        <f>IF(LEN(VLOOKUP(AK118,suvaha!$D$92:$H$158,2,FALSE))&lt;4,"",LEFT(RIGHT(VLOOKUP(AK118,suvaha!$D$92:$H$158,2,FALSE),4),1))</f>
        <v>3</v>
      </c>
      <c r="BE120" s="434"/>
      <c r="BF120" s="432" t="str">
        <f>IF(LEN(VLOOKUP(AK118,suvaha!$D$92:$H$158,2,FALSE))&lt;3,"",LEFT(RIGHT(VLOOKUP(AK118,suvaha!$D$92:$H$158,2,FALSE),3),1))</f>
        <v>6</v>
      </c>
      <c r="BG120" s="434"/>
      <c r="BH120" s="432" t="str">
        <f>IF(LEN(VLOOKUP(AK118,suvaha!$D$92:$H$158,2,FALSE))&lt;2,"",LEFT(RIGHT(VLOOKUP(AK118,suvaha!$D$92:$H$158,2,FALSE),2),1))</f>
        <v>3</v>
      </c>
      <c r="BI120" s="434"/>
      <c r="BJ120" s="432" t="str">
        <f>IF(VLOOKUP(AK118,suvaha!$D$92:$H$158,2,FALSE)=0,"",IF(LEN(VLOOKUP(AK118,suvaha!$D$92:$H$158,2,FALSE))&lt;1,"",LEFT(RIGHT(VLOOKUP(AK118,suvaha!$D$92:$H$158,2,FALSE),1),1)))</f>
        <v>7</v>
      </c>
      <c r="BK120" s="851"/>
      <c r="BL120" s="826"/>
      <c r="BM120" s="432" t="str">
        <f>IF(LEN(VLOOKUP(AK118,suvaha!$D$92:$H$158,4,FALSE))&lt;11,"",LEFT(RIGHT(VLOOKUP(AK118,suvaha!$D$92:$H$158,4,FALSE),11),1))</f>
        <v/>
      </c>
      <c r="BN120" s="255"/>
      <c r="BO120" s="432" t="str">
        <f>IF(LEN(VLOOKUP(AK118,suvaha!$D$92:$H$158,4,FALSE))&lt;10,"",LEFT(RIGHT(VLOOKUP(AK118,suvaha!$D$92:$H$158,4,FALSE),10),1))</f>
        <v/>
      </c>
      <c r="BP120" s="434"/>
      <c r="BQ120" s="432" t="str">
        <f>IF(LEN(VLOOKUP(AK118,suvaha!$D$92:$H$158,4,FALSE))&lt;9,"",LEFT(RIGHT(VLOOKUP(AK118,suvaha!$D$92:$H$158,4,FALSE),9),1))</f>
        <v/>
      </c>
      <c r="BR120" s="255"/>
      <c r="BS120" s="432" t="str">
        <f>IF(LEN(VLOOKUP(AK118,suvaha!$D$92:$H$158,4,FALSE))&lt;8,"",LEFT(RIGHT(VLOOKUP(AK118,suvaha!$D$92:$H$158,4,FALSE),8),1))</f>
        <v/>
      </c>
      <c r="BT120" s="434"/>
      <c r="BU120" s="432" t="str">
        <f>IF(LEN(VLOOKUP(AK118,suvaha!$D$92:$H$158,4,FALSE))&lt;7,"",LEFT(RIGHT(VLOOKUP(AK118,suvaha!$D$92:$H$158,4,FALSE),7),1))</f>
        <v>1</v>
      </c>
      <c r="BV120" s="818"/>
      <c r="BW120" s="432" t="str">
        <f>IF(LEN(VLOOKUP(AK118,suvaha!$D$92:$H$158,4,FALSE))&lt;6,"",LEFT(RIGHT(VLOOKUP(AK118,suvaha!$D$92:$H$158,4,FALSE),6),1))</f>
        <v>5</v>
      </c>
      <c r="BX120" s="434"/>
      <c r="BY120" s="432" t="str">
        <f>IF(LEN(VLOOKUP(AK118,suvaha!$D$92:$H$158,4,FALSE))&lt;5,"",LEFT(RIGHT(VLOOKUP(AK118,suvaha!$D$92:$H$158,4,FALSE),5),1))</f>
        <v>5</v>
      </c>
      <c r="BZ120" s="434"/>
      <c r="CA120" s="432" t="str">
        <f>IF(LEN(VLOOKUP(AK118,suvaha!$D$92:$H$158,4,FALSE))&lt;4,"",LEFT(RIGHT(VLOOKUP(AK118,suvaha!$D$92:$H$158,4,FALSE),4),1))</f>
        <v>7</v>
      </c>
      <c r="CB120" s="819"/>
      <c r="CC120" s="432" t="str">
        <f>IF(LEN(VLOOKUP(AK118,suvaha!$D$92:$H$158,4,FALSE))&lt;3,"",LEFT(RIGHT(VLOOKUP(AK118,suvaha!$D$92:$H$158,4,FALSE),3),1))</f>
        <v>6</v>
      </c>
      <c r="CD120" s="434"/>
      <c r="CE120" s="432" t="str">
        <f>IF(LEN(VLOOKUP(AK118,suvaha!$D$92:$H$158,4,FALSE))&lt;2,"",LEFT(RIGHT(VLOOKUP(AK118,suvaha!$D$92:$H$158,4,FALSE),2),1))</f>
        <v>4</v>
      </c>
      <c r="CF120" s="434"/>
      <c r="CG120" s="432" t="str">
        <f>IF(VLOOKUP(AK118,suvaha!$D$92:$H$158,4,FALSE)=0,"",IF(LEN(VLOOKUP(AK118,suvaha!$D$92:$H$158,4,FALSE))&lt;1,"",LEFT(RIGHT(VLOOKUP(AK118,suvaha!$D$92:$H$158,4,FALSE),1),1)))</f>
        <v>9</v>
      </c>
      <c r="CH120" s="285"/>
      <c r="CI120" s="220"/>
      <c r="CJ120" s="220"/>
    </row>
    <row r="121" spans="1:88" ht="3" customHeight="1" thickBot="1">
      <c r="E121" s="963"/>
      <c r="F121" s="963"/>
      <c r="G121" s="965"/>
      <c r="H121" s="965"/>
      <c r="I121" s="965"/>
      <c r="J121" s="965"/>
      <c r="K121" s="965"/>
      <c r="L121" s="965"/>
      <c r="M121" s="965"/>
      <c r="N121" s="965"/>
      <c r="O121" s="965"/>
      <c r="P121" s="965"/>
      <c r="Q121" s="965"/>
      <c r="R121" s="965"/>
      <c r="S121" s="965"/>
      <c r="T121" s="965"/>
      <c r="U121" s="965"/>
      <c r="V121" s="965"/>
      <c r="W121" s="965"/>
      <c r="X121" s="965"/>
      <c r="Y121" s="965"/>
      <c r="Z121" s="965"/>
      <c r="AA121" s="965"/>
      <c r="AB121" s="965"/>
      <c r="AC121" s="965"/>
      <c r="AD121" s="965"/>
      <c r="AE121" s="965"/>
      <c r="AF121" s="965"/>
      <c r="AG121" s="965"/>
      <c r="AH121" s="965"/>
      <c r="AI121" s="965"/>
      <c r="AJ121" s="965"/>
      <c r="AK121" s="967"/>
      <c r="AL121" s="967"/>
      <c r="AM121" s="967"/>
      <c r="AN121" s="358"/>
      <c r="AO121" s="360"/>
      <c r="AP121" s="360"/>
      <c r="AQ121" s="360"/>
      <c r="AR121" s="360"/>
      <c r="AS121" s="360"/>
      <c r="AT121" s="360"/>
      <c r="AU121" s="360"/>
      <c r="AV121" s="360"/>
      <c r="AW121" s="360"/>
      <c r="AX121" s="360"/>
      <c r="AY121" s="360"/>
      <c r="AZ121" s="360"/>
      <c r="BA121" s="360"/>
      <c r="BB121" s="360"/>
      <c r="BC121" s="360"/>
      <c r="BD121" s="360"/>
      <c r="BE121" s="256"/>
      <c r="BF121" s="256"/>
      <c r="BG121" s="256"/>
      <c r="BH121" s="256"/>
      <c r="BI121" s="256"/>
      <c r="BJ121" s="256"/>
      <c r="BK121" s="256"/>
      <c r="BL121" s="969"/>
      <c r="BM121" s="969"/>
      <c r="BN121" s="969"/>
      <c r="BO121" s="969"/>
      <c r="BP121" s="969"/>
      <c r="BQ121" s="969"/>
      <c r="BR121" s="969"/>
      <c r="BS121" s="969"/>
      <c r="BT121" s="969"/>
      <c r="BU121" s="969"/>
      <c r="BV121" s="969"/>
      <c r="BW121" s="969"/>
      <c r="BX121" s="969"/>
      <c r="BY121" s="969"/>
      <c r="BZ121" s="969"/>
      <c r="CA121" s="969"/>
      <c r="CB121" s="969"/>
      <c r="CC121" s="256"/>
      <c r="CD121" s="256"/>
      <c r="CE121" s="256"/>
      <c r="CF121" s="256"/>
      <c r="CG121" s="256"/>
      <c r="CH121" s="286"/>
      <c r="CI121" s="220"/>
      <c r="CJ121" s="220"/>
    </row>
    <row r="122" spans="1:88" ht="6" customHeight="1">
      <c r="D122" s="220"/>
      <c r="E122" s="268"/>
      <c r="F122" s="268"/>
      <c r="G122" s="268"/>
      <c r="H122" s="240"/>
      <c r="I122" s="240"/>
      <c r="J122" s="240"/>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220"/>
      <c r="CJ122" s="220"/>
    </row>
    <row r="123" spans="1:88" ht="13.5" thickBot="1">
      <c r="D123" s="220"/>
      <c r="E123" s="289"/>
      <c r="F123" s="268"/>
      <c r="G123" s="268"/>
      <c r="H123" s="98"/>
      <c r="I123" s="240"/>
      <c r="J123" s="240"/>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959"/>
      <c r="CH123" s="959"/>
      <c r="CI123" s="220"/>
      <c r="CJ123" s="220"/>
    </row>
    <row r="124" spans="1:88" ht="8.25" customHeight="1" thickTop="1">
      <c r="D124" s="220"/>
      <c r="E124" s="268"/>
      <c r="F124" s="268"/>
      <c r="G124" s="268"/>
      <c r="H124" s="98" t="s">
        <v>1532</v>
      </c>
      <c r="I124" s="240"/>
      <c r="J124" s="240"/>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290"/>
      <c r="BZ124" s="356"/>
      <c r="CA124" s="415" t="str">
        <f>Index!C426</f>
        <v>Strana 8</v>
      </c>
      <c r="CB124" s="356"/>
      <c r="CC124" s="356"/>
      <c r="CD124" s="356"/>
      <c r="CE124" s="356"/>
      <c r="CF124" s="356"/>
      <c r="CG124" s="356"/>
      <c r="CH124" s="356"/>
    </row>
    <row r="125" spans="1:88" s="277" customFormat="1">
      <c r="A125" s="272"/>
      <c r="B125" s="272"/>
      <c r="C125" s="272"/>
      <c r="D125" s="272"/>
      <c r="E125" s="273"/>
      <c r="F125" s="273"/>
      <c r="G125" s="273"/>
      <c r="H125" s="274"/>
      <c r="I125" s="274"/>
      <c r="J125" s="274"/>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c r="CG125" s="275"/>
      <c r="CH125" s="275"/>
    </row>
    <row r="126" spans="1:88" s="277" customFormat="1">
      <c r="A126" s="272"/>
      <c r="B126" s="272"/>
      <c r="C126" s="272"/>
      <c r="D126" s="272"/>
      <c r="E126" s="273"/>
      <c r="F126" s="273"/>
      <c r="G126" s="273"/>
      <c r="H126" s="274"/>
      <c r="I126" s="274"/>
      <c r="J126" s="274"/>
      <c r="K126" s="275"/>
      <c r="L126" s="275"/>
      <c r="M126" s="275"/>
      <c r="N126" s="275"/>
      <c r="O126" s="275"/>
      <c r="P126" s="275"/>
      <c r="Q126" s="275"/>
      <c r="R126" s="275"/>
      <c r="S126" s="275"/>
      <c r="T126" s="275"/>
      <c r="U126" s="275"/>
      <c r="V126" s="275"/>
      <c r="W126" s="275"/>
      <c r="X126" s="275"/>
      <c r="Y126" s="275"/>
      <c r="Z126" s="275"/>
      <c r="AA126" s="275"/>
      <c r="AB126" s="275"/>
      <c r="AC126" s="275"/>
      <c r="AD126" s="275"/>
      <c r="AE126" s="276">
        <v>10</v>
      </c>
      <c r="AF126" s="275"/>
      <c r="AG126" s="276">
        <v>9</v>
      </c>
      <c r="AH126" s="275"/>
      <c r="AI126" s="276">
        <v>8</v>
      </c>
      <c r="AJ126" s="275"/>
      <c r="AK126" s="276">
        <v>7</v>
      </c>
      <c r="AL126" s="275"/>
      <c r="AM126" s="276">
        <v>6</v>
      </c>
      <c r="AN126" s="275"/>
      <c r="AO126" s="276">
        <v>5</v>
      </c>
      <c r="AP126" s="275"/>
      <c r="AQ126" s="276">
        <v>4</v>
      </c>
      <c r="AR126" s="275"/>
      <c r="AS126" s="276">
        <v>3</v>
      </c>
      <c r="AT126" s="275"/>
      <c r="AU126" s="276">
        <v>2</v>
      </c>
      <c r="AV126" s="275"/>
      <c r="AW126" s="276">
        <v>1</v>
      </c>
      <c r="AX126" s="275"/>
      <c r="AY126" s="276">
        <v>0</v>
      </c>
      <c r="AZ126" s="275"/>
      <c r="BA126" s="275"/>
      <c r="BB126" s="276">
        <v>10</v>
      </c>
      <c r="BC126" s="275"/>
      <c r="BD126" s="276">
        <v>9</v>
      </c>
      <c r="BE126" s="275"/>
      <c r="BF126" s="276">
        <v>8</v>
      </c>
      <c r="BG126" s="275"/>
      <c r="BH126" s="276">
        <v>7</v>
      </c>
      <c r="BI126" s="275"/>
      <c r="BJ126" s="276">
        <v>6</v>
      </c>
      <c r="BK126" s="276">
        <v>5</v>
      </c>
      <c r="BL126" s="276">
        <v>5</v>
      </c>
      <c r="BM126" s="276">
        <v>5</v>
      </c>
      <c r="BN126" s="276"/>
      <c r="BO126" s="276">
        <v>4</v>
      </c>
      <c r="BP126" s="276"/>
      <c r="BQ126" s="276">
        <v>3</v>
      </c>
      <c r="BR126" s="276">
        <v>2</v>
      </c>
      <c r="BS126" s="276">
        <v>2</v>
      </c>
      <c r="BT126" s="276">
        <v>1</v>
      </c>
      <c r="BU126" s="276">
        <v>1</v>
      </c>
      <c r="BV126" s="276"/>
      <c r="BW126" s="276">
        <v>0</v>
      </c>
      <c r="BX126" s="275"/>
      <c r="BY126" s="275"/>
      <c r="BZ126" s="275"/>
      <c r="CA126" s="275"/>
      <c r="CB126" s="275"/>
      <c r="CC126" s="275"/>
      <c r="CD126" s="275"/>
      <c r="CE126" s="275"/>
      <c r="CF126" s="275"/>
      <c r="CG126" s="275"/>
      <c r="CH126" s="272"/>
      <c r="CI126" s="272"/>
      <c r="CJ126" s="272"/>
    </row>
    <row r="127" spans="1:88" s="277" customFormat="1">
      <c r="B127" s="272"/>
      <c r="C127" s="272"/>
      <c r="D127" s="272"/>
      <c r="E127" s="273"/>
      <c r="F127" s="273"/>
      <c r="G127" s="273"/>
      <c r="H127" s="274"/>
      <c r="I127" s="274"/>
      <c r="J127" s="274"/>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6">
        <v>10</v>
      </c>
      <c r="AP127" s="276"/>
      <c r="AQ127" s="276">
        <v>9</v>
      </c>
      <c r="AR127" s="276"/>
      <c r="AS127" s="276">
        <v>8</v>
      </c>
      <c r="AT127" s="276"/>
      <c r="AU127" s="276">
        <v>7</v>
      </c>
      <c r="AV127" s="276"/>
      <c r="AW127" s="276">
        <v>6</v>
      </c>
      <c r="AX127" s="276"/>
      <c r="AY127" s="276">
        <v>5</v>
      </c>
      <c r="AZ127" s="276"/>
      <c r="BA127" s="276"/>
      <c r="BB127" s="276">
        <v>4</v>
      </c>
      <c r="BC127" s="276"/>
      <c r="BD127" s="276">
        <v>3</v>
      </c>
      <c r="BE127" s="276"/>
      <c r="BF127" s="276">
        <v>2</v>
      </c>
      <c r="BG127" s="276"/>
      <c r="BH127" s="276">
        <v>1</v>
      </c>
      <c r="BI127" s="276"/>
      <c r="BJ127" s="276">
        <v>0</v>
      </c>
      <c r="BK127" s="276">
        <v>10</v>
      </c>
      <c r="BL127" s="276">
        <v>10</v>
      </c>
      <c r="BM127" s="276">
        <v>10</v>
      </c>
      <c r="BN127" s="276"/>
      <c r="BO127" s="276">
        <v>9</v>
      </c>
      <c r="BP127" s="276"/>
      <c r="BQ127" s="276">
        <v>8</v>
      </c>
      <c r="BR127" s="276"/>
      <c r="BS127" s="276">
        <v>7</v>
      </c>
      <c r="BT127" s="276"/>
      <c r="BU127" s="276">
        <v>6</v>
      </c>
      <c r="BV127" s="276"/>
      <c r="BW127" s="276">
        <v>5</v>
      </c>
      <c r="BX127" s="276"/>
      <c r="BY127" s="276">
        <v>4</v>
      </c>
      <c r="BZ127" s="276"/>
      <c r="CA127" s="276">
        <v>3</v>
      </c>
      <c r="CB127" s="276"/>
      <c r="CC127" s="276">
        <v>2</v>
      </c>
      <c r="CD127" s="276"/>
      <c r="CE127" s="276">
        <v>1</v>
      </c>
      <c r="CF127" s="276"/>
      <c r="CG127" s="276">
        <v>0</v>
      </c>
      <c r="CH127" s="272"/>
      <c r="CJ127" s="272"/>
    </row>
    <row r="128" spans="1:88" s="293" customFormat="1">
      <c r="A128" s="292"/>
      <c r="B128" s="292"/>
      <c r="C128" s="292"/>
      <c r="E128" s="294"/>
      <c r="F128" s="294"/>
      <c r="G128" s="294"/>
      <c r="H128" s="295"/>
      <c r="I128" s="295"/>
      <c r="J128" s="295"/>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c r="BQ128" s="296"/>
      <c r="BR128" s="296"/>
      <c r="BS128" s="296"/>
      <c r="BT128" s="296"/>
      <c r="BU128" s="296"/>
      <c r="BV128" s="296"/>
      <c r="BW128" s="296"/>
      <c r="BX128" s="296"/>
      <c r="BY128" s="296"/>
      <c r="BZ128" s="296"/>
      <c r="CA128" s="296"/>
      <c r="CB128" s="296"/>
      <c r="CC128" s="296"/>
      <c r="CD128" s="296"/>
      <c r="CE128" s="296"/>
      <c r="CF128" s="296"/>
      <c r="CG128" s="296"/>
      <c r="CH128" s="296"/>
    </row>
    <row r="129" spans="5:86">
      <c r="E129" s="268"/>
      <c r="F129" s="268"/>
      <c r="G129" s="268"/>
      <c r="H129" s="240"/>
      <c r="I129" s="240"/>
      <c r="J129" s="240"/>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row>
    <row r="130" spans="5:86">
      <c r="E130" s="268"/>
      <c r="F130" s="268"/>
      <c r="G130" s="268"/>
      <c r="H130" s="240"/>
      <c r="I130" s="240"/>
      <c r="J130" s="240"/>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row>
  </sheetData>
  <sheetProtection sheet="1" objects="1" scenarios="1"/>
  <mergeCells count="478">
    <mergeCell ref="BL7:CH8"/>
    <mergeCell ref="AF4:AF5"/>
    <mergeCell ref="AH4:AH5"/>
    <mergeCell ref="AJ4:AJ5"/>
    <mergeCell ref="AL4:AL5"/>
    <mergeCell ref="AN4:AN5"/>
    <mergeCell ref="AP4:AP5"/>
    <mergeCell ref="H2:X4"/>
    <mergeCell ref="AB2:AX2"/>
    <mergeCell ref="AY2:AY5"/>
    <mergeCell ref="AZ2:BT2"/>
    <mergeCell ref="BU2:CE5"/>
    <mergeCell ref="AE3:AW3"/>
    <mergeCell ref="AZ3:BC4"/>
    <mergeCell ref="BD3:BS3"/>
    <mergeCell ref="AB4:AC5"/>
    <mergeCell ref="AD4:AD5"/>
    <mergeCell ref="B8:D8"/>
    <mergeCell ref="B9:C9"/>
    <mergeCell ref="E9:F9"/>
    <mergeCell ref="G9:AJ9"/>
    <mergeCell ref="AK9:AM9"/>
    <mergeCell ref="AN9:BJ9"/>
    <mergeCell ref="AR4:AR5"/>
    <mergeCell ref="E7:F8"/>
    <mergeCell ref="G7:AJ8"/>
    <mergeCell ref="AK7:AM8"/>
    <mergeCell ref="AN7:BJ8"/>
    <mergeCell ref="BQ11:BU11"/>
    <mergeCell ref="BV11:BV12"/>
    <mergeCell ref="BW11:CA11"/>
    <mergeCell ref="CB11:CB12"/>
    <mergeCell ref="CC11:CG11"/>
    <mergeCell ref="BA12:BB12"/>
    <mergeCell ref="BL9:CH9"/>
    <mergeCell ref="E10:F13"/>
    <mergeCell ref="G10:AJ13"/>
    <mergeCell ref="AK10:AM13"/>
    <mergeCell ref="BL10:CB10"/>
    <mergeCell ref="AY11:BD11"/>
    <mergeCell ref="BF11:BJ11"/>
    <mergeCell ref="BK11:BK12"/>
    <mergeCell ref="BL11:BL12"/>
    <mergeCell ref="BM11:BO11"/>
    <mergeCell ref="BQ15:BU15"/>
    <mergeCell ref="BV15:BV16"/>
    <mergeCell ref="BW15:CA15"/>
    <mergeCell ref="CB15:CB16"/>
    <mergeCell ref="CC15:CG15"/>
    <mergeCell ref="BA16:BB16"/>
    <mergeCell ref="BL13:CB13"/>
    <mergeCell ref="E14:F17"/>
    <mergeCell ref="G14:AJ17"/>
    <mergeCell ref="AK14:AM17"/>
    <mergeCell ref="BL14:CB14"/>
    <mergeCell ref="AY15:BD15"/>
    <mergeCell ref="BF15:BJ15"/>
    <mergeCell ref="BK15:BK16"/>
    <mergeCell ref="BL15:BL16"/>
    <mergeCell ref="BM15:BO15"/>
    <mergeCell ref="BQ19:BU19"/>
    <mergeCell ref="BV19:BV20"/>
    <mergeCell ref="BW19:CA19"/>
    <mergeCell ref="CB19:CB20"/>
    <mergeCell ref="CC19:CG19"/>
    <mergeCell ref="BA20:BB20"/>
    <mergeCell ref="BL17:CB17"/>
    <mergeCell ref="E18:F21"/>
    <mergeCell ref="G18:AJ21"/>
    <mergeCell ref="AK18:AM21"/>
    <mergeCell ref="BL18:CB18"/>
    <mergeCell ref="AY19:BD19"/>
    <mergeCell ref="BF19:BJ19"/>
    <mergeCell ref="BK19:BK20"/>
    <mergeCell ref="BL19:BL20"/>
    <mergeCell ref="BM19:BO19"/>
    <mergeCell ref="BQ23:BU23"/>
    <mergeCell ref="BV23:BV24"/>
    <mergeCell ref="BW23:CA23"/>
    <mergeCell ref="CB23:CB24"/>
    <mergeCell ref="CC23:CG23"/>
    <mergeCell ref="BA24:BB24"/>
    <mergeCell ref="BL21:CB21"/>
    <mergeCell ref="E22:F25"/>
    <mergeCell ref="G22:AJ25"/>
    <mergeCell ref="AK22:AM25"/>
    <mergeCell ref="BL22:CB22"/>
    <mergeCell ref="AY23:BD23"/>
    <mergeCell ref="BF23:BJ23"/>
    <mergeCell ref="BK23:BK24"/>
    <mergeCell ref="BL23:BL24"/>
    <mergeCell ref="BM23:BO23"/>
    <mergeCell ref="BQ27:BU27"/>
    <mergeCell ref="BV27:BV28"/>
    <mergeCell ref="BW27:CA27"/>
    <mergeCell ref="CB27:CB28"/>
    <mergeCell ref="CC27:CG27"/>
    <mergeCell ref="BA28:BB28"/>
    <mergeCell ref="BL25:CB25"/>
    <mergeCell ref="E26:F29"/>
    <mergeCell ref="G26:AJ29"/>
    <mergeCell ref="AK26:AM29"/>
    <mergeCell ref="BL26:CB26"/>
    <mergeCell ref="AY27:BD27"/>
    <mergeCell ref="BF27:BJ27"/>
    <mergeCell ref="BK27:BK28"/>
    <mergeCell ref="BL27:BL28"/>
    <mergeCell ref="BM27:BO27"/>
    <mergeCell ref="BQ31:BU31"/>
    <mergeCell ref="BV31:BV32"/>
    <mergeCell ref="BW31:CA31"/>
    <mergeCell ref="CB31:CB32"/>
    <mergeCell ref="CC31:CG31"/>
    <mergeCell ref="BA32:BB32"/>
    <mergeCell ref="BL29:CB29"/>
    <mergeCell ref="E30:F33"/>
    <mergeCell ref="G30:AJ33"/>
    <mergeCell ref="AK30:AM33"/>
    <mergeCell ref="BL30:CB30"/>
    <mergeCell ref="AY31:BD31"/>
    <mergeCell ref="BF31:BJ31"/>
    <mergeCell ref="BK31:BK32"/>
    <mergeCell ref="BL31:BL32"/>
    <mergeCell ref="BM31:BO31"/>
    <mergeCell ref="BQ35:BU35"/>
    <mergeCell ref="BV35:BV36"/>
    <mergeCell ref="BW35:CA35"/>
    <mergeCell ref="CB35:CB36"/>
    <mergeCell ref="CC35:CG35"/>
    <mergeCell ref="BA36:BB36"/>
    <mergeCell ref="BL33:CB33"/>
    <mergeCell ref="E34:F37"/>
    <mergeCell ref="G34:AJ37"/>
    <mergeCell ref="AK34:AM37"/>
    <mergeCell ref="BL34:CB34"/>
    <mergeCell ref="AY35:BD35"/>
    <mergeCell ref="BF35:BJ35"/>
    <mergeCell ref="BK35:BK36"/>
    <mergeCell ref="BL35:BL36"/>
    <mergeCell ref="BM35:BO35"/>
    <mergeCell ref="BQ39:BU39"/>
    <mergeCell ref="BV39:BV40"/>
    <mergeCell ref="BW39:CA39"/>
    <mergeCell ref="CB39:CB40"/>
    <mergeCell ref="CC39:CG39"/>
    <mergeCell ref="BA40:BB40"/>
    <mergeCell ref="BL37:CB37"/>
    <mergeCell ref="E38:F41"/>
    <mergeCell ref="G38:AJ41"/>
    <mergeCell ref="AK38:AM41"/>
    <mergeCell ref="BL38:CB38"/>
    <mergeCell ref="AY39:BD39"/>
    <mergeCell ref="BF39:BJ39"/>
    <mergeCell ref="BK39:BK40"/>
    <mergeCell ref="BL39:BL40"/>
    <mergeCell ref="BM39:BO39"/>
    <mergeCell ref="BQ43:BU43"/>
    <mergeCell ref="BV43:BV44"/>
    <mergeCell ref="BW43:CA43"/>
    <mergeCell ref="CB43:CB44"/>
    <mergeCell ref="CC43:CG43"/>
    <mergeCell ref="BA44:BB44"/>
    <mergeCell ref="BL41:CB41"/>
    <mergeCell ref="E42:F45"/>
    <mergeCell ref="G42:AJ45"/>
    <mergeCell ref="AK42:AM45"/>
    <mergeCell ref="BL42:CB42"/>
    <mergeCell ref="AY43:BD43"/>
    <mergeCell ref="BF43:BJ43"/>
    <mergeCell ref="BK43:BK44"/>
    <mergeCell ref="BL43:BL44"/>
    <mergeCell ref="BM43:BO43"/>
    <mergeCell ref="BQ47:BU47"/>
    <mergeCell ref="BV47:BV48"/>
    <mergeCell ref="BW47:CA47"/>
    <mergeCell ref="CB47:CB48"/>
    <mergeCell ref="CC47:CG47"/>
    <mergeCell ref="BA48:BB48"/>
    <mergeCell ref="BL45:CB45"/>
    <mergeCell ref="E46:F49"/>
    <mergeCell ref="G46:AJ49"/>
    <mergeCell ref="AK46:AM49"/>
    <mergeCell ref="BL46:CB46"/>
    <mergeCell ref="AY47:BD47"/>
    <mergeCell ref="BF47:BJ47"/>
    <mergeCell ref="BK47:BK48"/>
    <mergeCell ref="BL47:BL48"/>
    <mergeCell ref="BM47:BO47"/>
    <mergeCell ref="BQ51:BU51"/>
    <mergeCell ref="BV51:BV52"/>
    <mergeCell ref="BW51:CA51"/>
    <mergeCell ref="CB51:CB52"/>
    <mergeCell ref="CC51:CG51"/>
    <mergeCell ref="BA52:BB52"/>
    <mergeCell ref="BL49:CB49"/>
    <mergeCell ref="E50:F53"/>
    <mergeCell ref="G50:AJ53"/>
    <mergeCell ref="AK50:AM53"/>
    <mergeCell ref="BL50:CB50"/>
    <mergeCell ref="AY51:BD51"/>
    <mergeCell ref="BF51:BJ51"/>
    <mergeCell ref="BK51:BK52"/>
    <mergeCell ref="BL51:BL52"/>
    <mergeCell ref="BM51:BO51"/>
    <mergeCell ref="BQ55:BU55"/>
    <mergeCell ref="BV55:BV56"/>
    <mergeCell ref="BW55:CA55"/>
    <mergeCell ref="CB55:CB56"/>
    <mergeCell ref="CC55:CG55"/>
    <mergeCell ref="BA56:BB56"/>
    <mergeCell ref="BL53:CB53"/>
    <mergeCell ref="E54:F57"/>
    <mergeCell ref="G54:AJ57"/>
    <mergeCell ref="AK54:AM57"/>
    <mergeCell ref="BL54:CB54"/>
    <mergeCell ref="AY55:BD55"/>
    <mergeCell ref="BF55:BJ55"/>
    <mergeCell ref="BK55:BK56"/>
    <mergeCell ref="BL55:BL56"/>
    <mergeCell ref="BM55:BO55"/>
    <mergeCell ref="BQ59:BU59"/>
    <mergeCell ref="BV59:BV60"/>
    <mergeCell ref="BW59:CA59"/>
    <mergeCell ref="CB59:CB60"/>
    <mergeCell ref="CC59:CG59"/>
    <mergeCell ref="BA60:BB60"/>
    <mergeCell ref="BL57:CB57"/>
    <mergeCell ref="E58:F61"/>
    <mergeCell ref="G58:AJ61"/>
    <mergeCell ref="AK58:AM61"/>
    <mergeCell ref="BL58:CB58"/>
    <mergeCell ref="AY59:BD59"/>
    <mergeCell ref="BF59:BJ59"/>
    <mergeCell ref="BK59:BK60"/>
    <mergeCell ref="BL59:BL60"/>
    <mergeCell ref="BM59:BO59"/>
    <mergeCell ref="BQ63:BU63"/>
    <mergeCell ref="BV63:BV64"/>
    <mergeCell ref="BW63:CA63"/>
    <mergeCell ref="CB63:CB64"/>
    <mergeCell ref="CC63:CG63"/>
    <mergeCell ref="BA64:BB64"/>
    <mergeCell ref="BL61:CB61"/>
    <mergeCell ref="E62:F65"/>
    <mergeCell ref="G62:AJ65"/>
    <mergeCell ref="AK62:AM65"/>
    <mergeCell ref="BL62:CB62"/>
    <mergeCell ref="AY63:BD63"/>
    <mergeCell ref="BF63:BJ63"/>
    <mergeCell ref="BK63:BK64"/>
    <mergeCell ref="BL63:BL64"/>
    <mergeCell ref="BM63:BO63"/>
    <mergeCell ref="BQ67:BU67"/>
    <mergeCell ref="BV67:BV68"/>
    <mergeCell ref="BW67:CA67"/>
    <mergeCell ref="CB67:CB68"/>
    <mergeCell ref="CC67:CG67"/>
    <mergeCell ref="BA68:BB68"/>
    <mergeCell ref="BL65:CB65"/>
    <mergeCell ref="E66:F69"/>
    <mergeCell ref="G66:AJ69"/>
    <mergeCell ref="AK66:AM69"/>
    <mergeCell ref="BL66:CB66"/>
    <mergeCell ref="AY67:BD67"/>
    <mergeCell ref="BF67:BJ67"/>
    <mergeCell ref="BK67:BK68"/>
    <mergeCell ref="BL67:BL68"/>
    <mergeCell ref="BM67:BO67"/>
    <mergeCell ref="BQ71:BU71"/>
    <mergeCell ref="BV71:BV72"/>
    <mergeCell ref="BW71:CA71"/>
    <mergeCell ref="CB71:CB72"/>
    <mergeCell ref="CC71:CG71"/>
    <mergeCell ref="BA72:BB72"/>
    <mergeCell ref="BL69:CB69"/>
    <mergeCell ref="E70:F73"/>
    <mergeCell ref="G70:AJ73"/>
    <mergeCell ref="AK70:AM73"/>
    <mergeCell ref="BL70:CB70"/>
    <mergeCell ref="AY71:BD71"/>
    <mergeCell ref="BF71:BJ71"/>
    <mergeCell ref="BK71:BK72"/>
    <mergeCell ref="BL71:BL72"/>
    <mergeCell ref="BM71:BO71"/>
    <mergeCell ref="BQ75:BU75"/>
    <mergeCell ref="BV75:BV76"/>
    <mergeCell ref="BW75:CA75"/>
    <mergeCell ref="CB75:CB76"/>
    <mergeCell ref="CC75:CG75"/>
    <mergeCell ref="BA76:BB76"/>
    <mergeCell ref="BL73:CB73"/>
    <mergeCell ref="E74:F77"/>
    <mergeCell ref="G74:AJ77"/>
    <mergeCell ref="AK74:AM77"/>
    <mergeCell ref="BL74:CB74"/>
    <mergeCell ref="AY75:BD75"/>
    <mergeCell ref="BF75:BJ75"/>
    <mergeCell ref="BK75:BK76"/>
    <mergeCell ref="BL75:BL76"/>
    <mergeCell ref="BM75:BO75"/>
    <mergeCell ref="BQ79:BU79"/>
    <mergeCell ref="BV79:BV80"/>
    <mergeCell ref="BW79:CA79"/>
    <mergeCell ref="CB79:CB80"/>
    <mergeCell ref="CC79:CG79"/>
    <mergeCell ref="BA80:BB80"/>
    <mergeCell ref="BL77:CB77"/>
    <mergeCell ref="E78:F81"/>
    <mergeCell ref="G78:AJ81"/>
    <mergeCell ref="AK78:AM81"/>
    <mergeCell ref="BL78:CB78"/>
    <mergeCell ref="AY79:BD79"/>
    <mergeCell ref="BF79:BJ79"/>
    <mergeCell ref="BK79:BK80"/>
    <mergeCell ref="BL79:BL80"/>
    <mergeCell ref="BM79:BO79"/>
    <mergeCell ref="BQ83:BU83"/>
    <mergeCell ref="BV83:BV84"/>
    <mergeCell ref="BW83:CA83"/>
    <mergeCell ref="CB83:CB84"/>
    <mergeCell ref="CC83:CG83"/>
    <mergeCell ref="BA84:BB84"/>
    <mergeCell ref="BL81:CB81"/>
    <mergeCell ref="E82:F85"/>
    <mergeCell ref="G82:AJ85"/>
    <mergeCell ref="AK82:AM85"/>
    <mergeCell ref="BL82:CB82"/>
    <mergeCell ref="AY83:BD83"/>
    <mergeCell ref="BF83:BJ83"/>
    <mergeCell ref="BK83:BK84"/>
    <mergeCell ref="BL83:BL84"/>
    <mergeCell ref="BM83:BO83"/>
    <mergeCell ref="BQ87:BU87"/>
    <mergeCell ref="BV87:BV88"/>
    <mergeCell ref="BW87:CA87"/>
    <mergeCell ref="CB87:CB88"/>
    <mergeCell ref="CC87:CG87"/>
    <mergeCell ref="BA88:BB88"/>
    <mergeCell ref="BL85:CB85"/>
    <mergeCell ref="E86:F89"/>
    <mergeCell ref="G86:AJ89"/>
    <mergeCell ref="AK86:AM89"/>
    <mergeCell ref="BL86:CB86"/>
    <mergeCell ref="AY87:BD87"/>
    <mergeCell ref="BF87:BJ87"/>
    <mergeCell ref="BK87:BK88"/>
    <mergeCell ref="BL87:BL88"/>
    <mergeCell ref="BM87:BO87"/>
    <mergeCell ref="BQ91:BU91"/>
    <mergeCell ref="BV91:BV92"/>
    <mergeCell ref="BW91:CA91"/>
    <mergeCell ref="CB91:CB92"/>
    <mergeCell ref="CC91:CG91"/>
    <mergeCell ref="BA92:BB92"/>
    <mergeCell ref="BL89:CB89"/>
    <mergeCell ref="E90:F93"/>
    <mergeCell ref="G90:AJ93"/>
    <mergeCell ref="AK90:AM93"/>
    <mergeCell ref="BL90:CB90"/>
    <mergeCell ref="AY91:BD91"/>
    <mergeCell ref="BF91:BJ91"/>
    <mergeCell ref="BK91:BK92"/>
    <mergeCell ref="BL91:BL92"/>
    <mergeCell ref="BM91:BO91"/>
    <mergeCell ref="BQ95:BU95"/>
    <mergeCell ref="BV95:BV96"/>
    <mergeCell ref="BW95:CA95"/>
    <mergeCell ref="CB95:CB96"/>
    <mergeCell ref="CC95:CG95"/>
    <mergeCell ref="BA96:BB96"/>
    <mergeCell ref="BL93:CB93"/>
    <mergeCell ref="E94:F97"/>
    <mergeCell ref="G94:AJ97"/>
    <mergeCell ref="AK94:AM97"/>
    <mergeCell ref="BL94:CB94"/>
    <mergeCell ref="AY95:BD95"/>
    <mergeCell ref="BF95:BJ95"/>
    <mergeCell ref="BK95:BK96"/>
    <mergeCell ref="BL95:BL96"/>
    <mergeCell ref="BM95:BO95"/>
    <mergeCell ref="BQ99:BU99"/>
    <mergeCell ref="BV99:BV100"/>
    <mergeCell ref="BW99:CA99"/>
    <mergeCell ref="CB99:CB100"/>
    <mergeCell ref="CC99:CG99"/>
    <mergeCell ref="BA100:BB100"/>
    <mergeCell ref="BL97:CB97"/>
    <mergeCell ref="E98:F101"/>
    <mergeCell ref="G98:AJ101"/>
    <mergeCell ref="AK98:AM101"/>
    <mergeCell ref="BL98:CB98"/>
    <mergeCell ref="AY99:BD99"/>
    <mergeCell ref="BF99:BJ99"/>
    <mergeCell ref="BK99:BK100"/>
    <mergeCell ref="BL99:BL100"/>
    <mergeCell ref="BM99:BO99"/>
    <mergeCell ref="BQ103:BU103"/>
    <mergeCell ref="BV103:BV104"/>
    <mergeCell ref="BW103:CA103"/>
    <mergeCell ref="CB103:CB104"/>
    <mergeCell ref="CC103:CG103"/>
    <mergeCell ref="BA104:BB104"/>
    <mergeCell ref="BL101:CB101"/>
    <mergeCell ref="E102:F105"/>
    <mergeCell ref="G102:AJ105"/>
    <mergeCell ref="AK102:AM105"/>
    <mergeCell ref="BL102:CB102"/>
    <mergeCell ref="AY103:BD103"/>
    <mergeCell ref="BF103:BJ103"/>
    <mergeCell ref="BK103:BK104"/>
    <mergeCell ref="BL103:BL104"/>
    <mergeCell ref="BM103:BO103"/>
    <mergeCell ref="BQ107:BU107"/>
    <mergeCell ref="BV107:BV108"/>
    <mergeCell ref="BW107:CA107"/>
    <mergeCell ref="CB107:CB108"/>
    <mergeCell ref="CC107:CG107"/>
    <mergeCell ref="BA108:BB108"/>
    <mergeCell ref="BL105:CB105"/>
    <mergeCell ref="E106:F109"/>
    <mergeCell ref="G106:AJ109"/>
    <mergeCell ref="AK106:AM109"/>
    <mergeCell ref="BL106:CB106"/>
    <mergeCell ref="AY107:BD107"/>
    <mergeCell ref="BF107:BJ107"/>
    <mergeCell ref="BK107:BK108"/>
    <mergeCell ref="BL107:BL108"/>
    <mergeCell ref="BM107:BO107"/>
    <mergeCell ref="BQ111:BU111"/>
    <mergeCell ref="BV111:BV112"/>
    <mergeCell ref="BW111:CA111"/>
    <mergeCell ref="CB111:CB112"/>
    <mergeCell ref="CC111:CG111"/>
    <mergeCell ref="BA112:BB112"/>
    <mergeCell ref="BL109:CB109"/>
    <mergeCell ref="E110:F113"/>
    <mergeCell ref="G110:AJ113"/>
    <mergeCell ref="AK110:AM113"/>
    <mergeCell ref="BL110:CB110"/>
    <mergeCell ref="AY111:BD111"/>
    <mergeCell ref="BF111:BJ111"/>
    <mergeCell ref="BK111:BK112"/>
    <mergeCell ref="BL111:BL112"/>
    <mergeCell ref="BM111:BO111"/>
    <mergeCell ref="BQ115:BU115"/>
    <mergeCell ref="BV115:BV116"/>
    <mergeCell ref="BW115:CA115"/>
    <mergeCell ref="CB115:CB116"/>
    <mergeCell ref="CC115:CG115"/>
    <mergeCell ref="BA116:BB116"/>
    <mergeCell ref="BL113:CB113"/>
    <mergeCell ref="E114:F117"/>
    <mergeCell ref="G114:AJ117"/>
    <mergeCell ref="AK114:AM117"/>
    <mergeCell ref="BL114:CB114"/>
    <mergeCell ref="AY115:BD115"/>
    <mergeCell ref="BF115:BJ115"/>
    <mergeCell ref="BK115:BK116"/>
    <mergeCell ref="BL115:BL116"/>
    <mergeCell ref="BM115:BO115"/>
    <mergeCell ref="CG123:CH123"/>
    <mergeCell ref="BQ119:BU119"/>
    <mergeCell ref="BV119:BV120"/>
    <mergeCell ref="BW119:CA119"/>
    <mergeCell ref="CB119:CB120"/>
    <mergeCell ref="CC119:CG119"/>
    <mergeCell ref="BA120:BB120"/>
    <mergeCell ref="BL117:CB117"/>
    <mergeCell ref="E118:F121"/>
    <mergeCell ref="G118:AJ121"/>
    <mergeCell ref="AK118:AM121"/>
    <mergeCell ref="BL118:CB118"/>
    <mergeCell ref="AY119:BD119"/>
    <mergeCell ref="BF119:BJ119"/>
    <mergeCell ref="BK119:BK120"/>
    <mergeCell ref="BL119:BL120"/>
    <mergeCell ref="BM119:BO119"/>
    <mergeCell ref="BL121:CB121"/>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0F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9"/>
  <dimension ref="A1:CK130"/>
  <sheetViews>
    <sheetView topLeftCell="A55" zoomScale="110" zoomScaleNormal="110" workbookViewId="0">
      <selection activeCell="C31" sqref="C31"/>
    </sheetView>
  </sheetViews>
  <sheetFormatPr defaultRowHeight="12.75"/>
  <cols>
    <col min="1" max="1" width="0.7109375" style="220" customWidth="1"/>
    <col min="2" max="2" width="0.42578125" style="220" customWidth="1"/>
    <col min="3" max="3" width="0.5703125" style="220" customWidth="1"/>
    <col min="4" max="4" width="0.28515625" style="221" customWidth="1"/>
    <col min="5" max="5" width="3.7109375" style="278" customWidth="1"/>
    <col min="6" max="6" width="1.140625" style="278" customWidth="1"/>
    <col min="7" max="7" width="0.7109375" style="278" customWidth="1"/>
    <col min="8" max="10" width="0.7109375" style="279" customWidth="1"/>
    <col min="11" max="11" width="0.7109375" style="280" customWidth="1"/>
    <col min="12" max="12" width="0.5703125" style="280" customWidth="1"/>
    <col min="13" max="25" width="0.7109375" style="280" customWidth="1"/>
    <col min="26" max="26" width="1.4257812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 style="280" customWidth="1"/>
    <col min="63" max="64" width="0.5703125" style="280" customWidth="1"/>
    <col min="65" max="65" width="2.140625" style="280" customWidth="1"/>
    <col min="66" max="66" width="0.5703125" style="280" customWidth="1"/>
    <col min="67" max="67" width="2.140625" style="280" customWidth="1"/>
    <col min="68" max="68" width="0.5703125" style="280" customWidth="1"/>
    <col min="69" max="69" width="2.140625" style="280" customWidth="1"/>
    <col min="70" max="70" width="0.5703125" style="280" customWidth="1"/>
    <col min="71" max="71" width="2.140625" style="280" customWidth="1"/>
    <col min="72" max="72" width="0.5703125" style="280" customWidth="1"/>
    <col min="73" max="73" width="2.140625" style="280" customWidth="1"/>
    <col min="74" max="74" width="0.5703125" style="280" customWidth="1"/>
    <col min="75" max="75" width="2.140625" style="280" customWidth="1"/>
    <col min="76" max="76" width="0.5703125" style="280" customWidth="1"/>
    <col min="77" max="77" width="2.140625" style="280" customWidth="1"/>
    <col min="78" max="78" width="0.5703125" style="280" customWidth="1"/>
    <col min="79" max="79" width="2.140625" style="280" customWidth="1"/>
    <col min="80" max="80" width="0.5703125" style="280" customWidth="1"/>
    <col min="81" max="81" width="2.140625" style="280" customWidth="1"/>
    <col min="82" max="82" width="0.5703125" style="280" customWidth="1"/>
    <col min="83" max="83" width="2.140625" style="280" customWidth="1"/>
    <col min="84" max="84" width="0.5703125" style="280" customWidth="1"/>
    <col min="85" max="85" width="2.140625" style="280" customWidth="1"/>
    <col min="86" max="86" width="0.5703125" style="280" customWidth="1"/>
    <col min="87" max="88" width="2.5703125" style="221" customWidth="1"/>
    <col min="89" max="256" width="9.140625" style="221"/>
    <col min="257" max="257" width="0.7109375" style="221" customWidth="1"/>
    <col min="258" max="258" width="0.42578125" style="221" customWidth="1"/>
    <col min="259" max="259" width="0.5703125" style="221" customWidth="1"/>
    <col min="260" max="260" width="0.28515625" style="221" customWidth="1"/>
    <col min="261" max="261" width="3.7109375" style="221" customWidth="1"/>
    <col min="262" max="262" width="1.140625" style="221" customWidth="1"/>
    <col min="263" max="267" width="0.7109375" style="221" customWidth="1"/>
    <col min="268" max="268" width="0.5703125" style="221" customWidth="1"/>
    <col min="269" max="281" width="0.7109375" style="221" customWidth="1"/>
    <col min="282" max="282" width="1.4257812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 style="221" customWidth="1"/>
    <col min="319" max="320" width="0.5703125" style="221" customWidth="1"/>
    <col min="321" max="321" width="2.140625" style="221" customWidth="1"/>
    <col min="322" max="322" width="0.5703125" style="221" customWidth="1"/>
    <col min="323" max="323" width="2.140625" style="221" customWidth="1"/>
    <col min="324" max="324" width="0.5703125" style="221" customWidth="1"/>
    <col min="325" max="325" width="2.140625" style="221" customWidth="1"/>
    <col min="326" max="326" width="0.5703125" style="221" customWidth="1"/>
    <col min="327" max="327" width="2.140625" style="221" customWidth="1"/>
    <col min="328" max="328" width="0.5703125" style="221" customWidth="1"/>
    <col min="329" max="329" width="2.140625" style="221" customWidth="1"/>
    <col min="330" max="330" width="0.5703125" style="221" customWidth="1"/>
    <col min="331" max="331" width="2.140625" style="221" customWidth="1"/>
    <col min="332" max="332" width="0.5703125" style="221" customWidth="1"/>
    <col min="333" max="333" width="2.140625" style="221" customWidth="1"/>
    <col min="334" max="334" width="0.5703125" style="221" customWidth="1"/>
    <col min="335" max="335" width="2.140625" style="221" customWidth="1"/>
    <col min="336" max="336" width="0.5703125" style="221" customWidth="1"/>
    <col min="337" max="337" width="2.140625" style="221" customWidth="1"/>
    <col min="338" max="338" width="0.5703125" style="221" customWidth="1"/>
    <col min="339" max="339" width="2.140625" style="221" customWidth="1"/>
    <col min="340" max="340" width="0.5703125" style="221" customWidth="1"/>
    <col min="341" max="341" width="2.140625" style="221" customWidth="1"/>
    <col min="342" max="342" width="0.5703125" style="221" customWidth="1"/>
    <col min="343" max="344" width="2.5703125" style="221" customWidth="1"/>
    <col min="345" max="512" width="9.140625" style="221"/>
    <col min="513" max="513" width="0.7109375" style="221" customWidth="1"/>
    <col min="514" max="514" width="0.42578125" style="221" customWidth="1"/>
    <col min="515" max="515" width="0.5703125" style="221" customWidth="1"/>
    <col min="516" max="516" width="0.28515625" style="221" customWidth="1"/>
    <col min="517" max="517" width="3.7109375" style="221" customWidth="1"/>
    <col min="518" max="518" width="1.140625" style="221" customWidth="1"/>
    <col min="519" max="523" width="0.7109375" style="221" customWidth="1"/>
    <col min="524" max="524" width="0.5703125" style="221" customWidth="1"/>
    <col min="525" max="537" width="0.7109375" style="221" customWidth="1"/>
    <col min="538" max="538" width="1.4257812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 style="221" customWidth="1"/>
    <col min="575" max="576" width="0.5703125" style="221" customWidth="1"/>
    <col min="577" max="577" width="2.140625" style="221" customWidth="1"/>
    <col min="578" max="578" width="0.5703125" style="221" customWidth="1"/>
    <col min="579" max="579" width="2.140625" style="221" customWidth="1"/>
    <col min="580" max="580" width="0.5703125" style="221" customWidth="1"/>
    <col min="581" max="581" width="2.140625" style="221" customWidth="1"/>
    <col min="582" max="582" width="0.5703125" style="221" customWidth="1"/>
    <col min="583" max="583" width="2.140625" style="221" customWidth="1"/>
    <col min="584" max="584" width="0.5703125" style="221" customWidth="1"/>
    <col min="585" max="585" width="2.140625" style="221" customWidth="1"/>
    <col min="586" max="586" width="0.5703125" style="221" customWidth="1"/>
    <col min="587" max="587" width="2.140625" style="221" customWidth="1"/>
    <col min="588" max="588" width="0.5703125" style="221" customWidth="1"/>
    <col min="589" max="589" width="2.140625" style="221" customWidth="1"/>
    <col min="590" max="590" width="0.5703125" style="221" customWidth="1"/>
    <col min="591" max="591" width="2.140625" style="221" customWidth="1"/>
    <col min="592" max="592" width="0.5703125" style="221" customWidth="1"/>
    <col min="593" max="593" width="2.140625" style="221" customWidth="1"/>
    <col min="594" max="594" width="0.5703125" style="221" customWidth="1"/>
    <col min="595" max="595" width="2.140625" style="221" customWidth="1"/>
    <col min="596" max="596" width="0.5703125" style="221" customWidth="1"/>
    <col min="597" max="597" width="2.140625" style="221" customWidth="1"/>
    <col min="598" max="598" width="0.5703125" style="221" customWidth="1"/>
    <col min="599" max="600" width="2.5703125" style="221" customWidth="1"/>
    <col min="601" max="768" width="9.140625" style="221"/>
    <col min="769" max="769" width="0.7109375" style="221" customWidth="1"/>
    <col min="770" max="770" width="0.42578125" style="221" customWidth="1"/>
    <col min="771" max="771" width="0.5703125" style="221" customWidth="1"/>
    <col min="772" max="772" width="0.28515625" style="221" customWidth="1"/>
    <col min="773" max="773" width="3.7109375" style="221" customWidth="1"/>
    <col min="774" max="774" width="1.140625" style="221" customWidth="1"/>
    <col min="775" max="779" width="0.7109375" style="221" customWidth="1"/>
    <col min="780" max="780" width="0.5703125" style="221" customWidth="1"/>
    <col min="781" max="793" width="0.7109375" style="221" customWidth="1"/>
    <col min="794" max="794" width="1.4257812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 style="221" customWidth="1"/>
    <col min="831" max="832" width="0.5703125" style="221" customWidth="1"/>
    <col min="833" max="833" width="2.140625" style="221" customWidth="1"/>
    <col min="834" max="834" width="0.5703125" style="221" customWidth="1"/>
    <col min="835" max="835" width="2.140625" style="221" customWidth="1"/>
    <col min="836" max="836" width="0.5703125" style="221" customWidth="1"/>
    <col min="837" max="837" width="2.140625" style="221" customWidth="1"/>
    <col min="838" max="838" width="0.5703125" style="221" customWidth="1"/>
    <col min="839" max="839" width="2.140625" style="221" customWidth="1"/>
    <col min="840" max="840" width="0.5703125" style="221" customWidth="1"/>
    <col min="841" max="841" width="2.140625" style="221" customWidth="1"/>
    <col min="842" max="842" width="0.5703125" style="221" customWidth="1"/>
    <col min="843" max="843" width="2.140625" style="221" customWidth="1"/>
    <col min="844" max="844" width="0.5703125" style="221" customWidth="1"/>
    <col min="845" max="845" width="2.140625" style="221" customWidth="1"/>
    <col min="846" max="846" width="0.5703125" style="221" customWidth="1"/>
    <col min="847" max="847" width="2.140625" style="221" customWidth="1"/>
    <col min="848" max="848" width="0.5703125" style="221" customWidth="1"/>
    <col min="849" max="849" width="2.140625" style="221" customWidth="1"/>
    <col min="850" max="850" width="0.5703125" style="221" customWidth="1"/>
    <col min="851" max="851" width="2.140625" style="221" customWidth="1"/>
    <col min="852" max="852" width="0.5703125" style="221" customWidth="1"/>
    <col min="853" max="853" width="2.140625" style="221" customWidth="1"/>
    <col min="854" max="854" width="0.5703125" style="221" customWidth="1"/>
    <col min="855" max="856" width="2.5703125" style="221" customWidth="1"/>
    <col min="857"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7109375" style="221" customWidth="1"/>
    <col min="1030" max="1030" width="1.140625" style="221" customWidth="1"/>
    <col min="1031" max="1035" width="0.7109375" style="221" customWidth="1"/>
    <col min="1036" max="1036" width="0.5703125" style="221" customWidth="1"/>
    <col min="1037" max="1049" width="0.7109375" style="221" customWidth="1"/>
    <col min="1050" max="1050" width="1.4257812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 style="221" customWidth="1"/>
    <col min="1087" max="1088" width="0.5703125" style="221" customWidth="1"/>
    <col min="1089" max="1089" width="2.140625" style="221" customWidth="1"/>
    <col min="1090" max="1090" width="0.5703125" style="221" customWidth="1"/>
    <col min="1091" max="1091" width="2.140625" style="221" customWidth="1"/>
    <col min="1092" max="1092" width="0.5703125" style="221" customWidth="1"/>
    <col min="1093" max="1093" width="2.140625" style="221" customWidth="1"/>
    <col min="1094" max="1094" width="0.5703125" style="221" customWidth="1"/>
    <col min="1095" max="1095" width="2.140625" style="221" customWidth="1"/>
    <col min="1096" max="1096" width="0.5703125" style="221" customWidth="1"/>
    <col min="1097" max="1097" width="2.140625" style="221" customWidth="1"/>
    <col min="1098" max="1098" width="0.5703125" style="221" customWidth="1"/>
    <col min="1099" max="1099" width="2.140625" style="221" customWidth="1"/>
    <col min="1100" max="1100" width="0.5703125" style="221" customWidth="1"/>
    <col min="1101" max="1101" width="2.140625" style="221" customWidth="1"/>
    <col min="1102" max="1102" width="0.5703125" style="221" customWidth="1"/>
    <col min="1103" max="1103" width="2.140625" style="221" customWidth="1"/>
    <col min="1104" max="1104" width="0.5703125" style="221" customWidth="1"/>
    <col min="1105" max="1105" width="2.140625" style="221" customWidth="1"/>
    <col min="1106" max="1106" width="0.5703125" style="221" customWidth="1"/>
    <col min="1107" max="1107" width="2.140625" style="221" customWidth="1"/>
    <col min="1108" max="1108" width="0.5703125" style="221" customWidth="1"/>
    <col min="1109" max="1109" width="2.140625" style="221" customWidth="1"/>
    <col min="1110" max="1110" width="0.5703125" style="221" customWidth="1"/>
    <col min="1111" max="1112" width="2.5703125" style="221" customWidth="1"/>
    <col min="1113"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7109375" style="221" customWidth="1"/>
    <col min="1286" max="1286" width="1.140625" style="221" customWidth="1"/>
    <col min="1287" max="1291" width="0.7109375" style="221" customWidth="1"/>
    <col min="1292" max="1292" width="0.5703125" style="221" customWidth="1"/>
    <col min="1293" max="1305" width="0.7109375" style="221" customWidth="1"/>
    <col min="1306" max="1306" width="1.4257812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 style="221" customWidth="1"/>
    <col min="1343" max="1344" width="0.5703125" style="221" customWidth="1"/>
    <col min="1345" max="1345" width="2.140625" style="221" customWidth="1"/>
    <col min="1346" max="1346" width="0.5703125" style="221" customWidth="1"/>
    <col min="1347" max="1347" width="2.140625" style="221" customWidth="1"/>
    <col min="1348" max="1348" width="0.5703125" style="221" customWidth="1"/>
    <col min="1349" max="1349" width="2.140625" style="221" customWidth="1"/>
    <col min="1350" max="1350" width="0.5703125" style="221" customWidth="1"/>
    <col min="1351" max="1351" width="2.140625" style="221" customWidth="1"/>
    <col min="1352" max="1352" width="0.5703125" style="221" customWidth="1"/>
    <col min="1353" max="1353" width="2.140625" style="221" customWidth="1"/>
    <col min="1354" max="1354" width="0.5703125" style="221" customWidth="1"/>
    <col min="1355" max="1355" width="2.140625" style="221" customWidth="1"/>
    <col min="1356" max="1356" width="0.5703125" style="221" customWidth="1"/>
    <col min="1357" max="1357" width="2.140625" style="221" customWidth="1"/>
    <col min="1358" max="1358" width="0.5703125" style="221" customWidth="1"/>
    <col min="1359" max="1359" width="2.140625" style="221" customWidth="1"/>
    <col min="1360" max="1360" width="0.5703125" style="221" customWidth="1"/>
    <col min="1361" max="1361" width="2.140625" style="221" customWidth="1"/>
    <col min="1362" max="1362" width="0.5703125" style="221" customWidth="1"/>
    <col min="1363" max="1363" width="2.140625" style="221" customWidth="1"/>
    <col min="1364" max="1364" width="0.5703125" style="221" customWidth="1"/>
    <col min="1365" max="1365" width="2.140625" style="221" customWidth="1"/>
    <col min="1366" max="1366" width="0.5703125" style="221" customWidth="1"/>
    <col min="1367" max="1368" width="2.5703125" style="221" customWidth="1"/>
    <col min="1369"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7109375" style="221" customWidth="1"/>
    <col min="1542" max="1542" width="1.140625" style="221" customWidth="1"/>
    <col min="1543" max="1547" width="0.7109375" style="221" customWidth="1"/>
    <col min="1548" max="1548" width="0.5703125" style="221" customWidth="1"/>
    <col min="1549" max="1561" width="0.7109375" style="221" customWidth="1"/>
    <col min="1562" max="1562" width="1.4257812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 style="221" customWidth="1"/>
    <col min="1599" max="1600" width="0.5703125" style="221" customWidth="1"/>
    <col min="1601" max="1601" width="2.140625" style="221" customWidth="1"/>
    <col min="1602" max="1602" width="0.5703125" style="221" customWidth="1"/>
    <col min="1603" max="1603" width="2.140625" style="221" customWidth="1"/>
    <col min="1604" max="1604" width="0.5703125" style="221" customWidth="1"/>
    <col min="1605" max="1605" width="2.140625" style="221" customWidth="1"/>
    <col min="1606" max="1606" width="0.5703125" style="221" customWidth="1"/>
    <col min="1607" max="1607" width="2.140625" style="221" customWidth="1"/>
    <col min="1608" max="1608" width="0.5703125" style="221" customWidth="1"/>
    <col min="1609" max="1609" width="2.140625" style="221" customWidth="1"/>
    <col min="1610" max="1610" width="0.5703125" style="221" customWidth="1"/>
    <col min="1611" max="1611" width="2.140625" style="221" customWidth="1"/>
    <col min="1612" max="1612" width="0.5703125" style="221" customWidth="1"/>
    <col min="1613" max="1613" width="2.140625" style="221" customWidth="1"/>
    <col min="1614" max="1614" width="0.5703125" style="221" customWidth="1"/>
    <col min="1615" max="1615" width="2.140625" style="221" customWidth="1"/>
    <col min="1616" max="1616" width="0.5703125" style="221" customWidth="1"/>
    <col min="1617" max="1617" width="2.140625" style="221" customWidth="1"/>
    <col min="1618" max="1618" width="0.5703125" style="221" customWidth="1"/>
    <col min="1619" max="1619" width="2.140625" style="221" customWidth="1"/>
    <col min="1620" max="1620" width="0.5703125" style="221" customWidth="1"/>
    <col min="1621" max="1621" width="2.140625" style="221" customWidth="1"/>
    <col min="1622" max="1622" width="0.5703125" style="221" customWidth="1"/>
    <col min="1623" max="1624" width="2.5703125" style="221" customWidth="1"/>
    <col min="1625"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7109375" style="221" customWidth="1"/>
    <col min="1798" max="1798" width="1.140625" style="221" customWidth="1"/>
    <col min="1799" max="1803" width="0.7109375" style="221" customWidth="1"/>
    <col min="1804" max="1804" width="0.5703125" style="221" customWidth="1"/>
    <col min="1805" max="1817" width="0.7109375" style="221" customWidth="1"/>
    <col min="1818" max="1818" width="1.4257812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 style="221" customWidth="1"/>
    <col min="1855" max="1856" width="0.5703125" style="221" customWidth="1"/>
    <col min="1857" max="1857" width="2.140625" style="221" customWidth="1"/>
    <col min="1858" max="1858" width="0.5703125" style="221" customWidth="1"/>
    <col min="1859" max="1859" width="2.140625" style="221" customWidth="1"/>
    <col min="1860" max="1860" width="0.5703125" style="221" customWidth="1"/>
    <col min="1861" max="1861" width="2.140625" style="221" customWidth="1"/>
    <col min="1862" max="1862" width="0.5703125" style="221" customWidth="1"/>
    <col min="1863" max="1863" width="2.140625" style="221" customWidth="1"/>
    <col min="1864" max="1864" width="0.5703125" style="221" customWidth="1"/>
    <col min="1865" max="1865" width="2.140625" style="221" customWidth="1"/>
    <col min="1866" max="1866" width="0.5703125" style="221" customWidth="1"/>
    <col min="1867" max="1867" width="2.140625" style="221" customWidth="1"/>
    <col min="1868" max="1868" width="0.5703125" style="221" customWidth="1"/>
    <col min="1869" max="1869" width="2.140625" style="221" customWidth="1"/>
    <col min="1870" max="1870" width="0.5703125" style="221" customWidth="1"/>
    <col min="1871" max="1871" width="2.140625" style="221" customWidth="1"/>
    <col min="1872" max="1872" width="0.5703125" style="221" customWidth="1"/>
    <col min="1873" max="1873" width="2.140625" style="221" customWidth="1"/>
    <col min="1874" max="1874" width="0.5703125" style="221" customWidth="1"/>
    <col min="1875" max="1875" width="2.140625" style="221" customWidth="1"/>
    <col min="1876" max="1876" width="0.5703125" style="221" customWidth="1"/>
    <col min="1877" max="1877" width="2.140625" style="221" customWidth="1"/>
    <col min="1878" max="1878" width="0.5703125" style="221" customWidth="1"/>
    <col min="1879" max="1880" width="2.5703125" style="221" customWidth="1"/>
    <col min="1881"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7109375" style="221" customWidth="1"/>
    <col min="2054" max="2054" width="1.140625" style="221" customWidth="1"/>
    <col min="2055" max="2059" width="0.7109375" style="221" customWidth="1"/>
    <col min="2060" max="2060" width="0.5703125" style="221" customWidth="1"/>
    <col min="2061" max="2073" width="0.7109375" style="221" customWidth="1"/>
    <col min="2074" max="2074" width="1.4257812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 style="221" customWidth="1"/>
    <col min="2111" max="2112" width="0.5703125" style="221" customWidth="1"/>
    <col min="2113" max="2113" width="2.140625" style="221" customWidth="1"/>
    <col min="2114" max="2114" width="0.5703125" style="221" customWidth="1"/>
    <col min="2115" max="2115" width="2.140625" style="221" customWidth="1"/>
    <col min="2116" max="2116" width="0.5703125" style="221" customWidth="1"/>
    <col min="2117" max="2117" width="2.140625" style="221" customWidth="1"/>
    <col min="2118" max="2118" width="0.5703125" style="221" customWidth="1"/>
    <col min="2119" max="2119" width="2.140625" style="221" customWidth="1"/>
    <col min="2120" max="2120" width="0.5703125" style="221" customWidth="1"/>
    <col min="2121" max="2121" width="2.140625" style="221" customWidth="1"/>
    <col min="2122" max="2122" width="0.5703125" style="221" customWidth="1"/>
    <col min="2123" max="2123" width="2.140625" style="221" customWidth="1"/>
    <col min="2124" max="2124" width="0.5703125" style="221" customWidth="1"/>
    <col min="2125" max="2125" width="2.140625" style="221" customWidth="1"/>
    <col min="2126" max="2126" width="0.5703125" style="221" customWidth="1"/>
    <col min="2127" max="2127" width="2.140625" style="221" customWidth="1"/>
    <col min="2128" max="2128" width="0.5703125" style="221" customWidth="1"/>
    <col min="2129" max="2129" width="2.140625" style="221" customWidth="1"/>
    <col min="2130" max="2130" width="0.5703125" style="221" customWidth="1"/>
    <col min="2131" max="2131" width="2.140625" style="221" customWidth="1"/>
    <col min="2132" max="2132" width="0.5703125" style="221" customWidth="1"/>
    <col min="2133" max="2133" width="2.140625" style="221" customWidth="1"/>
    <col min="2134" max="2134" width="0.5703125" style="221" customWidth="1"/>
    <col min="2135" max="2136" width="2.5703125" style="221" customWidth="1"/>
    <col min="2137"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7109375" style="221" customWidth="1"/>
    <col min="2310" max="2310" width="1.140625" style="221" customWidth="1"/>
    <col min="2311" max="2315" width="0.7109375" style="221" customWidth="1"/>
    <col min="2316" max="2316" width="0.5703125" style="221" customWidth="1"/>
    <col min="2317" max="2329" width="0.7109375" style="221" customWidth="1"/>
    <col min="2330" max="2330" width="1.4257812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 style="221" customWidth="1"/>
    <col min="2367" max="2368" width="0.5703125" style="221" customWidth="1"/>
    <col min="2369" max="2369" width="2.140625" style="221" customWidth="1"/>
    <col min="2370" max="2370" width="0.5703125" style="221" customWidth="1"/>
    <col min="2371" max="2371" width="2.140625" style="221" customWidth="1"/>
    <col min="2372" max="2372" width="0.5703125" style="221" customWidth="1"/>
    <col min="2373" max="2373" width="2.140625" style="221" customWidth="1"/>
    <col min="2374" max="2374" width="0.5703125" style="221" customWidth="1"/>
    <col min="2375" max="2375" width="2.140625" style="221" customWidth="1"/>
    <col min="2376" max="2376" width="0.5703125" style="221" customWidth="1"/>
    <col min="2377" max="2377" width="2.140625" style="221" customWidth="1"/>
    <col min="2378" max="2378" width="0.5703125" style="221" customWidth="1"/>
    <col min="2379" max="2379" width="2.140625" style="221" customWidth="1"/>
    <col min="2380" max="2380" width="0.5703125" style="221" customWidth="1"/>
    <col min="2381" max="2381" width="2.140625" style="221" customWidth="1"/>
    <col min="2382" max="2382" width="0.5703125" style="221" customWidth="1"/>
    <col min="2383" max="2383" width="2.140625" style="221" customWidth="1"/>
    <col min="2384" max="2384" width="0.5703125" style="221" customWidth="1"/>
    <col min="2385" max="2385" width="2.140625" style="221" customWidth="1"/>
    <col min="2386" max="2386" width="0.5703125" style="221" customWidth="1"/>
    <col min="2387" max="2387" width="2.140625" style="221" customWidth="1"/>
    <col min="2388" max="2388" width="0.5703125" style="221" customWidth="1"/>
    <col min="2389" max="2389" width="2.140625" style="221" customWidth="1"/>
    <col min="2390" max="2390" width="0.5703125" style="221" customWidth="1"/>
    <col min="2391" max="2392" width="2.5703125" style="221" customWidth="1"/>
    <col min="2393"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7109375" style="221" customWidth="1"/>
    <col min="2566" max="2566" width="1.140625" style="221" customWidth="1"/>
    <col min="2567" max="2571" width="0.7109375" style="221" customWidth="1"/>
    <col min="2572" max="2572" width="0.5703125" style="221" customWidth="1"/>
    <col min="2573" max="2585" width="0.7109375" style="221" customWidth="1"/>
    <col min="2586" max="2586" width="1.4257812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 style="221" customWidth="1"/>
    <col min="2623" max="2624" width="0.5703125" style="221" customWidth="1"/>
    <col min="2625" max="2625" width="2.140625" style="221" customWidth="1"/>
    <col min="2626" max="2626" width="0.5703125" style="221" customWidth="1"/>
    <col min="2627" max="2627" width="2.140625" style="221" customWidth="1"/>
    <col min="2628" max="2628" width="0.5703125" style="221" customWidth="1"/>
    <col min="2629" max="2629" width="2.140625" style="221" customWidth="1"/>
    <col min="2630" max="2630" width="0.5703125" style="221" customWidth="1"/>
    <col min="2631" max="2631" width="2.140625" style="221" customWidth="1"/>
    <col min="2632" max="2632" width="0.5703125" style="221" customWidth="1"/>
    <col min="2633" max="2633" width="2.140625" style="221" customWidth="1"/>
    <col min="2634" max="2634" width="0.5703125" style="221" customWidth="1"/>
    <col min="2635" max="2635" width="2.140625" style="221" customWidth="1"/>
    <col min="2636" max="2636" width="0.5703125" style="221" customWidth="1"/>
    <col min="2637" max="2637" width="2.140625" style="221" customWidth="1"/>
    <col min="2638" max="2638" width="0.5703125" style="221" customWidth="1"/>
    <col min="2639" max="2639" width="2.140625" style="221" customWidth="1"/>
    <col min="2640" max="2640" width="0.5703125" style="221" customWidth="1"/>
    <col min="2641" max="2641" width="2.140625" style="221" customWidth="1"/>
    <col min="2642" max="2642" width="0.5703125" style="221" customWidth="1"/>
    <col min="2643" max="2643" width="2.140625" style="221" customWidth="1"/>
    <col min="2644" max="2644" width="0.5703125" style="221" customWidth="1"/>
    <col min="2645" max="2645" width="2.140625" style="221" customWidth="1"/>
    <col min="2646" max="2646" width="0.5703125" style="221" customWidth="1"/>
    <col min="2647" max="2648" width="2.5703125" style="221" customWidth="1"/>
    <col min="2649"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7109375" style="221" customWidth="1"/>
    <col min="2822" max="2822" width="1.140625" style="221" customWidth="1"/>
    <col min="2823" max="2827" width="0.7109375" style="221" customWidth="1"/>
    <col min="2828" max="2828" width="0.5703125" style="221" customWidth="1"/>
    <col min="2829" max="2841" width="0.7109375" style="221" customWidth="1"/>
    <col min="2842" max="2842" width="1.4257812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 style="221" customWidth="1"/>
    <col min="2879" max="2880" width="0.5703125" style="221" customWidth="1"/>
    <col min="2881" max="2881" width="2.140625" style="221" customWidth="1"/>
    <col min="2882" max="2882" width="0.5703125" style="221" customWidth="1"/>
    <col min="2883" max="2883" width="2.140625" style="221" customWidth="1"/>
    <col min="2884" max="2884" width="0.5703125" style="221" customWidth="1"/>
    <col min="2885" max="2885" width="2.140625" style="221" customWidth="1"/>
    <col min="2886" max="2886" width="0.5703125" style="221" customWidth="1"/>
    <col min="2887" max="2887" width="2.140625" style="221" customWidth="1"/>
    <col min="2888" max="2888" width="0.5703125" style="221" customWidth="1"/>
    <col min="2889" max="2889" width="2.140625" style="221" customWidth="1"/>
    <col min="2890" max="2890" width="0.5703125" style="221" customWidth="1"/>
    <col min="2891" max="2891" width="2.140625" style="221" customWidth="1"/>
    <col min="2892" max="2892" width="0.5703125" style="221" customWidth="1"/>
    <col min="2893" max="2893" width="2.140625" style="221" customWidth="1"/>
    <col min="2894" max="2894" width="0.5703125" style="221" customWidth="1"/>
    <col min="2895" max="2895" width="2.140625" style="221" customWidth="1"/>
    <col min="2896" max="2896" width="0.5703125" style="221" customWidth="1"/>
    <col min="2897" max="2897" width="2.140625" style="221" customWidth="1"/>
    <col min="2898" max="2898" width="0.5703125" style="221" customWidth="1"/>
    <col min="2899" max="2899" width="2.140625" style="221" customWidth="1"/>
    <col min="2900" max="2900" width="0.5703125" style="221" customWidth="1"/>
    <col min="2901" max="2901" width="2.140625" style="221" customWidth="1"/>
    <col min="2902" max="2902" width="0.5703125" style="221" customWidth="1"/>
    <col min="2903" max="2904" width="2.5703125" style="221" customWidth="1"/>
    <col min="2905"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7109375" style="221" customWidth="1"/>
    <col min="3078" max="3078" width="1.140625" style="221" customWidth="1"/>
    <col min="3079" max="3083" width="0.7109375" style="221" customWidth="1"/>
    <col min="3084" max="3084" width="0.5703125" style="221" customWidth="1"/>
    <col min="3085" max="3097" width="0.7109375" style="221" customWidth="1"/>
    <col min="3098" max="3098" width="1.4257812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 style="221" customWidth="1"/>
    <col min="3135" max="3136" width="0.5703125" style="221" customWidth="1"/>
    <col min="3137" max="3137" width="2.140625" style="221" customWidth="1"/>
    <col min="3138" max="3138" width="0.5703125" style="221" customWidth="1"/>
    <col min="3139" max="3139" width="2.140625" style="221" customWidth="1"/>
    <col min="3140" max="3140" width="0.5703125" style="221" customWidth="1"/>
    <col min="3141" max="3141" width="2.140625" style="221" customWidth="1"/>
    <col min="3142" max="3142" width="0.5703125" style="221" customWidth="1"/>
    <col min="3143" max="3143" width="2.140625" style="221" customWidth="1"/>
    <col min="3144" max="3144" width="0.5703125" style="221" customWidth="1"/>
    <col min="3145" max="3145" width="2.140625" style="221" customWidth="1"/>
    <col min="3146" max="3146" width="0.5703125" style="221" customWidth="1"/>
    <col min="3147" max="3147" width="2.140625" style="221" customWidth="1"/>
    <col min="3148" max="3148" width="0.5703125" style="221" customWidth="1"/>
    <col min="3149" max="3149" width="2.140625" style="221" customWidth="1"/>
    <col min="3150" max="3150" width="0.5703125" style="221" customWidth="1"/>
    <col min="3151" max="3151" width="2.140625" style="221" customWidth="1"/>
    <col min="3152" max="3152" width="0.5703125" style="221" customWidth="1"/>
    <col min="3153" max="3153" width="2.140625" style="221" customWidth="1"/>
    <col min="3154" max="3154" width="0.5703125" style="221" customWidth="1"/>
    <col min="3155" max="3155" width="2.140625" style="221" customWidth="1"/>
    <col min="3156" max="3156" width="0.5703125" style="221" customWidth="1"/>
    <col min="3157" max="3157" width="2.140625" style="221" customWidth="1"/>
    <col min="3158" max="3158" width="0.5703125" style="221" customWidth="1"/>
    <col min="3159" max="3160" width="2.5703125" style="221" customWidth="1"/>
    <col min="3161"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7109375" style="221" customWidth="1"/>
    <col min="3334" max="3334" width="1.140625" style="221" customWidth="1"/>
    <col min="3335" max="3339" width="0.7109375" style="221" customWidth="1"/>
    <col min="3340" max="3340" width="0.5703125" style="221" customWidth="1"/>
    <col min="3341" max="3353" width="0.7109375" style="221" customWidth="1"/>
    <col min="3354" max="3354" width="1.4257812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 style="221" customWidth="1"/>
    <col min="3391" max="3392" width="0.5703125" style="221" customWidth="1"/>
    <col min="3393" max="3393" width="2.140625" style="221" customWidth="1"/>
    <col min="3394" max="3394" width="0.5703125" style="221" customWidth="1"/>
    <col min="3395" max="3395" width="2.140625" style="221" customWidth="1"/>
    <col min="3396" max="3396" width="0.5703125" style="221" customWidth="1"/>
    <col min="3397" max="3397" width="2.140625" style="221" customWidth="1"/>
    <col min="3398" max="3398" width="0.5703125" style="221" customWidth="1"/>
    <col min="3399" max="3399" width="2.140625" style="221" customWidth="1"/>
    <col min="3400" max="3400" width="0.5703125" style="221" customWidth="1"/>
    <col min="3401" max="3401" width="2.140625" style="221" customWidth="1"/>
    <col min="3402" max="3402" width="0.5703125" style="221" customWidth="1"/>
    <col min="3403" max="3403" width="2.140625" style="221" customWidth="1"/>
    <col min="3404" max="3404" width="0.5703125" style="221" customWidth="1"/>
    <col min="3405" max="3405" width="2.140625" style="221" customWidth="1"/>
    <col min="3406" max="3406" width="0.5703125" style="221" customWidth="1"/>
    <col min="3407" max="3407" width="2.140625" style="221" customWidth="1"/>
    <col min="3408" max="3408" width="0.5703125" style="221" customWidth="1"/>
    <col min="3409" max="3409" width="2.140625" style="221" customWidth="1"/>
    <col min="3410" max="3410" width="0.5703125" style="221" customWidth="1"/>
    <col min="3411" max="3411" width="2.140625" style="221" customWidth="1"/>
    <col min="3412" max="3412" width="0.5703125" style="221" customWidth="1"/>
    <col min="3413" max="3413" width="2.140625" style="221" customWidth="1"/>
    <col min="3414" max="3414" width="0.5703125" style="221" customWidth="1"/>
    <col min="3415" max="3416" width="2.5703125" style="221" customWidth="1"/>
    <col min="3417"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7109375" style="221" customWidth="1"/>
    <col min="3590" max="3590" width="1.140625" style="221" customWidth="1"/>
    <col min="3591" max="3595" width="0.7109375" style="221" customWidth="1"/>
    <col min="3596" max="3596" width="0.5703125" style="221" customWidth="1"/>
    <col min="3597" max="3609" width="0.7109375" style="221" customWidth="1"/>
    <col min="3610" max="3610" width="1.4257812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 style="221" customWidth="1"/>
    <col min="3647" max="3648" width="0.5703125" style="221" customWidth="1"/>
    <col min="3649" max="3649" width="2.140625" style="221" customWidth="1"/>
    <col min="3650" max="3650" width="0.5703125" style="221" customWidth="1"/>
    <col min="3651" max="3651" width="2.140625" style="221" customWidth="1"/>
    <col min="3652" max="3652" width="0.5703125" style="221" customWidth="1"/>
    <col min="3653" max="3653" width="2.140625" style="221" customWidth="1"/>
    <col min="3654" max="3654" width="0.5703125" style="221" customWidth="1"/>
    <col min="3655" max="3655" width="2.140625" style="221" customWidth="1"/>
    <col min="3656" max="3656" width="0.5703125" style="221" customWidth="1"/>
    <col min="3657" max="3657" width="2.140625" style="221" customWidth="1"/>
    <col min="3658" max="3658" width="0.5703125" style="221" customWidth="1"/>
    <col min="3659" max="3659" width="2.140625" style="221" customWidth="1"/>
    <col min="3660" max="3660" width="0.5703125" style="221" customWidth="1"/>
    <col min="3661" max="3661" width="2.140625" style="221" customWidth="1"/>
    <col min="3662" max="3662" width="0.5703125" style="221" customWidth="1"/>
    <col min="3663" max="3663" width="2.140625" style="221" customWidth="1"/>
    <col min="3664" max="3664" width="0.5703125" style="221" customWidth="1"/>
    <col min="3665" max="3665" width="2.140625" style="221" customWidth="1"/>
    <col min="3666" max="3666" width="0.5703125" style="221" customWidth="1"/>
    <col min="3667" max="3667" width="2.140625" style="221" customWidth="1"/>
    <col min="3668" max="3668" width="0.5703125" style="221" customWidth="1"/>
    <col min="3669" max="3669" width="2.140625" style="221" customWidth="1"/>
    <col min="3670" max="3670" width="0.5703125" style="221" customWidth="1"/>
    <col min="3671" max="3672" width="2.5703125" style="221" customWidth="1"/>
    <col min="3673"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7109375" style="221" customWidth="1"/>
    <col min="3846" max="3846" width="1.140625" style="221" customWidth="1"/>
    <col min="3847" max="3851" width="0.7109375" style="221" customWidth="1"/>
    <col min="3852" max="3852" width="0.5703125" style="221" customWidth="1"/>
    <col min="3853" max="3865" width="0.7109375" style="221" customWidth="1"/>
    <col min="3866" max="3866" width="1.4257812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 style="221" customWidth="1"/>
    <col min="3903" max="3904" width="0.5703125" style="221" customWidth="1"/>
    <col min="3905" max="3905" width="2.140625" style="221" customWidth="1"/>
    <col min="3906" max="3906" width="0.5703125" style="221" customWidth="1"/>
    <col min="3907" max="3907" width="2.140625" style="221" customWidth="1"/>
    <col min="3908" max="3908" width="0.5703125" style="221" customWidth="1"/>
    <col min="3909" max="3909" width="2.140625" style="221" customWidth="1"/>
    <col min="3910" max="3910" width="0.5703125" style="221" customWidth="1"/>
    <col min="3911" max="3911" width="2.140625" style="221" customWidth="1"/>
    <col min="3912" max="3912" width="0.5703125" style="221" customWidth="1"/>
    <col min="3913" max="3913" width="2.140625" style="221" customWidth="1"/>
    <col min="3914" max="3914" width="0.5703125" style="221" customWidth="1"/>
    <col min="3915" max="3915" width="2.140625" style="221" customWidth="1"/>
    <col min="3916" max="3916" width="0.5703125" style="221" customWidth="1"/>
    <col min="3917" max="3917" width="2.140625" style="221" customWidth="1"/>
    <col min="3918" max="3918" width="0.5703125" style="221" customWidth="1"/>
    <col min="3919" max="3919" width="2.140625" style="221" customWidth="1"/>
    <col min="3920" max="3920" width="0.5703125" style="221" customWidth="1"/>
    <col min="3921" max="3921" width="2.140625" style="221" customWidth="1"/>
    <col min="3922" max="3922" width="0.5703125" style="221" customWidth="1"/>
    <col min="3923" max="3923" width="2.140625" style="221" customWidth="1"/>
    <col min="3924" max="3924" width="0.5703125" style="221" customWidth="1"/>
    <col min="3925" max="3925" width="2.140625" style="221" customWidth="1"/>
    <col min="3926" max="3926" width="0.5703125" style="221" customWidth="1"/>
    <col min="3927" max="3928" width="2.5703125" style="221" customWidth="1"/>
    <col min="3929"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7109375" style="221" customWidth="1"/>
    <col min="4102" max="4102" width="1.140625" style="221" customWidth="1"/>
    <col min="4103" max="4107" width="0.7109375" style="221" customWidth="1"/>
    <col min="4108" max="4108" width="0.5703125" style="221" customWidth="1"/>
    <col min="4109" max="4121" width="0.7109375" style="221" customWidth="1"/>
    <col min="4122" max="4122" width="1.4257812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 style="221" customWidth="1"/>
    <col min="4159" max="4160" width="0.5703125" style="221" customWidth="1"/>
    <col min="4161" max="4161" width="2.140625" style="221" customWidth="1"/>
    <col min="4162" max="4162" width="0.5703125" style="221" customWidth="1"/>
    <col min="4163" max="4163" width="2.140625" style="221" customWidth="1"/>
    <col min="4164" max="4164" width="0.5703125" style="221" customWidth="1"/>
    <col min="4165" max="4165" width="2.140625" style="221" customWidth="1"/>
    <col min="4166" max="4166" width="0.5703125" style="221" customWidth="1"/>
    <col min="4167" max="4167" width="2.140625" style="221" customWidth="1"/>
    <col min="4168" max="4168" width="0.5703125" style="221" customWidth="1"/>
    <col min="4169" max="4169" width="2.140625" style="221" customWidth="1"/>
    <col min="4170" max="4170" width="0.5703125" style="221" customWidth="1"/>
    <col min="4171" max="4171" width="2.140625" style="221" customWidth="1"/>
    <col min="4172" max="4172" width="0.5703125" style="221" customWidth="1"/>
    <col min="4173" max="4173" width="2.140625" style="221" customWidth="1"/>
    <col min="4174" max="4174" width="0.5703125" style="221" customWidth="1"/>
    <col min="4175" max="4175" width="2.140625" style="221" customWidth="1"/>
    <col min="4176" max="4176" width="0.5703125" style="221" customWidth="1"/>
    <col min="4177" max="4177" width="2.140625" style="221" customWidth="1"/>
    <col min="4178" max="4178" width="0.5703125" style="221" customWidth="1"/>
    <col min="4179" max="4179" width="2.140625" style="221" customWidth="1"/>
    <col min="4180" max="4180" width="0.5703125" style="221" customWidth="1"/>
    <col min="4181" max="4181" width="2.140625" style="221" customWidth="1"/>
    <col min="4182" max="4182" width="0.5703125" style="221" customWidth="1"/>
    <col min="4183" max="4184" width="2.5703125" style="221" customWidth="1"/>
    <col min="4185"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7109375" style="221" customWidth="1"/>
    <col min="4358" max="4358" width="1.140625" style="221" customWidth="1"/>
    <col min="4359" max="4363" width="0.7109375" style="221" customWidth="1"/>
    <col min="4364" max="4364" width="0.5703125" style="221" customWidth="1"/>
    <col min="4365" max="4377" width="0.7109375" style="221" customWidth="1"/>
    <col min="4378" max="4378" width="1.4257812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 style="221" customWidth="1"/>
    <col min="4415" max="4416" width="0.5703125" style="221" customWidth="1"/>
    <col min="4417" max="4417" width="2.140625" style="221" customWidth="1"/>
    <col min="4418" max="4418" width="0.5703125" style="221" customWidth="1"/>
    <col min="4419" max="4419" width="2.140625" style="221" customWidth="1"/>
    <col min="4420" max="4420" width="0.5703125" style="221" customWidth="1"/>
    <col min="4421" max="4421" width="2.140625" style="221" customWidth="1"/>
    <col min="4422" max="4422" width="0.5703125" style="221" customWidth="1"/>
    <col min="4423" max="4423" width="2.140625" style="221" customWidth="1"/>
    <col min="4424" max="4424" width="0.5703125" style="221" customWidth="1"/>
    <col min="4425" max="4425" width="2.140625" style="221" customWidth="1"/>
    <col min="4426" max="4426" width="0.5703125" style="221" customWidth="1"/>
    <col min="4427" max="4427" width="2.140625" style="221" customWidth="1"/>
    <col min="4428" max="4428" width="0.5703125" style="221" customWidth="1"/>
    <col min="4429" max="4429" width="2.140625" style="221" customWidth="1"/>
    <col min="4430" max="4430" width="0.5703125" style="221" customWidth="1"/>
    <col min="4431" max="4431" width="2.140625" style="221" customWidth="1"/>
    <col min="4432" max="4432" width="0.5703125" style="221" customWidth="1"/>
    <col min="4433" max="4433" width="2.140625" style="221" customWidth="1"/>
    <col min="4434" max="4434" width="0.5703125" style="221" customWidth="1"/>
    <col min="4435" max="4435" width="2.140625" style="221" customWidth="1"/>
    <col min="4436" max="4436" width="0.5703125" style="221" customWidth="1"/>
    <col min="4437" max="4437" width="2.140625" style="221" customWidth="1"/>
    <col min="4438" max="4438" width="0.5703125" style="221" customWidth="1"/>
    <col min="4439" max="4440" width="2.5703125" style="221" customWidth="1"/>
    <col min="4441"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7109375" style="221" customWidth="1"/>
    <col min="4614" max="4614" width="1.140625" style="221" customWidth="1"/>
    <col min="4615" max="4619" width="0.7109375" style="221" customWidth="1"/>
    <col min="4620" max="4620" width="0.5703125" style="221" customWidth="1"/>
    <col min="4621" max="4633" width="0.7109375" style="221" customWidth="1"/>
    <col min="4634" max="4634" width="1.4257812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 style="221" customWidth="1"/>
    <col min="4671" max="4672" width="0.5703125" style="221" customWidth="1"/>
    <col min="4673" max="4673" width="2.140625" style="221" customWidth="1"/>
    <col min="4674" max="4674" width="0.5703125" style="221" customWidth="1"/>
    <col min="4675" max="4675" width="2.140625" style="221" customWidth="1"/>
    <col min="4676" max="4676" width="0.5703125" style="221" customWidth="1"/>
    <col min="4677" max="4677" width="2.140625" style="221" customWidth="1"/>
    <col min="4678" max="4678" width="0.5703125" style="221" customWidth="1"/>
    <col min="4679" max="4679" width="2.140625" style="221" customWidth="1"/>
    <col min="4680" max="4680" width="0.5703125" style="221" customWidth="1"/>
    <col min="4681" max="4681" width="2.140625" style="221" customWidth="1"/>
    <col min="4682" max="4682" width="0.5703125" style="221" customWidth="1"/>
    <col min="4683" max="4683" width="2.140625" style="221" customWidth="1"/>
    <col min="4684" max="4684" width="0.5703125" style="221" customWidth="1"/>
    <col min="4685" max="4685" width="2.140625" style="221" customWidth="1"/>
    <col min="4686" max="4686" width="0.5703125" style="221" customWidth="1"/>
    <col min="4687" max="4687" width="2.140625" style="221" customWidth="1"/>
    <col min="4688" max="4688" width="0.5703125" style="221" customWidth="1"/>
    <col min="4689" max="4689" width="2.140625" style="221" customWidth="1"/>
    <col min="4690" max="4690" width="0.5703125" style="221" customWidth="1"/>
    <col min="4691" max="4691" width="2.140625" style="221" customWidth="1"/>
    <col min="4692" max="4692" width="0.5703125" style="221" customWidth="1"/>
    <col min="4693" max="4693" width="2.140625" style="221" customWidth="1"/>
    <col min="4694" max="4694" width="0.5703125" style="221" customWidth="1"/>
    <col min="4695" max="4696" width="2.5703125" style="221" customWidth="1"/>
    <col min="4697"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7109375" style="221" customWidth="1"/>
    <col min="4870" max="4870" width="1.140625" style="221" customWidth="1"/>
    <col min="4871" max="4875" width="0.7109375" style="221" customWidth="1"/>
    <col min="4876" max="4876" width="0.5703125" style="221" customWidth="1"/>
    <col min="4877" max="4889" width="0.7109375" style="221" customWidth="1"/>
    <col min="4890" max="4890" width="1.4257812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 style="221" customWidth="1"/>
    <col min="4927" max="4928" width="0.5703125" style="221" customWidth="1"/>
    <col min="4929" max="4929" width="2.140625" style="221" customWidth="1"/>
    <col min="4930" max="4930" width="0.5703125" style="221" customWidth="1"/>
    <col min="4931" max="4931" width="2.140625" style="221" customWidth="1"/>
    <col min="4932" max="4932" width="0.5703125" style="221" customWidth="1"/>
    <col min="4933" max="4933" width="2.140625" style="221" customWidth="1"/>
    <col min="4934" max="4934" width="0.5703125" style="221" customWidth="1"/>
    <col min="4935" max="4935" width="2.140625" style="221" customWidth="1"/>
    <col min="4936" max="4936" width="0.5703125" style="221" customWidth="1"/>
    <col min="4937" max="4937" width="2.140625" style="221" customWidth="1"/>
    <col min="4938" max="4938" width="0.5703125" style="221" customWidth="1"/>
    <col min="4939" max="4939" width="2.140625" style="221" customWidth="1"/>
    <col min="4940" max="4940" width="0.5703125" style="221" customWidth="1"/>
    <col min="4941" max="4941" width="2.140625" style="221" customWidth="1"/>
    <col min="4942" max="4942" width="0.5703125" style="221" customWidth="1"/>
    <col min="4943" max="4943" width="2.140625" style="221" customWidth="1"/>
    <col min="4944" max="4944" width="0.5703125" style="221" customWidth="1"/>
    <col min="4945" max="4945" width="2.140625" style="221" customWidth="1"/>
    <col min="4946" max="4946" width="0.5703125" style="221" customWidth="1"/>
    <col min="4947" max="4947" width="2.140625" style="221" customWidth="1"/>
    <col min="4948" max="4948" width="0.5703125" style="221" customWidth="1"/>
    <col min="4949" max="4949" width="2.140625" style="221" customWidth="1"/>
    <col min="4950" max="4950" width="0.5703125" style="221" customWidth="1"/>
    <col min="4951" max="4952" width="2.5703125" style="221" customWidth="1"/>
    <col min="4953"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7109375" style="221" customWidth="1"/>
    <col min="5126" max="5126" width="1.140625" style="221" customWidth="1"/>
    <col min="5127" max="5131" width="0.7109375" style="221" customWidth="1"/>
    <col min="5132" max="5132" width="0.5703125" style="221" customWidth="1"/>
    <col min="5133" max="5145" width="0.7109375" style="221" customWidth="1"/>
    <col min="5146" max="5146" width="1.4257812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 style="221" customWidth="1"/>
    <col min="5183" max="5184" width="0.5703125" style="221" customWidth="1"/>
    <col min="5185" max="5185" width="2.140625" style="221" customWidth="1"/>
    <col min="5186" max="5186" width="0.5703125" style="221" customWidth="1"/>
    <col min="5187" max="5187" width="2.140625" style="221" customWidth="1"/>
    <col min="5188" max="5188" width="0.5703125" style="221" customWidth="1"/>
    <col min="5189" max="5189" width="2.140625" style="221" customWidth="1"/>
    <col min="5190" max="5190" width="0.5703125" style="221" customWidth="1"/>
    <col min="5191" max="5191" width="2.140625" style="221" customWidth="1"/>
    <col min="5192" max="5192" width="0.5703125" style="221" customWidth="1"/>
    <col min="5193" max="5193" width="2.140625" style="221" customWidth="1"/>
    <col min="5194" max="5194" width="0.5703125" style="221" customWidth="1"/>
    <col min="5195" max="5195" width="2.140625" style="221" customWidth="1"/>
    <col min="5196" max="5196" width="0.5703125" style="221" customWidth="1"/>
    <col min="5197" max="5197" width="2.140625" style="221" customWidth="1"/>
    <col min="5198" max="5198" width="0.5703125" style="221" customWidth="1"/>
    <col min="5199" max="5199" width="2.140625" style="221" customWidth="1"/>
    <col min="5200" max="5200" width="0.5703125" style="221" customWidth="1"/>
    <col min="5201" max="5201" width="2.140625" style="221" customWidth="1"/>
    <col min="5202" max="5202" width="0.5703125" style="221" customWidth="1"/>
    <col min="5203" max="5203" width="2.140625" style="221" customWidth="1"/>
    <col min="5204" max="5204" width="0.5703125" style="221" customWidth="1"/>
    <col min="5205" max="5205" width="2.140625" style="221" customWidth="1"/>
    <col min="5206" max="5206" width="0.5703125" style="221" customWidth="1"/>
    <col min="5207" max="5208" width="2.5703125" style="221" customWidth="1"/>
    <col min="5209"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7109375" style="221" customWidth="1"/>
    <col min="5382" max="5382" width="1.140625" style="221" customWidth="1"/>
    <col min="5383" max="5387" width="0.7109375" style="221" customWidth="1"/>
    <col min="5388" max="5388" width="0.5703125" style="221" customWidth="1"/>
    <col min="5389" max="5401" width="0.7109375" style="221" customWidth="1"/>
    <col min="5402" max="5402" width="1.4257812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 style="221" customWidth="1"/>
    <col min="5439" max="5440" width="0.5703125" style="221" customWidth="1"/>
    <col min="5441" max="5441" width="2.140625" style="221" customWidth="1"/>
    <col min="5442" max="5442" width="0.5703125" style="221" customWidth="1"/>
    <col min="5443" max="5443" width="2.140625" style="221" customWidth="1"/>
    <col min="5444" max="5444" width="0.5703125" style="221" customWidth="1"/>
    <col min="5445" max="5445" width="2.140625" style="221" customWidth="1"/>
    <col min="5446" max="5446" width="0.5703125" style="221" customWidth="1"/>
    <col min="5447" max="5447" width="2.140625" style="221" customWidth="1"/>
    <col min="5448" max="5448" width="0.5703125" style="221" customWidth="1"/>
    <col min="5449" max="5449" width="2.140625" style="221" customWidth="1"/>
    <col min="5450" max="5450" width="0.5703125" style="221" customWidth="1"/>
    <col min="5451" max="5451" width="2.140625" style="221" customWidth="1"/>
    <col min="5452" max="5452" width="0.5703125" style="221" customWidth="1"/>
    <col min="5453" max="5453" width="2.140625" style="221" customWidth="1"/>
    <col min="5454" max="5454" width="0.5703125" style="221" customWidth="1"/>
    <col min="5455" max="5455" width="2.140625" style="221" customWidth="1"/>
    <col min="5456" max="5456" width="0.5703125" style="221" customWidth="1"/>
    <col min="5457" max="5457" width="2.140625" style="221" customWidth="1"/>
    <col min="5458" max="5458" width="0.5703125" style="221" customWidth="1"/>
    <col min="5459" max="5459" width="2.140625" style="221" customWidth="1"/>
    <col min="5460" max="5460" width="0.5703125" style="221" customWidth="1"/>
    <col min="5461" max="5461" width="2.140625" style="221" customWidth="1"/>
    <col min="5462" max="5462" width="0.5703125" style="221" customWidth="1"/>
    <col min="5463" max="5464" width="2.5703125" style="221" customWidth="1"/>
    <col min="5465"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7109375" style="221" customWidth="1"/>
    <col min="5638" max="5638" width="1.140625" style="221" customWidth="1"/>
    <col min="5639" max="5643" width="0.7109375" style="221" customWidth="1"/>
    <col min="5644" max="5644" width="0.5703125" style="221" customWidth="1"/>
    <col min="5645" max="5657" width="0.7109375" style="221" customWidth="1"/>
    <col min="5658" max="5658" width="1.4257812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 style="221" customWidth="1"/>
    <col min="5695" max="5696" width="0.5703125" style="221" customWidth="1"/>
    <col min="5697" max="5697" width="2.140625" style="221" customWidth="1"/>
    <col min="5698" max="5698" width="0.5703125" style="221" customWidth="1"/>
    <col min="5699" max="5699" width="2.140625" style="221" customWidth="1"/>
    <col min="5700" max="5700" width="0.5703125" style="221" customWidth="1"/>
    <col min="5701" max="5701" width="2.140625" style="221" customWidth="1"/>
    <col min="5702" max="5702" width="0.5703125" style="221" customWidth="1"/>
    <col min="5703" max="5703" width="2.140625" style="221" customWidth="1"/>
    <col min="5704" max="5704" width="0.5703125" style="221" customWidth="1"/>
    <col min="5705" max="5705" width="2.140625" style="221" customWidth="1"/>
    <col min="5706" max="5706" width="0.5703125" style="221" customWidth="1"/>
    <col min="5707" max="5707" width="2.140625" style="221" customWidth="1"/>
    <col min="5708" max="5708" width="0.5703125" style="221" customWidth="1"/>
    <col min="5709" max="5709" width="2.140625" style="221" customWidth="1"/>
    <col min="5710" max="5710" width="0.5703125" style="221" customWidth="1"/>
    <col min="5711" max="5711" width="2.140625" style="221" customWidth="1"/>
    <col min="5712" max="5712" width="0.5703125" style="221" customWidth="1"/>
    <col min="5713" max="5713" width="2.140625" style="221" customWidth="1"/>
    <col min="5714" max="5714" width="0.5703125" style="221" customWidth="1"/>
    <col min="5715" max="5715" width="2.140625" style="221" customWidth="1"/>
    <col min="5716" max="5716" width="0.5703125" style="221" customWidth="1"/>
    <col min="5717" max="5717" width="2.140625" style="221" customWidth="1"/>
    <col min="5718" max="5718" width="0.5703125" style="221" customWidth="1"/>
    <col min="5719" max="5720" width="2.5703125" style="221" customWidth="1"/>
    <col min="5721"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7109375" style="221" customWidth="1"/>
    <col min="5894" max="5894" width="1.140625" style="221" customWidth="1"/>
    <col min="5895" max="5899" width="0.7109375" style="221" customWidth="1"/>
    <col min="5900" max="5900" width="0.5703125" style="221" customWidth="1"/>
    <col min="5901" max="5913" width="0.7109375" style="221" customWidth="1"/>
    <col min="5914" max="5914" width="1.4257812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 style="221" customWidth="1"/>
    <col min="5951" max="5952" width="0.5703125" style="221" customWidth="1"/>
    <col min="5953" max="5953" width="2.140625" style="221" customWidth="1"/>
    <col min="5954" max="5954" width="0.5703125" style="221" customWidth="1"/>
    <col min="5955" max="5955" width="2.140625" style="221" customWidth="1"/>
    <col min="5956" max="5956" width="0.5703125" style="221" customWidth="1"/>
    <col min="5957" max="5957" width="2.140625" style="221" customWidth="1"/>
    <col min="5958" max="5958" width="0.5703125" style="221" customWidth="1"/>
    <col min="5959" max="5959" width="2.140625" style="221" customWidth="1"/>
    <col min="5960" max="5960" width="0.5703125" style="221" customWidth="1"/>
    <col min="5961" max="5961" width="2.140625" style="221" customWidth="1"/>
    <col min="5962" max="5962" width="0.5703125" style="221" customWidth="1"/>
    <col min="5963" max="5963" width="2.140625" style="221" customWidth="1"/>
    <col min="5964" max="5964" width="0.5703125" style="221" customWidth="1"/>
    <col min="5965" max="5965" width="2.140625" style="221" customWidth="1"/>
    <col min="5966" max="5966" width="0.5703125" style="221" customWidth="1"/>
    <col min="5967" max="5967" width="2.140625" style="221" customWidth="1"/>
    <col min="5968" max="5968" width="0.5703125" style="221" customWidth="1"/>
    <col min="5969" max="5969" width="2.140625" style="221" customWidth="1"/>
    <col min="5970" max="5970" width="0.5703125" style="221" customWidth="1"/>
    <col min="5971" max="5971" width="2.140625" style="221" customWidth="1"/>
    <col min="5972" max="5972" width="0.5703125" style="221" customWidth="1"/>
    <col min="5973" max="5973" width="2.140625" style="221" customWidth="1"/>
    <col min="5974" max="5974" width="0.5703125" style="221" customWidth="1"/>
    <col min="5975" max="5976" width="2.5703125" style="221" customWidth="1"/>
    <col min="5977"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7109375" style="221" customWidth="1"/>
    <col min="6150" max="6150" width="1.140625" style="221" customWidth="1"/>
    <col min="6151" max="6155" width="0.7109375" style="221" customWidth="1"/>
    <col min="6156" max="6156" width="0.5703125" style="221" customWidth="1"/>
    <col min="6157" max="6169" width="0.7109375" style="221" customWidth="1"/>
    <col min="6170" max="6170" width="1.4257812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 style="221" customWidth="1"/>
    <col min="6207" max="6208" width="0.5703125" style="221" customWidth="1"/>
    <col min="6209" max="6209" width="2.140625" style="221" customWidth="1"/>
    <col min="6210" max="6210" width="0.5703125" style="221" customWidth="1"/>
    <col min="6211" max="6211" width="2.140625" style="221" customWidth="1"/>
    <col min="6212" max="6212" width="0.5703125" style="221" customWidth="1"/>
    <col min="6213" max="6213" width="2.140625" style="221" customWidth="1"/>
    <col min="6214" max="6214" width="0.5703125" style="221" customWidth="1"/>
    <col min="6215" max="6215" width="2.140625" style="221" customWidth="1"/>
    <col min="6216" max="6216" width="0.5703125" style="221" customWidth="1"/>
    <col min="6217" max="6217" width="2.140625" style="221" customWidth="1"/>
    <col min="6218" max="6218" width="0.5703125" style="221" customWidth="1"/>
    <col min="6219" max="6219" width="2.140625" style="221" customWidth="1"/>
    <col min="6220" max="6220" width="0.5703125" style="221" customWidth="1"/>
    <col min="6221" max="6221" width="2.140625" style="221" customWidth="1"/>
    <col min="6222" max="6222" width="0.5703125" style="221" customWidth="1"/>
    <col min="6223" max="6223" width="2.140625" style="221" customWidth="1"/>
    <col min="6224" max="6224" width="0.5703125" style="221" customWidth="1"/>
    <col min="6225" max="6225" width="2.140625" style="221" customWidth="1"/>
    <col min="6226" max="6226" width="0.5703125" style="221" customWidth="1"/>
    <col min="6227" max="6227" width="2.140625" style="221" customWidth="1"/>
    <col min="6228" max="6228" width="0.5703125" style="221" customWidth="1"/>
    <col min="6229" max="6229" width="2.140625" style="221" customWidth="1"/>
    <col min="6230" max="6230" width="0.5703125" style="221" customWidth="1"/>
    <col min="6231" max="6232" width="2.5703125" style="221" customWidth="1"/>
    <col min="6233"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7109375" style="221" customWidth="1"/>
    <col min="6406" max="6406" width="1.140625" style="221" customWidth="1"/>
    <col min="6407" max="6411" width="0.7109375" style="221" customWidth="1"/>
    <col min="6412" max="6412" width="0.5703125" style="221" customWidth="1"/>
    <col min="6413" max="6425" width="0.7109375" style="221" customWidth="1"/>
    <col min="6426" max="6426" width="1.4257812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 style="221" customWidth="1"/>
    <col min="6463" max="6464" width="0.5703125" style="221" customWidth="1"/>
    <col min="6465" max="6465" width="2.140625" style="221" customWidth="1"/>
    <col min="6466" max="6466" width="0.5703125" style="221" customWidth="1"/>
    <col min="6467" max="6467" width="2.140625" style="221" customWidth="1"/>
    <col min="6468" max="6468" width="0.5703125" style="221" customWidth="1"/>
    <col min="6469" max="6469" width="2.140625" style="221" customWidth="1"/>
    <col min="6470" max="6470" width="0.5703125" style="221" customWidth="1"/>
    <col min="6471" max="6471" width="2.140625" style="221" customWidth="1"/>
    <col min="6472" max="6472" width="0.5703125" style="221" customWidth="1"/>
    <col min="6473" max="6473" width="2.140625" style="221" customWidth="1"/>
    <col min="6474" max="6474" width="0.5703125" style="221" customWidth="1"/>
    <col min="6475" max="6475" width="2.140625" style="221" customWidth="1"/>
    <col min="6476" max="6476" width="0.5703125" style="221" customWidth="1"/>
    <col min="6477" max="6477" width="2.140625" style="221" customWidth="1"/>
    <col min="6478" max="6478" width="0.5703125" style="221" customWidth="1"/>
    <col min="6479" max="6479" width="2.140625" style="221" customWidth="1"/>
    <col min="6480" max="6480" width="0.5703125" style="221" customWidth="1"/>
    <col min="6481" max="6481" width="2.140625" style="221" customWidth="1"/>
    <col min="6482" max="6482" width="0.5703125" style="221" customWidth="1"/>
    <col min="6483" max="6483" width="2.140625" style="221" customWidth="1"/>
    <col min="6484" max="6484" width="0.5703125" style="221" customWidth="1"/>
    <col min="6485" max="6485" width="2.140625" style="221" customWidth="1"/>
    <col min="6486" max="6486" width="0.5703125" style="221" customWidth="1"/>
    <col min="6487" max="6488" width="2.5703125" style="221" customWidth="1"/>
    <col min="6489"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7109375" style="221" customWidth="1"/>
    <col min="6662" max="6662" width="1.140625" style="221" customWidth="1"/>
    <col min="6663" max="6667" width="0.7109375" style="221" customWidth="1"/>
    <col min="6668" max="6668" width="0.5703125" style="221" customWidth="1"/>
    <col min="6669" max="6681" width="0.7109375" style="221" customWidth="1"/>
    <col min="6682" max="6682" width="1.4257812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 style="221" customWidth="1"/>
    <col min="6719" max="6720" width="0.5703125" style="221" customWidth="1"/>
    <col min="6721" max="6721" width="2.140625" style="221" customWidth="1"/>
    <col min="6722" max="6722" width="0.5703125" style="221" customWidth="1"/>
    <col min="6723" max="6723" width="2.140625" style="221" customWidth="1"/>
    <col min="6724" max="6724" width="0.5703125" style="221" customWidth="1"/>
    <col min="6725" max="6725" width="2.140625" style="221" customWidth="1"/>
    <col min="6726" max="6726" width="0.5703125" style="221" customWidth="1"/>
    <col min="6727" max="6727" width="2.140625" style="221" customWidth="1"/>
    <col min="6728" max="6728" width="0.5703125" style="221" customWidth="1"/>
    <col min="6729" max="6729" width="2.140625" style="221" customWidth="1"/>
    <col min="6730" max="6730" width="0.5703125" style="221" customWidth="1"/>
    <col min="6731" max="6731" width="2.140625" style="221" customWidth="1"/>
    <col min="6732" max="6732" width="0.5703125" style="221" customWidth="1"/>
    <col min="6733" max="6733" width="2.140625" style="221" customWidth="1"/>
    <col min="6734" max="6734" width="0.5703125" style="221" customWidth="1"/>
    <col min="6735" max="6735" width="2.140625" style="221" customWidth="1"/>
    <col min="6736" max="6736" width="0.5703125" style="221" customWidth="1"/>
    <col min="6737" max="6737" width="2.140625" style="221" customWidth="1"/>
    <col min="6738" max="6738" width="0.5703125" style="221" customWidth="1"/>
    <col min="6739" max="6739" width="2.140625" style="221" customWidth="1"/>
    <col min="6740" max="6740" width="0.5703125" style="221" customWidth="1"/>
    <col min="6741" max="6741" width="2.140625" style="221" customWidth="1"/>
    <col min="6742" max="6742" width="0.5703125" style="221" customWidth="1"/>
    <col min="6743" max="6744" width="2.5703125" style="221" customWidth="1"/>
    <col min="6745"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7109375" style="221" customWidth="1"/>
    <col min="6918" max="6918" width="1.140625" style="221" customWidth="1"/>
    <col min="6919" max="6923" width="0.7109375" style="221" customWidth="1"/>
    <col min="6924" max="6924" width="0.5703125" style="221" customWidth="1"/>
    <col min="6925" max="6937" width="0.7109375" style="221" customWidth="1"/>
    <col min="6938" max="6938" width="1.4257812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 style="221" customWidth="1"/>
    <col min="6975" max="6976" width="0.5703125" style="221" customWidth="1"/>
    <col min="6977" max="6977" width="2.140625" style="221" customWidth="1"/>
    <col min="6978" max="6978" width="0.5703125" style="221" customWidth="1"/>
    <col min="6979" max="6979" width="2.140625" style="221" customWidth="1"/>
    <col min="6980" max="6980" width="0.5703125" style="221" customWidth="1"/>
    <col min="6981" max="6981" width="2.140625" style="221" customWidth="1"/>
    <col min="6982" max="6982" width="0.5703125" style="221" customWidth="1"/>
    <col min="6983" max="6983" width="2.140625" style="221" customWidth="1"/>
    <col min="6984" max="6984" width="0.5703125" style="221" customWidth="1"/>
    <col min="6985" max="6985" width="2.140625" style="221" customWidth="1"/>
    <col min="6986" max="6986" width="0.5703125" style="221" customWidth="1"/>
    <col min="6987" max="6987" width="2.140625" style="221" customWidth="1"/>
    <col min="6988" max="6988" width="0.5703125" style="221" customWidth="1"/>
    <col min="6989" max="6989" width="2.140625" style="221" customWidth="1"/>
    <col min="6990" max="6990" width="0.5703125" style="221" customWidth="1"/>
    <col min="6991" max="6991" width="2.140625" style="221" customWidth="1"/>
    <col min="6992" max="6992" width="0.5703125" style="221" customWidth="1"/>
    <col min="6993" max="6993" width="2.140625" style="221" customWidth="1"/>
    <col min="6994" max="6994" width="0.5703125" style="221" customWidth="1"/>
    <col min="6995" max="6995" width="2.140625" style="221" customWidth="1"/>
    <col min="6996" max="6996" width="0.5703125" style="221" customWidth="1"/>
    <col min="6997" max="6997" width="2.140625" style="221" customWidth="1"/>
    <col min="6998" max="6998" width="0.5703125" style="221" customWidth="1"/>
    <col min="6999" max="7000" width="2.5703125" style="221" customWidth="1"/>
    <col min="7001"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7109375" style="221" customWidth="1"/>
    <col min="7174" max="7174" width="1.140625" style="221" customWidth="1"/>
    <col min="7175" max="7179" width="0.7109375" style="221" customWidth="1"/>
    <col min="7180" max="7180" width="0.5703125" style="221" customWidth="1"/>
    <col min="7181" max="7193" width="0.7109375" style="221" customWidth="1"/>
    <col min="7194" max="7194" width="1.4257812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 style="221" customWidth="1"/>
    <col min="7231" max="7232" width="0.5703125" style="221" customWidth="1"/>
    <col min="7233" max="7233" width="2.140625" style="221" customWidth="1"/>
    <col min="7234" max="7234" width="0.5703125" style="221" customWidth="1"/>
    <col min="7235" max="7235" width="2.140625" style="221" customWidth="1"/>
    <col min="7236" max="7236" width="0.5703125" style="221" customWidth="1"/>
    <col min="7237" max="7237" width="2.140625" style="221" customWidth="1"/>
    <col min="7238" max="7238" width="0.5703125" style="221" customWidth="1"/>
    <col min="7239" max="7239" width="2.140625" style="221" customWidth="1"/>
    <col min="7240" max="7240" width="0.5703125" style="221" customWidth="1"/>
    <col min="7241" max="7241" width="2.140625" style="221" customWidth="1"/>
    <col min="7242" max="7242" width="0.5703125" style="221" customWidth="1"/>
    <col min="7243" max="7243" width="2.140625" style="221" customWidth="1"/>
    <col min="7244" max="7244" width="0.5703125" style="221" customWidth="1"/>
    <col min="7245" max="7245" width="2.140625" style="221" customWidth="1"/>
    <col min="7246" max="7246" width="0.5703125" style="221" customWidth="1"/>
    <col min="7247" max="7247" width="2.140625" style="221" customWidth="1"/>
    <col min="7248" max="7248" width="0.5703125" style="221" customWidth="1"/>
    <col min="7249" max="7249" width="2.140625" style="221" customWidth="1"/>
    <col min="7250" max="7250" width="0.5703125" style="221" customWidth="1"/>
    <col min="7251" max="7251" width="2.140625" style="221" customWidth="1"/>
    <col min="7252" max="7252" width="0.5703125" style="221" customWidth="1"/>
    <col min="7253" max="7253" width="2.140625" style="221" customWidth="1"/>
    <col min="7254" max="7254" width="0.5703125" style="221" customWidth="1"/>
    <col min="7255" max="7256" width="2.5703125" style="221" customWidth="1"/>
    <col min="7257"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7109375" style="221" customWidth="1"/>
    <col min="7430" max="7430" width="1.140625" style="221" customWidth="1"/>
    <col min="7431" max="7435" width="0.7109375" style="221" customWidth="1"/>
    <col min="7436" max="7436" width="0.5703125" style="221" customWidth="1"/>
    <col min="7437" max="7449" width="0.7109375" style="221" customWidth="1"/>
    <col min="7450" max="7450" width="1.4257812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 style="221" customWidth="1"/>
    <col min="7487" max="7488" width="0.5703125" style="221" customWidth="1"/>
    <col min="7489" max="7489" width="2.140625" style="221" customWidth="1"/>
    <col min="7490" max="7490" width="0.5703125" style="221" customWidth="1"/>
    <col min="7491" max="7491" width="2.140625" style="221" customWidth="1"/>
    <col min="7492" max="7492" width="0.5703125" style="221" customWidth="1"/>
    <col min="7493" max="7493" width="2.140625" style="221" customWidth="1"/>
    <col min="7494" max="7494" width="0.5703125" style="221" customWidth="1"/>
    <col min="7495" max="7495" width="2.140625" style="221" customWidth="1"/>
    <col min="7496" max="7496" width="0.5703125" style="221" customWidth="1"/>
    <col min="7497" max="7497" width="2.140625" style="221" customWidth="1"/>
    <col min="7498" max="7498" width="0.5703125" style="221" customWidth="1"/>
    <col min="7499" max="7499" width="2.140625" style="221" customWidth="1"/>
    <col min="7500" max="7500" width="0.5703125" style="221" customWidth="1"/>
    <col min="7501" max="7501" width="2.140625" style="221" customWidth="1"/>
    <col min="7502" max="7502" width="0.5703125" style="221" customWidth="1"/>
    <col min="7503" max="7503" width="2.140625" style="221" customWidth="1"/>
    <col min="7504" max="7504" width="0.5703125" style="221" customWidth="1"/>
    <col min="7505" max="7505" width="2.140625" style="221" customWidth="1"/>
    <col min="7506" max="7506" width="0.5703125" style="221" customWidth="1"/>
    <col min="7507" max="7507" width="2.140625" style="221" customWidth="1"/>
    <col min="7508" max="7508" width="0.5703125" style="221" customWidth="1"/>
    <col min="7509" max="7509" width="2.140625" style="221" customWidth="1"/>
    <col min="7510" max="7510" width="0.5703125" style="221" customWidth="1"/>
    <col min="7511" max="7512" width="2.5703125" style="221" customWidth="1"/>
    <col min="7513"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7109375" style="221" customWidth="1"/>
    <col min="7686" max="7686" width="1.140625" style="221" customWidth="1"/>
    <col min="7687" max="7691" width="0.7109375" style="221" customWidth="1"/>
    <col min="7692" max="7692" width="0.5703125" style="221" customWidth="1"/>
    <col min="7693" max="7705" width="0.7109375" style="221" customWidth="1"/>
    <col min="7706" max="7706" width="1.4257812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 style="221" customWidth="1"/>
    <col min="7743" max="7744" width="0.5703125" style="221" customWidth="1"/>
    <col min="7745" max="7745" width="2.140625" style="221" customWidth="1"/>
    <col min="7746" max="7746" width="0.5703125" style="221" customWidth="1"/>
    <col min="7747" max="7747" width="2.140625" style="221" customWidth="1"/>
    <col min="7748" max="7748" width="0.5703125" style="221" customWidth="1"/>
    <col min="7749" max="7749" width="2.140625" style="221" customWidth="1"/>
    <col min="7750" max="7750" width="0.5703125" style="221" customWidth="1"/>
    <col min="7751" max="7751" width="2.140625" style="221" customWidth="1"/>
    <col min="7752" max="7752" width="0.5703125" style="221" customWidth="1"/>
    <col min="7753" max="7753" width="2.140625" style="221" customWidth="1"/>
    <col min="7754" max="7754" width="0.5703125" style="221" customWidth="1"/>
    <col min="7755" max="7755" width="2.140625" style="221" customWidth="1"/>
    <col min="7756" max="7756" width="0.5703125" style="221" customWidth="1"/>
    <col min="7757" max="7757" width="2.140625" style="221" customWidth="1"/>
    <col min="7758" max="7758" width="0.5703125" style="221" customWidth="1"/>
    <col min="7759" max="7759" width="2.140625" style="221" customWidth="1"/>
    <col min="7760" max="7760" width="0.5703125" style="221" customWidth="1"/>
    <col min="7761" max="7761" width="2.140625" style="221" customWidth="1"/>
    <col min="7762" max="7762" width="0.5703125" style="221" customWidth="1"/>
    <col min="7763" max="7763" width="2.140625" style="221" customWidth="1"/>
    <col min="7764" max="7764" width="0.5703125" style="221" customWidth="1"/>
    <col min="7765" max="7765" width="2.140625" style="221" customWidth="1"/>
    <col min="7766" max="7766" width="0.5703125" style="221" customWidth="1"/>
    <col min="7767" max="7768" width="2.5703125" style="221" customWidth="1"/>
    <col min="7769"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7109375" style="221" customWidth="1"/>
    <col min="7942" max="7942" width="1.140625" style="221" customWidth="1"/>
    <col min="7943" max="7947" width="0.7109375" style="221" customWidth="1"/>
    <col min="7948" max="7948" width="0.5703125" style="221" customWidth="1"/>
    <col min="7949" max="7961" width="0.7109375" style="221" customWidth="1"/>
    <col min="7962" max="7962" width="1.4257812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 style="221" customWidth="1"/>
    <col min="7999" max="8000" width="0.5703125" style="221" customWidth="1"/>
    <col min="8001" max="8001" width="2.140625" style="221" customWidth="1"/>
    <col min="8002" max="8002" width="0.5703125" style="221" customWidth="1"/>
    <col min="8003" max="8003" width="2.140625" style="221" customWidth="1"/>
    <col min="8004" max="8004" width="0.5703125" style="221" customWidth="1"/>
    <col min="8005" max="8005" width="2.140625" style="221" customWidth="1"/>
    <col min="8006" max="8006" width="0.5703125" style="221" customWidth="1"/>
    <col min="8007" max="8007" width="2.140625" style="221" customWidth="1"/>
    <col min="8008" max="8008" width="0.5703125" style="221" customWidth="1"/>
    <col min="8009" max="8009" width="2.140625" style="221" customWidth="1"/>
    <col min="8010" max="8010" width="0.5703125" style="221" customWidth="1"/>
    <col min="8011" max="8011" width="2.140625" style="221" customWidth="1"/>
    <col min="8012" max="8012" width="0.5703125" style="221" customWidth="1"/>
    <col min="8013" max="8013" width="2.140625" style="221" customWidth="1"/>
    <col min="8014" max="8014" width="0.5703125" style="221" customWidth="1"/>
    <col min="8015" max="8015" width="2.140625" style="221" customWidth="1"/>
    <col min="8016" max="8016" width="0.5703125" style="221" customWidth="1"/>
    <col min="8017" max="8017" width="2.140625" style="221" customWidth="1"/>
    <col min="8018" max="8018" width="0.5703125" style="221" customWidth="1"/>
    <col min="8019" max="8019" width="2.140625" style="221" customWidth="1"/>
    <col min="8020" max="8020" width="0.5703125" style="221" customWidth="1"/>
    <col min="8021" max="8021" width="2.140625" style="221" customWidth="1"/>
    <col min="8022" max="8022" width="0.5703125" style="221" customWidth="1"/>
    <col min="8023" max="8024" width="2.5703125" style="221" customWidth="1"/>
    <col min="8025"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7109375" style="221" customWidth="1"/>
    <col min="8198" max="8198" width="1.140625" style="221" customWidth="1"/>
    <col min="8199" max="8203" width="0.7109375" style="221" customWidth="1"/>
    <col min="8204" max="8204" width="0.5703125" style="221" customWidth="1"/>
    <col min="8205" max="8217" width="0.7109375" style="221" customWidth="1"/>
    <col min="8218" max="8218" width="1.4257812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 style="221" customWidth="1"/>
    <col min="8255" max="8256" width="0.5703125" style="221" customWidth="1"/>
    <col min="8257" max="8257" width="2.140625" style="221" customWidth="1"/>
    <col min="8258" max="8258" width="0.5703125" style="221" customWidth="1"/>
    <col min="8259" max="8259" width="2.140625" style="221" customWidth="1"/>
    <col min="8260" max="8260" width="0.5703125" style="221" customWidth="1"/>
    <col min="8261" max="8261" width="2.140625" style="221" customWidth="1"/>
    <col min="8262" max="8262" width="0.5703125" style="221" customWidth="1"/>
    <col min="8263" max="8263" width="2.140625" style="221" customWidth="1"/>
    <col min="8264" max="8264" width="0.5703125" style="221" customWidth="1"/>
    <col min="8265" max="8265" width="2.140625" style="221" customWidth="1"/>
    <col min="8266" max="8266" width="0.5703125" style="221" customWidth="1"/>
    <col min="8267" max="8267" width="2.140625" style="221" customWidth="1"/>
    <col min="8268" max="8268" width="0.5703125" style="221" customWidth="1"/>
    <col min="8269" max="8269" width="2.140625" style="221" customWidth="1"/>
    <col min="8270" max="8270" width="0.5703125" style="221" customWidth="1"/>
    <col min="8271" max="8271" width="2.140625" style="221" customWidth="1"/>
    <col min="8272" max="8272" width="0.5703125" style="221" customWidth="1"/>
    <col min="8273" max="8273" width="2.140625" style="221" customWidth="1"/>
    <col min="8274" max="8274" width="0.5703125" style="221" customWidth="1"/>
    <col min="8275" max="8275" width="2.140625" style="221" customWidth="1"/>
    <col min="8276" max="8276" width="0.5703125" style="221" customWidth="1"/>
    <col min="8277" max="8277" width="2.140625" style="221" customWidth="1"/>
    <col min="8278" max="8278" width="0.5703125" style="221" customWidth="1"/>
    <col min="8279" max="8280" width="2.5703125" style="221" customWidth="1"/>
    <col min="8281"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7109375" style="221" customWidth="1"/>
    <col min="8454" max="8454" width="1.140625" style="221" customWidth="1"/>
    <col min="8455" max="8459" width="0.7109375" style="221" customWidth="1"/>
    <col min="8460" max="8460" width="0.5703125" style="221" customWidth="1"/>
    <col min="8461" max="8473" width="0.7109375" style="221" customWidth="1"/>
    <col min="8474" max="8474" width="1.4257812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 style="221" customWidth="1"/>
    <col min="8511" max="8512" width="0.5703125" style="221" customWidth="1"/>
    <col min="8513" max="8513" width="2.140625" style="221" customWidth="1"/>
    <col min="8514" max="8514" width="0.5703125" style="221" customWidth="1"/>
    <col min="8515" max="8515" width="2.140625" style="221" customWidth="1"/>
    <col min="8516" max="8516" width="0.5703125" style="221" customWidth="1"/>
    <col min="8517" max="8517" width="2.140625" style="221" customWidth="1"/>
    <col min="8518" max="8518" width="0.5703125" style="221" customWidth="1"/>
    <col min="8519" max="8519" width="2.140625" style="221" customWidth="1"/>
    <col min="8520" max="8520" width="0.5703125" style="221" customWidth="1"/>
    <col min="8521" max="8521" width="2.140625" style="221" customWidth="1"/>
    <col min="8522" max="8522" width="0.5703125" style="221" customWidth="1"/>
    <col min="8523" max="8523" width="2.140625" style="221" customWidth="1"/>
    <col min="8524" max="8524" width="0.5703125" style="221" customWidth="1"/>
    <col min="8525" max="8525" width="2.140625" style="221" customWidth="1"/>
    <col min="8526" max="8526" width="0.5703125" style="221" customWidth="1"/>
    <col min="8527" max="8527" width="2.140625" style="221" customWidth="1"/>
    <col min="8528" max="8528" width="0.5703125" style="221" customWidth="1"/>
    <col min="8529" max="8529" width="2.140625" style="221" customWidth="1"/>
    <col min="8530" max="8530" width="0.5703125" style="221" customWidth="1"/>
    <col min="8531" max="8531" width="2.140625" style="221" customWidth="1"/>
    <col min="8532" max="8532" width="0.5703125" style="221" customWidth="1"/>
    <col min="8533" max="8533" width="2.140625" style="221" customWidth="1"/>
    <col min="8534" max="8534" width="0.5703125" style="221" customWidth="1"/>
    <col min="8535" max="8536" width="2.5703125" style="221" customWidth="1"/>
    <col min="8537"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7109375" style="221" customWidth="1"/>
    <col min="8710" max="8710" width="1.140625" style="221" customWidth="1"/>
    <col min="8711" max="8715" width="0.7109375" style="221" customWidth="1"/>
    <col min="8716" max="8716" width="0.5703125" style="221" customWidth="1"/>
    <col min="8717" max="8729" width="0.7109375" style="221" customWidth="1"/>
    <col min="8730" max="8730" width="1.4257812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 style="221" customWidth="1"/>
    <col min="8767" max="8768" width="0.5703125" style="221" customWidth="1"/>
    <col min="8769" max="8769" width="2.140625" style="221" customWidth="1"/>
    <col min="8770" max="8770" width="0.5703125" style="221" customWidth="1"/>
    <col min="8771" max="8771" width="2.140625" style="221" customWidth="1"/>
    <col min="8772" max="8772" width="0.5703125" style="221" customWidth="1"/>
    <col min="8773" max="8773" width="2.140625" style="221" customWidth="1"/>
    <col min="8774" max="8774" width="0.5703125" style="221" customWidth="1"/>
    <col min="8775" max="8775" width="2.140625" style="221" customWidth="1"/>
    <col min="8776" max="8776" width="0.5703125" style="221" customWidth="1"/>
    <col min="8777" max="8777" width="2.140625" style="221" customWidth="1"/>
    <col min="8778" max="8778" width="0.5703125" style="221" customWidth="1"/>
    <col min="8779" max="8779" width="2.140625" style="221" customWidth="1"/>
    <col min="8780" max="8780" width="0.5703125" style="221" customWidth="1"/>
    <col min="8781" max="8781" width="2.140625" style="221" customWidth="1"/>
    <col min="8782" max="8782" width="0.5703125" style="221" customWidth="1"/>
    <col min="8783" max="8783" width="2.140625" style="221" customWidth="1"/>
    <col min="8784" max="8784" width="0.5703125" style="221" customWidth="1"/>
    <col min="8785" max="8785" width="2.140625" style="221" customWidth="1"/>
    <col min="8786" max="8786" width="0.5703125" style="221" customWidth="1"/>
    <col min="8787" max="8787" width="2.140625" style="221" customWidth="1"/>
    <col min="8788" max="8788" width="0.5703125" style="221" customWidth="1"/>
    <col min="8789" max="8789" width="2.140625" style="221" customWidth="1"/>
    <col min="8790" max="8790" width="0.5703125" style="221" customWidth="1"/>
    <col min="8791" max="8792" width="2.5703125" style="221" customWidth="1"/>
    <col min="8793"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7109375" style="221" customWidth="1"/>
    <col min="8966" max="8966" width="1.140625" style="221" customWidth="1"/>
    <col min="8967" max="8971" width="0.7109375" style="221" customWidth="1"/>
    <col min="8972" max="8972" width="0.5703125" style="221" customWidth="1"/>
    <col min="8973" max="8985" width="0.7109375" style="221" customWidth="1"/>
    <col min="8986" max="8986" width="1.4257812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 style="221" customWidth="1"/>
    <col min="9023" max="9024" width="0.5703125" style="221" customWidth="1"/>
    <col min="9025" max="9025" width="2.140625" style="221" customWidth="1"/>
    <col min="9026" max="9026" width="0.5703125" style="221" customWidth="1"/>
    <col min="9027" max="9027" width="2.140625" style="221" customWidth="1"/>
    <col min="9028" max="9028" width="0.5703125" style="221" customWidth="1"/>
    <col min="9029" max="9029" width="2.140625" style="221" customWidth="1"/>
    <col min="9030" max="9030" width="0.5703125" style="221" customWidth="1"/>
    <col min="9031" max="9031" width="2.140625" style="221" customWidth="1"/>
    <col min="9032" max="9032" width="0.5703125" style="221" customWidth="1"/>
    <col min="9033" max="9033" width="2.140625" style="221" customWidth="1"/>
    <col min="9034" max="9034" width="0.5703125" style="221" customWidth="1"/>
    <col min="9035" max="9035" width="2.140625" style="221" customWidth="1"/>
    <col min="9036" max="9036" width="0.5703125" style="221" customWidth="1"/>
    <col min="9037" max="9037" width="2.140625" style="221" customWidth="1"/>
    <col min="9038" max="9038" width="0.5703125" style="221" customWidth="1"/>
    <col min="9039" max="9039" width="2.140625" style="221" customWidth="1"/>
    <col min="9040" max="9040" width="0.5703125" style="221" customWidth="1"/>
    <col min="9041" max="9041" width="2.140625" style="221" customWidth="1"/>
    <col min="9042" max="9042" width="0.5703125" style="221" customWidth="1"/>
    <col min="9043" max="9043" width="2.140625" style="221" customWidth="1"/>
    <col min="9044" max="9044" width="0.5703125" style="221" customWidth="1"/>
    <col min="9045" max="9045" width="2.140625" style="221" customWidth="1"/>
    <col min="9046" max="9046" width="0.5703125" style="221" customWidth="1"/>
    <col min="9047" max="9048" width="2.5703125" style="221" customWidth="1"/>
    <col min="9049"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7109375" style="221" customWidth="1"/>
    <col min="9222" max="9222" width="1.140625" style="221" customWidth="1"/>
    <col min="9223" max="9227" width="0.7109375" style="221" customWidth="1"/>
    <col min="9228" max="9228" width="0.5703125" style="221" customWidth="1"/>
    <col min="9229" max="9241" width="0.7109375" style="221" customWidth="1"/>
    <col min="9242" max="9242" width="1.4257812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 style="221" customWidth="1"/>
    <col min="9279" max="9280" width="0.5703125" style="221" customWidth="1"/>
    <col min="9281" max="9281" width="2.140625" style="221" customWidth="1"/>
    <col min="9282" max="9282" width="0.5703125" style="221" customWidth="1"/>
    <col min="9283" max="9283" width="2.140625" style="221" customWidth="1"/>
    <col min="9284" max="9284" width="0.5703125" style="221" customWidth="1"/>
    <col min="9285" max="9285" width="2.140625" style="221" customWidth="1"/>
    <col min="9286" max="9286" width="0.5703125" style="221" customWidth="1"/>
    <col min="9287" max="9287" width="2.140625" style="221" customWidth="1"/>
    <col min="9288" max="9288" width="0.5703125" style="221" customWidth="1"/>
    <col min="9289" max="9289" width="2.140625" style="221" customWidth="1"/>
    <col min="9290" max="9290" width="0.5703125" style="221" customWidth="1"/>
    <col min="9291" max="9291" width="2.140625" style="221" customWidth="1"/>
    <col min="9292" max="9292" width="0.5703125" style="221" customWidth="1"/>
    <col min="9293" max="9293" width="2.140625" style="221" customWidth="1"/>
    <col min="9294" max="9294" width="0.5703125" style="221" customWidth="1"/>
    <col min="9295" max="9295" width="2.140625" style="221" customWidth="1"/>
    <col min="9296" max="9296" width="0.5703125" style="221" customWidth="1"/>
    <col min="9297" max="9297" width="2.140625" style="221" customWidth="1"/>
    <col min="9298" max="9298" width="0.5703125" style="221" customWidth="1"/>
    <col min="9299" max="9299" width="2.140625" style="221" customWidth="1"/>
    <col min="9300" max="9300" width="0.5703125" style="221" customWidth="1"/>
    <col min="9301" max="9301" width="2.140625" style="221" customWidth="1"/>
    <col min="9302" max="9302" width="0.5703125" style="221" customWidth="1"/>
    <col min="9303" max="9304" width="2.5703125" style="221" customWidth="1"/>
    <col min="9305"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7109375" style="221" customWidth="1"/>
    <col min="9478" max="9478" width="1.140625" style="221" customWidth="1"/>
    <col min="9479" max="9483" width="0.7109375" style="221" customWidth="1"/>
    <col min="9484" max="9484" width="0.5703125" style="221" customWidth="1"/>
    <col min="9485" max="9497" width="0.7109375" style="221" customWidth="1"/>
    <col min="9498" max="9498" width="1.4257812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 style="221" customWidth="1"/>
    <col min="9535" max="9536" width="0.5703125" style="221" customWidth="1"/>
    <col min="9537" max="9537" width="2.140625" style="221" customWidth="1"/>
    <col min="9538" max="9538" width="0.5703125" style="221" customWidth="1"/>
    <col min="9539" max="9539" width="2.140625" style="221" customWidth="1"/>
    <col min="9540" max="9540" width="0.5703125" style="221" customWidth="1"/>
    <col min="9541" max="9541" width="2.140625" style="221" customWidth="1"/>
    <col min="9542" max="9542" width="0.5703125" style="221" customWidth="1"/>
    <col min="9543" max="9543" width="2.140625" style="221" customWidth="1"/>
    <col min="9544" max="9544" width="0.5703125" style="221" customWidth="1"/>
    <col min="9545" max="9545" width="2.140625" style="221" customWidth="1"/>
    <col min="9546" max="9546" width="0.5703125" style="221" customWidth="1"/>
    <col min="9547" max="9547" width="2.140625" style="221" customWidth="1"/>
    <col min="9548" max="9548" width="0.5703125" style="221" customWidth="1"/>
    <col min="9549" max="9549" width="2.140625" style="221" customWidth="1"/>
    <col min="9550" max="9550" width="0.5703125" style="221" customWidth="1"/>
    <col min="9551" max="9551" width="2.140625" style="221" customWidth="1"/>
    <col min="9552" max="9552" width="0.5703125" style="221" customWidth="1"/>
    <col min="9553" max="9553" width="2.140625" style="221" customWidth="1"/>
    <col min="9554" max="9554" width="0.5703125" style="221" customWidth="1"/>
    <col min="9555" max="9555" width="2.140625" style="221" customWidth="1"/>
    <col min="9556" max="9556" width="0.5703125" style="221" customWidth="1"/>
    <col min="9557" max="9557" width="2.140625" style="221" customWidth="1"/>
    <col min="9558" max="9558" width="0.5703125" style="221" customWidth="1"/>
    <col min="9559" max="9560" width="2.5703125" style="221" customWidth="1"/>
    <col min="9561"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7109375" style="221" customWidth="1"/>
    <col min="9734" max="9734" width="1.140625" style="221" customWidth="1"/>
    <col min="9735" max="9739" width="0.7109375" style="221" customWidth="1"/>
    <col min="9740" max="9740" width="0.5703125" style="221" customWidth="1"/>
    <col min="9741" max="9753" width="0.7109375" style="221" customWidth="1"/>
    <col min="9754" max="9754" width="1.4257812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 style="221" customWidth="1"/>
    <col min="9791" max="9792" width="0.5703125" style="221" customWidth="1"/>
    <col min="9793" max="9793" width="2.140625" style="221" customWidth="1"/>
    <col min="9794" max="9794" width="0.5703125" style="221" customWidth="1"/>
    <col min="9795" max="9795" width="2.140625" style="221" customWidth="1"/>
    <col min="9796" max="9796" width="0.5703125" style="221" customWidth="1"/>
    <col min="9797" max="9797" width="2.140625" style="221" customWidth="1"/>
    <col min="9798" max="9798" width="0.5703125" style="221" customWidth="1"/>
    <col min="9799" max="9799" width="2.140625" style="221" customWidth="1"/>
    <col min="9800" max="9800" width="0.5703125" style="221" customWidth="1"/>
    <col min="9801" max="9801" width="2.140625" style="221" customWidth="1"/>
    <col min="9802" max="9802" width="0.5703125" style="221" customWidth="1"/>
    <col min="9803" max="9803" width="2.140625" style="221" customWidth="1"/>
    <col min="9804" max="9804" width="0.5703125" style="221" customWidth="1"/>
    <col min="9805" max="9805" width="2.140625" style="221" customWidth="1"/>
    <col min="9806" max="9806" width="0.5703125" style="221" customWidth="1"/>
    <col min="9807" max="9807" width="2.140625" style="221" customWidth="1"/>
    <col min="9808" max="9808" width="0.5703125" style="221" customWidth="1"/>
    <col min="9809" max="9809" width="2.140625" style="221" customWidth="1"/>
    <col min="9810" max="9810" width="0.5703125" style="221" customWidth="1"/>
    <col min="9811" max="9811" width="2.140625" style="221" customWidth="1"/>
    <col min="9812" max="9812" width="0.5703125" style="221" customWidth="1"/>
    <col min="9813" max="9813" width="2.140625" style="221" customWidth="1"/>
    <col min="9814" max="9814" width="0.5703125" style="221" customWidth="1"/>
    <col min="9815" max="9816" width="2.5703125" style="221" customWidth="1"/>
    <col min="9817"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7109375" style="221" customWidth="1"/>
    <col min="9990" max="9990" width="1.140625" style="221" customWidth="1"/>
    <col min="9991" max="9995" width="0.7109375" style="221" customWidth="1"/>
    <col min="9996" max="9996" width="0.5703125" style="221" customWidth="1"/>
    <col min="9997" max="10009" width="0.7109375" style="221" customWidth="1"/>
    <col min="10010" max="10010" width="1.4257812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 style="221" customWidth="1"/>
    <col min="10047" max="10048" width="0.5703125" style="221" customWidth="1"/>
    <col min="10049" max="10049" width="2.140625" style="221" customWidth="1"/>
    <col min="10050" max="10050" width="0.5703125" style="221" customWidth="1"/>
    <col min="10051" max="10051" width="2.140625" style="221" customWidth="1"/>
    <col min="10052" max="10052" width="0.5703125" style="221" customWidth="1"/>
    <col min="10053" max="10053" width="2.140625" style="221" customWidth="1"/>
    <col min="10054" max="10054" width="0.5703125" style="221" customWidth="1"/>
    <col min="10055" max="10055" width="2.140625" style="221" customWidth="1"/>
    <col min="10056" max="10056" width="0.5703125" style="221" customWidth="1"/>
    <col min="10057" max="10057" width="2.140625" style="221" customWidth="1"/>
    <col min="10058" max="10058" width="0.5703125" style="221" customWidth="1"/>
    <col min="10059" max="10059" width="2.140625" style="221" customWidth="1"/>
    <col min="10060" max="10060" width="0.5703125" style="221" customWidth="1"/>
    <col min="10061" max="10061" width="2.140625" style="221" customWidth="1"/>
    <col min="10062" max="10062" width="0.5703125" style="221" customWidth="1"/>
    <col min="10063" max="10063" width="2.140625" style="221" customWidth="1"/>
    <col min="10064" max="10064" width="0.5703125" style="221" customWidth="1"/>
    <col min="10065" max="10065" width="2.140625" style="221" customWidth="1"/>
    <col min="10066" max="10066" width="0.5703125" style="221" customWidth="1"/>
    <col min="10067" max="10067" width="2.140625" style="221" customWidth="1"/>
    <col min="10068" max="10068" width="0.5703125" style="221" customWidth="1"/>
    <col min="10069" max="10069" width="2.140625" style="221" customWidth="1"/>
    <col min="10070" max="10070" width="0.5703125" style="221" customWidth="1"/>
    <col min="10071" max="10072" width="2.5703125" style="221" customWidth="1"/>
    <col min="10073"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7109375" style="221" customWidth="1"/>
    <col min="10246" max="10246" width="1.140625" style="221" customWidth="1"/>
    <col min="10247" max="10251" width="0.7109375" style="221" customWidth="1"/>
    <col min="10252" max="10252" width="0.5703125" style="221" customWidth="1"/>
    <col min="10253" max="10265" width="0.7109375" style="221" customWidth="1"/>
    <col min="10266" max="10266" width="1.4257812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 style="221" customWidth="1"/>
    <col min="10303" max="10304" width="0.5703125" style="221" customWidth="1"/>
    <col min="10305" max="10305" width="2.140625" style="221" customWidth="1"/>
    <col min="10306" max="10306" width="0.5703125" style="221" customWidth="1"/>
    <col min="10307" max="10307" width="2.140625" style="221" customWidth="1"/>
    <col min="10308" max="10308" width="0.5703125" style="221" customWidth="1"/>
    <col min="10309" max="10309" width="2.140625" style="221" customWidth="1"/>
    <col min="10310" max="10310" width="0.5703125" style="221" customWidth="1"/>
    <col min="10311" max="10311" width="2.140625" style="221" customWidth="1"/>
    <col min="10312" max="10312" width="0.5703125" style="221" customWidth="1"/>
    <col min="10313" max="10313" width="2.140625" style="221" customWidth="1"/>
    <col min="10314" max="10314" width="0.5703125" style="221" customWidth="1"/>
    <col min="10315" max="10315" width="2.140625" style="221" customWidth="1"/>
    <col min="10316" max="10316" width="0.5703125" style="221" customWidth="1"/>
    <col min="10317" max="10317" width="2.140625" style="221" customWidth="1"/>
    <col min="10318" max="10318" width="0.5703125" style="221" customWidth="1"/>
    <col min="10319" max="10319" width="2.140625" style="221" customWidth="1"/>
    <col min="10320" max="10320" width="0.5703125" style="221" customWidth="1"/>
    <col min="10321" max="10321" width="2.140625" style="221" customWidth="1"/>
    <col min="10322" max="10322" width="0.5703125" style="221" customWidth="1"/>
    <col min="10323" max="10323" width="2.140625" style="221" customWidth="1"/>
    <col min="10324" max="10324" width="0.5703125" style="221" customWidth="1"/>
    <col min="10325" max="10325" width="2.140625" style="221" customWidth="1"/>
    <col min="10326" max="10326" width="0.5703125" style="221" customWidth="1"/>
    <col min="10327" max="10328" width="2.5703125" style="221" customWidth="1"/>
    <col min="10329"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7109375" style="221" customWidth="1"/>
    <col min="10502" max="10502" width="1.140625" style="221" customWidth="1"/>
    <col min="10503" max="10507" width="0.7109375" style="221" customWidth="1"/>
    <col min="10508" max="10508" width="0.5703125" style="221" customWidth="1"/>
    <col min="10509" max="10521" width="0.7109375" style="221" customWidth="1"/>
    <col min="10522" max="10522" width="1.4257812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 style="221" customWidth="1"/>
    <col min="10559" max="10560" width="0.5703125" style="221" customWidth="1"/>
    <col min="10561" max="10561" width="2.140625" style="221" customWidth="1"/>
    <col min="10562" max="10562" width="0.5703125" style="221" customWidth="1"/>
    <col min="10563" max="10563" width="2.140625" style="221" customWidth="1"/>
    <col min="10564" max="10564" width="0.5703125" style="221" customWidth="1"/>
    <col min="10565" max="10565" width="2.140625" style="221" customWidth="1"/>
    <col min="10566" max="10566" width="0.5703125" style="221" customWidth="1"/>
    <col min="10567" max="10567" width="2.140625" style="221" customWidth="1"/>
    <col min="10568" max="10568" width="0.5703125" style="221" customWidth="1"/>
    <col min="10569" max="10569" width="2.140625" style="221" customWidth="1"/>
    <col min="10570" max="10570" width="0.5703125" style="221" customWidth="1"/>
    <col min="10571" max="10571" width="2.140625" style="221" customWidth="1"/>
    <col min="10572" max="10572" width="0.5703125" style="221" customWidth="1"/>
    <col min="10573" max="10573" width="2.140625" style="221" customWidth="1"/>
    <col min="10574" max="10574" width="0.5703125" style="221" customWidth="1"/>
    <col min="10575" max="10575" width="2.140625" style="221" customWidth="1"/>
    <col min="10576" max="10576" width="0.5703125" style="221" customWidth="1"/>
    <col min="10577" max="10577" width="2.140625" style="221" customWidth="1"/>
    <col min="10578" max="10578" width="0.5703125" style="221" customWidth="1"/>
    <col min="10579" max="10579" width="2.140625" style="221" customWidth="1"/>
    <col min="10580" max="10580" width="0.5703125" style="221" customWidth="1"/>
    <col min="10581" max="10581" width="2.140625" style="221" customWidth="1"/>
    <col min="10582" max="10582" width="0.5703125" style="221" customWidth="1"/>
    <col min="10583" max="10584" width="2.5703125" style="221" customWidth="1"/>
    <col min="10585"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7109375" style="221" customWidth="1"/>
    <col min="10758" max="10758" width="1.140625" style="221" customWidth="1"/>
    <col min="10759" max="10763" width="0.7109375" style="221" customWidth="1"/>
    <col min="10764" max="10764" width="0.5703125" style="221" customWidth="1"/>
    <col min="10765" max="10777" width="0.7109375" style="221" customWidth="1"/>
    <col min="10778" max="10778" width="1.4257812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 style="221" customWidth="1"/>
    <col min="10815" max="10816" width="0.5703125" style="221" customWidth="1"/>
    <col min="10817" max="10817" width="2.140625" style="221" customWidth="1"/>
    <col min="10818" max="10818" width="0.5703125" style="221" customWidth="1"/>
    <col min="10819" max="10819" width="2.140625" style="221" customWidth="1"/>
    <col min="10820" max="10820" width="0.5703125" style="221" customWidth="1"/>
    <col min="10821" max="10821" width="2.140625" style="221" customWidth="1"/>
    <col min="10822" max="10822" width="0.5703125" style="221" customWidth="1"/>
    <col min="10823" max="10823" width="2.140625" style="221" customWidth="1"/>
    <col min="10824" max="10824" width="0.5703125" style="221" customWidth="1"/>
    <col min="10825" max="10825" width="2.140625" style="221" customWidth="1"/>
    <col min="10826" max="10826" width="0.5703125" style="221" customWidth="1"/>
    <col min="10827" max="10827" width="2.140625" style="221" customWidth="1"/>
    <col min="10828" max="10828" width="0.5703125" style="221" customWidth="1"/>
    <col min="10829" max="10829" width="2.140625" style="221" customWidth="1"/>
    <col min="10830" max="10830" width="0.5703125" style="221" customWidth="1"/>
    <col min="10831" max="10831" width="2.140625" style="221" customWidth="1"/>
    <col min="10832" max="10832" width="0.5703125" style="221" customWidth="1"/>
    <col min="10833" max="10833" width="2.140625" style="221" customWidth="1"/>
    <col min="10834" max="10834" width="0.5703125" style="221" customWidth="1"/>
    <col min="10835" max="10835" width="2.140625" style="221" customWidth="1"/>
    <col min="10836" max="10836" width="0.5703125" style="221" customWidth="1"/>
    <col min="10837" max="10837" width="2.140625" style="221" customWidth="1"/>
    <col min="10838" max="10838" width="0.5703125" style="221" customWidth="1"/>
    <col min="10839" max="10840" width="2.5703125" style="221" customWidth="1"/>
    <col min="10841"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7109375" style="221" customWidth="1"/>
    <col min="11014" max="11014" width="1.140625" style="221" customWidth="1"/>
    <col min="11015" max="11019" width="0.7109375" style="221" customWidth="1"/>
    <col min="11020" max="11020" width="0.5703125" style="221" customWidth="1"/>
    <col min="11021" max="11033" width="0.7109375" style="221" customWidth="1"/>
    <col min="11034" max="11034" width="1.4257812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 style="221" customWidth="1"/>
    <col min="11071" max="11072" width="0.5703125" style="221" customWidth="1"/>
    <col min="11073" max="11073" width="2.140625" style="221" customWidth="1"/>
    <col min="11074" max="11074" width="0.5703125" style="221" customWidth="1"/>
    <col min="11075" max="11075" width="2.140625" style="221" customWidth="1"/>
    <col min="11076" max="11076" width="0.5703125" style="221" customWidth="1"/>
    <col min="11077" max="11077" width="2.140625" style="221" customWidth="1"/>
    <col min="11078" max="11078" width="0.5703125" style="221" customWidth="1"/>
    <col min="11079" max="11079" width="2.140625" style="221" customWidth="1"/>
    <col min="11080" max="11080" width="0.5703125" style="221" customWidth="1"/>
    <col min="11081" max="11081" width="2.140625" style="221" customWidth="1"/>
    <col min="11082" max="11082" width="0.5703125" style="221" customWidth="1"/>
    <col min="11083" max="11083" width="2.140625" style="221" customWidth="1"/>
    <col min="11084" max="11084" width="0.5703125" style="221" customWidth="1"/>
    <col min="11085" max="11085" width="2.140625" style="221" customWidth="1"/>
    <col min="11086" max="11086" width="0.5703125" style="221" customWidth="1"/>
    <col min="11087" max="11087" width="2.140625" style="221" customWidth="1"/>
    <col min="11088" max="11088" width="0.5703125" style="221" customWidth="1"/>
    <col min="11089" max="11089" width="2.140625" style="221" customWidth="1"/>
    <col min="11090" max="11090" width="0.5703125" style="221" customWidth="1"/>
    <col min="11091" max="11091" width="2.140625" style="221" customWidth="1"/>
    <col min="11092" max="11092" width="0.5703125" style="221" customWidth="1"/>
    <col min="11093" max="11093" width="2.140625" style="221" customWidth="1"/>
    <col min="11094" max="11094" width="0.5703125" style="221" customWidth="1"/>
    <col min="11095" max="11096" width="2.5703125" style="221" customWidth="1"/>
    <col min="11097"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7109375" style="221" customWidth="1"/>
    <col min="11270" max="11270" width="1.140625" style="221" customWidth="1"/>
    <col min="11271" max="11275" width="0.7109375" style="221" customWidth="1"/>
    <col min="11276" max="11276" width="0.5703125" style="221" customWidth="1"/>
    <col min="11277" max="11289" width="0.7109375" style="221" customWidth="1"/>
    <col min="11290" max="11290" width="1.4257812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 style="221" customWidth="1"/>
    <col min="11327" max="11328" width="0.5703125" style="221" customWidth="1"/>
    <col min="11329" max="11329" width="2.140625" style="221" customWidth="1"/>
    <col min="11330" max="11330" width="0.5703125" style="221" customWidth="1"/>
    <col min="11331" max="11331" width="2.140625" style="221" customWidth="1"/>
    <col min="11332" max="11332" width="0.5703125" style="221" customWidth="1"/>
    <col min="11333" max="11333" width="2.140625" style="221" customWidth="1"/>
    <col min="11334" max="11334" width="0.5703125" style="221" customWidth="1"/>
    <col min="11335" max="11335" width="2.140625" style="221" customWidth="1"/>
    <col min="11336" max="11336" width="0.5703125" style="221" customWidth="1"/>
    <col min="11337" max="11337" width="2.140625" style="221" customWidth="1"/>
    <col min="11338" max="11338" width="0.5703125" style="221" customWidth="1"/>
    <col min="11339" max="11339" width="2.140625" style="221" customWidth="1"/>
    <col min="11340" max="11340" width="0.5703125" style="221" customWidth="1"/>
    <col min="11341" max="11341" width="2.140625" style="221" customWidth="1"/>
    <col min="11342" max="11342" width="0.5703125" style="221" customWidth="1"/>
    <col min="11343" max="11343" width="2.140625" style="221" customWidth="1"/>
    <col min="11344" max="11344" width="0.5703125" style="221" customWidth="1"/>
    <col min="11345" max="11345" width="2.140625" style="221" customWidth="1"/>
    <col min="11346" max="11346" width="0.5703125" style="221" customWidth="1"/>
    <col min="11347" max="11347" width="2.140625" style="221" customWidth="1"/>
    <col min="11348" max="11348" width="0.5703125" style="221" customWidth="1"/>
    <col min="11349" max="11349" width="2.140625" style="221" customWidth="1"/>
    <col min="11350" max="11350" width="0.5703125" style="221" customWidth="1"/>
    <col min="11351" max="11352" width="2.5703125" style="221" customWidth="1"/>
    <col min="11353"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7109375" style="221" customWidth="1"/>
    <col min="11526" max="11526" width="1.140625" style="221" customWidth="1"/>
    <col min="11527" max="11531" width="0.7109375" style="221" customWidth="1"/>
    <col min="11532" max="11532" width="0.5703125" style="221" customWidth="1"/>
    <col min="11533" max="11545" width="0.7109375" style="221" customWidth="1"/>
    <col min="11546" max="11546" width="1.4257812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 style="221" customWidth="1"/>
    <col min="11583" max="11584" width="0.5703125" style="221" customWidth="1"/>
    <col min="11585" max="11585" width="2.140625" style="221" customWidth="1"/>
    <col min="11586" max="11586" width="0.5703125" style="221" customWidth="1"/>
    <col min="11587" max="11587" width="2.140625" style="221" customWidth="1"/>
    <col min="11588" max="11588" width="0.5703125" style="221" customWidth="1"/>
    <col min="11589" max="11589" width="2.140625" style="221" customWidth="1"/>
    <col min="11590" max="11590" width="0.5703125" style="221" customWidth="1"/>
    <col min="11591" max="11591" width="2.140625" style="221" customWidth="1"/>
    <col min="11592" max="11592" width="0.5703125" style="221" customWidth="1"/>
    <col min="11593" max="11593" width="2.140625" style="221" customWidth="1"/>
    <col min="11594" max="11594" width="0.5703125" style="221" customWidth="1"/>
    <col min="11595" max="11595" width="2.140625" style="221" customWidth="1"/>
    <col min="11596" max="11596" width="0.5703125" style="221" customWidth="1"/>
    <col min="11597" max="11597" width="2.140625" style="221" customWidth="1"/>
    <col min="11598" max="11598" width="0.5703125" style="221" customWidth="1"/>
    <col min="11599" max="11599" width="2.140625" style="221" customWidth="1"/>
    <col min="11600" max="11600" width="0.5703125" style="221" customWidth="1"/>
    <col min="11601" max="11601" width="2.140625" style="221" customWidth="1"/>
    <col min="11602" max="11602" width="0.5703125" style="221" customWidth="1"/>
    <col min="11603" max="11603" width="2.140625" style="221" customWidth="1"/>
    <col min="11604" max="11604" width="0.5703125" style="221" customWidth="1"/>
    <col min="11605" max="11605" width="2.140625" style="221" customWidth="1"/>
    <col min="11606" max="11606" width="0.5703125" style="221" customWidth="1"/>
    <col min="11607" max="11608" width="2.5703125" style="221" customWidth="1"/>
    <col min="11609"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7109375" style="221" customWidth="1"/>
    <col min="11782" max="11782" width="1.140625" style="221" customWidth="1"/>
    <col min="11783" max="11787" width="0.7109375" style="221" customWidth="1"/>
    <col min="11788" max="11788" width="0.5703125" style="221" customWidth="1"/>
    <col min="11789" max="11801" width="0.7109375" style="221" customWidth="1"/>
    <col min="11802" max="11802" width="1.4257812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 style="221" customWidth="1"/>
    <col min="11839" max="11840" width="0.5703125" style="221" customWidth="1"/>
    <col min="11841" max="11841" width="2.140625" style="221" customWidth="1"/>
    <col min="11842" max="11842" width="0.5703125" style="221" customWidth="1"/>
    <col min="11843" max="11843" width="2.140625" style="221" customWidth="1"/>
    <col min="11844" max="11844" width="0.5703125" style="221" customWidth="1"/>
    <col min="11845" max="11845" width="2.140625" style="221" customWidth="1"/>
    <col min="11846" max="11846" width="0.5703125" style="221" customWidth="1"/>
    <col min="11847" max="11847" width="2.140625" style="221" customWidth="1"/>
    <col min="11848" max="11848" width="0.5703125" style="221" customWidth="1"/>
    <col min="11849" max="11849" width="2.140625" style="221" customWidth="1"/>
    <col min="11850" max="11850" width="0.5703125" style="221" customWidth="1"/>
    <col min="11851" max="11851" width="2.140625" style="221" customWidth="1"/>
    <col min="11852" max="11852" width="0.5703125" style="221" customWidth="1"/>
    <col min="11853" max="11853" width="2.140625" style="221" customWidth="1"/>
    <col min="11854" max="11854" width="0.5703125" style="221" customWidth="1"/>
    <col min="11855" max="11855" width="2.140625" style="221" customWidth="1"/>
    <col min="11856" max="11856" width="0.5703125" style="221" customWidth="1"/>
    <col min="11857" max="11857" width="2.140625" style="221" customWidth="1"/>
    <col min="11858" max="11858" width="0.5703125" style="221" customWidth="1"/>
    <col min="11859" max="11859" width="2.140625" style="221" customWidth="1"/>
    <col min="11860" max="11860" width="0.5703125" style="221" customWidth="1"/>
    <col min="11861" max="11861" width="2.140625" style="221" customWidth="1"/>
    <col min="11862" max="11862" width="0.5703125" style="221" customWidth="1"/>
    <col min="11863" max="11864" width="2.5703125" style="221" customWidth="1"/>
    <col min="11865"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7109375" style="221" customWidth="1"/>
    <col min="12038" max="12038" width="1.140625" style="221" customWidth="1"/>
    <col min="12039" max="12043" width="0.7109375" style="221" customWidth="1"/>
    <col min="12044" max="12044" width="0.5703125" style="221" customWidth="1"/>
    <col min="12045" max="12057" width="0.7109375" style="221" customWidth="1"/>
    <col min="12058" max="12058" width="1.4257812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 style="221" customWidth="1"/>
    <col min="12095" max="12096" width="0.5703125" style="221" customWidth="1"/>
    <col min="12097" max="12097" width="2.140625" style="221" customWidth="1"/>
    <col min="12098" max="12098" width="0.5703125" style="221" customWidth="1"/>
    <col min="12099" max="12099" width="2.140625" style="221" customWidth="1"/>
    <col min="12100" max="12100" width="0.5703125" style="221" customWidth="1"/>
    <col min="12101" max="12101" width="2.140625" style="221" customWidth="1"/>
    <col min="12102" max="12102" width="0.5703125" style="221" customWidth="1"/>
    <col min="12103" max="12103" width="2.140625" style="221" customWidth="1"/>
    <col min="12104" max="12104" width="0.5703125" style="221" customWidth="1"/>
    <col min="12105" max="12105" width="2.140625" style="221" customWidth="1"/>
    <col min="12106" max="12106" width="0.5703125" style="221" customWidth="1"/>
    <col min="12107" max="12107" width="2.140625" style="221" customWidth="1"/>
    <col min="12108" max="12108" width="0.5703125" style="221" customWidth="1"/>
    <col min="12109" max="12109" width="2.140625" style="221" customWidth="1"/>
    <col min="12110" max="12110" width="0.5703125" style="221" customWidth="1"/>
    <col min="12111" max="12111" width="2.140625" style="221" customWidth="1"/>
    <col min="12112" max="12112" width="0.5703125" style="221" customWidth="1"/>
    <col min="12113" max="12113" width="2.140625" style="221" customWidth="1"/>
    <col min="12114" max="12114" width="0.5703125" style="221" customWidth="1"/>
    <col min="12115" max="12115" width="2.140625" style="221" customWidth="1"/>
    <col min="12116" max="12116" width="0.5703125" style="221" customWidth="1"/>
    <col min="12117" max="12117" width="2.140625" style="221" customWidth="1"/>
    <col min="12118" max="12118" width="0.5703125" style="221" customWidth="1"/>
    <col min="12119" max="12120" width="2.5703125" style="221" customWidth="1"/>
    <col min="12121"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7109375" style="221" customWidth="1"/>
    <col min="12294" max="12294" width="1.140625" style="221" customWidth="1"/>
    <col min="12295" max="12299" width="0.7109375" style="221" customWidth="1"/>
    <col min="12300" max="12300" width="0.5703125" style="221" customWidth="1"/>
    <col min="12301" max="12313" width="0.7109375" style="221" customWidth="1"/>
    <col min="12314" max="12314" width="1.4257812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 style="221" customWidth="1"/>
    <col min="12351" max="12352" width="0.5703125" style="221" customWidth="1"/>
    <col min="12353" max="12353" width="2.140625" style="221" customWidth="1"/>
    <col min="12354" max="12354" width="0.5703125" style="221" customWidth="1"/>
    <col min="12355" max="12355" width="2.140625" style="221" customWidth="1"/>
    <col min="12356" max="12356" width="0.5703125" style="221" customWidth="1"/>
    <col min="12357" max="12357" width="2.140625" style="221" customWidth="1"/>
    <col min="12358" max="12358" width="0.5703125" style="221" customWidth="1"/>
    <col min="12359" max="12359" width="2.140625" style="221" customWidth="1"/>
    <col min="12360" max="12360" width="0.5703125" style="221" customWidth="1"/>
    <col min="12361" max="12361" width="2.140625" style="221" customWidth="1"/>
    <col min="12362" max="12362" width="0.5703125" style="221" customWidth="1"/>
    <col min="12363" max="12363" width="2.140625" style="221" customWidth="1"/>
    <col min="12364" max="12364" width="0.5703125" style="221" customWidth="1"/>
    <col min="12365" max="12365" width="2.140625" style="221" customWidth="1"/>
    <col min="12366" max="12366" width="0.5703125" style="221" customWidth="1"/>
    <col min="12367" max="12367" width="2.140625" style="221" customWidth="1"/>
    <col min="12368" max="12368" width="0.5703125" style="221" customWidth="1"/>
    <col min="12369" max="12369" width="2.140625" style="221" customWidth="1"/>
    <col min="12370" max="12370" width="0.5703125" style="221" customWidth="1"/>
    <col min="12371" max="12371" width="2.140625" style="221" customWidth="1"/>
    <col min="12372" max="12372" width="0.5703125" style="221" customWidth="1"/>
    <col min="12373" max="12373" width="2.140625" style="221" customWidth="1"/>
    <col min="12374" max="12374" width="0.5703125" style="221" customWidth="1"/>
    <col min="12375" max="12376" width="2.5703125" style="221" customWidth="1"/>
    <col min="12377"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7109375" style="221" customWidth="1"/>
    <col min="12550" max="12550" width="1.140625" style="221" customWidth="1"/>
    <col min="12551" max="12555" width="0.7109375" style="221" customWidth="1"/>
    <col min="12556" max="12556" width="0.5703125" style="221" customWidth="1"/>
    <col min="12557" max="12569" width="0.7109375" style="221" customWidth="1"/>
    <col min="12570" max="12570" width="1.4257812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 style="221" customWidth="1"/>
    <col min="12607" max="12608" width="0.5703125" style="221" customWidth="1"/>
    <col min="12609" max="12609" width="2.140625" style="221" customWidth="1"/>
    <col min="12610" max="12610" width="0.5703125" style="221" customWidth="1"/>
    <col min="12611" max="12611" width="2.140625" style="221" customWidth="1"/>
    <col min="12612" max="12612" width="0.5703125" style="221" customWidth="1"/>
    <col min="12613" max="12613" width="2.140625" style="221" customWidth="1"/>
    <col min="12614" max="12614" width="0.5703125" style="221" customWidth="1"/>
    <col min="12615" max="12615" width="2.140625" style="221" customWidth="1"/>
    <col min="12616" max="12616" width="0.5703125" style="221" customWidth="1"/>
    <col min="12617" max="12617" width="2.140625" style="221" customWidth="1"/>
    <col min="12618" max="12618" width="0.5703125" style="221" customWidth="1"/>
    <col min="12619" max="12619" width="2.140625" style="221" customWidth="1"/>
    <col min="12620" max="12620" width="0.5703125" style="221" customWidth="1"/>
    <col min="12621" max="12621" width="2.140625" style="221" customWidth="1"/>
    <col min="12622" max="12622" width="0.5703125" style="221" customWidth="1"/>
    <col min="12623" max="12623" width="2.140625" style="221" customWidth="1"/>
    <col min="12624" max="12624" width="0.5703125" style="221" customWidth="1"/>
    <col min="12625" max="12625" width="2.140625" style="221" customWidth="1"/>
    <col min="12626" max="12626" width="0.5703125" style="221" customWidth="1"/>
    <col min="12627" max="12627" width="2.140625" style="221" customWidth="1"/>
    <col min="12628" max="12628" width="0.5703125" style="221" customWidth="1"/>
    <col min="12629" max="12629" width="2.140625" style="221" customWidth="1"/>
    <col min="12630" max="12630" width="0.5703125" style="221" customWidth="1"/>
    <col min="12631" max="12632" width="2.5703125" style="221" customWidth="1"/>
    <col min="12633"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7109375" style="221" customWidth="1"/>
    <col min="12806" max="12806" width="1.140625" style="221" customWidth="1"/>
    <col min="12807" max="12811" width="0.7109375" style="221" customWidth="1"/>
    <col min="12812" max="12812" width="0.5703125" style="221" customWidth="1"/>
    <col min="12813" max="12825" width="0.7109375" style="221" customWidth="1"/>
    <col min="12826" max="12826" width="1.4257812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 style="221" customWidth="1"/>
    <col min="12863" max="12864" width="0.5703125" style="221" customWidth="1"/>
    <col min="12865" max="12865" width="2.140625" style="221" customWidth="1"/>
    <col min="12866" max="12866" width="0.5703125" style="221" customWidth="1"/>
    <col min="12867" max="12867" width="2.140625" style="221" customWidth="1"/>
    <col min="12868" max="12868" width="0.5703125" style="221" customWidth="1"/>
    <col min="12869" max="12869" width="2.140625" style="221" customWidth="1"/>
    <col min="12870" max="12870" width="0.5703125" style="221" customWidth="1"/>
    <col min="12871" max="12871" width="2.140625" style="221" customWidth="1"/>
    <col min="12872" max="12872" width="0.5703125" style="221" customWidth="1"/>
    <col min="12873" max="12873" width="2.140625" style="221" customWidth="1"/>
    <col min="12874" max="12874" width="0.5703125" style="221" customWidth="1"/>
    <col min="12875" max="12875" width="2.140625" style="221" customWidth="1"/>
    <col min="12876" max="12876" width="0.5703125" style="221" customWidth="1"/>
    <col min="12877" max="12877" width="2.140625" style="221" customWidth="1"/>
    <col min="12878" max="12878" width="0.5703125" style="221" customWidth="1"/>
    <col min="12879" max="12879" width="2.140625" style="221" customWidth="1"/>
    <col min="12880" max="12880" width="0.5703125" style="221" customWidth="1"/>
    <col min="12881" max="12881" width="2.140625" style="221" customWidth="1"/>
    <col min="12882" max="12882" width="0.5703125" style="221" customWidth="1"/>
    <col min="12883" max="12883" width="2.140625" style="221" customWidth="1"/>
    <col min="12884" max="12884" width="0.5703125" style="221" customWidth="1"/>
    <col min="12885" max="12885" width="2.140625" style="221" customWidth="1"/>
    <col min="12886" max="12886" width="0.5703125" style="221" customWidth="1"/>
    <col min="12887" max="12888" width="2.5703125" style="221" customWidth="1"/>
    <col min="12889"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7109375" style="221" customWidth="1"/>
    <col min="13062" max="13062" width="1.140625" style="221" customWidth="1"/>
    <col min="13063" max="13067" width="0.7109375" style="221" customWidth="1"/>
    <col min="13068" max="13068" width="0.5703125" style="221" customWidth="1"/>
    <col min="13069" max="13081" width="0.7109375" style="221" customWidth="1"/>
    <col min="13082" max="13082" width="1.4257812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 style="221" customWidth="1"/>
    <col min="13119" max="13120" width="0.5703125" style="221" customWidth="1"/>
    <col min="13121" max="13121" width="2.140625" style="221" customWidth="1"/>
    <col min="13122" max="13122" width="0.5703125" style="221" customWidth="1"/>
    <col min="13123" max="13123" width="2.140625" style="221" customWidth="1"/>
    <col min="13124" max="13124" width="0.5703125" style="221" customWidth="1"/>
    <col min="13125" max="13125" width="2.140625" style="221" customWidth="1"/>
    <col min="13126" max="13126" width="0.5703125" style="221" customWidth="1"/>
    <col min="13127" max="13127" width="2.140625" style="221" customWidth="1"/>
    <col min="13128" max="13128" width="0.5703125" style="221" customWidth="1"/>
    <col min="13129" max="13129" width="2.140625" style="221" customWidth="1"/>
    <col min="13130" max="13130" width="0.5703125" style="221" customWidth="1"/>
    <col min="13131" max="13131" width="2.140625" style="221" customWidth="1"/>
    <col min="13132" max="13132" width="0.5703125" style="221" customWidth="1"/>
    <col min="13133" max="13133" width="2.140625" style="221" customWidth="1"/>
    <col min="13134" max="13134" width="0.5703125" style="221" customWidth="1"/>
    <col min="13135" max="13135" width="2.140625" style="221" customWidth="1"/>
    <col min="13136" max="13136" width="0.5703125" style="221" customWidth="1"/>
    <col min="13137" max="13137" width="2.140625" style="221" customWidth="1"/>
    <col min="13138" max="13138" width="0.5703125" style="221" customWidth="1"/>
    <col min="13139" max="13139" width="2.140625" style="221" customWidth="1"/>
    <col min="13140" max="13140" width="0.5703125" style="221" customWidth="1"/>
    <col min="13141" max="13141" width="2.140625" style="221" customWidth="1"/>
    <col min="13142" max="13142" width="0.5703125" style="221" customWidth="1"/>
    <col min="13143" max="13144" width="2.5703125" style="221" customWidth="1"/>
    <col min="13145"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7109375" style="221" customWidth="1"/>
    <col min="13318" max="13318" width="1.140625" style="221" customWidth="1"/>
    <col min="13319" max="13323" width="0.7109375" style="221" customWidth="1"/>
    <col min="13324" max="13324" width="0.5703125" style="221" customWidth="1"/>
    <col min="13325" max="13337" width="0.7109375" style="221" customWidth="1"/>
    <col min="13338" max="13338" width="1.4257812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 style="221" customWidth="1"/>
    <col min="13375" max="13376" width="0.5703125" style="221" customWidth="1"/>
    <col min="13377" max="13377" width="2.140625" style="221" customWidth="1"/>
    <col min="13378" max="13378" width="0.5703125" style="221" customWidth="1"/>
    <col min="13379" max="13379" width="2.140625" style="221" customWidth="1"/>
    <col min="13380" max="13380" width="0.5703125" style="221" customWidth="1"/>
    <col min="13381" max="13381" width="2.140625" style="221" customWidth="1"/>
    <col min="13382" max="13382" width="0.5703125" style="221" customWidth="1"/>
    <col min="13383" max="13383" width="2.140625" style="221" customWidth="1"/>
    <col min="13384" max="13384" width="0.5703125" style="221" customWidth="1"/>
    <col min="13385" max="13385" width="2.140625" style="221" customWidth="1"/>
    <col min="13386" max="13386" width="0.5703125" style="221" customWidth="1"/>
    <col min="13387" max="13387" width="2.140625" style="221" customWidth="1"/>
    <col min="13388" max="13388" width="0.5703125" style="221" customWidth="1"/>
    <col min="13389" max="13389" width="2.140625" style="221" customWidth="1"/>
    <col min="13390" max="13390" width="0.5703125" style="221" customWidth="1"/>
    <col min="13391" max="13391" width="2.140625" style="221" customWidth="1"/>
    <col min="13392" max="13392" width="0.5703125" style="221" customWidth="1"/>
    <col min="13393" max="13393" width="2.140625" style="221" customWidth="1"/>
    <col min="13394" max="13394" width="0.5703125" style="221" customWidth="1"/>
    <col min="13395" max="13395" width="2.140625" style="221" customWidth="1"/>
    <col min="13396" max="13396" width="0.5703125" style="221" customWidth="1"/>
    <col min="13397" max="13397" width="2.140625" style="221" customWidth="1"/>
    <col min="13398" max="13398" width="0.5703125" style="221" customWidth="1"/>
    <col min="13399" max="13400" width="2.5703125" style="221" customWidth="1"/>
    <col min="13401"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7109375" style="221" customWidth="1"/>
    <col min="13574" max="13574" width="1.140625" style="221" customWidth="1"/>
    <col min="13575" max="13579" width="0.7109375" style="221" customWidth="1"/>
    <col min="13580" max="13580" width="0.5703125" style="221" customWidth="1"/>
    <col min="13581" max="13593" width="0.7109375" style="221" customWidth="1"/>
    <col min="13594" max="13594" width="1.4257812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 style="221" customWidth="1"/>
    <col min="13631" max="13632" width="0.5703125" style="221" customWidth="1"/>
    <col min="13633" max="13633" width="2.140625" style="221" customWidth="1"/>
    <col min="13634" max="13634" width="0.5703125" style="221" customWidth="1"/>
    <col min="13635" max="13635" width="2.140625" style="221" customWidth="1"/>
    <col min="13636" max="13636" width="0.5703125" style="221" customWidth="1"/>
    <col min="13637" max="13637" width="2.140625" style="221" customWidth="1"/>
    <col min="13638" max="13638" width="0.5703125" style="221" customWidth="1"/>
    <col min="13639" max="13639" width="2.140625" style="221" customWidth="1"/>
    <col min="13640" max="13640" width="0.5703125" style="221" customWidth="1"/>
    <col min="13641" max="13641" width="2.140625" style="221" customWidth="1"/>
    <col min="13642" max="13642" width="0.5703125" style="221" customWidth="1"/>
    <col min="13643" max="13643" width="2.140625" style="221" customWidth="1"/>
    <col min="13644" max="13644" width="0.5703125" style="221" customWidth="1"/>
    <col min="13645" max="13645" width="2.140625" style="221" customWidth="1"/>
    <col min="13646" max="13646" width="0.5703125" style="221" customWidth="1"/>
    <col min="13647" max="13647" width="2.140625" style="221" customWidth="1"/>
    <col min="13648" max="13648" width="0.5703125" style="221" customWidth="1"/>
    <col min="13649" max="13649" width="2.140625" style="221" customWidth="1"/>
    <col min="13650" max="13650" width="0.5703125" style="221" customWidth="1"/>
    <col min="13651" max="13651" width="2.140625" style="221" customWidth="1"/>
    <col min="13652" max="13652" width="0.5703125" style="221" customWidth="1"/>
    <col min="13653" max="13653" width="2.140625" style="221" customWidth="1"/>
    <col min="13654" max="13654" width="0.5703125" style="221" customWidth="1"/>
    <col min="13655" max="13656" width="2.5703125" style="221" customWidth="1"/>
    <col min="13657"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7109375" style="221" customWidth="1"/>
    <col min="13830" max="13830" width="1.140625" style="221" customWidth="1"/>
    <col min="13831" max="13835" width="0.7109375" style="221" customWidth="1"/>
    <col min="13836" max="13836" width="0.5703125" style="221" customWidth="1"/>
    <col min="13837" max="13849" width="0.7109375" style="221" customWidth="1"/>
    <col min="13850" max="13850" width="1.4257812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 style="221" customWidth="1"/>
    <col min="13887" max="13888" width="0.5703125" style="221" customWidth="1"/>
    <col min="13889" max="13889" width="2.140625" style="221" customWidth="1"/>
    <col min="13890" max="13890" width="0.5703125" style="221" customWidth="1"/>
    <col min="13891" max="13891" width="2.140625" style="221" customWidth="1"/>
    <col min="13892" max="13892" width="0.5703125" style="221" customWidth="1"/>
    <col min="13893" max="13893" width="2.140625" style="221" customWidth="1"/>
    <col min="13894" max="13894" width="0.5703125" style="221" customWidth="1"/>
    <col min="13895" max="13895" width="2.140625" style="221" customWidth="1"/>
    <col min="13896" max="13896" width="0.5703125" style="221" customWidth="1"/>
    <col min="13897" max="13897" width="2.140625" style="221" customWidth="1"/>
    <col min="13898" max="13898" width="0.5703125" style="221" customWidth="1"/>
    <col min="13899" max="13899" width="2.140625" style="221" customWidth="1"/>
    <col min="13900" max="13900" width="0.5703125" style="221" customWidth="1"/>
    <col min="13901" max="13901" width="2.140625" style="221" customWidth="1"/>
    <col min="13902" max="13902" width="0.5703125" style="221" customWidth="1"/>
    <col min="13903" max="13903" width="2.140625" style="221" customWidth="1"/>
    <col min="13904" max="13904" width="0.5703125" style="221" customWidth="1"/>
    <col min="13905" max="13905" width="2.140625" style="221" customWidth="1"/>
    <col min="13906" max="13906" width="0.5703125" style="221" customWidth="1"/>
    <col min="13907" max="13907" width="2.140625" style="221" customWidth="1"/>
    <col min="13908" max="13908" width="0.5703125" style="221" customWidth="1"/>
    <col min="13909" max="13909" width="2.140625" style="221" customWidth="1"/>
    <col min="13910" max="13910" width="0.5703125" style="221" customWidth="1"/>
    <col min="13911" max="13912" width="2.5703125" style="221" customWidth="1"/>
    <col min="13913"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7109375" style="221" customWidth="1"/>
    <col min="14086" max="14086" width="1.140625" style="221" customWidth="1"/>
    <col min="14087" max="14091" width="0.7109375" style="221" customWidth="1"/>
    <col min="14092" max="14092" width="0.5703125" style="221" customWidth="1"/>
    <col min="14093" max="14105" width="0.7109375" style="221" customWidth="1"/>
    <col min="14106" max="14106" width="1.4257812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 style="221" customWidth="1"/>
    <col min="14143" max="14144" width="0.5703125" style="221" customWidth="1"/>
    <col min="14145" max="14145" width="2.140625" style="221" customWidth="1"/>
    <col min="14146" max="14146" width="0.5703125" style="221" customWidth="1"/>
    <col min="14147" max="14147" width="2.140625" style="221" customWidth="1"/>
    <col min="14148" max="14148" width="0.5703125" style="221" customWidth="1"/>
    <col min="14149" max="14149" width="2.140625" style="221" customWidth="1"/>
    <col min="14150" max="14150" width="0.5703125" style="221" customWidth="1"/>
    <col min="14151" max="14151" width="2.140625" style="221" customWidth="1"/>
    <col min="14152" max="14152" width="0.5703125" style="221" customWidth="1"/>
    <col min="14153" max="14153" width="2.140625" style="221" customWidth="1"/>
    <col min="14154" max="14154" width="0.5703125" style="221" customWidth="1"/>
    <col min="14155" max="14155" width="2.140625" style="221" customWidth="1"/>
    <col min="14156" max="14156" width="0.5703125" style="221" customWidth="1"/>
    <col min="14157" max="14157" width="2.140625" style="221" customWidth="1"/>
    <col min="14158" max="14158" width="0.5703125" style="221" customWidth="1"/>
    <col min="14159" max="14159" width="2.140625" style="221" customWidth="1"/>
    <col min="14160" max="14160" width="0.5703125" style="221" customWidth="1"/>
    <col min="14161" max="14161" width="2.140625" style="221" customWidth="1"/>
    <col min="14162" max="14162" width="0.5703125" style="221" customWidth="1"/>
    <col min="14163" max="14163" width="2.140625" style="221" customWidth="1"/>
    <col min="14164" max="14164" width="0.5703125" style="221" customWidth="1"/>
    <col min="14165" max="14165" width="2.140625" style="221" customWidth="1"/>
    <col min="14166" max="14166" width="0.5703125" style="221" customWidth="1"/>
    <col min="14167" max="14168" width="2.5703125" style="221" customWidth="1"/>
    <col min="14169"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7109375" style="221" customWidth="1"/>
    <col min="14342" max="14342" width="1.140625" style="221" customWidth="1"/>
    <col min="14343" max="14347" width="0.7109375" style="221" customWidth="1"/>
    <col min="14348" max="14348" width="0.5703125" style="221" customWidth="1"/>
    <col min="14349" max="14361" width="0.7109375" style="221" customWidth="1"/>
    <col min="14362" max="14362" width="1.4257812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 style="221" customWidth="1"/>
    <col min="14399" max="14400" width="0.5703125" style="221" customWidth="1"/>
    <col min="14401" max="14401" width="2.140625" style="221" customWidth="1"/>
    <col min="14402" max="14402" width="0.5703125" style="221" customWidth="1"/>
    <col min="14403" max="14403" width="2.140625" style="221" customWidth="1"/>
    <col min="14404" max="14404" width="0.5703125" style="221" customWidth="1"/>
    <col min="14405" max="14405" width="2.140625" style="221" customWidth="1"/>
    <col min="14406" max="14406" width="0.5703125" style="221" customWidth="1"/>
    <col min="14407" max="14407" width="2.140625" style="221" customWidth="1"/>
    <col min="14408" max="14408" width="0.5703125" style="221" customWidth="1"/>
    <col min="14409" max="14409" width="2.140625" style="221" customWidth="1"/>
    <col min="14410" max="14410" width="0.5703125" style="221" customWidth="1"/>
    <col min="14411" max="14411" width="2.140625" style="221" customWidth="1"/>
    <col min="14412" max="14412" width="0.5703125" style="221" customWidth="1"/>
    <col min="14413" max="14413" width="2.140625" style="221" customWidth="1"/>
    <col min="14414" max="14414" width="0.5703125" style="221" customWidth="1"/>
    <col min="14415" max="14415" width="2.140625" style="221" customWidth="1"/>
    <col min="14416" max="14416" width="0.5703125" style="221" customWidth="1"/>
    <col min="14417" max="14417" width="2.140625" style="221" customWidth="1"/>
    <col min="14418" max="14418" width="0.5703125" style="221" customWidth="1"/>
    <col min="14419" max="14419" width="2.140625" style="221" customWidth="1"/>
    <col min="14420" max="14420" width="0.5703125" style="221" customWidth="1"/>
    <col min="14421" max="14421" width="2.140625" style="221" customWidth="1"/>
    <col min="14422" max="14422" width="0.5703125" style="221" customWidth="1"/>
    <col min="14423" max="14424" width="2.5703125" style="221" customWidth="1"/>
    <col min="14425"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7109375" style="221" customWidth="1"/>
    <col min="14598" max="14598" width="1.140625" style="221" customWidth="1"/>
    <col min="14599" max="14603" width="0.7109375" style="221" customWidth="1"/>
    <col min="14604" max="14604" width="0.5703125" style="221" customWidth="1"/>
    <col min="14605" max="14617" width="0.7109375" style="221" customWidth="1"/>
    <col min="14618" max="14618" width="1.4257812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 style="221" customWidth="1"/>
    <col min="14655" max="14656" width="0.5703125" style="221" customWidth="1"/>
    <col min="14657" max="14657" width="2.140625" style="221" customWidth="1"/>
    <col min="14658" max="14658" width="0.5703125" style="221" customWidth="1"/>
    <col min="14659" max="14659" width="2.140625" style="221" customWidth="1"/>
    <col min="14660" max="14660" width="0.5703125" style="221" customWidth="1"/>
    <col min="14661" max="14661" width="2.140625" style="221" customWidth="1"/>
    <col min="14662" max="14662" width="0.5703125" style="221" customWidth="1"/>
    <col min="14663" max="14663" width="2.140625" style="221" customWidth="1"/>
    <col min="14664" max="14664" width="0.5703125" style="221" customWidth="1"/>
    <col min="14665" max="14665" width="2.140625" style="221" customWidth="1"/>
    <col min="14666" max="14666" width="0.5703125" style="221" customWidth="1"/>
    <col min="14667" max="14667" width="2.140625" style="221" customWidth="1"/>
    <col min="14668" max="14668" width="0.5703125" style="221" customWidth="1"/>
    <col min="14669" max="14669" width="2.140625" style="221" customWidth="1"/>
    <col min="14670" max="14670" width="0.5703125" style="221" customWidth="1"/>
    <col min="14671" max="14671" width="2.140625" style="221" customWidth="1"/>
    <col min="14672" max="14672" width="0.5703125" style="221" customWidth="1"/>
    <col min="14673" max="14673" width="2.140625" style="221" customWidth="1"/>
    <col min="14674" max="14674" width="0.5703125" style="221" customWidth="1"/>
    <col min="14675" max="14675" width="2.140625" style="221" customWidth="1"/>
    <col min="14676" max="14676" width="0.5703125" style="221" customWidth="1"/>
    <col min="14677" max="14677" width="2.140625" style="221" customWidth="1"/>
    <col min="14678" max="14678" width="0.5703125" style="221" customWidth="1"/>
    <col min="14679" max="14680" width="2.5703125" style="221" customWidth="1"/>
    <col min="14681"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7109375" style="221" customWidth="1"/>
    <col min="14854" max="14854" width="1.140625" style="221" customWidth="1"/>
    <col min="14855" max="14859" width="0.7109375" style="221" customWidth="1"/>
    <col min="14860" max="14860" width="0.5703125" style="221" customWidth="1"/>
    <col min="14861" max="14873" width="0.7109375" style="221" customWidth="1"/>
    <col min="14874" max="14874" width="1.4257812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 style="221" customWidth="1"/>
    <col min="14911" max="14912" width="0.5703125" style="221" customWidth="1"/>
    <col min="14913" max="14913" width="2.140625" style="221" customWidth="1"/>
    <col min="14914" max="14914" width="0.5703125" style="221" customWidth="1"/>
    <col min="14915" max="14915" width="2.140625" style="221" customWidth="1"/>
    <col min="14916" max="14916" width="0.5703125" style="221" customWidth="1"/>
    <col min="14917" max="14917" width="2.140625" style="221" customWidth="1"/>
    <col min="14918" max="14918" width="0.5703125" style="221" customWidth="1"/>
    <col min="14919" max="14919" width="2.140625" style="221" customWidth="1"/>
    <col min="14920" max="14920" width="0.5703125" style="221" customWidth="1"/>
    <col min="14921" max="14921" width="2.140625" style="221" customWidth="1"/>
    <col min="14922" max="14922" width="0.5703125" style="221" customWidth="1"/>
    <col min="14923" max="14923" width="2.140625" style="221" customWidth="1"/>
    <col min="14924" max="14924" width="0.5703125" style="221" customWidth="1"/>
    <col min="14925" max="14925" width="2.140625" style="221" customWidth="1"/>
    <col min="14926" max="14926" width="0.5703125" style="221" customWidth="1"/>
    <col min="14927" max="14927" width="2.140625" style="221" customWidth="1"/>
    <col min="14928" max="14928" width="0.5703125" style="221" customWidth="1"/>
    <col min="14929" max="14929" width="2.140625" style="221" customWidth="1"/>
    <col min="14930" max="14930" width="0.5703125" style="221" customWidth="1"/>
    <col min="14931" max="14931" width="2.140625" style="221" customWidth="1"/>
    <col min="14932" max="14932" width="0.5703125" style="221" customWidth="1"/>
    <col min="14933" max="14933" width="2.140625" style="221" customWidth="1"/>
    <col min="14934" max="14934" width="0.5703125" style="221" customWidth="1"/>
    <col min="14935" max="14936" width="2.5703125" style="221" customWidth="1"/>
    <col min="14937"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7109375" style="221" customWidth="1"/>
    <col min="15110" max="15110" width="1.140625" style="221" customWidth="1"/>
    <col min="15111" max="15115" width="0.7109375" style="221" customWidth="1"/>
    <col min="15116" max="15116" width="0.5703125" style="221" customWidth="1"/>
    <col min="15117" max="15129" width="0.7109375" style="221" customWidth="1"/>
    <col min="15130" max="15130" width="1.4257812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 style="221" customWidth="1"/>
    <col min="15167" max="15168" width="0.5703125" style="221" customWidth="1"/>
    <col min="15169" max="15169" width="2.140625" style="221" customWidth="1"/>
    <col min="15170" max="15170" width="0.5703125" style="221" customWidth="1"/>
    <col min="15171" max="15171" width="2.140625" style="221" customWidth="1"/>
    <col min="15172" max="15172" width="0.5703125" style="221" customWidth="1"/>
    <col min="15173" max="15173" width="2.140625" style="221" customWidth="1"/>
    <col min="15174" max="15174" width="0.5703125" style="221" customWidth="1"/>
    <col min="15175" max="15175" width="2.140625" style="221" customWidth="1"/>
    <col min="15176" max="15176" width="0.5703125" style="221" customWidth="1"/>
    <col min="15177" max="15177" width="2.140625" style="221" customWidth="1"/>
    <col min="15178" max="15178" width="0.5703125" style="221" customWidth="1"/>
    <col min="15179" max="15179" width="2.140625" style="221" customWidth="1"/>
    <col min="15180" max="15180" width="0.5703125" style="221" customWidth="1"/>
    <col min="15181" max="15181" width="2.140625" style="221" customWidth="1"/>
    <col min="15182" max="15182" width="0.5703125" style="221" customWidth="1"/>
    <col min="15183" max="15183" width="2.140625" style="221" customWidth="1"/>
    <col min="15184" max="15184" width="0.5703125" style="221" customWidth="1"/>
    <col min="15185" max="15185" width="2.140625" style="221" customWidth="1"/>
    <col min="15186" max="15186" width="0.5703125" style="221" customWidth="1"/>
    <col min="15187" max="15187" width="2.140625" style="221" customWidth="1"/>
    <col min="15188" max="15188" width="0.5703125" style="221" customWidth="1"/>
    <col min="15189" max="15189" width="2.140625" style="221" customWidth="1"/>
    <col min="15190" max="15190" width="0.5703125" style="221" customWidth="1"/>
    <col min="15191" max="15192" width="2.5703125" style="221" customWidth="1"/>
    <col min="15193"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7109375" style="221" customWidth="1"/>
    <col min="15366" max="15366" width="1.140625" style="221" customWidth="1"/>
    <col min="15367" max="15371" width="0.7109375" style="221" customWidth="1"/>
    <col min="15372" max="15372" width="0.5703125" style="221" customWidth="1"/>
    <col min="15373" max="15385" width="0.7109375" style="221" customWidth="1"/>
    <col min="15386" max="15386" width="1.4257812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 style="221" customWidth="1"/>
    <col min="15423" max="15424" width="0.5703125" style="221" customWidth="1"/>
    <col min="15425" max="15425" width="2.140625" style="221" customWidth="1"/>
    <col min="15426" max="15426" width="0.5703125" style="221" customWidth="1"/>
    <col min="15427" max="15427" width="2.140625" style="221" customWidth="1"/>
    <col min="15428" max="15428" width="0.5703125" style="221" customWidth="1"/>
    <col min="15429" max="15429" width="2.140625" style="221" customWidth="1"/>
    <col min="15430" max="15430" width="0.5703125" style="221" customWidth="1"/>
    <col min="15431" max="15431" width="2.140625" style="221" customWidth="1"/>
    <col min="15432" max="15432" width="0.5703125" style="221" customWidth="1"/>
    <col min="15433" max="15433" width="2.140625" style="221" customWidth="1"/>
    <col min="15434" max="15434" width="0.5703125" style="221" customWidth="1"/>
    <col min="15435" max="15435" width="2.140625" style="221" customWidth="1"/>
    <col min="15436" max="15436" width="0.5703125" style="221" customWidth="1"/>
    <col min="15437" max="15437" width="2.140625" style="221" customWidth="1"/>
    <col min="15438" max="15438" width="0.5703125" style="221" customWidth="1"/>
    <col min="15439" max="15439" width="2.140625" style="221" customWidth="1"/>
    <col min="15440" max="15440" width="0.5703125" style="221" customWidth="1"/>
    <col min="15441" max="15441" width="2.140625" style="221" customWidth="1"/>
    <col min="15442" max="15442" width="0.5703125" style="221" customWidth="1"/>
    <col min="15443" max="15443" width="2.140625" style="221" customWidth="1"/>
    <col min="15444" max="15444" width="0.5703125" style="221" customWidth="1"/>
    <col min="15445" max="15445" width="2.140625" style="221" customWidth="1"/>
    <col min="15446" max="15446" width="0.5703125" style="221" customWidth="1"/>
    <col min="15447" max="15448" width="2.5703125" style="221" customWidth="1"/>
    <col min="15449"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7109375" style="221" customWidth="1"/>
    <col min="15622" max="15622" width="1.140625" style="221" customWidth="1"/>
    <col min="15623" max="15627" width="0.7109375" style="221" customWidth="1"/>
    <col min="15628" max="15628" width="0.5703125" style="221" customWidth="1"/>
    <col min="15629" max="15641" width="0.7109375" style="221" customWidth="1"/>
    <col min="15642" max="15642" width="1.4257812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 style="221" customWidth="1"/>
    <col min="15679" max="15680" width="0.5703125" style="221" customWidth="1"/>
    <col min="15681" max="15681" width="2.140625" style="221" customWidth="1"/>
    <col min="15682" max="15682" width="0.5703125" style="221" customWidth="1"/>
    <col min="15683" max="15683" width="2.140625" style="221" customWidth="1"/>
    <col min="15684" max="15684" width="0.5703125" style="221" customWidth="1"/>
    <col min="15685" max="15685" width="2.140625" style="221" customWidth="1"/>
    <col min="15686" max="15686" width="0.5703125" style="221" customWidth="1"/>
    <col min="15687" max="15687" width="2.140625" style="221" customWidth="1"/>
    <col min="15688" max="15688" width="0.5703125" style="221" customWidth="1"/>
    <col min="15689" max="15689" width="2.140625" style="221" customWidth="1"/>
    <col min="15690" max="15690" width="0.5703125" style="221" customWidth="1"/>
    <col min="15691" max="15691" width="2.140625" style="221" customWidth="1"/>
    <col min="15692" max="15692" width="0.5703125" style="221" customWidth="1"/>
    <col min="15693" max="15693" width="2.140625" style="221" customWidth="1"/>
    <col min="15694" max="15694" width="0.5703125" style="221" customWidth="1"/>
    <col min="15695" max="15695" width="2.140625" style="221" customWidth="1"/>
    <col min="15696" max="15696" width="0.5703125" style="221" customWidth="1"/>
    <col min="15697" max="15697" width="2.140625" style="221" customWidth="1"/>
    <col min="15698" max="15698" width="0.5703125" style="221" customWidth="1"/>
    <col min="15699" max="15699" width="2.140625" style="221" customWidth="1"/>
    <col min="15700" max="15700" width="0.5703125" style="221" customWidth="1"/>
    <col min="15701" max="15701" width="2.140625" style="221" customWidth="1"/>
    <col min="15702" max="15702" width="0.5703125" style="221" customWidth="1"/>
    <col min="15703" max="15704" width="2.5703125" style="221" customWidth="1"/>
    <col min="15705"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7109375" style="221" customWidth="1"/>
    <col min="15878" max="15878" width="1.140625" style="221" customWidth="1"/>
    <col min="15879" max="15883" width="0.7109375" style="221" customWidth="1"/>
    <col min="15884" max="15884" width="0.5703125" style="221" customWidth="1"/>
    <col min="15885" max="15897" width="0.7109375" style="221" customWidth="1"/>
    <col min="15898" max="15898" width="1.4257812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 style="221" customWidth="1"/>
    <col min="15935" max="15936" width="0.5703125" style="221" customWidth="1"/>
    <col min="15937" max="15937" width="2.140625" style="221" customWidth="1"/>
    <col min="15938" max="15938" width="0.5703125" style="221" customWidth="1"/>
    <col min="15939" max="15939" width="2.140625" style="221" customWidth="1"/>
    <col min="15940" max="15940" width="0.5703125" style="221" customWidth="1"/>
    <col min="15941" max="15941" width="2.140625" style="221" customWidth="1"/>
    <col min="15942" max="15942" width="0.5703125" style="221" customWidth="1"/>
    <col min="15943" max="15943" width="2.140625" style="221" customWidth="1"/>
    <col min="15944" max="15944" width="0.5703125" style="221" customWidth="1"/>
    <col min="15945" max="15945" width="2.140625" style="221" customWidth="1"/>
    <col min="15946" max="15946" width="0.5703125" style="221" customWidth="1"/>
    <col min="15947" max="15947" width="2.140625" style="221" customWidth="1"/>
    <col min="15948" max="15948" width="0.5703125" style="221" customWidth="1"/>
    <col min="15949" max="15949" width="2.140625" style="221" customWidth="1"/>
    <col min="15950" max="15950" width="0.5703125" style="221" customWidth="1"/>
    <col min="15951" max="15951" width="2.140625" style="221" customWidth="1"/>
    <col min="15952" max="15952" width="0.5703125" style="221" customWidth="1"/>
    <col min="15953" max="15953" width="2.140625" style="221" customWidth="1"/>
    <col min="15954" max="15954" width="0.5703125" style="221" customWidth="1"/>
    <col min="15955" max="15955" width="2.140625" style="221" customWidth="1"/>
    <col min="15956" max="15956" width="0.5703125" style="221" customWidth="1"/>
    <col min="15957" max="15957" width="2.140625" style="221" customWidth="1"/>
    <col min="15958" max="15958" width="0.5703125" style="221" customWidth="1"/>
    <col min="15959" max="15960" width="2.5703125" style="221" customWidth="1"/>
    <col min="15961"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7109375" style="221" customWidth="1"/>
    <col min="16134" max="16134" width="1.140625" style="221" customWidth="1"/>
    <col min="16135" max="16139" width="0.7109375" style="221" customWidth="1"/>
    <col min="16140" max="16140" width="0.5703125" style="221" customWidth="1"/>
    <col min="16141" max="16153" width="0.7109375" style="221" customWidth="1"/>
    <col min="16154" max="16154" width="1.4257812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 style="221" customWidth="1"/>
    <col min="16191" max="16192" width="0.5703125" style="221" customWidth="1"/>
    <col min="16193" max="16193" width="2.140625" style="221" customWidth="1"/>
    <col min="16194" max="16194" width="0.5703125" style="221" customWidth="1"/>
    <col min="16195" max="16195" width="2.140625" style="221" customWidth="1"/>
    <col min="16196" max="16196" width="0.5703125" style="221" customWidth="1"/>
    <col min="16197" max="16197" width="2.140625" style="221" customWidth="1"/>
    <col min="16198" max="16198" width="0.5703125" style="221" customWidth="1"/>
    <col min="16199" max="16199" width="2.140625" style="221" customWidth="1"/>
    <col min="16200" max="16200" width="0.5703125" style="221" customWidth="1"/>
    <col min="16201" max="16201" width="2.140625" style="221" customWidth="1"/>
    <col min="16202" max="16202" width="0.5703125" style="221" customWidth="1"/>
    <col min="16203" max="16203" width="2.140625" style="221" customWidth="1"/>
    <col min="16204" max="16204" width="0.5703125" style="221" customWidth="1"/>
    <col min="16205" max="16205" width="2.140625" style="221" customWidth="1"/>
    <col min="16206" max="16206" width="0.5703125" style="221" customWidth="1"/>
    <col min="16207" max="16207" width="2.140625" style="221" customWidth="1"/>
    <col min="16208" max="16208" width="0.5703125" style="221" customWidth="1"/>
    <col min="16209" max="16209" width="2.140625" style="221" customWidth="1"/>
    <col min="16210" max="16210" width="0.5703125" style="221" customWidth="1"/>
    <col min="16211" max="16211" width="2.140625" style="221" customWidth="1"/>
    <col min="16212" max="16212" width="0.5703125" style="221" customWidth="1"/>
    <col min="16213" max="16213" width="2.140625" style="221" customWidth="1"/>
    <col min="16214" max="16214" width="0.5703125" style="221" customWidth="1"/>
    <col min="16215" max="16216" width="2.5703125" style="221" customWidth="1"/>
    <col min="16217" max="16384" width="9.140625" style="221"/>
  </cols>
  <sheetData>
    <row r="1" spans="1:89" s="97" customFormat="1" ht="14.25" customHeight="1" thickBot="1">
      <c r="F1" s="98" t="s">
        <v>1687</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CK1" s="221"/>
    </row>
    <row r="2" spans="1:89" ht="7.5" customHeight="1" thickTop="1">
      <c r="C2" s="221"/>
      <c r="D2" s="220"/>
      <c r="E2" s="222"/>
      <c r="F2" s="220"/>
      <c r="G2" s="223"/>
      <c r="H2" s="912" t="str">
        <f>Index!C386</f>
        <v>Súvaha (Úč POD 1-01)</v>
      </c>
      <c r="I2" s="913"/>
      <c r="J2" s="913"/>
      <c r="K2" s="913"/>
      <c r="L2" s="913"/>
      <c r="M2" s="913"/>
      <c r="N2" s="913"/>
      <c r="O2" s="913"/>
      <c r="P2" s="913"/>
      <c r="Q2" s="913"/>
      <c r="R2" s="913"/>
      <c r="S2" s="913"/>
      <c r="T2" s="913"/>
      <c r="U2" s="913"/>
      <c r="V2" s="913"/>
      <c r="W2" s="913"/>
      <c r="X2" s="914"/>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6"/>
      <c r="BT2" s="927"/>
      <c r="BU2" s="928"/>
      <c r="BV2" s="928"/>
      <c r="BW2" s="928"/>
      <c r="BX2" s="928"/>
      <c r="BY2" s="928"/>
      <c r="BZ2" s="928"/>
      <c r="CA2" s="928"/>
      <c r="CB2" s="928"/>
      <c r="CC2" s="928"/>
      <c r="CD2" s="928"/>
      <c r="CE2" s="928"/>
      <c r="CF2" s="220"/>
      <c r="CG2" s="220"/>
      <c r="CH2" s="220"/>
      <c r="CI2" s="220"/>
      <c r="CJ2" s="220"/>
    </row>
    <row r="3" spans="1:89" ht="3.75" customHeight="1" thickBot="1">
      <c r="C3" s="224"/>
      <c r="D3" s="224"/>
      <c r="E3" s="225"/>
      <c r="F3" s="220"/>
      <c r="G3" s="223"/>
      <c r="H3" s="915"/>
      <c r="I3" s="916"/>
      <c r="J3" s="916"/>
      <c r="K3" s="916"/>
      <c r="L3" s="916"/>
      <c r="M3" s="916"/>
      <c r="N3" s="916"/>
      <c r="O3" s="916"/>
      <c r="P3" s="916"/>
      <c r="Q3" s="916"/>
      <c r="R3" s="916"/>
      <c r="S3" s="916"/>
      <c r="T3" s="916"/>
      <c r="U3" s="916"/>
      <c r="V3" s="916"/>
      <c r="W3" s="916"/>
      <c r="X3" s="917"/>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928"/>
      <c r="BT3" s="227"/>
      <c r="BU3" s="928"/>
      <c r="BV3" s="928"/>
      <c r="BW3" s="928"/>
      <c r="BX3" s="928"/>
      <c r="BY3" s="928"/>
      <c r="BZ3" s="928"/>
      <c r="CA3" s="928"/>
      <c r="CB3" s="928"/>
      <c r="CC3" s="928"/>
      <c r="CD3" s="928"/>
      <c r="CE3" s="928"/>
      <c r="CF3" s="220"/>
      <c r="CG3" s="220"/>
      <c r="CH3" s="220"/>
      <c r="CI3" s="220"/>
      <c r="CJ3" s="220"/>
    </row>
    <row r="4" spans="1:89" ht="16.5" customHeight="1" thickTop="1">
      <c r="C4" s="224"/>
      <c r="D4" s="224"/>
      <c r="E4" s="228"/>
      <c r="F4" s="220"/>
      <c r="G4" s="223"/>
      <c r="H4" s="918"/>
      <c r="I4" s="919"/>
      <c r="J4" s="919"/>
      <c r="K4" s="919"/>
      <c r="L4" s="919"/>
      <c r="M4" s="919"/>
      <c r="N4" s="919"/>
      <c r="O4" s="919"/>
      <c r="P4" s="919"/>
      <c r="Q4" s="919"/>
      <c r="R4" s="919"/>
      <c r="S4" s="919"/>
      <c r="T4" s="919"/>
      <c r="U4" s="919"/>
      <c r="V4" s="919"/>
      <c r="W4" s="919"/>
      <c r="X4" s="920"/>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231"/>
      <c r="BM4" s="139" t="str">
        <f>'Závierka titulka'!K27</f>
        <v>2</v>
      </c>
      <c r="BN4" s="231"/>
      <c r="BO4" s="139" t="str">
        <f>'Závierka titulka'!M27</f>
        <v>9</v>
      </c>
      <c r="BP4" s="136"/>
      <c r="BQ4" s="139" t="str">
        <f>'Závierka titulka'!O27</f>
        <v>9</v>
      </c>
      <c r="BR4" s="136"/>
      <c r="BS4" s="139" t="str">
        <f>'Závierka titulka'!Q27</f>
        <v>1</v>
      </c>
      <c r="BT4" s="230"/>
      <c r="BU4" s="928"/>
      <c r="BV4" s="928"/>
      <c r="BW4" s="928"/>
      <c r="BX4" s="928"/>
      <c r="BY4" s="928"/>
      <c r="BZ4" s="928"/>
      <c r="CA4" s="928"/>
      <c r="CB4" s="928"/>
      <c r="CC4" s="928"/>
      <c r="CD4" s="928"/>
      <c r="CE4" s="928"/>
      <c r="CF4" s="220"/>
      <c r="CG4" s="232"/>
      <c r="CH4" s="233"/>
      <c r="CI4" s="220"/>
      <c r="CJ4" s="220"/>
    </row>
    <row r="5" spans="1:89" ht="3" customHeight="1">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7"/>
      <c r="BM5" s="234"/>
      <c r="BN5" s="237"/>
      <c r="BO5" s="234"/>
      <c r="BP5" s="234"/>
      <c r="BQ5" s="234"/>
      <c r="BR5" s="234"/>
      <c r="BS5" s="234"/>
      <c r="BT5" s="235"/>
      <c r="BU5" s="928"/>
      <c r="BV5" s="928"/>
      <c r="BW5" s="928"/>
      <c r="BX5" s="928"/>
      <c r="BY5" s="928"/>
      <c r="BZ5" s="928"/>
      <c r="CA5" s="928"/>
      <c r="CB5" s="928"/>
      <c r="CC5" s="928"/>
      <c r="CD5" s="928"/>
      <c r="CE5" s="928"/>
      <c r="CF5" s="220"/>
      <c r="CG5" s="220"/>
      <c r="CH5" s="238"/>
      <c r="CI5" s="220"/>
      <c r="CJ5" s="220"/>
    </row>
    <row r="6" spans="1:89" ht="4.5" customHeight="1" thickBot="1">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2"/>
      <c r="BY6" s="242"/>
      <c r="BZ6" s="242"/>
      <c r="CA6" s="242"/>
      <c r="CB6" s="242"/>
      <c r="CC6" s="242"/>
      <c r="CD6" s="242"/>
      <c r="CE6" s="242"/>
      <c r="CF6" s="242"/>
      <c r="CG6" s="242"/>
      <c r="CH6" s="242"/>
      <c r="CI6" s="220"/>
      <c r="CJ6" s="220"/>
    </row>
    <row r="7" spans="1:89" ht="12.75" customHeight="1" thickBot="1">
      <c r="C7" s="224"/>
      <c r="D7" s="224"/>
      <c r="E7" s="1000" t="str">
        <f>Index!C410</f>
        <v>Ozna-čenie</v>
      </c>
      <c r="F7" s="1000"/>
      <c r="G7" s="1001" t="str">
        <f>Index!C432</f>
        <v>STRANA PASÍV</v>
      </c>
      <c r="H7" s="1001"/>
      <c r="I7" s="1001"/>
      <c r="J7" s="1001"/>
      <c r="K7" s="1001"/>
      <c r="L7" s="1001"/>
      <c r="M7" s="1001"/>
      <c r="N7" s="1001"/>
      <c r="O7" s="1001"/>
      <c r="P7" s="1001"/>
      <c r="Q7" s="1001"/>
      <c r="R7" s="1001"/>
      <c r="S7" s="1001"/>
      <c r="T7" s="1001"/>
      <c r="U7" s="1001"/>
      <c r="V7" s="1001"/>
      <c r="W7" s="1001"/>
      <c r="X7" s="1001"/>
      <c r="Y7" s="1001"/>
      <c r="Z7" s="1001"/>
      <c r="AA7" s="1001"/>
      <c r="AB7" s="1001"/>
      <c r="AC7" s="1001"/>
      <c r="AD7" s="1001"/>
      <c r="AE7" s="1001"/>
      <c r="AF7" s="1001"/>
      <c r="AG7" s="1001"/>
      <c r="AH7" s="1001"/>
      <c r="AI7" s="1001"/>
      <c r="AJ7" s="1001"/>
      <c r="AK7" s="1002" t="str">
        <f>Index!C433</f>
        <v>Číslo riadku</v>
      </c>
      <c r="AL7" s="1002"/>
      <c r="AM7" s="1002"/>
      <c r="AN7" s="1001" t="str">
        <f>Index!C414</f>
        <v>Bežné účtovné obdobie</v>
      </c>
      <c r="AO7" s="1001"/>
      <c r="AP7" s="1001"/>
      <c r="AQ7" s="1001"/>
      <c r="AR7" s="1001"/>
      <c r="AS7" s="1001"/>
      <c r="AT7" s="1001"/>
      <c r="AU7" s="1001"/>
      <c r="AV7" s="1001"/>
      <c r="AW7" s="1001"/>
      <c r="AX7" s="1001"/>
      <c r="AY7" s="1001"/>
      <c r="AZ7" s="1001"/>
      <c r="BA7" s="1001"/>
      <c r="BB7" s="1001"/>
      <c r="BC7" s="1001"/>
      <c r="BD7" s="1001"/>
      <c r="BE7" s="1001"/>
      <c r="BF7" s="1001"/>
      <c r="BG7" s="1001"/>
      <c r="BH7" s="1001"/>
      <c r="BI7" s="1001"/>
      <c r="BJ7" s="1003"/>
      <c r="BK7" s="368"/>
      <c r="BL7" s="1004" t="str">
        <f>Index!C415</f>
        <v>Bezprostredne predchádzajúce účtovné obdobie</v>
      </c>
      <c r="BM7" s="1004"/>
      <c r="BN7" s="1004"/>
      <c r="BO7" s="1004"/>
      <c r="BP7" s="1004"/>
      <c r="BQ7" s="1004"/>
      <c r="BR7" s="1004"/>
      <c r="BS7" s="1004"/>
      <c r="BT7" s="1004"/>
      <c r="BU7" s="1004"/>
      <c r="BV7" s="1004"/>
      <c r="BW7" s="1004"/>
      <c r="BX7" s="1004"/>
      <c r="BY7" s="1004"/>
      <c r="BZ7" s="1004"/>
      <c r="CA7" s="1004"/>
      <c r="CB7" s="1004"/>
      <c r="CC7" s="1004"/>
      <c r="CD7" s="1004"/>
      <c r="CE7" s="1004"/>
      <c r="CF7" s="1004"/>
      <c r="CG7" s="1004"/>
      <c r="CH7" s="1004"/>
      <c r="CI7" s="220"/>
      <c r="CJ7" s="220"/>
    </row>
    <row r="8" spans="1:89" ht="11.25" customHeight="1">
      <c r="B8" s="878"/>
      <c r="C8" s="878"/>
      <c r="D8" s="878"/>
      <c r="E8" s="1000"/>
      <c r="F8" s="1000"/>
      <c r="G8" s="1001"/>
      <c r="H8" s="1001"/>
      <c r="I8" s="1001"/>
      <c r="J8" s="1001"/>
      <c r="K8" s="1001"/>
      <c r="L8" s="1001"/>
      <c r="M8" s="1001"/>
      <c r="N8" s="1001"/>
      <c r="O8" s="1001"/>
      <c r="P8" s="1001"/>
      <c r="Q8" s="1001"/>
      <c r="R8" s="1001"/>
      <c r="S8" s="1001"/>
      <c r="T8" s="1001"/>
      <c r="U8" s="1001"/>
      <c r="V8" s="1001"/>
      <c r="W8" s="1001"/>
      <c r="X8" s="1001"/>
      <c r="Y8" s="1001"/>
      <c r="Z8" s="1001"/>
      <c r="AA8" s="1001"/>
      <c r="AB8" s="1001"/>
      <c r="AC8" s="1001"/>
      <c r="AD8" s="1001"/>
      <c r="AE8" s="1001"/>
      <c r="AF8" s="1001"/>
      <c r="AG8" s="1001"/>
      <c r="AH8" s="1001"/>
      <c r="AI8" s="1001"/>
      <c r="AJ8" s="1001"/>
      <c r="AK8" s="1002"/>
      <c r="AL8" s="1002"/>
      <c r="AM8" s="1002"/>
      <c r="AN8" s="1001"/>
      <c r="AO8" s="1001"/>
      <c r="AP8" s="1001"/>
      <c r="AQ8" s="1001"/>
      <c r="AR8" s="1001"/>
      <c r="AS8" s="1001"/>
      <c r="AT8" s="1001"/>
      <c r="AU8" s="1001"/>
      <c r="AV8" s="1001"/>
      <c r="AW8" s="1001"/>
      <c r="AX8" s="1001"/>
      <c r="AY8" s="1001"/>
      <c r="AZ8" s="1001"/>
      <c r="BA8" s="1001"/>
      <c r="BB8" s="1001"/>
      <c r="BC8" s="1001"/>
      <c r="BD8" s="1001"/>
      <c r="BE8" s="1001"/>
      <c r="BF8" s="1001"/>
      <c r="BG8" s="1001"/>
      <c r="BH8" s="1001"/>
      <c r="BI8" s="1001"/>
      <c r="BJ8" s="1003"/>
      <c r="BK8" s="297"/>
      <c r="BL8" s="1004"/>
      <c r="BM8" s="1004"/>
      <c r="BN8" s="1004"/>
      <c r="BO8" s="1004"/>
      <c r="BP8" s="1004"/>
      <c r="BQ8" s="1004"/>
      <c r="BR8" s="1004"/>
      <c r="BS8" s="1004"/>
      <c r="BT8" s="1004"/>
      <c r="BU8" s="1004"/>
      <c r="BV8" s="1004"/>
      <c r="BW8" s="1004"/>
      <c r="BX8" s="1004"/>
      <c r="BY8" s="1004"/>
      <c r="BZ8" s="1004"/>
      <c r="CA8" s="1004"/>
      <c r="CB8" s="1004"/>
      <c r="CC8" s="1004"/>
      <c r="CD8" s="1004"/>
      <c r="CE8" s="1004"/>
      <c r="CF8" s="1004"/>
      <c r="CG8" s="1004"/>
      <c r="CH8" s="1004"/>
      <c r="CI8" s="220"/>
      <c r="CJ8" s="220"/>
    </row>
    <row r="9" spans="1:89" s="301" customFormat="1" ht="9" customHeight="1">
      <c r="A9" s="298"/>
      <c r="B9" s="996"/>
      <c r="C9" s="996"/>
      <c r="D9" s="298"/>
      <c r="E9" s="997" t="s">
        <v>491</v>
      </c>
      <c r="F9" s="997"/>
      <c r="G9" s="998" t="s">
        <v>492</v>
      </c>
      <c r="H9" s="998"/>
      <c r="I9" s="998"/>
      <c r="J9" s="998"/>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t="s">
        <v>493</v>
      </c>
      <c r="AL9" s="998"/>
      <c r="AM9" s="998"/>
      <c r="AN9" s="998">
        <v>4</v>
      </c>
      <c r="AO9" s="998"/>
      <c r="AP9" s="998"/>
      <c r="AQ9" s="998"/>
      <c r="AR9" s="998"/>
      <c r="AS9" s="998"/>
      <c r="AT9" s="998"/>
      <c r="AU9" s="998"/>
      <c r="AV9" s="998"/>
      <c r="AW9" s="998"/>
      <c r="AX9" s="998"/>
      <c r="AY9" s="998"/>
      <c r="AZ9" s="998"/>
      <c r="BA9" s="998"/>
      <c r="BB9" s="998"/>
      <c r="BC9" s="998"/>
      <c r="BD9" s="998"/>
      <c r="BE9" s="998"/>
      <c r="BF9" s="998"/>
      <c r="BG9" s="998"/>
      <c r="BH9" s="998"/>
      <c r="BI9" s="998"/>
      <c r="BJ9" s="999"/>
      <c r="BK9" s="299"/>
      <c r="BL9" s="994">
        <v>5</v>
      </c>
      <c r="BM9" s="994"/>
      <c r="BN9" s="994"/>
      <c r="BO9" s="994"/>
      <c r="BP9" s="994"/>
      <c r="BQ9" s="994"/>
      <c r="BR9" s="994"/>
      <c r="BS9" s="994"/>
      <c r="BT9" s="994"/>
      <c r="BU9" s="994"/>
      <c r="BV9" s="994"/>
      <c r="BW9" s="994"/>
      <c r="BX9" s="994"/>
      <c r="BY9" s="994"/>
      <c r="BZ9" s="994"/>
      <c r="CA9" s="994"/>
      <c r="CB9" s="994"/>
      <c r="CC9" s="994"/>
      <c r="CD9" s="994"/>
      <c r="CE9" s="994"/>
      <c r="CF9" s="994"/>
      <c r="CG9" s="994"/>
      <c r="CH9" s="994"/>
      <c r="CI9" s="300"/>
      <c r="CJ9" s="300"/>
    </row>
    <row r="10" spans="1:89" s="307" customFormat="1" ht="3" customHeight="1">
      <c r="A10" s="302"/>
      <c r="B10" s="302"/>
      <c r="C10" s="303"/>
      <c r="D10" s="303"/>
      <c r="E10" s="1039" t="s">
        <v>549</v>
      </c>
      <c r="F10" s="1039"/>
      <c r="G10" s="992" t="str">
        <f>Index!C169</f>
        <v>Dlhodobé rezervy r. 119 + r. 120</v>
      </c>
      <c r="H10" s="992"/>
      <c r="I10" s="992"/>
      <c r="J10" s="992"/>
      <c r="K10" s="992"/>
      <c r="L10" s="992"/>
      <c r="M10" s="992"/>
      <c r="N10" s="992"/>
      <c r="O10" s="992"/>
      <c r="P10" s="992"/>
      <c r="Q10" s="992"/>
      <c r="R10" s="992"/>
      <c r="S10" s="992"/>
      <c r="T10" s="992"/>
      <c r="U10" s="992"/>
      <c r="V10" s="992"/>
      <c r="W10" s="992"/>
      <c r="X10" s="992"/>
      <c r="Y10" s="992"/>
      <c r="Z10" s="992"/>
      <c r="AA10" s="992"/>
      <c r="AB10" s="992"/>
      <c r="AC10" s="992"/>
      <c r="AD10" s="992"/>
      <c r="AE10" s="992"/>
      <c r="AF10" s="992"/>
      <c r="AG10" s="992"/>
      <c r="AH10" s="992"/>
      <c r="AI10" s="992"/>
      <c r="AJ10" s="992"/>
      <c r="AK10" s="993" t="s">
        <v>632</v>
      </c>
      <c r="AL10" s="993"/>
      <c r="AM10" s="993"/>
      <c r="AN10" s="364"/>
      <c r="AO10" s="366"/>
      <c r="AP10" s="366"/>
      <c r="AQ10" s="366"/>
      <c r="AR10" s="366"/>
      <c r="AS10" s="366"/>
      <c r="AT10" s="366"/>
      <c r="AU10" s="366"/>
      <c r="AV10" s="366"/>
      <c r="AW10" s="366"/>
      <c r="AX10" s="366"/>
      <c r="AY10" s="366"/>
      <c r="AZ10" s="366"/>
      <c r="BA10" s="366"/>
      <c r="BB10" s="366"/>
      <c r="BC10" s="366"/>
      <c r="BD10" s="366"/>
      <c r="BE10" s="304"/>
      <c r="BF10" s="304"/>
      <c r="BG10" s="304"/>
      <c r="BH10" s="304"/>
      <c r="BI10" s="304"/>
      <c r="BJ10" s="304"/>
      <c r="BK10" s="304"/>
      <c r="BL10" s="867"/>
      <c r="BM10" s="867"/>
      <c r="BN10" s="867"/>
      <c r="BO10" s="867"/>
      <c r="BP10" s="867"/>
      <c r="BQ10" s="867"/>
      <c r="BR10" s="867"/>
      <c r="BS10" s="867"/>
      <c r="BT10" s="867"/>
      <c r="BU10" s="867"/>
      <c r="BV10" s="867"/>
      <c r="BW10" s="867"/>
      <c r="BX10" s="867"/>
      <c r="BY10" s="867"/>
      <c r="BZ10" s="867"/>
      <c r="CA10" s="867"/>
      <c r="CB10" s="867"/>
      <c r="CC10" s="304"/>
      <c r="CD10" s="304"/>
      <c r="CE10" s="304"/>
      <c r="CF10" s="304"/>
      <c r="CG10" s="304"/>
      <c r="CH10" s="305"/>
      <c r="CI10" s="306"/>
      <c r="CJ10" s="306"/>
    </row>
    <row r="11" spans="1:89" s="307" customFormat="1" ht="3" customHeight="1">
      <c r="A11" s="302"/>
      <c r="B11" s="302"/>
      <c r="C11" s="302"/>
      <c r="D11" s="302"/>
      <c r="E11" s="1039"/>
      <c r="F11" s="1039"/>
      <c r="G11" s="992"/>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993"/>
      <c r="AL11" s="993"/>
      <c r="AM11" s="993"/>
      <c r="AN11" s="367"/>
      <c r="AO11" s="436"/>
      <c r="AP11" s="436"/>
      <c r="AQ11" s="436"/>
      <c r="AR11" s="435"/>
      <c r="AS11" s="433"/>
      <c r="AT11" s="433"/>
      <c r="AU11" s="433"/>
      <c r="AV11" s="433"/>
      <c r="AW11" s="433"/>
      <c r="AX11" s="434"/>
      <c r="AY11" s="1007"/>
      <c r="AZ11" s="1007"/>
      <c r="BA11" s="1007"/>
      <c r="BB11" s="1007"/>
      <c r="BC11" s="1007"/>
      <c r="BD11" s="1007"/>
      <c r="BE11" s="434"/>
      <c r="BF11" s="968"/>
      <c r="BG11" s="968"/>
      <c r="BH11" s="968"/>
      <c r="BI11" s="968"/>
      <c r="BJ11" s="968"/>
      <c r="BK11" s="851"/>
      <c r="BL11" s="826"/>
      <c r="BM11" s="820"/>
      <c r="BN11" s="820"/>
      <c r="BO11" s="820"/>
      <c r="BP11" s="435"/>
      <c r="BQ11" s="1007"/>
      <c r="BR11" s="1007"/>
      <c r="BS11" s="1007"/>
      <c r="BT11" s="1007"/>
      <c r="BU11" s="1007"/>
      <c r="BV11" s="1008"/>
      <c r="BW11" s="968"/>
      <c r="BX11" s="968"/>
      <c r="BY11" s="968"/>
      <c r="BZ11" s="968"/>
      <c r="CA11" s="968"/>
      <c r="CB11" s="1009"/>
      <c r="CC11" s="968"/>
      <c r="CD11" s="968"/>
      <c r="CE11" s="968"/>
      <c r="CF11" s="968"/>
      <c r="CG11" s="968"/>
      <c r="CH11" s="308"/>
      <c r="CI11" s="306"/>
      <c r="CJ11" s="306"/>
    </row>
    <row r="12" spans="1:89" s="309" customFormat="1" ht="15" customHeight="1">
      <c r="A12" s="302"/>
      <c r="B12" s="302"/>
      <c r="C12" s="302"/>
      <c r="E12" s="1039"/>
      <c r="F12" s="1039"/>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3"/>
      <c r="AL12" s="993"/>
      <c r="AM12" s="993"/>
      <c r="AN12" s="367"/>
      <c r="AO12" s="432" t="str">
        <f>IF(LEN(VLOOKUP(AK10,suvaha!$D$92:$H$158,2,FALSE))&lt;11,"",LEFT(RIGHT(VLOOKUP(AK10,suvaha!$D$92:$H$158,2,FALSE),11),1))</f>
        <v/>
      </c>
      <c r="AP12" s="255"/>
      <c r="AQ12" s="432" t="str">
        <f>IF(LEN(VLOOKUP(AK10,suvaha!$D$92:$H$158,2,FALSE))&lt;10,"",LEFT(RIGHT(VLOOKUP(AK10,suvaha!$D$92:$H$158,2,FALSE),10),1))</f>
        <v/>
      </c>
      <c r="AR12" s="434"/>
      <c r="AS12" s="432" t="str">
        <f>IF(LEN(VLOOKUP(AK10,suvaha!$D$92:$H$158,2,FALSE))&lt;9,"",LEFT(RIGHT(VLOOKUP(AK10,suvaha!$D$92:$H$158,2,FALSE),9),1))</f>
        <v/>
      </c>
      <c r="AT12" s="255"/>
      <c r="AU12" s="432" t="str">
        <f>IF(LEN(VLOOKUP(AK10,suvaha!$D$92:$H$158,2,FALSE))&lt;8,"",LEFT(RIGHT(VLOOKUP(AK10,suvaha!$D$92:$H$158,2,FALSE),8),1))</f>
        <v/>
      </c>
      <c r="AV12" s="434"/>
      <c r="AW12" s="432" t="str">
        <f>IF(LEN(VLOOKUP(AK10,suvaha!$D$92:$H$158,2,FALSE))&lt;7,"",LEFT(RIGHT(VLOOKUP(AK10,suvaha!$D$92:$H$158,2,FALSE),7),1))</f>
        <v/>
      </c>
      <c r="AX12" s="434"/>
      <c r="AY12" s="432" t="str">
        <f>IF(LEN(VLOOKUP(AK10,suvaha!$D$92:$H$158,2,FALSE))&lt;6,"",LEFT(RIGHT(VLOOKUP(AK10,suvaha!$D$92:$H$158,2,FALSE),6),1))</f>
        <v/>
      </c>
      <c r="AZ12" s="255"/>
      <c r="BA12" s="961" t="str">
        <f>IF(LEN(VLOOKUP(AK10,suvaha!$D$92:$H$158,2,FALSE))&lt;5,"",LEFT(RIGHT(VLOOKUP(AK10,suvaha!$D$92:$H$158,2,FALSE),5),1))</f>
        <v/>
      </c>
      <c r="BB12" s="961" t="e">
        <f>IF(LEN(#REF!)&lt;5,"",LEFT(RIGHT(#REF!,5),1))</f>
        <v>#REF!</v>
      </c>
      <c r="BC12" s="434"/>
      <c r="BD12" s="432" t="str">
        <f>IF(LEN(VLOOKUP(AK10,suvaha!$D$92:$H$158,2,FALSE))&lt;4,"",LEFT(RIGHT(VLOOKUP(AK10,suvaha!$D$92:$H$158,2,FALSE),4),1))</f>
        <v/>
      </c>
      <c r="BE12" s="434"/>
      <c r="BF12" s="432" t="str">
        <f>IF(LEN(VLOOKUP(AK10,suvaha!$D$92:$H$158,2,FALSE))&lt;3,"",LEFT(RIGHT(VLOOKUP(AK10,suvaha!$D$92:$H$158,2,FALSE),3),1))</f>
        <v/>
      </c>
      <c r="BG12" s="434"/>
      <c r="BH12" s="432" t="str">
        <f>IF(LEN(VLOOKUP(AK10,suvaha!$D$92:$H$158,2,FALSE))&lt;2,"",LEFT(RIGHT(VLOOKUP(AK10,suvaha!$D$92:$H$158,2,FALSE),2),1))</f>
        <v/>
      </c>
      <c r="BI12" s="434"/>
      <c r="BJ12" s="432" t="str">
        <f>IF(VLOOKUP(AK10,suvaha!$D$92:$H$158,2,FALSE)=0,"",IF(LEN(VLOOKUP(AK10,suvaha!$D$92:$H$158,2,FALSE))&lt;1,"",LEFT(RIGHT(VLOOKUP(AK10,suvaha!$D$92:$H$158,2,FALSE),1),1)))</f>
        <v/>
      </c>
      <c r="BK12" s="851"/>
      <c r="BL12" s="826"/>
      <c r="BM12" s="432" t="str">
        <f>IF(LEN(VLOOKUP(AK10,suvaha!$D$92:$H$158,4,FALSE))&lt;11,"",LEFT(RIGHT(VLOOKUP(AK10,suvaha!$D$92:$H$158,4,FALSE),11),1))</f>
        <v/>
      </c>
      <c r="BN12" s="255"/>
      <c r="BO12" s="432" t="str">
        <f>IF(LEN(VLOOKUP(AK10,suvaha!$D$92:$H$158,4,FALSE))&lt;10,"",LEFT(RIGHT(VLOOKUP(AK10,suvaha!$D$92:$H$158,4,FALSE),10),1))</f>
        <v/>
      </c>
      <c r="BP12" s="434"/>
      <c r="BQ12" s="432" t="str">
        <f>IF(LEN(VLOOKUP(AK10,suvaha!$D$92:$H$158,4,FALSE))&lt;9,"",LEFT(RIGHT(VLOOKUP(AK10,suvaha!$D$92:$H$158,4,FALSE),9),1))</f>
        <v/>
      </c>
      <c r="BR12" s="255"/>
      <c r="BS12" s="432" t="str">
        <f>IF(LEN(VLOOKUP(AK10,suvaha!$D$92:$H$158,4,FALSE))&lt;8,"",LEFT(RIGHT(VLOOKUP(AK10,suvaha!$D$92:$H$158,4,FALSE),8),1))</f>
        <v/>
      </c>
      <c r="BT12" s="434"/>
      <c r="BU12" s="432" t="str">
        <f>IF(LEN(VLOOKUP(AK10,suvaha!$D$92:$H$158,4,FALSE))&lt;7,"",LEFT(RIGHT(VLOOKUP(AK10,suvaha!$D$92:$H$158,4,FALSE),7),1))</f>
        <v/>
      </c>
      <c r="BV12" s="1008"/>
      <c r="BW12" s="432" t="str">
        <f>IF(LEN(VLOOKUP(AK10,suvaha!$D$92:$H$158,4,FALSE))&lt;6,"",LEFT(RIGHT(VLOOKUP(AK10,suvaha!$D$92:$H$158,4,FALSE),6),1))</f>
        <v/>
      </c>
      <c r="BX12" s="434"/>
      <c r="BY12" s="432" t="str">
        <f>IF(LEN(VLOOKUP(AK10,suvaha!$D$92:$H$158,4,FALSE))&lt;5,"",LEFT(RIGHT(VLOOKUP(AK10,suvaha!$D$92:$H$158,4,FALSE),5),1))</f>
        <v/>
      </c>
      <c r="BZ12" s="434"/>
      <c r="CA12" s="432" t="str">
        <f>IF(LEN(VLOOKUP(AK10,suvaha!$D$92:$H$158,4,FALSE))&lt;4,"",LEFT(RIGHT(VLOOKUP(AK10,suvaha!$D$92:$H$158,4,FALSE),4),1))</f>
        <v/>
      </c>
      <c r="CB12" s="1009"/>
      <c r="CC12" s="432" t="str">
        <f>IF(LEN(VLOOKUP(AK10,suvaha!$D$92:$H$158,4,FALSE))&lt;3,"",LEFT(RIGHT(VLOOKUP(AK10,suvaha!$D$92:$H$158,4,FALSE),3),1))</f>
        <v/>
      </c>
      <c r="CD12" s="434"/>
      <c r="CE12" s="432" t="str">
        <f>IF(LEN(VLOOKUP(AK10,suvaha!$D$92:$H$158,4,FALSE))&lt;2,"",LEFT(RIGHT(VLOOKUP(AK10,suvaha!$D$92:$H$158,4,FALSE),2),1))</f>
        <v/>
      </c>
      <c r="CF12" s="434"/>
      <c r="CG12" s="432" t="str">
        <f>IF(VLOOKUP(AK10,suvaha!$D$92:$H$158,4,FALSE)=0,"",IF(LEN(VLOOKUP(AK10,suvaha!$D$92:$H$158,4,FALSE))&lt;1,"",LEFT(RIGHT(VLOOKUP(AK10,suvaha!$D$92:$H$158,4,FALSE),1),1)))</f>
        <v/>
      </c>
      <c r="CH12" s="308"/>
      <c r="CI12" s="302"/>
      <c r="CJ12" s="302"/>
    </row>
    <row r="13" spans="1:89" s="309" customFormat="1" ht="3" customHeight="1">
      <c r="A13" s="302"/>
      <c r="B13" s="302"/>
      <c r="C13" s="302"/>
      <c r="E13" s="1039"/>
      <c r="F13" s="1039"/>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3"/>
      <c r="AL13" s="993"/>
      <c r="AM13" s="993"/>
      <c r="AN13" s="363"/>
      <c r="AO13" s="365"/>
      <c r="AP13" s="365"/>
      <c r="AQ13" s="365"/>
      <c r="AR13" s="365"/>
      <c r="AS13" s="365"/>
      <c r="AT13" s="365"/>
      <c r="AU13" s="365"/>
      <c r="AV13" s="365"/>
      <c r="AW13" s="365"/>
      <c r="AX13" s="365"/>
      <c r="AY13" s="365"/>
      <c r="AZ13" s="365"/>
      <c r="BA13" s="365"/>
      <c r="BB13" s="365"/>
      <c r="BC13" s="365"/>
      <c r="BD13" s="365"/>
      <c r="BE13" s="310"/>
      <c r="BF13" s="310"/>
      <c r="BG13" s="310"/>
      <c r="BH13" s="310"/>
      <c r="BI13" s="310"/>
      <c r="BJ13" s="310"/>
      <c r="BK13" s="310"/>
      <c r="BL13" s="846"/>
      <c r="BM13" s="846"/>
      <c r="BN13" s="846"/>
      <c r="BO13" s="846"/>
      <c r="BP13" s="846"/>
      <c r="BQ13" s="846"/>
      <c r="BR13" s="846"/>
      <c r="BS13" s="846"/>
      <c r="BT13" s="846"/>
      <c r="BU13" s="846"/>
      <c r="BV13" s="846"/>
      <c r="BW13" s="846"/>
      <c r="BX13" s="846"/>
      <c r="BY13" s="846"/>
      <c r="BZ13" s="846"/>
      <c r="CA13" s="846"/>
      <c r="CB13" s="846"/>
      <c r="CC13" s="310"/>
      <c r="CD13" s="310"/>
      <c r="CE13" s="310"/>
      <c r="CF13" s="310"/>
      <c r="CG13" s="310"/>
      <c r="CH13" s="311"/>
      <c r="CI13" s="302"/>
      <c r="CJ13" s="302"/>
    </row>
    <row r="14" spans="1:89" s="250" customFormat="1" ht="3" customHeight="1">
      <c r="A14" s="312"/>
      <c r="B14" s="312"/>
      <c r="C14" s="224"/>
      <c r="D14" s="224"/>
      <c r="E14" s="1017" t="s">
        <v>550</v>
      </c>
      <c r="F14" s="1017"/>
      <c r="G14" s="972" t="str">
        <f>Index!C170</f>
        <v>Zákonné rezervy (451A)</v>
      </c>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3" t="s">
        <v>634</v>
      </c>
      <c r="AL14" s="973"/>
      <c r="AM14" s="973"/>
      <c r="AN14" s="357"/>
      <c r="AO14" s="366"/>
      <c r="AP14" s="366"/>
      <c r="AQ14" s="366"/>
      <c r="AR14" s="366"/>
      <c r="AS14" s="366"/>
      <c r="AT14" s="366"/>
      <c r="AU14" s="366"/>
      <c r="AV14" s="366"/>
      <c r="AW14" s="366"/>
      <c r="AX14" s="366"/>
      <c r="AY14" s="366"/>
      <c r="AZ14" s="366"/>
      <c r="BA14" s="366"/>
      <c r="BB14" s="366"/>
      <c r="BC14" s="366"/>
      <c r="BD14" s="366"/>
      <c r="BE14" s="304"/>
      <c r="BF14" s="304"/>
      <c r="BG14" s="304"/>
      <c r="BH14" s="304"/>
      <c r="BI14" s="304"/>
      <c r="BJ14" s="304"/>
      <c r="BK14" s="304"/>
      <c r="BL14" s="867"/>
      <c r="BM14" s="867"/>
      <c r="BN14" s="867"/>
      <c r="BO14" s="867"/>
      <c r="BP14" s="867"/>
      <c r="BQ14" s="867"/>
      <c r="BR14" s="867"/>
      <c r="BS14" s="867"/>
      <c r="BT14" s="867"/>
      <c r="BU14" s="867"/>
      <c r="BV14" s="867"/>
      <c r="BW14" s="867"/>
      <c r="BX14" s="867"/>
      <c r="BY14" s="867"/>
      <c r="BZ14" s="867"/>
      <c r="CA14" s="867"/>
      <c r="CB14" s="867"/>
      <c r="CC14" s="304"/>
      <c r="CD14" s="304"/>
      <c r="CE14" s="304"/>
      <c r="CF14" s="304"/>
      <c r="CG14" s="304"/>
      <c r="CH14" s="284"/>
      <c r="CI14" s="288"/>
      <c r="CJ14" s="288"/>
    </row>
    <row r="15" spans="1:89" s="250" customFormat="1" ht="3" customHeight="1">
      <c r="A15" s="312"/>
      <c r="B15" s="312"/>
      <c r="C15" s="312"/>
      <c r="D15" s="312"/>
      <c r="E15" s="1017"/>
      <c r="F15" s="1017"/>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3"/>
      <c r="AL15" s="973"/>
      <c r="AM15" s="973"/>
      <c r="AN15" s="355"/>
      <c r="AO15" s="436"/>
      <c r="AP15" s="436"/>
      <c r="AQ15" s="436"/>
      <c r="AR15" s="435"/>
      <c r="AS15" s="433"/>
      <c r="AT15" s="433"/>
      <c r="AU15" s="433"/>
      <c r="AV15" s="433"/>
      <c r="AW15" s="433"/>
      <c r="AX15" s="434"/>
      <c r="AY15" s="1007"/>
      <c r="AZ15" s="1007"/>
      <c r="BA15" s="1007"/>
      <c r="BB15" s="1007"/>
      <c r="BC15" s="1007"/>
      <c r="BD15" s="1007"/>
      <c r="BE15" s="434"/>
      <c r="BF15" s="968"/>
      <c r="BG15" s="968"/>
      <c r="BH15" s="968"/>
      <c r="BI15" s="968"/>
      <c r="BJ15" s="968"/>
      <c r="BK15" s="851"/>
      <c r="BL15" s="826"/>
      <c r="BM15" s="820"/>
      <c r="BN15" s="820"/>
      <c r="BO15" s="820"/>
      <c r="BP15" s="435"/>
      <c r="BQ15" s="1007"/>
      <c r="BR15" s="1007"/>
      <c r="BS15" s="1007"/>
      <c r="BT15" s="1007"/>
      <c r="BU15" s="1007"/>
      <c r="BV15" s="1008"/>
      <c r="BW15" s="968"/>
      <c r="BX15" s="968"/>
      <c r="BY15" s="968"/>
      <c r="BZ15" s="968"/>
      <c r="CA15" s="968"/>
      <c r="CB15" s="1009"/>
      <c r="CC15" s="968"/>
      <c r="CD15" s="968"/>
      <c r="CE15" s="968"/>
      <c r="CF15" s="968"/>
      <c r="CG15" s="968"/>
      <c r="CH15" s="285"/>
      <c r="CI15" s="288"/>
      <c r="CJ15" s="288"/>
    </row>
    <row r="16" spans="1:89" s="313" customFormat="1" ht="15" customHeight="1">
      <c r="A16" s="312"/>
      <c r="B16" s="312"/>
      <c r="C16" s="312"/>
      <c r="E16" s="1017"/>
      <c r="F16" s="1017"/>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3"/>
      <c r="AL16" s="973"/>
      <c r="AM16" s="973"/>
      <c r="AN16" s="355"/>
      <c r="AO16" s="432" t="str">
        <f>IF(LEN(VLOOKUP(AK14,suvaha!$D$92:$H$158,2,FALSE))&lt;11,"",LEFT(RIGHT(VLOOKUP(AK14,suvaha!$D$92:$H$158,2,FALSE),11),1))</f>
        <v/>
      </c>
      <c r="AP16" s="255"/>
      <c r="AQ16" s="432" t="str">
        <f>IF(LEN(VLOOKUP(AK14,suvaha!$D$92:$H$158,2,FALSE))&lt;10,"",LEFT(RIGHT(VLOOKUP(AK14,suvaha!$D$92:$H$158,2,FALSE),10),1))</f>
        <v/>
      </c>
      <c r="AR16" s="434"/>
      <c r="AS16" s="432" t="str">
        <f>IF(LEN(VLOOKUP(AK14,suvaha!$D$92:$H$158,2,FALSE))&lt;9,"",LEFT(RIGHT(VLOOKUP(AK14,suvaha!$D$92:$H$158,2,FALSE),9),1))</f>
        <v/>
      </c>
      <c r="AT16" s="255"/>
      <c r="AU16" s="432" t="str">
        <f>IF(LEN(VLOOKUP(AK14,suvaha!$D$92:$H$158,2,FALSE))&lt;8,"",LEFT(RIGHT(VLOOKUP(AK14,suvaha!$D$92:$H$158,2,FALSE),8),1))</f>
        <v/>
      </c>
      <c r="AV16" s="434"/>
      <c r="AW16" s="432" t="str">
        <f>IF(LEN(VLOOKUP(AK14,suvaha!$D$92:$H$158,2,FALSE))&lt;7,"",LEFT(RIGHT(VLOOKUP(AK14,suvaha!$D$92:$H$158,2,FALSE),7),1))</f>
        <v/>
      </c>
      <c r="AX16" s="434"/>
      <c r="AY16" s="432" t="str">
        <f>IF(LEN(VLOOKUP(AK14,suvaha!$D$92:$H$158,2,FALSE))&lt;6,"",LEFT(RIGHT(VLOOKUP(AK14,suvaha!$D$92:$H$158,2,FALSE),6),1))</f>
        <v/>
      </c>
      <c r="AZ16" s="255"/>
      <c r="BA16" s="961" t="str">
        <f>IF(LEN(VLOOKUP(AK14,suvaha!$D$92:$H$158,2,FALSE))&lt;5,"",LEFT(RIGHT(VLOOKUP(AK14,suvaha!$D$92:$H$158,2,FALSE),5),1))</f>
        <v/>
      </c>
      <c r="BB16" s="961" t="e">
        <f>IF(LEN(#REF!)&lt;5,"",LEFT(RIGHT(#REF!,5),1))</f>
        <v>#REF!</v>
      </c>
      <c r="BC16" s="434"/>
      <c r="BD16" s="432" t="str">
        <f>IF(LEN(VLOOKUP(AK14,suvaha!$D$92:$H$158,2,FALSE))&lt;4,"",LEFT(RIGHT(VLOOKUP(AK14,suvaha!$D$92:$H$158,2,FALSE),4),1))</f>
        <v/>
      </c>
      <c r="BE16" s="434"/>
      <c r="BF16" s="432" t="str">
        <f>IF(LEN(VLOOKUP(AK14,suvaha!$D$92:$H$158,2,FALSE))&lt;3,"",LEFT(RIGHT(VLOOKUP(AK14,suvaha!$D$92:$H$158,2,FALSE),3),1))</f>
        <v/>
      </c>
      <c r="BG16" s="434"/>
      <c r="BH16" s="432" t="str">
        <f>IF(LEN(VLOOKUP(AK14,suvaha!$D$92:$H$158,2,FALSE))&lt;2,"",LEFT(RIGHT(VLOOKUP(AK14,suvaha!$D$92:$H$158,2,FALSE),2),1))</f>
        <v/>
      </c>
      <c r="BI16" s="434"/>
      <c r="BJ16" s="432" t="str">
        <f>IF(VLOOKUP(AK14,suvaha!$D$92:$H$158,2,FALSE)=0,"",IF(LEN(VLOOKUP(AK14,suvaha!$D$92:$H$158,2,FALSE))&lt;1,"",LEFT(RIGHT(VLOOKUP(AK14,suvaha!$D$92:$H$158,2,FALSE),1),1)))</f>
        <v/>
      </c>
      <c r="BK16" s="851"/>
      <c r="BL16" s="826"/>
      <c r="BM16" s="432" t="str">
        <f>IF(LEN(VLOOKUP(AK14,suvaha!$D$92:$H$158,4,FALSE))&lt;11,"",LEFT(RIGHT(VLOOKUP(AK14,suvaha!$D$92:$H$158,4,FALSE),11),1))</f>
        <v/>
      </c>
      <c r="BN16" s="255"/>
      <c r="BO16" s="432" t="str">
        <f>IF(LEN(VLOOKUP(AK14,suvaha!$D$92:$H$158,4,FALSE))&lt;10,"",LEFT(RIGHT(VLOOKUP(AK14,suvaha!$D$92:$H$158,4,FALSE),10),1))</f>
        <v/>
      </c>
      <c r="BP16" s="434"/>
      <c r="BQ16" s="432" t="str">
        <f>IF(LEN(VLOOKUP(AK14,suvaha!$D$92:$H$158,4,FALSE))&lt;9,"",LEFT(RIGHT(VLOOKUP(AK14,suvaha!$D$92:$H$158,4,FALSE),9),1))</f>
        <v/>
      </c>
      <c r="BR16" s="255"/>
      <c r="BS16" s="432" t="str">
        <f>IF(LEN(VLOOKUP(AK14,suvaha!$D$92:$H$158,4,FALSE))&lt;8,"",LEFT(RIGHT(VLOOKUP(AK14,suvaha!$D$92:$H$158,4,FALSE),8),1))</f>
        <v/>
      </c>
      <c r="BT16" s="434"/>
      <c r="BU16" s="432" t="str">
        <f>IF(LEN(VLOOKUP(AK14,suvaha!$D$92:$H$158,4,FALSE))&lt;7,"",LEFT(RIGHT(VLOOKUP(AK14,suvaha!$D$92:$H$158,4,FALSE),7),1))</f>
        <v/>
      </c>
      <c r="BV16" s="1008"/>
      <c r="BW16" s="432" t="str">
        <f>IF(LEN(VLOOKUP(AK14,suvaha!$D$92:$H$158,4,FALSE))&lt;6,"",LEFT(RIGHT(VLOOKUP(AK14,suvaha!$D$92:$H$158,4,FALSE),6),1))</f>
        <v/>
      </c>
      <c r="BX16" s="434"/>
      <c r="BY16" s="432" t="str">
        <f>IF(LEN(VLOOKUP(AK14,suvaha!$D$92:$H$158,4,FALSE))&lt;5,"",LEFT(RIGHT(VLOOKUP(AK14,suvaha!$D$92:$H$158,4,FALSE),5),1))</f>
        <v/>
      </c>
      <c r="BZ16" s="434"/>
      <c r="CA16" s="432" t="str">
        <f>IF(LEN(VLOOKUP(AK14,suvaha!$D$92:$H$158,4,FALSE))&lt;4,"",LEFT(RIGHT(VLOOKUP(AK14,suvaha!$D$92:$H$158,4,FALSE),4),1))</f>
        <v/>
      </c>
      <c r="CB16" s="1009"/>
      <c r="CC16" s="432" t="str">
        <f>IF(LEN(VLOOKUP(AK14,suvaha!$D$92:$H$158,4,FALSE))&lt;3,"",LEFT(RIGHT(VLOOKUP(AK14,suvaha!$D$92:$H$158,4,FALSE),3),1))</f>
        <v/>
      </c>
      <c r="CD16" s="434"/>
      <c r="CE16" s="432" t="str">
        <f>IF(LEN(VLOOKUP(AK14,suvaha!$D$92:$H$158,4,FALSE))&lt;2,"",LEFT(RIGHT(VLOOKUP(AK14,suvaha!$D$92:$H$158,4,FALSE),2),1))</f>
        <v/>
      </c>
      <c r="CF16" s="434"/>
      <c r="CG16" s="432" t="str">
        <f>IF(VLOOKUP(AK14,suvaha!$D$92:$H$158,4,FALSE)=0,"",IF(LEN(VLOOKUP(AK14,suvaha!$D$92:$H$158,4,FALSE))&lt;1,"",LEFT(RIGHT(VLOOKUP(AK14,suvaha!$D$92:$H$158,4,FALSE),1),1)))</f>
        <v/>
      </c>
      <c r="CH16" s="285"/>
      <c r="CI16" s="312"/>
      <c r="CJ16" s="312"/>
    </row>
    <row r="17" spans="1:88" s="313" customFormat="1" ht="3" customHeight="1">
      <c r="A17" s="312"/>
      <c r="B17" s="312"/>
      <c r="C17" s="312"/>
      <c r="E17" s="1017"/>
      <c r="F17" s="1017"/>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3"/>
      <c r="AL17" s="973"/>
      <c r="AM17" s="973"/>
      <c r="AN17" s="358"/>
      <c r="AO17" s="365"/>
      <c r="AP17" s="365"/>
      <c r="AQ17" s="365"/>
      <c r="AR17" s="365"/>
      <c r="AS17" s="365"/>
      <c r="AT17" s="365"/>
      <c r="AU17" s="365"/>
      <c r="AV17" s="365"/>
      <c r="AW17" s="365"/>
      <c r="AX17" s="365"/>
      <c r="AY17" s="365"/>
      <c r="AZ17" s="365"/>
      <c r="BA17" s="365"/>
      <c r="BB17" s="365"/>
      <c r="BC17" s="365"/>
      <c r="BD17" s="365"/>
      <c r="BE17" s="310"/>
      <c r="BF17" s="310"/>
      <c r="BG17" s="310"/>
      <c r="BH17" s="310"/>
      <c r="BI17" s="310"/>
      <c r="BJ17" s="310"/>
      <c r="BK17" s="310"/>
      <c r="BL17" s="846"/>
      <c r="BM17" s="846"/>
      <c r="BN17" s="846"/>
      <c r="BO17" s="846"/>
      <c r="BP17" s="846"/>
      <c r="BQ17" s="846"/>
      <c r="BR17" s="846"/>
      <c r="BS17" s="846"/>
      <c r="BT17" s="846"/>
      <c r="BU17" s="846"/>
      <c r="BV17" s="846"/>
      <c r="BW17" s="846"/>
      <c r="BX17" s="846"/>
      <c r="BY17" s="846"/>
      <c r="BZ17" s="846"/>
      <c r="CA17" s="846"/>
      <c r="CB17" s="846"/>
      <c r="CC17" s="310"/>
      <c r="CD17" s="310"/>
      <c r="CE17" s="310"/>
      <c r="CF17" s="310"/>
      <c r="CG17" s="310"/>
      <c r="CH17" s="286"/>
      <c r="CI17" s="312"/>
      <c r="CJ17" s="312"/>
    </row>
    <row r="18" spans="1:88" s="250" customFormat="1" ht="3" customHeight="1">
      <c r="A18" s="312"/>
      <c r="B18" s="312"/>
      <c r="C18" s="224"/>
      <c r="D18" s="224"/>
      <c r="E18" s="1033" t="s">
        <v>1542</v>
      </c>
      <c r="F18" s="1034"/>
      <c r="G18" s="972" t="str">
        <f>Index!C171</f>
        <v>Ostatné rezervy (459A, 45XA)</v>
      </c>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3" t="s">
        <v>637</v>
      </c>
      <c r="AL18" s="973"/>
      <c r="AM18" s="973"/>
      <c r="AN18" s="357"/>
      <c r="AO18" s="366"/>
      <c r="AP18" s="366"/>
      <c r="AQ18" s="366"/>
      <c r="AR18" s="366"/>
      <c r="AS18" s="366"/>
      <c r="AT18" s="366"/>
      <c r="AU18" s="366"/>
      <c r="AV18" s="366"/>
      <c r="AW18" s="366"/>
      <c r="AX18" s="366"/>
      <c r="AY18" s="366"/>
      <c r="AZ18" s="366"/>
      <c r="BA18" s="366"/>
      <c r="BB18" s="366"/>
      <c r="BC18" s="366"/>
      <c r="BD18" s="366"/>
      <c r="BE18" s="304"/>
      <c r="BF18" s="304"/>
      <c r="BG18" s="304"/>
      <c r="BH18" s="304"/>
      <c r="BI18" s="304"/>
      <c r="BJ18" s="304"/>
      <c r="BK18" s="304"/>
      <c r="BL18" s="867"/>
      <c r="BM18" s="867"/>
      <c r="BN18" s="867"/>
      <c r="BO18" s="867"/>
      <c r="BP18" s="867"/>
      <c r="BQ18" s="867"/>
      <c r="BR18" s="867"/>
      <c r="BS18" s="867"/>
      <c r="BT18" s="867"/>
      <c r="BU18" s="867"/>
      <c r="BV18" s="867"/>
      <c r="BW18" s="867"/>
      <c r="BX18" s="867"/>
      <c r="BY18" s="867"/>
      <c r="BZ18" s="867"/>
      <c r="CA18" s="867"/>
      <c r="CB18" s="867"/>
      <c r="CC18" s="304"/>
      <c r="CD18" s="304"/>
      <c r="CE18" s="304"/>
      <c r="CF18" s="304"/>
      <c r="CG18" s="304"/>
      <c r="CH18" s="284"/>
      <c r="CI18" s="288"/>
      <c r="CJ18" s="288"/>
    </row>
    <row r="19" spans="1:88" s="250" customFormat="1" ht="3" customHeight="1">
      <c r="A19" s="312"/>
      <c r="B19" s="312"/>
      <c r="C19" s="312"/>
      <c r="D19" s="312"/>
      <c r="E19" s="1035"/>
      <c r="F19" s="1036"/>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3"/>
      <c r="AL19" s="973"/>
      <c r="AM19" s="973"/>
      <c r="AN19" s="355"/>
      <c r="AO19" s="436"/>
      <c r="AP19" s="436"/>
      <c r="AQ19" s="436"/>
      <c r="AR19" s="435"/>
      <c r="AS19" s="433"/>
      <c r="AT19" s="433"/>
      <c r="AU19" s="433"/>
      <c r="AV19" s="433"/>
      <c r="AW19" s="433"/>
      <c r="AX19" s="434"/>
      <c r="AY19" s="1007"/>
      <c r="AZ19" s="1007"/>
      <c r="BA19" s="1007"/>
      <c r="BB19" s="1007"/>
      <c r="BC19" s="1007"/>
      <c r="BD19" s="1007"/>
      <c r="BE19" s="434"/>
      <c r="BF19" s="968"/>
      <c r="BG19" s="968"/>
      <c r="BH19" s="968"/>
      <c r="BI19" s="968"/>
      <c r="BJ19" s="968"/>
      <c r="BK19" s="851"/>
      <c r="BL19" s="826"/>
      <c r="BM19" s="820"/>
      <c r="BN19" s="820"/>
      <c r="BO19" s="820"/>
      <c r="BP19" s="435"/>
      <c r="BQ19" s="1007"/>
      <c r="BR19" s="1007"/>
      <c r="BS19" s="1007"/>
      <c r="BT19" s="1007"/>
      <c r="BU19" s="1007"/>
      <c r="BV19" s="1008"/>
      <c r="BW19" s="968"/>
      <c r="BX19" s="968"/>
      <c r="BY19" s="968"/>
      <c r="BZ19" s="968"/>
      <c r="CA19" s="968"/>
      <c r="CB19" s="1009"/>
      <c r="CC19" s="968"/>
      <c r="CD19" s="968"/>
      <c r="CE19" s="968"/>
      <c r="CF19" s="968"/>
      <c r="CG19" s="968"/>
      <c r="CH19" s="285"/>
      <c r="CI19" s="288"/>
      <c r="CJ19" s="288"/>
    </row>
    <row r="20" spans="1:88" s="313" customFormat="1" ht="15" customHeight="1">
      <c r="A20" s="312"/>
      <c r="B20" s="312"/>
      <c r="C20" s="312"/>
      <c r="E20" s="1035"/>
      <c r="F20" s="1036"/>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3"/>
      <c r="AL20" s="973"/>
      <c r="AM20" s="973"/>
      <c r="AN20" s="355"/>
      <c r="AO20" s="432" t="str">
        <f>IF(LEN(VLOOKUP(AK18,suvaha!$D$92:$H$158,2,FALSE))&lt;11,"",LEFT(RIGHT(VLOOKUP(AK18,suvaha!$D$92:$H$158,2,FALSE),11),1))</f>
        <v/>
      </c>
      <c r="AP20" s="255"/>
      <c r="AQ20" s="432" t="str">
        <f>IF(LEN(VLOOKUP(AK18,suvaha!$D$92:$H$158,2,FALSE))&lt;10,"",LEFT(RIGHT(VLOOKUP(AK18,suvaha!$D$92:$H$158,2,FALSE),10),1))</f>
        <v/>
      </c>
      <c r="AR20" s="434"/>
      <c r="AS20" s="432" t="str">
        <f>IF(LEN(VLOOKUP(AK18,suvaha!$D$92:$H$158,2,FALSE))&lt;9,"",LEFT(RIGHT(VLOOKUP(AK18,suvaha!$D$92:$H$158,2,FALSE),9),1))</f>
        <v/>
      </c>
      <c r="AT20" s="255"/>
      <c r="AU20" s="432" t="str">
        <f>IF(LEN(VLOOKUP(AK18,suvaha!$D$92:$H$158,2,FALSE))&lt;8,"",LEFT(RIGHT(VLOOKUP(AK18,suvaha!$D$92:$H$158,2,FALSE),8),1))</f>
        <v/>
      </c>
      <c r="AV20" s="434"/>
      <c r="AW20" s="432" t="str">
        <f>IF(LEN(VLOOKUP(AK18,suvaha!$D$92:$H$158,2,FALSE))&lt;7,"",LEFT(RIGHT(VLOOKUP(AK18,suvaha!$D$92:$H$158,2,FALSE),7),1))</f>
        <v/>
      </c>
      <c r="AX20" s="434"/>
      <c r="AY20" s="432" t="str">
        <f>IF(LEN(VLOOKUP(AK18,suvaha!$D$92:$H$158,2,FALSE))&lt;6,"",LEFT(RIGHT(VLOOKUP(AK18,suvaha!$D$92:$H$158,2,FALSE),6),1))</f>
        <v/>
      </c>
      <c r="AZ20" s="255"/>
      <c r="BA20" s="961" t="str">
        <f>IF(LEN(VLOOKUP(AK18,suvaha!$D$92:$H$158,2,FALSE))&lt;5,"",LEFT(RIGHT(VLOOKUP(AK18,suvaha!$D$92:$H$158,2,FALSE),5),1))</f>
        <v/>
      </c>
      <c r="BB20" s="961" t="e">
        <f>IF(LEN(#REF!)&lt;5,"",LEFT(RIGHT(#REF!,5),1))</f>
        <v>#REF!</v>
      </c>
      <c r="BC20" s="434"/>
      <c r="BD20" s="432" t="str">
        <f>IF(LEN(VLOOKUP(AK18,suvaha!$D$92:$H$158,2,FALSE))&lt;4,"",LEFT(RIGHT(VLOOKUP(AK18,suvaha!$D$92:$H$158,2,FALSE),4),1))</f>
        <v/>
      </c>
      <c r="BE20" s="434"/>
      <c r="BF20" s="432" t="str">
        <f>IF(LEN(VLOOKUP(AK18,suvaha!$D$92:$H$158,2,FALSE))&lt;3,"",LEFT(RIGHT(VLOOKUP(AK18,suvaha!$D$92:$H$158,2,FALSE),3),1))</f>
        <v/>
      </c>
      <c r="BG20" s="434"/>
      <c r="BH20" s="432" t="str">
        <f>IF(LEN(VLOOKUP(AK18,suvaha!$D$92:$H$158,2,FALSE))&lt;2,"",LEFT(RIGHT(VLOOKUP(AK18,suvaha!$D$92:$H$158,2,FALSE),2),1))</f>
        <v/>
      </c>
      <c r="BI20" s="434"/>
      <c r="BJ20" s="432" t="str">
        <f>IF(VLOOKUP(AK18,suvaha!$D$92:$H$158,2,FALSE)=0,"",IF(LEN(VLOOKUP(AK18,suvaha!$D$92:$H$158,2,FALSE))&lt;1,"",LEFT(RIGHT(VLOOKUP(AK18,suvaha!$D$92:$H$158,2,FALSE),1),1)))</f>
        <v/>
      </c>
      <c r="BK20" s="851"/>
      <c r="BL20" s="826"/>
      <c r="BM20" s="432" t="str">
        <f>IF(LEN(VLOOKUP(AK18,suvaha!$D$92:$H$158,4,FALSE))&lt;11,"",LEFT(RIGHT(VLOOKUP(AK18,suvaha!$D$92:$H$158,4,FALSE),11),1))</f>
        <v/>
      </c>
      <c r="BN20" s="255"/>
      <c r="BO20" s="432" t="str">
        <f>IF(LEN(VLOOKUP(AK18,suvaha!$D$92:$H$158,4,FALSE))&lt;10,"",LEFT(RIGHT(VLOOKUP(AK18,suvaha!$D$92:$H$158,4,FALSE),10),1))</f>
        <v/>
      </c>
      <c r="BP20" s="434"/>
      <c r="BQ20" s="432" t="str">
        <f>IF(LEN(VLOOKUP(AK18,suvaha!$D$92:$H$158,4,FALSE))&lt;9,"",LEFT(RIGHT(VLOOKUP(AK18,suvaha!$D$92:$H$158,4,FALSE),9),1))</f>
        <v/>
      </c>
      <c r="BR20" s="255"/>
      <c r="BS20" s="432" t="str">
        <f>IF(LEN(VLOOKUP(AK18,suvaha!$D$92:$H$158,4,FALSE))&lt;8,"",LEFT(RIGHT(VLOOKUP(AK18,suvaha!$D$92:$H$158,4,FALSE),8),1))</f>
        <v/>
      </c>
      <c r="BT20" s="434"/>
      <c r="BU20" s="432" t="str">
        <f>IF(LEN(VLOOKUP(AK18,suvaha!$D$92:$H$158,4,FALSE))&lt;7,"",LEFT(RIGHT(VLOOKUP(AK18,suvaha!$D$92:$H$158,4,FALSE),7),1))</f>
        <v/>
      </c>
      <c r="BV20" s="1008"/>
      <c r="BW20" s="432" t="str">
        <f>IF(LEN(VLOOKUP(AK18,suvaha!$D$92:$H$158,4,FALSE))&lt;6,"",LEFT(RIGHT(VLOOKUP(AK18,suvaha!$D$92:$H$158,4,FALSE),6),1))</f>
        <v/>
      </c>
      <c r="BX20" s="434"/>
      <c r="BY20" s="432" t="str">
        <f>IF(LEN(VLOOKUP(AK18,suvaha!$D$92:$H$158,4,FALSE))&lt;5,"",LEFT(RIGHT(VLOOKUP(AK18,suvaha!$D$92:$H$158,4,FALSE),5),1))</f>
        <v/>
      </c>
      <c r="BZ20" s="434"/>
      <c r="CA20" s="432" t="str">
        <f>IF(LEN(VLOOKUP(AK18,suvaha!$D$92:$H$158,4,FALSE))&lt;4,"",LEFT(RIGHT(VLOOKUP(AK18,suvaha!$D$92:$H$158,4,FALSE),4),1))</f>
        <v/>
      </c>
      <c r="CB20" s="1009"/>
      <c r="CC20" s="432" t="str">
        <f>IF(LEN(VLOOKUP(AK18,suvaha!$D$92:$H$158,4,FALSE))&lt;3,"",LEFT(RIGHT(VLOOKUP(AK18,suvaha!$D$92:$H$158,4,FALSE),3),1))</f>
        <v/>
      </c>
      <c r="CD20" s="434"/>
      <c r="CE20" s="432" t="str">
        <f>IF(LEN(VLOOKUP(AK18,suvaha!$D$92:$H$158,4,FALSE))&lt;2,"",LEFT(RIGHT(VLOOKUP(AK18,suvaha!$D$92:$H$158,4,FALSE),2),1))</f>
        <v/>
      </c>
      <c r="CF20" s="434"/>
      <c r="CG20" s="432" t="str">
        <f>IF(VLOOKUP(AK18,suvaha!$D$92:$H$158,4,FALSE)=0,"",IF(LEN(VLOOKUP(AK18,suvaha!$D$92:$H$158,4,FALSE))&lt;1,"",LEFT(RIGHT(VLOOKUP(AK18,suvaha!$D$92:$H$158,4,FALSE),1),1)))</f>
        <v/>
      </c>
      <c r="CH20" s="285"/>
      <c r="CI20" s="312"/>
      <c r="CJ20" s="312"/>
    </row>
    <row r="21" spans="1:88" s="313" customFormat="1" ht="3" customHeight="1">
      <c r="A21" s="312"/>
      <c r="B21" s="312"/>
      <c r="C21" s="312"/>
      <c r="E21" s="1037"/>
      <c r="F21" s="1038"/>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3"/>
      <c r="AL21" s="973"/>
      <c r="AM21" s="973"/>
      <c r="AN21" s="358"/>
      <c r="AO21" s="365"/>
      <c r="AP21" s="365"/>
      <c r="AQ21" s="365"/>
      <c r="AR21" s="365"/>
      <c r="AS21" s="365"/>
      <c r="AT21" s="365"/>
      <c r="AU21" s="365"/>
      <c r="AV21" s="365"/>
      <c r="AW21" s="365"/>
      <c r="AX21" s="365"/>
      <c r="AY21" s="365"/>
      <c r="AZ21" s="365"/>
      <c r="BA21" s="365"/>
      <c r="BB21" s="365"/>
      <c r="BC21" s="365"/>
      <c r="BD21" s="365"/>
      <c r="BE21" s="310"/>
      <c r="BF21" s="310"/>
      <c r="BG21" s="310"/>
      <c r="BH21" s="310"/>
      <c r="BI21" s="310"/>
      <c r="BJ21" s="310"/>
      <c r="BK21" s="310"/>
      <c r="BL21" s="846"/>
      <c r="BM21" s="846"/>
      <c r="BN21" s="846"/>
      <c r="BO21" s="846"/>
      <c r="BP21" s="846"/>
      <c r="BQ21" s="846"/>
      <c r="BR21" s="846"/>
      <c r="BS21" s="846"/>
      <c r="BT21" s="846"/>
      <c r="BU21" s="846"/>
      <c r="BV21" s="846"/>
      <c r="BW21" s="846"/>
      <c r="BX21" s="846"/>
      <c r="BY21" s="846"/>
      <c r="BZ21" s="846"/>
      <c r="CA21" s="846"/>
      <c r="CB21" s="846"/>
      <c r="CC21" s="310"/>
      <c r="CD21" s="310"/>
      <c r="CE21" s="310"/>
      <c r="CF21" s="310"/>
      <c r="CG21" s="310"/>
      <c r="CH21" s="286"/>
      <c r="CI21" s="312"/>
      <c r="CJ21" s="312"/>
    </row>
    <row r="22" spans="1:88" s="307" customFormat="1" ht="3" customHeight="1">
      <c r="A22" s="302"/>
      <c r="B22" s="302"/>
      <c r="C22" s="303"/>
      <c r="D22" s="303"/>
      <c r="E22" s="1018" t="s">
        <v>559</v>
      </c>
      <c r="F22" s="1019"/>
      <c r="G22" s="1024" t="str">
        <f>Index!C172</f>
        <v>Dlhodobé bankové úvery (461A, 46XA)</v>
      </c>
      <c r="H22" s="1025"/>
      <c r="I22" s="1025"/>
      <c r="J22" s="1025"/>
      <c r="K22" s="1025"/>
      <c r="L22" s="1025"/>
      <c r="M22" s="1025"/>
      <c r="N22" s="1025"/>
      <c r="O22" s="1025"/>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6"/>
      <c r="AK22" s="977" t="s">
        <v>638</v>
      </c>
      <c r="AL22" s="977"/>
      <c r="AM22" s="977"/>
      <c r="AN22" s="364"/>
      <c r="AO22" s="366"/>
      <c r="AP22" s="366"/>
      <c r="AQ22" s="366"/>
      <c r="AR22" s="366"/>
      <c r="AS22" s="366"/>
      <c r="AT22" s="366"/>
      <c r="AU22" s="366"/>
      <c r="AV22" s="366"/>
      <c r="AW22" s="366"/>
      <c r="AX22" s="366"/>
      <c r="AY22" s="366"/>
      <c r="AZ22" s="366"/>
      <c r="BA22" s="366"/>
      <c r="BB22" s="366"/>
      <c r="BC22" s="366"/>
      <c r="BD22" s="366"/>
      <c r="BE22" s="304"/>
      <c r="BF22" s="304"/>
      <c r="BG22" s="304"/>
      <c r="BH22" s="304"/>
      <c r="BI22" s="304"/>
      <c r="BJ22" s="304"/>
      <c r="BK22" s="304"/>
      <c r="BL22" s="867"/>
      <c r="BM22" s="867"/>
      <c r="BN22" s="867"/>
      <c r="BO22" s="867"/>
      <c r="BP22" s="867"/>
      <c r="BQ22" s="867"/>
      <c r="BR22" s="867"/>
      <c r="BS22" s="867"/>
      <c r="BT22" s="867"/>
      <c r="BU22" s="867"/>
      <c r="BV22" s="867"/>
      <c r="BW22" s="867"/>
      <c r="BX22" s="867"/>
      <c r="BY22" s="867"/>
      <c r="BZ22" s="867"/>
      <c r="CA22" s="867"/>
      <c r="CB22" s="867"/>
      <c r="CC22" s="304"/>
      <c r="CD22" s="304"/>
      <c r="CE22" s="304"/>
      <c r="CF22" s="304"/>
      <c r="CG22" s="304"/>
      <c r="CH22" s="305"/>
      <c r="CI22" s="306"/>
      <c r="CJ22" s="306"/>
    </row>
    <row r="23" spans="1:88" s="307" customFormat="1" ht="3" customHeight="1">
      <c r="A23" s="302"/>
      <c r="B23" s="302"/>
      <c r="C23" s="302"/>
      <c r="D23" s="302"/>
      <c r="E23" s="1020"/>
      <c r="F23" s="1021"/>
      <c r="G23" s="1027"/>
      <c r="H23" s="1028"/>
      <c r="I23" s="1028"/>
      <c r="J23" s="1028"/>
      <c r="K23" s="1028"/>
      <c r="L23" s="1028"/>
      <c r="M23" s="1028"/>
      <c r="N23" s="1028"/>
      <c r="O23" s="1028"/>
      <c r="P23" s="1028"/>
      <c r="Q23" s="1028"/>
      <c r="R23" s="1028"/>
      <c r="S23" s="1028"/>
      <c r="T23" s="1028"/>
      <c r="U23" s="1028"/>
      <c r="V23" s="1028"/>
      <c r="W23" s="1028"/>
      <c r="X23" s="1028"/>
      <c r="Y23" s="1028"/>
      <c r="Z23" s="1028"/>
      <c r="AA23" s="1028"/>
      <c r="AB23" s="1028"/>
      <c r="AC23" s="1028"/>
      <c r="AD23" s="1028"/>
      <c r="AE23" s="1028"/>
      <c r="AF23" s="1028"/>
      <c r="AG23" s="1028"/>
      <c r="AH23" s="1028"/>
      <c r="AI23" s="1028"/>
      <c r="AJ23" s="1029"/>
      <c r="AK23" s="977"/>
      <c r="AL23" s="977"/>
      <c r="AM23" s="977"/>
      <c r="AN23" s="367"/>
      <c r="AO23" s="436"/>
      <c r="AP23" s="436"/>
      <c r="AQ23" s="436"/>
      <c r="AR23" s="435"/>
      <c r="AS23" s="433"/>
      <c r="AT23" s="433"/>
      <c r="AU23" s="433"/>
      <c r="AV23" s="433"/>
      <c r="AW23" s="433"/>
      <c r="AX23" s="434"/>
      <c r="AY23" s="1007"/>
      <c r="AZ23" s="1007"/>
      <c r="BA23" s="1007"/>
      <c r="BB23" s="1007"/>
      <c r="BC23" s="1007"/>
      <c r="BD23" s="1007"/>
      <c r="BE23" s="434"/>
      <c r="BF23" s="968"/>
      <c r="BG23" s="968"/>
      <c r="BH23" s="968"/>
      <c r="BI23" s="968"/>
      <c r="BJ23" s="968"/>
      <c r="BK23" s="851"/>
      <c r="BL23" s="826"/>
      <c r="BM23" s="820"/>
      <c r="BN23" s="820"/>
      <c r="BO23" s="820"/>
      <c r="BP23" s="435"/>
      <c r="BQ23" s="1007"/>
      <c r="BR23" s="1007"/>
      <c r="BS23" s="1007"/>
      <c r="BT23" s="1007"/>
      <c r="BU23" s="1007"/>
      <c r="BV23" s="1008"/>
      <c r="BW23" s="968"/>
      <c r="BX23" s="968"/>
      <c r="BY23" s="968"/>
      <c r="BZ23" s="968"/>
      <c r="CA23" s="968"/>
      <c r="CB23" s="1009"/>
      <c r="CC23" s="968"/>
      <c r="CD23" s="968"/>
      <c r="CE23" s="968"/>
      <c r="CF23" s="968"/>
      <c r="CG23" s="968"/>
      <c r="CH23" s="308"/>
      <c r="CI23" s="306"/>
      <c r="CJ23" s="306"/>
    </row>
    <row r="24" spans="1:88" s="309" customFormat="1" ht="15" customHeight="1">
      <c r="A24" s="302"/>
      <c r="B24" s="302"/>
      <c r="C24" s="302"/>
      <c r="E24" s="1020"/>
      <c r="F24" s="1021"/>
      <c r="G24" s="1027"/>
      <c r="H24" s="1028"/>
      <c r="I24" s="1028"/>
      <c r="J24" s="1028"/>
      <c r="K24" s="1028"/>
      <c r="L24" s="1028"/>
      <c r="M24" s="1028"/>
      <c r="N24" s="1028"/>
      <c r="O24" s="1028"/>
      <c r="P24" s="1028"/>
      <c r="Q24" s="1028"/>
      <c r="R24" s="1028"/>
      <c r="S24" s="1028"/>
      <c r="T24" s="1028"/>
      <c r="U24" s="1028"/>
      <c r="V24" s="1028"/>
      <c r="W24" s="1028"/>
      <c r="X24" s="1028"/>
      <c r="Y24" s="1028"/>
      <c r="Z24" s="1028"/>
      <c r="AA24" s="1028"/>
      <c r="AB24" s="1028"/>
      <c r="AC24" s="1028"/>
      <c r="AD24" s="1028"/>
      <c r="AE24" s="1028"/>
      <c r="AF24" s="1028"/>
      <c r="AG24" s="1028"/>
      <c r="AH24" s="1028"/>
      <c r="AI24" s="1028"/>
      <c r="AJ24" s="1029"/>
      <c r="AK24" s="977"/>
      <c r="AL24" s="977"/>
      <c r="AM24" s="977"/>
      <c r="AN24" s="367"/>
      <c r="AO24" s="432" t="str">
        <f>IF(LEN(VLOOKUP(AK22,suvaha!$D$92:$H$158,2,FALSE))&lt;11,"",LEFT(RIGHT(VLOOKUP(AK22,suvaha!$D$92:$H$158,2,FALSE),11),1))</f>
        <v/>
      </c>
      <c r="AP24" s="255"/>
      <c r="AQ24" s="432" t="str">
        <f>IF(LEN(VLOOKUP(AK22,suvaha!$D$92:$H$158,2,FALSE))&lt;10,"",LEFT(RIGHT(VLOOKUP(AK22,suvaha!$D$92:$H$158,2,FALSE),10),1))</f>
        <v/>
      </c>
      <c r="AR24" s="434"/>
      <c r="AS24" s="432" t="str">
        <f>IF(LEN(VLOOKUP(AK22,suvaha!$D$92:$H$158,2,FALSE))&lt;9,"",LEFT(RIGHT(VLOOKUP(AK22,suvaha!$D$92:$H$158,2,FALSE),9),1))</f>
        <v/>
      </c>
      <c r="AT24" s="255"/>
      <c r="AU24" s="432" t="str">
        <f>IF(LEN(VLOOKUP(AK22,suvaha!$D$92:$H$158,2,FALSE))&lt;8,"",LEFT(RIGHT(VLOOKUP(AK22,suvaha!$D$92:$H$158,2,FALSE),8),1))</f>
        <v/>
      </c>
      <c r="AV24" s="434"/>
      <c r="AW24" s="432" t="str">
        <f>IF(LEN(VLOOKUP(AK22,suvaha!$D$92:$H$158,2,FALSE))&lt;7,"",LEFT(RIGHT(VLOOKUP(AK22,suvaha!$D$92:$H$158,2,FALSE),7),1))</f>
        <v/>
      </c>
      <c r="AX24" s="434"/>
      <c r="AY24" s="432" t="str">
        <f>IF(LEN(VLOOKUP(AK22,suvaha!$D$92:$H$158,2,FALSE))&lt;6,"",LEFT(RIGHT(VLOOKUP(AK22,suvaha!$D$92:$H$158,2,FALSE),6),1))</f>
        <v/>
      </c>
      <c r="AZ24" s="255"/>
      <c r="BA24" s="961" t="str">
        <f>IF(LEN(VLOOKUP(AK22,suvaha!$D$92:$H$158,2,FALSE))&lt;5,"",LEFT(RIGHT(VLOOKUP(AK22,suvaha!$D$92:$H$158,2,FALSE),5),1))</f>
        <v/>
      </c>
      <c r="BB24" s="961" t="e">
        <f>IF(LEN(#REF!)&lt;5,"",LEFT(RIGHT(#REF!,5),1))</f>
        <v>#REF!</v>
      </c>
      <c r="BC24" s="434"/>
      <c r="BD24" s="432" t="str">
        <f>IF(LEN(VLOOKUP(AK22,suvaha!$D$92:$H$158,2,FALSE))&lt;4,"",LEFT(RIGHT(VLOOKUP(AK22,suvaha!$D$92:$H$158,2,FALSE),4),1))</f>
        <v/>
      </c>
      <c r="BE24" s="434"/>
      <c r="BF24" s="432" t="str">
        <f>IF(LEN(VLOOKUP(AK22,suvaha!$D$92:$H$158,2,FALSE))&lt;3,"",LEFT(RIGHT(VLOOKUP(AK22,suvaha!$D$92:$H$158,2,FALSE),3),1))</f>
        <v/>
      </c>
      <c r="BG24" s="434"/>
      <c r="BH24" s="432" t="str">
        <f>IF(LEN(VLOOKUP(AK22,suvaha!$D$92:$H$158,2,FALSE))&lt;2,"",LEFT(RIGHT(VLOOKUP(AK22,suvaha!$D$92:$H$158,2,FALSE),2),1))</f>
        <v/>
      </c>
      <c r="BI24" s="434"/>
      <c r="BJ24" s="432" t="str">
        <f>IF(VLOOKUP(AK22,suvaha!$D$92:$H$158,2,FALSE)=0,"",IF(LEN(VLOOKUP(AK22,suvaha!$D$92:$H$158,2,FALSE))&lt;1,"",LEFT(RIGHT(VLOOKUP(AK22,suvaha!$D$92:$H$158,2,FALSE),1),1)))</f>
        <v/>
      </c>
      <c r="BK24" s="851"/>
      <c r="BL24" s="826"/>
      <c r="BM24" s="432" t="str">
        <f>IF(LEN(VLOOKUP(AK22,suvaha!$D$92:$H$158,4,FALSE))&lt;11,"",LEFT(RIGHT(VLOOKUP(AK22,suvaha!$D$92:$H$158,4,FALSE),11),1))</f>
        <v/>
      </c>
      <c r="BN24" s="255"/>
      <c r="BO24" s="432" t="str">
        <f>IF(LEN(VLOOKUP(AK22,suvaha!$D$92:$H$158,4,FALSE))&lt;10,"",LEFT(RIGHT(VLOOKUP(AK22,suvaha!$D$92:$H$158,4,FALSE),10),1))</f>
        <v/>
      </c>
      <c r="BP24" s="434"/>
      <c r="BQ24" s="432" t="str">
        <f>IF(LEN(VLOOKUP(AK22,suvaha!$D$92:$H$158,4,FALSE))&lt;9,"",LEFT(RIGHT(VLOOKUP(AK22,suvaha!$D$92:$H$158,4,FALSE),9),1))</f>
        <v/>
      </c>
      <c r="BR24" s="255"/>
      <c r="BS24" s="432" t="str">
        <f>IF(LEN(VLOOKUP(AK22,suvaha!$D$92:$H$158,4,FALSE))&lt;8,"",LEFT(RIGHT(VLOOKUP(AK22,suvaha!$D$92:$H$158,4,FALSE),8),1))</f>
        <v/>
      </c>
      <c r="BT24" s="434"/>
      <c r="BU24" s="432" t="str">
        <f>IF(LEN(VLOOKUP(AK22,suvaha!$D$92:$H$158,4,FALSE))&lt;7,"",LEFT(RIGHT(VLOOKUP(AK22,suvaha!$D$92:$H$158,4,FALSE),7),1))</f>
        <v/>
      </c>
      <c r="BV24" s="1008"/>
      <c r="BW24" s="432" t="str">
        <f>IF(LEN(VLOOKUP(AK22,suvaha!$D$92:$H$158,4,FALSE))&lt;6,"",LEFT(RIGHT(VLOOKUP(AK22,suvaha!$D$92:$H$158,4,FALSE),6),1))</f>
        <v/>
      </c>
      <c r="BX24" s="434"/>
      <c r="BY24" s="432" t="str">
        <f>IF(LEN(VLOOKUP(AK22,suvaha!$D$92:$H$158,4,FALSE))&lt;5,"",LEFT(RIGHT(VLOOKUP(AK22,suvaha!$D$92:$H$158,4,FALSE),5),1))</f>
        <v>7</v>
      </c>
      <c r="BZ24" s="434"/>
      <c r="CA24" s="432" t="str">
        <f>IF(LEN(VLOOKUP(AK22,suvaha!$D$92:$H$158,4,FALSE))&lt;4,"",LEFT(RIGHT(VLOOKUP(AK22,suvaha!$D$92:$H$158,4,FALSE),4),1))</f>
        <v>9</v>
      </c>
      <c r="CB24" s="1009"/>
      <c r="CC24" s="432" t="str">
        <f>IF(LEN(VLOOKUP(AK22,suvaha!$D$92:$H$158,4,FALSE))&lt;3,"",LEFT(RIGHT(VLOOKUP(AK22,suvaha!$D$92:$H$158,4,FALSE),3),1))</f>
        <v>7</v>
      </c>
      <c r="CD24" s="434"/>
      <c r="CE24" s="432" t="str">
        <f>IF(LEN(VLOOKUP(AK22,suvaha!$D$92:$H$158,4,FALSE))&lt;2,"",LEFT(RIGHT(VLOOKUP(AK22,suvaha!$D$92:$H$158,4,FALSE),2),1))</f>
        <v>3</v>
      </c>
      <c r="CF24" s="434"/>
      <c r="CG24" s="432" t="str">
        <f>IF(VLOOKUP(AK22,suvaha!$D$92:$H$158,4,FALSE)=0,"",IF(LEN(VLOOKUP(AK22,suvaha!$D$92:$H$158,4,FALSE))&lt;1,"",LEFT(RIGHT(VLOOKUP(AK22,suvaha!$D$92:$H$158,4,FALSE),1),1)))</f>
        <v>2</v>
      </c>
      <c r="CH24" s="308"/>
      <c r="CI24" s="302"/>
      <c r="CJ24" s="302"/>
    </row>
    <row r="25" spans="1:88" s="309" customFormat="1" ht="3" customHeight="1">
      <c r="A25" s="302"/>
      <c r="B25" s="302"/>
      <c r="C25" s="302"/>
      <c r="E25" s="1022"/>
      <c r="F25" s="1023"/>
      <c r="G25" s="1030"/>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2"/>
      <c r="AK25" s="977"/>
      <c r="AL25" s="977"/>
      <c r="AM25" s="977"/>
      <c r="AN25" s="363"/>
      <c r="AO25" s="365"/>
      <c r="AP25" s="365"/>
      <c r="AQ25" s="365"/>
      <c r="AR25" s="365"/>
      <c r="AS25" s="365"/>
      <c r="AT25" s="365"/>
      <c r="AU25" s="365"/>
      <c r="AV25" s="365"/>
      <c r="AW25" s="365"/>
      <c r="AX25" s="365"/>
      <c r="AY25" s="365"/>
      <c r="AZ25" s="365"/>
      <c r="BA25" s="365"/>
      <c r="BB25" s="365"/>
      <c r="BC25" s="365"/>
      <c r="BD25" s="365"/>
      <c r="BE25" s="310"/>
      <c r="BF25" s="310"/>
      <c r="BG25" s="310"/>
      <c r="BH25" s="310"/>
      <c r="BI25" s="310"/>
      <c r="BJ25" s="310"/>
      <c r="BK25" s="310"/>
      <c r="BL25" s="846"/>
      <c r="BM25" s="846"/>
      <c r="BN25" s="846"/>
      <c r="BO25" s="846"/>
      <c r="BP25" s="846"/>
      <c r="BQ25" s="846"/>
      <c r="BR25" s="846"/>
      <c r="BS25" s="846"/>
      <c r="BT25" s="846"/>
      <c r="BU25" s="846"/>
      <c r="BV25" s="846"/>
      <c r="BW25" s="846"/>
      <c r="BX25" s="846"/>
      <c r="BY25" s="846"/>
      <c r="BZ25" s="846"/>
      <c r="CA25" s="846"/>
      <c r="CB25" s="846"/>
      <c r="CC25" s="310"/>
      <c r="CD25" s="310"/>
      <c r="CE25" s="310"/>
      <c r="CF25" s="310"/>
      <c r="CG25" s="310"/>
      <c r="CH25" s="311"/>
      <c r="CI25" s="302"/>
      <c r="CJ25" s="302"/>
    </row>
    <row r="26" spans="1:88" s="307" customFormat="1" ht="3" customHeight="1">
      <c r="A26" s="302"/>
      <c r="B26" s="302"/>
      <c r="C26" s="303"/>
      <c r="D26" s="303"/>
      <c r="E26" s="991" t="s">
        <v>568</v>
      </c>
      <c r="F26" s="991"/>
      <c r="G26" s="992" t="str">
        <f>Index!C173</f>
        <v>Krátkodobé záväzky súčet (r. 123 + r. 127 až r. 135)</v>
      </c>
      <c r="H26" s="992"/>
      <c r="I26" s="992"/>
      <c r="J26" s="992"/>
      <c r="K26" s="992"/>
      <c r="L26" s="992"/>
      <c r="M26" s="992"/>
      <c r="N26" s="992"/>
      <c r="O26" s="992"/>
      <c r="P26" s="992"/>
      <c r="Q26" s="992"/>
      <c r="R26" s="992"/>
      <c r="S26" s="992"/>
      <c r="T26" s="992"/>
      <c r="U26" s="992"/>
      <c r="V26" s="992"/>
      <c r="W26" s="992"/>
      <c r="X26" s="992"/>
      <c r="Y26" s="992"/>
      <c r="Z26" s="992"/>
      <c r="AA26" s="992"/>
      <c r="AB26" s="992"/>
      <c r="AC26" s="992"/>
      <c r="AD26" s="992"/>
      <c r="AE26" s="992"/>
      <c r="AF26" s="992"/>
      <c r="AG26" s="992"/>
      <c r="AH26" s="992"/>
      <c r="AI26" s="992"/>
      <c r="AJ26" s="992"/>
      <c r="AK26" s="993" t="s">
        <v>640</v>
      </c>
      <c r="AL26" s="993"/>
      <c r="AM26" s="993"/>
      <c r="AN26" s="364"/>
      <c r="AO26" s="366"/>
      <c r="AP26" s="366"/>
      <c r="AQ26" s="366"/>
      <c r="AR26" s="366"/>
      <c r="AS26" s="366"/>
      <c r="AT26" s="366"/>
      <c r="AU26" s="366"/>
      <c r="AV26" s="366"/>
      <c r="AW26" s="366"/>
      <c r="AX26" s="366"/>
      <c r="AY26" s="366"/>
      <c r="AZ26" s="366"/>
      <c r="BA26" s="366"/>
      <c r="BB26" s="366"/>
      <c r="BC26" s="366"/>
      <c r="BD26" s="366"/>
      <c r="BE26" s="304"/>
      <c r="BF26" s="304"/>
      <c r="BG26" s="304"/>
      <c r="BH26" s="304"/>
      <c r="BI26" s="304"/>
      <c r="BJ26" s="304"/>
      <c r="BK26" s="304"/>
      <c r="BL26" s="867"/>
      <c r="BM26" s="867"/>
      <c r="BN26" s="867"/>
      <c r="BO26" s="867"/>
      <c r="BP26" s="867"/>
      <c r="BQ26" s="867"/>
      <c r="BR26" s="867"/>
      <c r="BS26" s="867"/>
      <c r="BT26" s="867"/>
      <c r="BU26" s="867"/>
      <c r="BV26" s="867"/>
      <c r="BW26" s="867"/>
      <c r="BX26" s="867"/>
      <c r="BY26" s="867"/>
      <c r="BZ26" s="867"/>
      <c r="CA26" s="867"/>
      <c r="CB26" s="867"/>
      <c r="CC26" s="304"/>
      <c r="CD26" s="304"/>
      <c r="CE26" s="304"/>
      <c r="CF26" s="304"/>
      <c r="CG26" s="304"/>
      <c r="CH26" s="305"/>
      <c r="CI26" s="306"/>
      <c r="CJ26" s="306"/>
    </row>
    <row r="27" spans="1:88" s="307" customFormat="1" ht="3" customHeight="1">
      <c r="A27" s="302"/>
      <c r="B27" s="302"/>
      <c r="C27" s="302"/>
      <c r="D27" s="302"/>
      <c r="E27" s="991"/>
      <c r="F27" s="991"/>
      <c r="G27" s="992"/>
      <c r="H27" s="992"/>
      <c r="I27" s="992"/>
      <c r="J27" s="992"/>
      <c r="K27" s="992"/>
      <c r="L27" s="992"/>
      <c r="M27" s="992"/>
      <c r="N27" s="992"/>
      <c r="O27" s="992"/>
      <c r="P27" s="992"/>
      <c r="Q27" s="992"/>
      <c r="R27" s="992"/>
      <c r="S27" s="992"/>
      <c r="T27" s="992"/>
      <c r="U27" s="992"/>
      <c r="V27" s="992"/>
      <c r="W27" s="992"/>
      <c r="X27" s="992"/>
      <c r="Y27" s="992"/>
      <c r="Z27" s="992"/>
      <c r="AA27" s="992"/>
      <c r="AB27" s="992"/>
      <c r="AC27" s="992"/>
      <c r="AD27" s="992"/>
      <c r="AE27" s="992"/>
      <c r="AF27" s="992"/>
      <c r="AG27" s="992"/>
      <c r="AH27" s="992"/>
      <c r="AI27" s="992"/>
      <c r="AJ27" s="992"/>
      <c r="AK27" s="993"/>
      <c r="AL27" s="993"/>
      <c r="AM27" s="993"/>
      <c r="AN27" s="367"/>
      <c r="AO27" s="436"/>
      <c r="AP27" s="436"/>
      <c r="AQ27" s="436"/>
      <c r="AR27" s="435"/>
      <c r="AS27" s="433"/>
      <c r="AT27" s="433"/>
      <c r="AU27" s="433"/>
      <c r="AV27" s="433"/>
      <c r="AW27" s="433"/>
      <c r="AX27" s="434"/>
      <c r="AY27" s="1007"/>
      <c r="AZ27" s="1007"/>
      <c r="BA27" s="1007"/>
      <c r="BB27" s="1007"/>
      <c r="BC27" s="1007"/>
      <c r="BD27" s="1007"/>
      <c r="BE27" s="434"/>
      <c r="BF27" s="968"/>
      <c r="BG27" s="968"/>
      <c r="BH27" s="968"/>
      <c r="BI27" s="968"/>
      <c r="BJ27" s="968"/>
      <c r="BK27" s="851"/>
      <c r="BL27" s="826"/>
      <c r="BM27" s="820"/>
      <c r="BN27" s="820"/>
      <c r="BO27" s="820"/>
      <c r="BP27" s="435"/>
      <c r="BQ27" s="1007"/>
      <c r="BR27" s="1007"/>
      <c r="BS27" s="1007"/>
      <c r="BT27" s="1007"/>
      <c r="BU27" s="1007"/>
      <c r="BV27" s="1008"/>
      <c r="BW27" s="968"/>
      <c r="BX27" s="968"/>
      <c r="BY27" s="968"/>
      <c r="BZ27" s="968"/>
      <c r="CA27" s="968"/>
      <c r="CB27" s="1009"/>
      <c r="CC27" s="968"/>
      <c r="CD27" s="968"/>
      <c r="CE27" s="968"/>
      <c r="CF27" s="968"/>
      <c r="CG27" s="968"/>
      <c r="CH27" s="308"/>
      <c r="CI27" s="306"/>
      <c r="CJ27" s="306"/>
    </row>
    <row r="28" spans="1:88" s="309" customFormat="1" ht="15" customHeight="1">
      <c r="A28" s="302"/>
      <c r="B28" s="302"/>
      <c r="C28" s="302"/>
      <c r="E28" s="991"/>
      <c r="F28" s="991"/>
      <c r="G28" s="992"/>
      <c r="H28" s="992"/>
      <c r="I28" s="992"/>
      <c r="J28" s="992"/>
      <c r="K28" s="992"/>
      <c r="L28" s="992"/>
      <c r="M28" s="992"/>
      <c r="N28" s="992"/>
      <c r="O28" s="992"/>
      <c r="P28" s="992"/>
      <c r="Q28" s="992"/>
      <c r="R28" s="992"/>
      <c r="S28" s="992"/>
      <c r="T28" s="992"/>
      <c r="U28" s="992"/>
      <c r="V28" s="992"/>
      <c r="W28" s="992"/>
      <c r="X28" s="992"/>
      <c r="Y28" s="992"/>
      <c r="Z28" s="992"/>
      <c r="AA28" s="992"/>
      <c r="AB28" s="992"/>
      <c r="AC28" s="992"/>
      <c r="AD28" s="992"/>
      <c r="AE28" s="992"/>
      <c r="AF28" s="992"/>
      <c r="AG28" s="992"/>
      <c r="AH28" s="992"/>
      <c r="AI28" s="992"/>
      <c r="AJ28" s="992"/>
      <c r="AK28" s="993"/>
      <c r="AL28" s="993"/>
      <c r="AM28" s="993"/>
      <c r="AN28" s="367"/>
      <c r="AO28" s="432" t="str">
        <f>IF(LEN(VLOOKUP(AK26,suvaha!$D$92:$H$158,2,FALSE))&lt;11,"",LEFT(RIGHT(VLOOKUP(AK26,suvaha!$D$92:$H$158,2,FALSE),11),1))</f>
        <v/>
      </c>
      <c r="AP28" s="255"/>
      <c r="AQ28" s="432" t="str">
        <f>IF(LEN(VLOOKUP(AK26,suvaha!$D$92:$H$158,2,FALSE))&lt;10,"",LEFT(RIGHT(VLOOKUP(AK26,suvaha!$D$92:$H$158,2,FALSE),10),1))</f>
        <v/>
      </c>
      <c r="AR28" s="434"/>
      <c r="AS28" s="432" t="str">
        <f>IF(LEN(VLOOKUP(AK26,suvaha!$D$92:$H$158,2,FALSE))&lt;9,"",LEFT(RIGHT(VLOOKUP(AK26,suvaha!$D$92:$H$158,2,FALSE),9),1))</f>
        <v/>
      </c>
      <c r="AT28" s="255"/>
      <c r="AU28" s="432" t="str">
        <f>IF(LEN(VLOOKUP(AK26,suvaha!$D$92:$H$158,2,FALSE))&lt;8,"",LEFT(RIGHT(VLOOKUP(AK26,suvaha!$D$92:$H$158,2,FALSE),8),1))</f>
        <v/>
      </c>
      <c r="AV28" s="434"/>
      <c r="AW28" s="432" t="str">
        <f>IF(LEN(VLOOKUP(AK26,suvaha!$D$92:$H$158,2,FALSE))&lt;7,"",LEFT(RIGHT(VLOOKUP(AK26,suvaha!$D$92:$H$158,2,FALSE),7),1))</f>
        <v>8</v>
      </c>
      <c r="AX28" s="434"/>
      <c r="AY28" s="432" t="str">
        <f>IF(LEN(VLOOKUP(AK26,suvaha!$D$92:$H$158,2,FALSE))&lt;6,"",LEFT(RIGHT(VLOOKUP(AK26,suvaha!$D$92:$H$158,2,FALSE),6),1))</f>
        <v>6</v>
      </c>
      <c r="AZ28" s="255"/>
      <c r="BA28" s="961" t="str">
        <f>IF(LEN(VLOOKUP(AK26,suvaha!$D$92:$H$158,2,FALSE))&lt;5,"",LEFT(RIGHT(VLOOKUP(AK26,suvaha!$D$92:$H$158,2,FALSE),5),1))</f>
        <v>4</v>
      </c>
      <c r="BB28" s="961" t="e">
        <f>IF(LEN(#REF!)&lt;5,"",LEFT(RIGHT(#REF!,5),1))</f>
        <v>#REF!</v>
      </c>
      <c r="BC28" s="434"/>
      <c r="BD28" s="432" t="str">
        <f>IF(LEN(VLOOKUP(AK26,suvaha!$D$92:$H$158,2,FALSE))&lt;4,"",LEFT(RIGHT(VLOOKUP(AK26,suvaha!$D$92:$H$158,2,FALSE),4),1))</f>
        <v>2</v>
      </c>
      <c r="BE28" s="434"/>
      <c r="BF28" s="432" t="str">
        <f>IF(LEN(VLOOKUP(AK26,suvaha!$D$92:$H$158,2,FALSE))&lt;3,"",LEFT(RIGHT(VLOOKUP(AK26,suvaha!$D$92:$H$158,2,FALSE),3),1))</f>
        <v>6</v>
      </c>
      <c r="BG28" s="434"/>
      <c r="BH28" s="432" t="str">
        <f>IF(LEN(VLOOKUP(AK26,suvaha!$D$92:$H$158,2,FALSE))&lt;2,"",LEFT(RIGHT(VLOOKUP(AK26,suvaha!$D$92:$H$158,2,FALSE),2),1))</f>
        <v>1</v>
      </c>
      <c r="BI28" s="434"/>
      <c r="BJ28" s="432" t="str">
        <f>IF(VLOOKUP(AK26,suvaha!$D$92:$H$158,2,FALSE)=0,"",IF(LEN(VLOOKUP(AK26,suvaha!$D$92:$H$158,2,FALSE))&lt;1,"",LEFT(RIGHT(VLOOKUP(AK26,suvaha!$D$92:$H$158,2,FALSE),1),1)))</f>
        <v>5</v>
      </c>
      <c r="BK28" s="851"/>
      <c r="BL28" s="826"/>
      <c r="BM28" s="432" t="str">
        <f>IF(LEN(VLOOKUP(AK26,suvaha!$D$92:$H$158,4,FALSE))&lt;11,"",LEFT(RIGHT(VLOOKUP(AK26,suvaha!$D$92:$H$158,4,FALSE),11),1))</f>
        <v/>
      </c>
      <c r="BN28" s="255"/>
      <c r="BO28" s="432" t="str">
        <f>IF(LEN(VLOOKUP(AK26,suvaha!$D$92:$H$158,4,FALSE))&lt;10,"",LEFT(RIGHT(VLOOKUP(AK26,suvaha!$D$92:$H$158,4,FALSE),10),1))</f>
        <v/>
      </c>
      <c r="BP28" s="434"/>
      <c r="BQ28" s="432" t="str">
        <f>IF(LEN(VLOOKUP(AK26,suvaha!$D$92:$H$158,4,FALSE))&lt;9,"",LEFT(RIGHT(VLOOKUP(AK26,suvaha!$D$92:$H$158,4,FALSE),9),1))</f>
        <v/>
      </c>
      <c r="BR28" s="255"/>
      <c r="BS28" s="432" t="str">
        <f>IF(LEN(VLOOKUP(AK26,suvaha!$D$92:$H$158,4,FALSE))&lt;8,"",LEFT(RIGHT(VLOOKUP(AK26,suvaha!$D$92:$H$158,4,FALSE),8),1))</f>
        <v/>
      </c>
      <c r="BT28" s="434"/>
      <c r="BU28" s="432" t="str">
        <f>IF(LEN(VLOOKUP(AK26,suvaha!$D$92:$H$158,4,FALSE))&lt;7,"",LEFT(RIGHT(VLOOKUP(AK26,suvaha!$D$92:$H$158,4,FALSE),7),1))</f>
        <v>7</v>
      </c>
      <c r="BV28" s="1008"/>
      <c r="BW28" s="432" t="str">
        <f>IF(LEN(VLOOKUP(AK26,suvaha!$D$92:$H$158,4,FALSE))&lt;6,"",LEFT(RIGHT(VLOOKUP(AK26,suvaha!$D$92:$H$158,4,FALSE),6),1))</f>
        <v>1</v>
      </c>
      <c r="BX28" s="434"/>
      <c r="BY28" s="432" t="str">
        <f>IF(LEN(VLOOKUP(AK26,suvaha!$D$92:$H$158,4,FALSE))&lt;5,"",LEFT(RIGHT(VLOOKUP(AK26,suvaha!$D$92:$H$158,4,FALSE),5),1))</f>
        <v>7</v>
      </c>
      <c r="BZ28" s="434"/>
      <c r="CA28" s="432" t="str">
        <f>IF(LEN(VLOOKUP(AK26,suvaha!$D$92:$H$158,4,FALSE))&lt;4,"",LEFT(RIGHT(VLOOKUP(AK26,suvaha!$D$92:$H$158,4,FALSE),4),1))</f>
        <v>7</v>
      </c>
      <c r="CB28" s="1009"/>
      <c r="CC28" s="432" t="str">
        <f>IF(LEN(VLOOKUP(AK26,suvaha!$D$92:$H$158,4,FALSE))&lt;3,"",LEFT(RIGHT(VLOOKUP(AK26,suvaha!$D$92:$H$158,4,FALSE),3),1))</f>
        <v>7</v>
      </c>
      <c r="CD28" s="434"/>
      <c r="CE28" s="432" t="str">
        <f>IF(LEN(VLOOKUP(AK26,suvaha!$D$92:$H$158,4,FALSE))&lt;2,"",LEFT(RIGHT(VLOOKUP(AK26,suvaha!$D$92:$H$158,4,FALSE),2),1))</f>
        <v>8</v>
      </c>
      <c r="CF28" s="434"/>
      <c r="CG28" s="432" t="str">
        <f>IF(VLOOKUP(AK26,suvaha!$D$92:$H$158,4,FALSE)=0,"",IF(LEN(VLOOKUP(AK26,suvaha!$D$92:$H$158,4,FALSE))&lt;1,"",LEFT(RIGHT(VLOOKUP(AK26,suvaha!$D$92:$H$158,4,FALSE),1),1)))</f>
        <v>2</v>
      </c>
      <c r="CH28" s="308"/>
      <c r="CI28" s="302"/>
      <c r="CJ28" s="302"/>
    </row>
    <row r="29" spans="1:88" s="309" customFormat="1" ht="3" customHeight="1">
      <c r="A29" s="302"/>
      <c r="B29" s="302"/>
      <c r="C29" s="302"/>
      <c r="E29" s="991"/>
      <c r="F29" s="991"/>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3"/>
      <c r="AL29" s="993"/>
      <c r="AM29" s="993"/>
      <c r="AN29" s="363"/>
      <c r="AO29" s="365"/>
      <c r="AP29" s="365"/>
      <c r="AQ29" s="365"/>
      <c r="AR29" s="365"/>
      <c r="AS29" s="365"/>
      <c r="AT29" s="365"/>
      <c r="AU29" s="365"/>
      <c r="AV29" s="365"/>
      <c r="AW29" s="365"/>
      <c r="AX29" s="365"/>
      <c r="AY29" s="365"/>
      <c r="AZ29" s="365"/>
      <c r="BA29" s="365"/>
      <c r="BB29" s="365"/>
      <c r="BC29" s="365"/>
      <c r="BD29" s="365"/>
      <c r="BE29" s="310"/>
      <c r="BF29" s="310"/>
      <c r="BG29" s="310"/>
      <c r="BH29" s="310"/>
      <c r="BI29" s="310"/>
      <c r="BJ29" s="310"/>
      <c r="BK29" s="310"/>
      <c r="BL29" s="846"/>
      <c r="BM29" s="846"/>
      <c r="BN29" s="846"/>
      <c r="BO29" s="846"/>
      <c r="BP29" s="846"/>
      <c r="BQ29" s="846"/>
      <c r="BR29" s="846"/>
      <c r="BS29" s="846"/>
      <c r="BT29" s="846"/>
      <c r="BU29" s="846"/>
      <c r="BV29" s="846"/>
      <c r="BW29" s="846"/>
      <c r="BX29" s="846"/>
      <c r="BY29" s="846"/>
      <c r="BZ29" s="846"/>
      <c r="CA29" s="846"/>
      <c r="CB29" s="846"/>
      <c r="CC29" s="310"/>
      <c r="CD29" s="310"/>
      <c r="CE29" s="310"/>
      <c r="CF29" s="310"/>
      <c r="CG29" s="310"/>
      <c r="CH29" s="311"/>
      <c r="CI29" s="302"/>
      <c r="CJ29" s="302"/>
    </row>
    <row r="30" spans="1:88" s="307" customFormat="1" ht="3" customHeight="1">
      <c r="A30" s="302"/>
      <c r="B30" s="302"/>
      <c r="C30" s="303"/>
      <c r="D30" s="303"/>
      <c r="E30" s="991" t="s">
        <v>1691</v>
      </c>
      <c r="F30" s="991"/>
      <c r="G30" s="992" t="str">
        <f>Index!C174</f>
        <v>Záväzky z obchodného styku súčet (r. 124 až r. 126)</v>
      </c>
      <c r="H30" s="1048"/>
      <c r="I30" s="1048"/>
      <c r="J30" s="1048"/>
      <c r="K30" s="1048"/>
      <c r="L30" s="1048"/>
      <c r="M30" s="1048"/>
      <c r="N30" s="1048"/>
      <c r="O30" s="1048"/>
      <c r="P30" s="1048"/>
      <c r="Q30" s="1048"/>
      <c r="R30" s="1048"/>
      <c r="S30" s="1048"/>
      <c r="T30" s="1048"/>
      <c r="U30" s="1048"/>
      <c r="V30" s="1048"/>
      <c r="W30" s="1048"/>
      <c r="X30" s="1048"/>
      <c r="Y30" s="1048"/>
      <c r="Z30" s="1048"/>
      <c r="AA30" s="1048"/>
      <c r="AB30" s="1048"/>
      <c r="AC30" s="1048"/>
      <c r="AD30" s="1048"/>
      <c r="AE30" s="1048"/>
      <c r="AF30" s="1048"/>
      <c r="AG30" s="1048"/>
      <c r="AH30" s="1048"/>
      <c r="AI30" s="1048"/>
      <c r="AJ30" s="1048"/>
      <c r="AK30" s="993" t="s">
        <v>642</v>
      </c>
      <c r="AL30" s="993"/>
      <c r="AM30" s="993"/>
      <c r="AN30" s="364"/>
      <c r="AO30" s="366"/>
      <c r="AP30" s="366"/>
      <c r="AQ30" s="366"/>
      <c r="AR30" s="366"/>
      <c r="AS30" s="366"/>
      <c r="AT30" s="366"/>
      <c r="AU30" s="366"/>
      <c r="AV30" s="366"/>
      <c r="AW30" s="366"/>
      <c r="AX30" s="366"/>
      <c r="AY30" s="366"/>
      <c r="AZ30" s="366"/>
      <c r="BA30" s="366"/>
      <c r="BB30" s="366"/>
      <c r="BC30" s="366"/>
      <c r="BD30" s="366"/>
      <c r="BE30" s="304"/>
      <c r="BF30" s="304"/>
      <c r="BG30" s="304"/>
      <c r="BH30" s="304"/>
      <c r="BI30" s="304"/>
      <c r="BJ30" s="304"/>
      <c r="BK30" s="304"/>
      <c r="BL30" s="867"/>
      <c r="BM30" s="867"/>
      <c r="BN30" s="867"/>
      <c r="BO30" s="867"/>
      <c r="BP30" s="867"/>
      <c r="BQ30" s="867"/>
      <c r="BR30" s="867"/>
      <c r="BS30" s="867"/>
      <c r="BT30" s="867"/>
      <c r="BU30" s="867"/>
      <c r="BV30" s="867"/>
      <c r="BW30" s="867"/>
      <c r="BX30" s="867"/>
      <c r="BY30" s="867"/>
      <c r="BZ30" s="867"/>
      <c r="CA30" s="867"/>
      <c r="CB30" s="867"/>
      <c r="CC30" s="304"/>
      <c r="CD30" s="304"/>
      <c r="CE30" s="304"/>
      <c r="CF30" s="304"/>
      <c r="CG30" s="304"/>
      <c r="CH30" s="305"/>
      <c r="CI30" s="306"/>
      <c r="CJ30" s="306"/>
    </row>
    <row r="31" spans="1:88" s="307" customFormat="1" ht="3" customHeight="1">
      <c r="A31" s="302"/>
      <c r="B31" s="302"/>
      <c r="C31" s="302"/>
      <c r="D31" s="302"/>
      <c r="E31" s="991"/>
      <c r="F31" s="991"/>
      <c r="G31" s="1048"/>
      <c r="H31" s="1048"/>
      <c r="I31" s="1048"/>
      <c r="J31" s="1048"/>
      <c r="K31" s="1048"/>
      <c r="L31" s="1048"/>
      <c r="M31" s="1048"/>
      <c r="N31" s="1048"/>
      <c r="O31" s="1048"/>
      <c r="P31" s="1048"/>
      <c r="Q31" s="1048"/>
      <c r="R31" s="1048"/>
      <c r="S31" s="1048"/>
      <c r="T31" s="1048"/>
      <c r="U31" s="1048"/>
      <c r="V31" s="1048"/>
      <c r="W31" s="1048"/>
      <c r="X31" s="1048"/>
      <c r="Y31" s="1048"/>
      <c r="Z31" s="1048"/>
      <c r="AA31" s="1048"/>
      <c r="AB31" s="1048"/>
      <c r="AC31" s="1048"/>
      <c r="AD31" s="1048"/>
      <c r="AE31" s="1048"/>
      <c r="AF31" s="1048"/>
      <c r="AG31" s="1048"/>
      <c r="AH31" s="1048"/>
      <c r="AI31" s="1048"/>
      <c r="AJ31" s="1048"/>
      <c r="AK31" s="993"/>
      <c r="AL31" s="993"/>
      <c r="AM31" s="993"/>
      <c r="AN31" s="367"/>
      <c r="AO31" s="436"/>
      <c r="AP31" s="436"/>
      <c r="AQ31" s="436"/>
      <c r="AR31" s="435"/>
      <c r="AS31" s="433"/>
      <c r="AT31" s="433"/>
      <c r="AU31" s="433"/>
      <c r="AV31" s="433"/>
      <c r="AW31" s="433"/>
      <c r="AX31" s="434"/>
      <c r="AY31" s="1007"/>
      <c r="AZ31" s="1007"/>
      <c r="BA31" s="1007"/>
      <c r="BB31" s="1007"/>
      <c r="BC31" s="1007"/>
      <c r="BD31" s="1007"/>
      <c r="BE31" s="434"/>
      <c r="BF31" s="968"/>
      <c r="BG31" s="968"/>
      <c r="BH31" s="968"/>
      <c r="BI31" s="968"/>
      <c r="BJ31" s="968"/>
      <c r="BK31" s="851"/>
      <c r="BL31" s="826"/>
      <c r="BM31" s="820"/>
      <c r="BN31" s="820"/>
      <c r="BO31" s="820"/>
      <c r="BP31" s="435"/>
      <c r="BQ31" s="1007"/>
      <c r="BR31" s="1007"/>
      <c r="BS31" s="1007"/>
      <c r="BT31" s="1007"/>
      <c r="BU31" s="1007"/>
      <c r="BV31" s="1008"/>
      <c r="BW31" s="968"/>
      <c r="BX31" s="968"/>
      <c r="BY31" s="968"/>
      <c r="BZ31" s="968"/>
      <c r="CA31" s="968"/>
      <c r="CB31" s="1009"/>
      <c r="CC31" s="968"/>
      <c r="CD31" s="968"/>
      <c r="CE31" s="968"/>
      <c r="CF31" s="968"/>
      <c r="CG31" s="968"/>
      <c r="CH31" s="308"/>
      <c r="CI31" s="306"/>
      <c r="CJ31" s="306"/>
    </row>
    <row r="32" spans="1:88" s="309" customFormat="1" ht="15" customHeight="1">
      <c r="A32" s="302"/>
      <c r="B32" s="302"/>
      <c r="C32" s="302"/>
      <c r="E32" s="991"/>
      <c r="F32" s="991"/>
      <c r="G32" s="1048"/>
      <c r="H32" s="1048"/>
      <c r="I32" s="1048"/>
      <c r="J32" s="1048"/>
      <c r="K32" s="1048"/>
      <c r="L32" s="1048"/>
      <c r="M32" s="1048"/>
      <c r="N32" s="1048"/>
      <c r="O32" s="1048"/>
      <c r="P32" s="1048"/>
      <c r="Q32" s="1048"/>
      <c r="R32" s="1048"/>
      <c r="S32" s="1048"/>
      <c r="T32" s="1048"/>
      <c r="U32" s="1048"/>
      <c r="V32" s="1048"/>
      <c r="W32" s="1048"/>
      <c r="X32" s="1048"/>
      <c r="Y32" s="1048"/>
      <c r="Z32" s="1048"/>
      <c r="AA32" s="1048"/>
      <c r="AB32" s="1048"/>
      <c r="AC32" s="1048"/>
      <c r="AD32" s="1048"/>
      <c r="AE32" s="1048"/>
      <c r="AF32" s="1048"/>
      <c r="AG32" s="1048"/>
      <c r="AH32" s="1048"/>
      <c r="AI32" s="1048"/>
      <c r="AJ32" s="1048"/>
      <c r="AK32" s="993"/>
      <c r="AL32" s="993"/>
      <c r="AM32" s="993"/>
      <c r="AN32" s="367"/>
      <c r="AO32" s="432" t="str">
        <f>IF(LEN(VLOOKUP(AK30,suvaha!$D$92:$H$158,2,FALSE))&lt;11,"",LEFT(RIGHT(VLOOKUP(AK30,suvaha!$D$92:$H$158,2,FALSE),11),1))</f>
        <v/>
      </c>
      <c r="AP32" s="255"/>
      <c r="AQ32" s="432" t="str">
        <f>IF(LEN(VLOOKUP(AK30,suvaha!$D$92:$H$158,2,FALSE))&lt;10,"",LEFT(RIGHT(VLOOKUP(AK30,suvaha!$D$92:$H$158,2,FALSE),10),1))</f>
        <v/>
      </c>
      <c r="AR32" s="434"/>
      <c r="AS32" s="432" t="str">
        <f>IF(LEN(VLOOKUP(AK30,suvaha!$D$92:$H$158,2,FALSE))&lt;9,"",LEFT(RIGHT(VLOOKUP(AK30,suvaha!$D$92:$H$158,2,FALSE),9),1))</f>
        <v/>
      </c>
      <c r="AT32" s="255"/>
      <c r="AU32" s="432" t="str">
        <f>IF(LEN(VLOOKUP(AK30,suvaha!$D$92:$H$158,2,FALSE))&lt;8,"",LEFT(RIGHT(VLOOKUP(AK30,suvaha!$D$92:$H$158,2,FALSE),8),1))</f>
        <v/>
      </c>
      <c r="AV32" s="434"/>
      <c r="AW32" s="432" t="str">
        <f>IF(LEN(VLOOKUP(AK30,suvaha!$D$92:$H$158,2,FALSE))&lt;7,"",LEFT(RIGHT(VLOOKUP(AK30,suvaha!$D$92:$H$158,2,FALSE),7),1))</f>
        <v>1</v>
      </c>
      <c r="AX32" s="434"/>
      <c r="AY32" s="432" t="str">
        <f>IF(LEN(VLOOKUP(AK30,suvaha!$D$92:$H$158,2,FALSE))&lt;6,"",LEFT(RIGHT(VLOOKUP(AK30,suvaha!$D$92:$H$158,2,FALSE),6),1))</f>
        <v>3</v>
      </c>
      <c r="AZ32" s="255"/>
      <c r="BA32" s="961" t="str">
        <f>IF(LEN(VLOOKUP(AK30,suvaha!$D$92:$H$158,2,FALSE))&lt;5,"",LEFT(RIGHT(VLOOKUP(AK30,suvaha!$D$92:$H$158,2,FALSE),5),1))</f>
        <v>3</v>
      </c>
      <c r="BB32" s="961" t="e">
        <f>IF(LEN(#REF!)&lt;5,"",LEFT(RIGHT(#REF!,5),1))</f>
        <v>#REF!</v>
      </c>
      <c r="BC32" s="434"/>
      <c r="BD32" s="432" t="str">
        <f>IF(LEN(VLOOKUP(AK30,suvaha!$D$92:$H$158,2,FALSE))&lt;4,"",LEFT(RIGHT(VLOOKUP(AK30,suvaha!$D$92:$H$158,2,FALSE),4),1))</f>
        <v>0</v>
      </c>
      <c r="BE32" s="434"/>
      <c r="BF32" s="432" t="str">
        <f>IF(LEN(VLOOKUP(AK30,suvaha!$D$92:$H$158,2,FALSE))&lt;3,"",LEFT(RIGHT(VLOOKUP(AK30,suvaha!$D$92:$H$158,2,FALSE),3),1))</f>
        <v>6</v>
      </c>
      <c r="BG32" s="434"/>
      <c r="BH32" s="432" t="str">
        <f>IF(LEN(VLOOKUP(AK30,suvaha!$D$92:$H$158,2,FALSE))&lt;2,"",LEFT(RIGHT(VLOOKUP(AK30,suvaha!$D$92:$H$158,2,FALSE),2),1))</f>
        <v>3</v>
      </c>
      <c r="BI32" s="434"/>
      <c r="BJ32" s="432" t="str">
        <f>IF(VLOOKUP(AK30,suvaha!$D$92:$H$158,2,FALSE)=0,"",IF(LEN(VLOOKUP(AK30,suvaha!$D$92:$H$158,2,FALSE))&lt;1,"",LEFT(RIGHT(VLOOKUP(AK30,suvaha!$D$92:$H$158,2,FALSE),1),1)))</f>
        <v>7</v>
      </c>
      <c r="BK32" s="851"/>
      <c r="BL32" s="826"/>
      <c r="BM32" s="432" t="str">
        <f>IF(LEN(VLOOKUP(AK30,suvaha!$D$92:$H$158,4,FALSE))&lt;11,"",LEFT(RIGHT(VLOOKUP(AK30,suvaha!$D$92:$H$158,4,FALSE),11),1))</f>
        <v/>
      </c>
      <c r="BN32" s="255"/>
      <c r="BO32" s="432" t="str">
        <f>IF(LEN(VLOOKUP(AK30,suvaha!$D$92:$H$158,4,FALSE))&lt;10,"",LEFT(RIGHT(VLOOKUP(AK30,suvaha!$D$92:$H$158,4,FALSE),10),1))</f>
        <v/>
      </c>
      <c r="BP32" s="434"/>
      <c r="BQ32" s="432" t="str">
        <f>IF(LEN(VLOOKUP(AK30,suvaha!$D$92:$H$158,4,FALSE))&lt;9,"",LEFT(RIGHT(VLOOKUP(AK30,suvaha!$D$92:$H$158,4,FALSE),9),1))</f>
        <v/>
      </c>
      <c r="BR32" s="255"/>
      <c r="BS32" s="432" t="str">
        <f>IF(LEN(VLOOKUP(AK30,suvaha!$D$92:$H$158,4,FALSE))&lt;8,"",LEFT(RIGHT(VLOOKUP(AK30,suvaha!$D$92:$H$158,4,FALSE),8),1))</f>
        <v/>
      </c>
      <c r="BT32" s="434"/>
      <c r="BU32" s="432" t="str">
        <f>IF(LEN(VLOOKUP(AK30,suvaha!$D$92:$H$158,4,FALSE))&lt;7,"",LEFT(RIGHT(VLOOKUP(AK30,suvaha!$D$92:$H$158,4,FALSE),7),1))</f>
        <v>6</v>
      </c>
      <c r="BV32" s="1008"/>
      <c r="BW32" s="432" t="str">
        <f>IF(LEN(VLOOKUP(AK30,suvaha!$D$92:$H$158,4,FALSE))&lt;6,"",LEFT(RIGHT(VLOOKUP(AK30,suvaha!$D$92:$H$158,4,FALSE),6),1))</f>
        <v>3</v>
      </c>
      <c r="BX32" s="434"/>
      <c r="BY32" s="432" t="str">
        <f>IF(LEN(VLOOKUP(AK30,suvaha!$D$92:$H$158,4,FALSE))&lt;5,"",LEFT(RIGHT(VLOOKUP(AK30,suvaha!$D$92:$H$158,4,FALSE),5),1))</f>
        <v>9</v>
      </c>
      <c r="BZ32" s="434"/>
      <c r="CA32" s="432" t="str">
        <f>IF(LEN(VLOOKUP(AK30,suvaha!$D$92:$H$158,4,FALSE))&lt;4,"",LEFT(RIGHT(VLOOKUP(AK30,suvaha!$D$92:$H$158,4,FALSE),4),1))</f>
        <v>2</v>
      </c>
      <c r="CB32" s="1009"/>
      <c r="CC32" s="432" t="str">
        <f>IF(LEN(VLOOKUP(AK30,suvaha!$D$92:$H$158,4,FALSE))&lt;3,"",LEFT(RIGHT(VLOOKUP(AK30,suvaha!$D$92:$H$158,4,FALSE),3),1))</f>
        <v>5</v>
      </c>
      <c r="CD32" s="434"/>
      <c r="CE32" s="432" t="str">
        <f>IF(LEN(VLOOKUP(AK30,suvaha!$D$92:$H$158,4,FALSE))&lt;2,"",LEFT(RIGHT(VLOOKUP(AK30,suvaha!$D$92:$H$158,4,FALSE),2),1))</f>
        <v>0</v>
      </c>
      <c r="CF32" s="434"/>
      <c r="CG32" s="432" t="str">
        <f>IF(VLOOKUP(AK30,suvaha!$D$92:$H$158,4,FALSE)=0,"",IF(LEN(VLOOKUP(AK30,suvaha!$D$92:$H$158,4,FALSE))&lt;1,"",LEFT(RIGHT(VLOOKUP(AK30,suvaha!$D$92:$H$158,4,FALSE),1),1)))</f>
        <v>2</v>
      </c>
      <c r="CH32" s="308"/>
      <c r="CI32" s="302"/>
      <c r="CJ32" s="302"/>
    </row>
    <row r="33" spans="1:88" s="309" customFormat="1" ht="3" customHeight="1">
      <c r="A33" s="302"/>
      <c r="B33" s="302"/>
      <c r="C33" s="302"/>
      <c r="E33" s="991"/>
      <c r="F33" s="991"/>
      <c r="G33" s="1048"/>
      <c r="H33" s="1048"/>
      <c r="I33" s="1048"/>
      <c r="J33" s="1048"/>
      <c r="K33" s="1048"/>
      <c r="L33" s="1048"/>
      <c r="M33" s="1048"/>
      <c r="N33" s="1048"/>
      <c r="O33" s="1048"/>
      <c r="P33" s="1048"/>
      <c r="Q33" s="1048"/>
      <c r="R33" s="1048"/>
      <c r="S33" s="1048"/>
      <c r="T33" s="1048"/>
      <c r="U33" s="1048"/>
      <c r="V33" s="1048"/>
      <c r="W33" s="1048"/>
      <c r="X33" s="1048"/>
      <c r="Y33" s="1048"/>
      <c r="Z33" s="1048"/>
      <c r="AA33" s="1048"/>
      <c r="AB33" s="1048"/>
      <c r="AC33" s="1048"/>
      <c r="AD33" s="1048"/>
      <c r="AE33" s="1048"/>
      <c r="AF33" s="1048"/>
      <c r="AG33" s="1048"/>
      <c r="AH33" s="1048"/>
      <c r="AI33" s="1048"/>
      <c r="AJ33" s="1048"/>
      <c r="AK33" s="993"/>
      <c r="AL33" s="993"/>
      <c r="AM33" s="993"/>
      <c r="AN33" s="363"/>
      <c r="AO33" s="365"/>
      <c r="AP33" s="365"/>
      <c r="AQ33" s="365"/>
      <c r="AR33" s="365"/>
      <c r="AS33" s="365"/>
      <c r="AT33" s="365"/>
      <c r="AU33" s="365"/>
      <c r="AV33" s="365"/>
      <c r="AW33" s="365"/>
      <c r="AX33" s="365"/>
      <c r="AY33" s="365"/>
      <c r="AZ33" s="365"/>
      <c r="BA33" s="365"/>
      <c r="BB33" s="365"/>
      <c r="BC33" s="365"/>
      <c r="BD33" s="365"/>
      <c r="BE33" s="310"/>
      <c r="BF33" s="310"/>
      <c r="BG33" s="310"/>
      <c r="BH33" s="310"/>
      <c r="BI33" s="310"/>
      <c r="BJ33" s="310"/>
      <c r="BK33" s="310"/>
      <c r="BL33" s="846"/>
      <c r="BM33" s="846"/>
      <c r="BN33" s="846"/>
      <c r="BO33" s="846"/>
      <c r="BP33" s="846"/>
      <c r="BQ33" s="846"/>
      <c r="BR33" s="846"/>
      <c r="BS33" s="846"/>
      <c r="BT33" s="846"/>
      <c r="BU33" s="846"/>
      <c r="BV33" s="846"/>
      <c r="BW33" s="846"/>
      <c r="BX33" s="846"/>
      <c r="BY33" s="846"/>
      <c r="BZ33" s="846"/>
      <c r="CA33" s="846"/>
      <c r="CB33" s="846"/>
      <c r="CC33" s="310"/>
      <c r="CD33" s="310"/>
      <c r="CE33" s="310"/>
      <c r="CF33" s="310"/>
      <c r="CG33" s="310"/>
      <c r="CH33" s="311"/>
      <c r="CI33" s="302"/>
      <c r="CJ33" s="302"/>
    </row>
    <row r="34" spans="1:88" s="250" customFormat="1" ht="3" customHeight="1">
      <c r="A34" s="220"/>
      <c r="B34" s="220"/>
      <c r="C34" s="224"/>
      <c r="D34" s="224"/>
      <c r="E34" s="983" t="s">
        <v>1596</v>
      </c>
      <c r="F34" s="983"/>
      <c r="G34" s="1006" t="str">
        <f>Index!C175</f>
        <v>Záväzky z obchodného styku voči prepojeným účtovným jednotkám (321A, 322A, 324A, 325A, 326A, 32XA, 475A, 476A, 478A, 47XA)</v>
      </c>
      <c r="H34" s="1047"/>
      <c r="I34" s="1047"/>
      <c r="J34" s="1047"/>
      <c r="K34" s="1047"/>
      <c r="L34" s="1047"/>
      <c r="M34" s="1047"/>
      <c r="N34" s="1047"/>
      <c r="O34" s="1047"/>
      <c r="P34" s="1047"/>
      <c r="Q34" s="1047"/>
      <c r="R34" s="1047"/>
      <c r="S34" s="1047"/>
      <c r="T34" s="1047"/>
      <c r="U34" s="1047"/>
      <c r="V34" s="1047"/>
      <c r="W34" s="1047"/>
      <c r="X34" s="1047"/>
      <c r="Y34" s="1047"/>
      <c r="Z34" s="1047"/>
      <c r="AA34" s="1047"/>
      <c r="AB34" s="1047"/>
      <c r="AC34" s="1047"/>
      <c r="AD34" s="1047"/>
      <c r="AE34" s="1047"/>
      <c r="AF34" s="1047"/>
      <c r="AG34" s="1047"/>
      <c r="AH34" s="1047"/>
      <c r="AI34" s="1047"/>
      <c r="AJ34" s="1047"/>
      <c r="AK34" s="973" t="s">
        <v>644</v>
      </c>
      <c r="AL34" s="973"/>
      <c r="AM34" s="973"/>
      <c r="AN34" s="357"/>
      <c r="AO34" s="366"/>
      <c r="AP34" s="366"/>
      <c r="AQ34" s="366"/>
      <c r="AR34" s="366"/>
      <c r="AS34" s="366"/>
      <c r="AT34" s="366"/>
      <c r="AU34" s="366"/>
      <c r="AV34" s="366"/>
      <c r="AW34" s="366"/>
      <c r="AX34" s="366"/>
      <c r="AY34" s="366"/>
      <c r="AZ34" s="366"/>
      <c r="BA34" s="366"/>
      <c r="BB34" s="366"/>
      <c r="BC34" s="366"/>
      <c r="BD34" s="366"/>
      <c r="BE34" s="304"/>
      <c r="BF34" s="304"/>
      <c r="BG34" s="304"/>
      <c r="BH34" s="304"/>
      <c r="BI34" s="304"/>
      <c r="BJ34" s="304"/>
      <c r="BK34" s="304"/>
      <c r="BL34" s="867"/>
      <c r="BM34" s="867"/>
      <c r="BN34" s="867"/>
      <c r="BO34" s="867"/>
      <c r="BP34" s="867"/>
      <c r="BQ34" s="867"/>
      <c r="BR34" s="867"/>
      <c r="BS34" s="867"/>
      <c r="BT34" s="867"/>
      <c r="BU34" s="867"/>
      <c r="BV34" s="867"/>
      <c r="BW34" s="867"/>
      <c r="BX34" s="867"/>
      <c r="BY34" s="867"/>
      <c r="BZ34" s="867"/>
      <c r="CA34" s="867"/>
      <c r="CB34" s="867"/>
      <c r="CC34" s="304"/>
      <c r="CD34" s="304"/>
      <c r="CE34" s="304"/>
      <c r="CF34" s="304"/>
      <c r="CG34" s="304"/>
      <c r="CH34" s="284"/>
      <c r="CI34" s="288"/>
      <c r="CJ34" s="288"/>
    </row>
    <row r="35" spans="1:88" s="250" customFormat="1" ht="3" customHeight="1">
      <c r="A35" s="220"/>
      <c r="B35" s="220"/>
      <c r="C35" s="220"/>
      <c r="D35" s="220"/>
      <c r="E35" s="983"/>
      <c r="F35" s="983"/>
      <c r="G35" s="1047"/>
      <c r="H35" s="1047"/>
      <c r="I35" s="1047"/>
      <c r="J35" s="1047"/>
      <c r="K35" s="1047"/>
      <c r="L35" s="1047"/>
      <c r="M35" s="1047"/>
      <c r="N35" s="1047"/>
      <c r="O35" s="1047"/>
      <c r="P35" s="1047"/>
      <c r="Q35" s="1047"/>
      <c r="R35" s="1047"/>
      <c r="S35" s="1047"/>
      <c r="T35" s="1047"/>
      <c r="U35" s="1047"/>
      <c r="V35" s="1047"/>
      <c r="W35" s="1047"/>
      <c r="X35" s="1047"/>
      <c r="Y35" s="1047"/>
      <c r="Z35" s="1047"/>
      <c r="AA35" s="1047"/>
      <c r="AB35" s="1047"/>
      <c r="AC35" s="1047"/>
      <c r="AD35" s="1047"/>
      <c r="AE35" s="1047"/>
      <c r="AF35" s="1047"/>
      <c r="AG35" s="1047"/>
      <c r="AH35" s="1047"/>
      <c r="AI35" s="1047"/>
      <c r="AJ35" s="1047"/>
      <c r="AK35" s="973"/>
      <c r="AL35" s="973"/>
      <c r="AM35" s="973"/>
      <c r="AN35" s="355"/>
      <c r="AO35" s="436"/>
      <c r="AP35" s="436"/>
      <c r="AQ35" s="436"/>
      <c r="AR35" s="435"/>
      <c r="AS35" s="439"/>
      <c r="AT35" s="439"/>
      <c r="AU35" s="439"/>
      <c r="AV35" s="439"/>
      <c r="AW35" s="439"/>
      <c r="AX35" s="440"/>
      <c r="AY35" s="821"/>
      <c r="AZ35" s="821"/>
      <c r="BA35" s="821"/>
      <c r="BB35" s="821"/>
      <c r="BC35" s="821"/>
      <c r="BD35" s="821"/>
      <c r="BE35" s="434"/>
      <c r="BF35" s="968"/>
      <c r="BG35" s="968"/>
      <c r="BH35" s="968"/>
      <c r="BI35" s="968"/>
      <c r="BJ35" s="968"/>
      <c r="BK35" s="851"/>
      <c r="BL35" s="826"/>
      <c r="BM35" s="820"/>
      <c r="BN35" s="820"/>
      <c r="BO35" s="820"/>
      <c r="BP35" s="435"/>
      <c r="BQ35" s="821"/>
      <c r="BR35" s="821"/>
      <c r="BS35" s="821"/>
      <c r="BT35" s="821"/>
      <c r="BU35" s="821"/>
      <c r="BV35" s="818"/>
      <c r="BW35" s="822"/>
      <c r="BX35" s="822"/>
      <c r="BY35" s="822"/>
      <c r="BZ35" s="822"/>
      <c r="CA35" s="822"/>
      <c r="CB35" s="819"/>
      <c r="CC35" s="822"/>
      <c r="CD35" s="822"/>
      <c r="CE35" s="822"/>
      <c r="CF35" s="822"/>
      <c r="CG35" s="822"/>
      <c r="CH35" s="285"/>
      <c r="CI35" s="288"/>
      <c r="CJ35" s="288"/>
    </row>
    <row r="36" spans="1:88" ht="15" customHeight="1">
      <c r="E36" s="983"/>
      <c r="F36" s="983"/>
      <c r="G36" s="1047"/>
      <c r="H36" s="1047"/>
      <c r="I36" s="1047"/>
      <c r="J36" s="1047"/>
      <c r="K36" s="1047"/>
      <c r="L36" s="1047"/>
      <c r="M36" s="1047"/>
      <c r="N36" s="1047"/>
      <c r="O36" s="1047"/>
      <c r="P36" s="1047"/>
      <c r="Q36" s="1047"/>
      <c r="R36" s="1047"/>
      <c r="S36" s="1047"/>
      <c r="T36" s="1047"/>
      <c r="U36" s="1047"/>
      <c r="V36" s="1047"/>
      <c r="W36" s="1047"/>
      <c r="X36" s="1047"/>
      <c r="Y36" s="1047"/>
      <c r="Z36" s="1047"/>
      <c r="AA36" s="1047"/>
      <c r="AB36" s="1047"/>
      <c r="AC36" s="1047"/>
      <c r="AD36" s="1047"/>
      <c r="AE36" s="1047"/>
      <c r="AF36" s="1047"/>
      <c r="AG36" s="1047"/>
      <c r="AH36" s="1047"/>
      <c r="AI36" s="1047"/>
      <c r="AJ36" s="1047"/>
      <c r="AK36" s="973"/>
      <c r="AL36" s="973"/>
      <c r="AM36" s="973"/>
      <c r="AN36" s="355"/>
      <c r="AO36" s="432" t="str">
        <f>IF(LEN(VLOOKUP(AK34,suvaha!$D$92:$H$158,2,FALSE))&lt;11,"",LEFT(RIGHT(VLOOKUP(AK34,suvaha!$D$92:$H$158,2,FALSE),11),1))</f>
        <v/>
      </c>
      <c r="AP36" s="255"/>
      <c r="AQ36" s="432" t="str">
        <f>IF(LEN(VLOOKUP(AK34,suvaha!$D$92:$H$158,2,FALSE))&lt;10,"",LEFT(RIGHT(VLOOKUP(AK34,suvaha!$D$92:$H$158,2,FALSE),10),1))</f>
        <v/>
      </c>
      <c r="AR36" s="434"/>
      <c r="AS36" s="432" t="str">
        <f>IF(LEN(VLOOKUP(AK34,suvaha!$D$92:$H$158,2,FALSE))&lt;9,"",LEFT(RIGHT(VLOOKUP(AK34,suvaha!$D$92:$H$158,2,FALSE),9),1))</f>
        <v/>
      </c>
      <c r="AT36" s="255"/>
      <c r="AU36" s="432" t="str">
        <f>IF(LEN(VLOOKUP(AK34,suvaha!$D$92:$H$158,2,FALSE))&lt;8,"",LEFT(RIGHT(VLOOKUP(AK34,suvaha!$D$92:$H$158,2,FALSE),8),1))</f>
        <v/>
      </c>
      <c r="AV36" s="434"/>
      <c r="AW36" s="432" t="str">
        <f>IF(LEN(VLOOKUP(AK34,suvaha!$D$92:$H$158,2,FALSE))&lt;7,"",LEFT(RIGHT(VLOOKUP(AK34,suvaha!$D$92:$H$158,2,FALSE),7),1))</f>
        <v>1</v>
      </c>
      <c r="AX36" s="440"/>
      <c r="AY36" s="432" t="str">
        <f>IF(LEN(VLOOKUP(AK34,suvaha!$D$92:$H$158,2,FALSE))&lt;6,"",LEFT(RIGHT(VLOOKUP(AK34,suvaha!$D$92:$H$158,2,FALSE),6),1))</f>
        <v>0</v>
      </c>
      <c r="AZ36" s="255"/>
      <c r="BA36" s="961" t="str">
        <f>IF(LEN(VLOOKUP(AK34,suvaha!$D$92:$H$158,2,FALSE))&lt;5,"",LEFT(RIGHT(VLOOKUP(AK34,suvaha!$D$92:$H$158,2,FALSE),5),1))</f>
        <v>1</v>
      </c>
      <c r="BB36" s="961" t="e">
        <f>IF(LEN(#REF!)&lt;5,"",LEFT(RIGHT(#REF!,5),1))</f>
        <v>#REF!</v>
      </c>
      <c r="BC36" s="434"/>
      <c r="BD36" s="432" t="str">
        <f>IF(LEN(VLOOKUP(AK34,suvaha!$D$92:$H$158,2,FALSE))&lt;4,"",LEFT(RIGHT(VLOOKUP(AK34,suvaha!$D$92:$H$158,2,FALSE),4),1))</f>
        <v>1</v>
      </c>
      <c r="BE36" s="434"/>
      <c r="BF36" s="432" t="str">
        <f>IF(LEN(VLOOKUP(AK34,suvaha!$D$92:$H$158,2,FALSE))&lt;3,"",LEFT(RIGHT(VLOOKUP(AK34,suvaha!$D$92:$H$158,2,FALSE),3),1))</f>
        <v>7</v>
      </c>
      <c r="BG36" s="434"/>
      <c r="BH36" s="432" t="str">
        <f>IF(LEN(VLOOKUP(AK34,suvaha!$D$92:$H$158,2,FALSE))&lt;2,"",LEFT(RIGHT(VLOOKUP(AK34,suvaha!$D$92:$H$158,2,FALSE),2),1))</f>
        <v>8</v>
      </c>
      <c r="BI36" s="434"/>
      <c r="BJ36" s="432" t="str">
        <f>IF(VLOOKUP(AK34,suvaha!$D$92:$H$158,2,FALSE)=0,"",IF(LEN(VLOOKUP(AK34,suvaha!$D$92:$H$158,2,FALSE))&lt;1,"",LEFT(RIGHT(VLOOKUP(AK34,suvaha!$D$92:$H$158,2,FALSE),1),1)))</f>
        <v>0</v>
      </c>
      <c r="BK36" s="851"/>
      <c r="BL36" s="826"/>
      <c r="BM36" s="432" t="str">
        <f>IF(LEN(VLOOKUP(AK34,suvaha!$D$92:$H$158,4,FALSE))&lt;11,"",LEFT(RIGHT(VLOOKUP(AK34,suvaha!$D$92:$H$158,4,FALSE),11),1))</f>
        <v/>
      </c>
      <c r="BN36" s="255"/>
      <c r="BO36" s="432" t="str">
        <f>IF(LEN(VLOOKUP(AK34,suvaha!$D$92:$H$158,4,FALSE))&lt;10,"",LEFT(RIGHT(VLOOKUP(AK34,suvaha!$D$92:$H$158,4,FALSE),10),1))</f>
        <v/>
      </c>
      <c r="BP36" s="434"/>
      <c r="BQ36" s="432" t="str">
        <f>IF(LEN(VLOOKUP(AK34,suvaha!$D$92:$H$158,4,FALSE))&lt;9,"",LEFT(RIGHT(VLOOKUP(AK34,suvaha!$D$92:$H$158,4,FALSE),9),1))</f>
        <v/>
      </c>
      <c r="BR36" s="255"/>
      <c r="BS36" s="432" t="str">
        <f>IF(LEN(VLOOKUP(AK34,suvaha!$D$92:$H$158,4,FALSE))&lt;8,"",LEFT(RIGHT(VLOOKUP(AK34,suvaha!$D$92:$H$158,4,FALSE),8),1))</f>
        <v/>
      </c>
      <c r="BT36" s="434"/>
      <c r="BU36" s="432" t="str">
        <f>IF(LEN(VLOOKUP(AK34,suvaha!$D$92:$H$158,4,FALSE))&lt;7,"",LEFT(RIGHT(VLOOKUP(AK34,suvaha!$D$92:$H$158,4,FALSE),7),1))</f>
        <v>2</v>
      </c>
      <c r="BV36" s="818"/>
      <c r="BW36" s="432" t="str">
        <f>IF(LEN(VLOOKUP(AK34,suvaha!$D$92:$H$158,4,FALSE))&lt;6,"",LEFT(RIGHT(VLOOKUP(AK34,suvaha!$D$92:$H$158,4,FALSE),6),1))</f>
        <v>5</v>
      </c>
      <c r="BX36" s="434"/>
      <c r="BY36" s="432" t="str">
        <f>IF(LEN(VLOOKUP(AK34,suvaha!$D$92:$H$158,4,FALSE))&lt;5,"",LEFT(RIGHT(VLOOKUP(AK34,suvaha!$D$92:$H$158,4,FALSE),5),1))</f>
        <v>8</v>
      </c>
      <c r="BZ36" s="434"/>
      <c r="CA36" s="432" t="str">
        <f>IF(LEN(VLOOKUP(AK34,suvaha!$D$92:$H$158,4,FALSE))&lt;4,"",LEFT(RIGHT(VLOOKUP(AK34,suvaha!$D$92:$H$158,4,FALSE),4),1))</f>
        <v>4</v>
      </c>
      <c r="CB36" s="819"/>
      <c r="CC36" s="432" t="str">
        <f>IF(LEN(VLOOKUP(AK34,suvaha!$D$92:$H$158,4,FALSE))&lt;3,"",LEFT(RIGHT(VLOOKUP(AK34,suvaha!$D$92:$H$158,4,FALSE),3),1))</f>
        <v>3</v>
      </c>
      <c r="CD36" s="434"/>
      <c r="CE36" s="432" t="str">
        <f>IF(LEN(VLOOKUP(AK34,suvaha!$D$92:$H$158,4,FALSE))&lt;2,"",LEFT(RIGHT(VLOOKUP(AK34,suvaha!$D$92:$H$158,4,FALSE),2),1))</f>
        <v>3</v>
      </c>
      <c r="CF36" s="434"/>
      <c r="CG36" s="432" t="str">
        <f>IF(VLOOKUP(AK34,suvaha!$D$92:$H$158,4,FALSE)=0,"",IF(LEN(VLOOKUP(AK34,suvaha!$D$92:$H$158,4,FALSE))&lt;1,"",LEFT(RIGHT(VLOOKUP(AK34,suvaha!$D$92:$H$158,4,FALSE),1),1)))</f>
        <v>0</v>
      </c>
      <c r="CH36" s="285"/>
      <c r="CI36" s="220"/>
      <c r="CJ36" s="220"/>
    </row>
    <row r="37" spans="1:88">
      <c r="E37" s="983"/>
      <c r="F37" s="983"/>
      <c r="G37" s="1047"/>
      <c r="H37" s="1047"/>
      <c r="I37" s="1047"/>
      <c r="J37" s="1047"/>
      <c r="K37" s="1047"/>
      <c r="L37" s="1047"/>
      <c r="M37" s="1047"/>
      <c r="N37" s="1047"/>
      <c r="O37" s="1047"/>
      <c r="P37" s="1047"/>
      <c r="Q37" s="1047"/>
      <c r="R37" s="1047"/>
      <c r="S37" s="1047"/>
      <c r="T37" s="1047"/>
      <c r="U37" s="1047"/>
      <c r="V37" s="1047"/>
      <c r="W37" s="1047"/>
      <c r="X37" s="1047"/>
      <c r="Y37" s="1047"/>
      <c r="Z37" s="1047"/>
      <c r="AA37" s="1047"/>
      <c r="AB37" s="1047"/>
      <c r="AC37" s="1047"/>
      <c r="AD37" s="1047"/>
      <c r="AE37" s="1047"/>
      <c r="AF37" s="1047"/>
      <c r="AG37" s="1047"/>
      <c r="AH37" s="1047"/>
      <c r="AI37" s="1047"/>
      <c r="AJ37" s="1047"/>
      <c r="AK37" s="973"/>
      <c r="AL37" s="973"/>
      <c r="AM37" s="973"/>
      <c r="AN37" s="358"/>
      <c r="AO37" s="365"/>
      <c r="AP37" s="365"/>
      <c r="AQ37" s="365"/>
      <c r="AR37" s="365"/>
      <c r="AS37" s="365"/>
      <c r="AT37" s="365"/>
      <c r="AU37" s="365"/>
      <c r="AV37" s="365"/>
      <c r="AW37" s="365"/>
      <c r="AX37" s="365"/>
      <c r="AY37" s="365"/>
      <c r="AZ37" s="365"/>
      <c r="BA37" s="365"/>
      <c r="BB37" s="365"/>
      <c r="BC37" s="365"/>
      <c r="BD37" s="365"/>
      <c r="BE37" s="310"/>
      <c r="BF37" s="310"/>
      <c r="BG37" s="310"/>
      <c r="BH37" s="310"/>
      <c r="BI37" s="310"/>
      <c r="BJ37" s="310"/>
      <c r="BK37" s="310"/>
      <c r="BL37" s="846"/>
      <c r="BM37" s="846"/>
      <c r="BN37" s="846"/>
      <c r="BO37" s="846"/>
      <c r="BP37" s="846"/>
      <c r="BQ37" s="846"/>
      <c r="BR37" s="846"/>
      <c r="BS37" s="846"/>
      <c r="BT37" s="846"/>
      <c r="BU37" s="846"/>
      <c r="BV37" s="846"/>
      <c r="BW37" s="846"/>
      <c r="BX37" s="846"/>
      <c r="BY37" s="846"/>
      <c r="BZ37" s="846"/>
      <c r="CA37" s="846"/>
      <c r="CB37" s="846"/>
      <c r="CC37" s="310"/>
      <c r="CD37" s="310"/>
      <c r="CE37" s="310"/>
      <c r="CF37" s="310"/>
      <c r="CG37" s="310"/>
      <c r="CH37" s="286"/>
      <c r="CI37" s="220"/>
      <c r="CJ37" s="220"/>
    </row>
    <row r="38" spans="1:88" s="250" customFormat="1" ht="3" customHeight="1">
      <c r="A38" s="312"/>
      <c r="B38" s="312"/>
      <c r="C38" s="224"/>
      <c r="D38" s="224"/>
      <c r="E38" s="983" t="s">
        <v>1598</v>
      </c>
      <c r="F38" s="983"/>
      <c r="G38" s="1045" t="str">
        <f>Index!C176</f>
        <v>Záväzky z obchodného styku v rámci podielovej účasti okrem záväzkov voči prepojeným účtovným jednotkám (321A, 322A, 324A, 325A, 326A, 32XA, 475A, 476A, 478A, 47XA)</v>
      </c>
      <c r="H38" s="1046"/>
      <c r="I38" s="1046"/>
      <c r="J38" s="1046"/>
      <c r="K38" s="1046"/>
      <c r="L38" s="1046"/>
      <c r="M38" s="1046"/>
      <c r="N38" s="1046"/>
      <c r="O38" s="1046"/>
      <c r="P38" s="1046"/>
      <c r="Q38" s="1046"/>
      <c r="R38" s="1046"/>
      <c r="S38" s="1046"/>
      <c r="T38" s="1046"/>
      <c r="U38" s="1046"/>
      <c r="V38" s="1046"/>
      <c r="W38" s="1046"/>
      <c r="X38" s="1046"/>
      <c r="Y38" s="1046"/>
      <c r="Z38" s="1046"/>
      <c r="AA38" s="1046"/>
      <c r="AB38" s="1046"/>
      <c r="AC38" s="1046"/>
      <c r="AD38" s="1046"/>
      <c r="AE38" s="1046"/>
      <c r="AF38" s="1046"/>
      <c r="AG38" s="1046"/>
      <c r="AH38" s="1046"/>
      <c r="AI38" s="1046"/>
      <c r="AJ38" s="1046"/>
      <c r="AK38" s="1014" t="s">
        <v>646</v>
      </c>
      <c r="AL38" s="1014"/>
      <c r="AM38" s="1014"/>
      <c r="AN38" s="357"/>
      <c r="AO38" s="366"/>
      <c r="AP38" s="366"/>
      <c r="AQ38" s="366"/>
      <c r="AR38" s="366"/>
      <c r="AS38" s="366"/>
      <c r="AT38" s="366"/>
      <c r="AU38" s="366"/>
      <c r="AV38" s="366"/>
      <c r="AW38" s="366"/>
      <c r="AX38" s="366"/>
      <c r="AY38" s="366"/>
      <c r="AZ38" s="366"/>
      <c r="BA38" s="366"/>
      <c r="BB38" s="366"/>
      <c r="BC38" s="366"/>
      <c r="BD38" s="366"/>
      <c r="BE38" s="304"/>
      <c r="BF38" s="304"/>
      <c r="BG38" s="304"/>
      <c r="BH38" s="304"/>
      <c r="BI38" s="304"/>
      <c r="BJ38" s="304"/>
      <c r="BK38" s="304"/>
      <c r="BL38" s="867"/>
      <c r="BM38" s="867"/>
      <c r="BN38" s="867"/>
      <c r="BO38" s="867"/>
      <c r="BP38" s="867"/>
      <c r="BQ38" s="867"/>
      <c r="BR38" s="867"/>
      <c r="BS38" s="867"/>
      <c r="BT38" s="867"/>
      <c r="BU38" s="867"/>
      <c r="BV38" s="867"/>
      <c r="BW38" s="867"/>
      <c r="BX38" s="867"/>
      <c r="BY38" s="867"/>
      <c r="BZ38" s="867"/>
      <c r="CA38" s="867"/>
      <c r="CB38" s="867"/>
      <c r="CC38" s="304"/>
      <c r="CD38" s="304"/>
      <c r="CE38" s="304"/>
      <c r="CF38" s="304"/>
      <c r="CG38" s="304"/>
      <c r="CH38" s="284"/>
      <c r="CI38" s="288"/>
      <c r="CJ38" s="288"/>
    </row>
    <row r="39" spans="1:88" s="250" customFormat="1" ht="3" customHeight="1">
      <c r="A39" s="312"/>
      <c r="B39" s="312"/>
      <c r="C39" s="312"/>
      <c r="D39" s="312"/>
      <c r="E39" s="983"/>
      <c r="F39" s="983"/>
      <c r="G39" s="1046"/>
      <c r="H39" s="1046"/>
      <c r="I39" s="1046"/>
      <c r="J39" s="1046"/>
      <c r="K39" s="1046"/>
      <c r="L39" s="1046"/>
      <c r="M39" s="1046"/>
      <c r="N39" s="1046"/>
      <c r="O39" s="1046"/>
      <c r="P39" s="1046"/>
      <c r="Q39" s="1046"/>
      <c r="R39" s="1046"/>
      <c r="S39" s="1046"/>
      <c r="T39" s="1046"/>
      <c r="U39" s="1046"/>
      <c r="V39" s="1046"/>
      <c r="W39" s="1046"/>
      <c r="X39" s="1046"/>
      <c r="Y39" s="1046"/>
      <c r="Z39" s="1046"/>
      <c r="AA39" s="1046"/>
      <c r="AB39" s="1046"/>
      <c r="AC39" s="1046"/>
      <c r="AD39" s="1046"/>
      <c r="AE39" s="1046"/>
      <c r="AF39" s="1046"/>
      <c r="AG39" s="1046"/>
      <c r="AH39" s="1046"/>
      <c r="AI39" s="1046"/>
      <c r="AJ39" s="1046"/>
      <c r="AK39" s="1014"/>
      <c r="AL39" s="1014"/>
      <c r="AM39" s="1014"/>
      <c r="AN39" s="355"/>
      <c r="AO39" s="436"/>
      <c r="AP39" s="436"/>
      <c r="AQ39" s="436"/>
      <c r="AR39" s="435"/>
      <c r="AS39" s="433"/>
      <c r="AT39" s="433"/>
      <c r="AU39" s="433"/>
      <c r="AV39" s="433"/>
      <c r="AW39" s="433"/>
      <c r="AX39" s="434"/>
      <c r="AY39" s="1007"/>
      <c r="AZ39" s="1007"/>
      <c r="BA39" s="1007"/>
      <c r="BB39" s="1007"/>
      <c r="BC39" s="1007"/>
      <c r="BD39" s="1007"/>
      <c r="BE39" s="434"/>
      <c r="BF39" s="968"/>
      <c r="BG39" s="968"/>
      <c r="BH39" s="968"/>
      <c r="BI39" s="968"/>
      <c r="BJ39" s="968"/>
      <c r="BK39" s="851"/>
      <c r="BL39" s="826"/>
      <c r="BM39" s="820"/>
      <c r="BN39" s="820"/>
      <c r="BO39" s="820"/>
      <c r="BP39" s="435"/>
      <c r="BQ39" s="1007"/>
      <c r="BR39" s="1007"/>
      <c r="BS39" s="1007"/>
      <c r="BT39" s="1007"/>
      <c r="BU39" s="1007"/>
      <c r="BV39" s="1008"/>
      <c r="BW39" s="968"/>
      <c r="BX39" s="968"/>
      <c r="BY39" s="968"/>
      <c r="BZ39" s="968"/>
      <c r="CA39" s="968"/>
      <c r="CB39" s="1009"/>
      <c r="CC39" s="968"/>
      <c r="CD39" s="968"/>
      <c r="CE39" s="968"/>
      <c r="CF39" s="968"/>
      <c r="CG39" s="968"/>
      <c r="CH39" s="285"/>
      <c r="CI39" s="288"/>
      <c r="CJ39" s="288"/>
    </row>
    <row r="40" spans="1:88" s="313" customFormat="1" ht="15" customHeight="1">
      <c r="A40" s="312"/>
      <c r="B40" s="312"/>
      <c r="C40" s="312"/>
      <c r="E40" s="983"/>
      <c r="F40" s="983"/>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46"/>
      <c r="AG40" s="1046"/>
      <c r="AH40" s="1046"/>
      <c r="AI40" s="1046"/>
      <c r="AJ40" s="1046"/>
      <c r="AK40" s="1014"/>
      <c r="AL40" s="1014"/>
      <c r="AM40" s="1014"/>
      <c r="AN40" s="355"/>
      <c r="AO40" s="432" t="str">
        <f>IF(LEN(VLOOKUP(AK38,suvaha!$D$92:$H$158,2,FALSE))&lt;11,"",LEFT(RIGHT(VLOOKUP(AK38,suvaha!$D$92:$H$158,2,FALSE),11),1))</f>
        <v/>
      </c>
      <c r="AP40" s="255"/>
      <c r="AQ40" s="432" t="str">
        <f>IF(LEN(VLOOKUP(AK38,suvaha!$D$92:$H$158,2,FALSE))&lt;10,"",LEFT(RIGHT(VLOOKUP(AK38,suvaha!$D$92:$H$158,2,FALSE),10),1))</f>
        <v/>
      </c>
      <c r="AR40" s="434"/>
      <c r="AS40" s="432" t="str">
        <f>IF(LEN(VLOOKUP(AK38,suvaha!$D$92:$H$158,2,FALSE))&lt;9,"",LEFT(RIGHT(VLOOKUP(AK38,suvaha!$D$92:$H$158,2,FALSE),9),1))</f>
        <v/>
      </c>
      <c r="AT40" s="255"/>
      <c r="AU40" s="432" t="str">
        <f>IF(LEN(VLOOKUP(AK38,suvaha!$D$92:$H$158,2,FALSE))&lt;8,"",LEFT(RIGHT(VLOOKUP(AK38,suvaha!$D$92:$H$158,2,FALSE),8),1))</f>
        <v/>
      </c>
      <c r="AV40" s="434"/>
      <c r="AW40" s="432" t="str">
        <f>IF(LEN(VLOOKUP(AK38,suvaha!$D$92:$H$158,2,FALSE))&lt;7,"",LEFT(RIGHT(VLOOKUP(AK38,suvaha!$D$92:$H$158,2,FALSE),7),1))</f>
        <v/>
      </c>
      <c r="AX40" s="434"/>
      <c r="AY40" s="432" t="str">
        <f>IF(LEN(VLOOKUP(AK38,suvaha!$D$92:$H$158,2,FALSE))&lt;6,"",LEFT(RIGHT(VLOOKUP(AK38,suvaha!$D$92:$H$158,2,FALSE),6),1))</f>
        <v/>
      </c>
      <c r="AZ40" s="255"/>
      <c r="BA40" s="961" t="str">
        <f>IF(LEN(VLOOKUP(AK38,suvaha!$D$92:$H$158,2,FALSE))&lt;5,"",LEFT(RIGHT(VLOOKUP(AK38,suvaha!$D$92:$H$158,2,FALSE),5),1))</f>
        <v/>
      </c>
      <c r="BB40" s="961" t="e">
        <f>IF(LEN(#REF!)&lt;5,"",LEFT(RIGHT(#REF!,5),1))</f>
        <v>#REF!</v>
      </c>
      <c r="BC40" s="434"/>
      <c r="BD40" s="432" t="str">
        <f>IF(LEN(VLOOKUP(AK38,suvaha!$D$92:$H$158,2,FALSE))&lt;4,"",LEFT(RIGHT(VLOOKUP(AK38,suvaha!$D$92:$H$158,2,FALSE),4),1))</f>
        <v/>
      </c>
      <c r="BE40" s="434"/>
      <c r="BF40" s="432" t="str">
        <f>IF(LEN(VLOOKUP(AK38,suvaha!$D$92:$H$158,2,FALSE))&lt;3,"",LEFT(RIGHT(VLOOKUP(AK38,suvaha!$D$92:$H$158,2,FALSE),3),1))</f>
        <v/>
      </c>
      <c r="BG40" s="434"/>
      <c r="BH40" s="432" t="str">
        <f>IF(LEN(VLOOKUP(AK38,suvaha!$D$92:$H$158,2,FALSE))&lt;2,"",LEFT(RIGHT(VLOOKUP(AK38,suvaha!$D$92:$H$158,2,FALSE),2),1))</f>
        <v/>
      </c>
      <c r="BI40" s="434"/>
      <c r="BJ40" s="432" t="str">
        <f>IF(VLOOKUP(AK38,suvaha!$D$92:$H$158,2,FALSE)=0,"",IF(LEN(VLOOKUP(AK38,suvaha!$D$92:$H$158,2,FALSE))&lt;1,"",LEFT(RIGHT(VLOOKUP(AK38,suvaha!$D$92:$H$158,2,FALSE),1),1)))</f>
        <v/>
      </c>
      <c r="BK40" s="851"/>
      <c r="BL40" s="826"/>
      <c r="BM40" s="432" t="str">
        <f>IF(LEN(VLOOKUP(AK38,suvaha!$D$92:$H$158,4,FALSE))&lt;11,"",LEFT(RIGHT(VLOOKUP(AK38,suvaha!$D$92:$H$158,4,FALSE),11),1))</f>
        <v/>
      </c>
      <c r="BN40" s="255"/>
      <c r="BO40" s="432" t="str">
        <f>IF(LEN(VLOOKUP(AK38,suvaha!$D$92:$H$158,4,FALSE))&lt;10,"",LEFT(RIGHT(VLOOKUP(AK38,suvaha!$D$92:$H$158,4,FALSE),10),1))</f>
        <v/>
      </c>
      <c r="BP40" s="434"/>
      <c r="BQ40" s="432" t="str">
        <f>IF(LEN(VLOOKUP(AK38,suvaha!$D$92:$H$158,4,FALSE))&lt;9,"",LEFT(RIGHT(VLOOKUP(AK38,suvaha!$D$92:$H$158,4,FALSE),9),1))</f>
        <v/>
      </c>
      <c r="BR40" s="255"/>
      <c r="BS40" s="432" t="str">
        <f>IF(LEN(VLOOKUP(AK38,suvaha!$D$92:$H$158,4,FALSE))&lt;8,"",LEFT(RIGHT(VLOOKUP(AK38,suvaha!$D$92:$H$158,4,FALSE),8),1))</f>
        <v/>
      </c>
      <c r="BT40" s="434"/>
      <c r="BU40" s="432" t="str">
        <f>IF(LEN(VLOOKUP(AK38,suvaha!$D$92:$H$158,4,FALSE))&lt;7,"",LEFT(RIGHT(VLOOKUP(AK38,suvaha!$D$92:$H$158,4,FALSE),7),1))</f>
        <v/>
      </c>
      <c r="BV40" s="1008"/>
      <c r="BW40" s="432" t="str">
        <f>IF(LEN(VLOOKUP(AK38,suvaha!$D$92:$H$158,4,FALSE))&lt;6,"",LEFT(RIGHT(VLOOKUP(AK38,suvaha!$D$92:$H$158,4,FALSE),6),1))</f>
        <v/>
      </c>
      <c r="BX40" s="434"/>
      <c r="BY40" s="432" t="str">
        <f>IF(LEN(VLOOKUP(AK38,suvaha!$D$92:$H$158,4,FALSE))&lt;5,"",LEFT(RIGHT(VLOOKUP(AK38,suvaha!$D$92:$H$158,4,FALSE),5),1))</f>
        <v/>
      </c>
      <c r="BZ40" s="434"/>
      <c r="CA40" s="432" t="str">
        <f>IF(LEN(VLOOKUP(AK38,suvaha!$D$92:$H$158,4,FALSE))&lt;4,"",LEFT(RIGHT(VLOOKUP(AK38,suvaha!$D$92:$H$158,4,FALSE),4),1))</f>
        <v/>
      </c>
      <c r="CB40" s="1009"/>
      <c r="CC40" s="432" t="str">
        <f>IF(LEN(VLOOKUP(AK38,suvaha!$D$92:$H$158,4,FALSE))&lt;3,"",LEFT(RIGHT(VLOOKUP(AK38,suvaha!$D$92:$H$158,4,FALSE),3),1))</f>
        <v/>
      </c>
      <c r="CD40" s="434"/>
      <c r="CE40" s="432" t="str">
        <f>IF(LEN(VLOOKUP(AK38,suvaha!$D$92:$H$158,4,FALSE))&lt;2,"",LEFT(RIGHT(VLOOKUP(AK38,suvaha!$D$92:$H$158,4,FALSE),2),1))</f>
        <v/>
      </c>
      <c r="CF40" s="434"/>
      <c r="CG40" s="432" t="str">
        <f>IF(VLOOKUP(AK38,suvaha!$D$92:$H$158,4,FALSE)=0,"",IF(LEN(VLOOKUP(AK38,suvaha!$D$92:$H$158,4,FALSE))&lt;1,"",LEFT(RIGHT(VLOOKUP(AK38,suvaha!$D$92:$H$158,4,FALSE),1),1)))</f>
        <v/>
      </c>
      <c r="CH40" s="285"/>
      <c r="CI40" s="312"/>
      <c r="CJ40" s="312"/>
    </row>
    <row r="41" spans="1:88" s="313" customFormat="1">
      <c r="A41" s="312"/>
      <c r="B41" s="312"/>
      <c r="C41" s="312"/>
      <c r="E41" s="983"/>
      <c r="F41" s="983"/>
      <c r="G41" s="1046"/>
      <c r="H41" s="1046"/>
      <c r="I41" s="1046"/>
      <c r="J41" s="1046"/>
      <c r="K41" s="1046"/>
      <c r="L41" s="1046"/>
      <c r="M41" s="1046"/>
      <c r="N41" s="1046"/>
      <c r="O41" s="1046"/>
      <c r="P41" s="1046"/>
      <c r="Q41" s="1046"/>
      <c r="R41" s="1046"/>
      <c r="S41" s="1046"/>
      <c r="T41" s="1046"/>
      <c r="U41" s="1046"/>
      <c r="V41" s="1046"/>
      <c r="W41" s="1046"/>
      <c r="X41" s="1046"/>
      <c r="Y41" s="1046"/>
      <c r="Z41" s="1046"/>
      <c r="AA41" s="1046"/>
      <c r="AB41" s="1046"/>
      <c r="AC41" s="1046"/>
      <c r="AD41" s="1046"/>
      <c r="AE41" s="1046"/>
      <c r="AF41" s="1046"/>
      <c r="AG41" s="1046"/>
      <c r="AH41" s="1046"/>
      <c r="AI41" s="1046"/>
      <c r="AJ41" s="1046"/>
      <c r="AK41" s="1014"/>
      <c r="AL41" s="1014"/>
      <c r="AM41" s="1014"/>
      <c r="AN41" s="358"/>
      <c r="AO41" s="365"/>
      <c r="AP41" s="365"/>
      <c r="AQ41" s="365"/>
      <c r="AR41" s="365"/>
      <c r="AS41" s="365"/>
      <c r="AT41" s="365"/>
      <c r="AU41" s="365"/>
      <c r="AV41" s="365"/>
      <c r="AW41" s="365"/>
      <c r="AX41" s="365"/>
      <c r="AY41" s="365"/>
      <c r="AZ41" s="365"/>
      <c r="BA41" s="365"/>
      <c r="BB41" s="365"/>
      <c r="BC41" s="365"/>
      <c r="BD41" s="365"/>
      <c r="BE41" s="310"/>
      <c r="BF41" s="310"/>
      <c r="BG41" s="310"/>
      <c r="BH41" s="310"/>
      <c r="BI41" s="310"/>
      <c r="BJ41" s="310"/>
      <c r="BK41" s="310"/>
      <c r="BL41" s="846"/>
      <c r="BM41" s="846"/>
      <c r="BN41" s="846"/>
      <c r="BO41" s="846"/>
      <c r="BP41" s="846"/>
      <c r="BQ41" s="846"/>
      <c r="BR41" s="846"/>
      <c r="BS41" s="846"/>
      <c r="BT41" s="846"/>
      <c r="BU41" s="846"/>
      <c r="BV41" s="846"/>
      <c r="BW41" s="846"/>
      <c r="BX41" s="846"/>
      <c r="BY41" s="846"/>
      <c r="BZ41" s="846"/>
      <c r="CA41" s="846"/>
      <c r="CB41" s="846"/>
      <c r="CC41" s="310"/>
      <c r="CD41" s="310"/>
      <c r="CE41" s="310"/>
      <c r="CF41" s="310"/>
      <c r="CG41" s="310"/>
      <c r="CH41" s="286"/>
      <c r="CI41" s="312"/>
      <c r="CJ41" s="312"/>
    </row>
    <row r="42" spans="1:88" s="250" customFormat="1" ht="3" customHeight="1">
      <c r="A42" s="312"/>
      <c r="B42" s="312"/>
      <c r="C42" s="224"/>
      <c r="D42" s="224"/>
      <c r="E42" s="983" t="s">
        <v>1600</v>
      </c>
      <c r="F42" s="983"/>
      <c r="G42" s="1042" t="str">
        <f>Index!C177</f>
        <v>Ostatné záväzky z obchodného styku (321A, 322A, 324A, 325A, 326A, 32XA, 475A, 476A, 478A, 47XA)</v>
      </c>
      <c r="H42" s="1044"/>
      <c r="I42" s="1044"/>
      <c r="J42" s="1044"/>
      <c r="K42" s="1044"/>
      <c r="L42" s="1044"/>
      <c r="M42" s="1044"/>
      <c r="N42" s="1044"/>
      <c r="O42" s="1044"/>
      <c r="P42" s="1044"/>
      <c r="Q42" s="1044"/>
      <c r="R42" s="1044"/>
      <c r="S42" s="1044"/>
      <c r="T42" s="1044"/>
      <c r="U42" s="1044"/>
      <c r="V42" s="1044"/>
      <c r="W42" s="1044"/>
      <c r="X42" s="1044"/>
      <c r="Y42" s="1044"/>
      <c r="Z42" s="1044"/>
      <c r="AA42" s="1044"/>
      <c r="AB42" s="1044"/>
      <c r="AC42" s="1044"/>
      <c r="AD42" s="1044"/>
      <c r="AE42" s="1044"/>
      <c r="AF42" s="1044"/>
      <c r="AG42" s="1044"/>
      <c r="AH42" s="1044"/>
      <c r="AI42" s="1044"/>
      <c r="AJ42" s="1044"/>
      <c r="AK42" s="1014" t="s">
        <v>1695</v>
      </c>
      <c r="AL42" s="1014"/>
      <c r="AM42" s="1014"/>
      <c r="AN42" s="357"/>
      <c r="AO42" s="366"/>
      <c r="AP42" s="366"/>
      <c r="AQ42" s="366"/>
      <c r="AR42" s="366"/>
      <c r="AS42" s="366"/>
      <c r="AT42" s="366"/>
      <c r="AU42" s="366"/>
      <c r="AV42" s="366"/>
      <c r="AW42" s="366"/>
      <c r="AX42" s="366"/>
      <c r="AY42" s="366"/>
      <c r="AZ42" s="366"/>
      <c r="BA42" s="366"/>
      <c r="BB42" s="366"/>
      <c r="BC42" s="366"/>
      <c r="BD42" s="366"/>
      <c r="BE42" s="304"/>
      <c r="BF42" s="304"/>
      <c r="BG42" s="304"/>
      <c r="BH42" s="304"/>
      <c r="BI42" s="304"/>
      <c r="BJ42" s="304"/>
      <c r="BK42" s="304"/>
      <c r="BL42" s="867"/>
      <c r="BM42" s="867"/>
      <c r="BN42" s="867"/>
      <c r="BO42" s="867"/>
      <c r="BP42" s="867"/>
      <c r="BQ42" s="867"/>
      <c r="BR42" s="867"/>
      <c r="BS42" s="867"/>
      <c r="BT42" s="867"/>
      <c r="BU42" s="867"/>
      <c r="BV42" s="867"/>
      <c r="BW42" s="867"/>
      <c r="BX42" s="867"/>
      <c r="BY42" s="867"/>
      <c r="BZ42" s="867"/>
      <c r="CA42" s="867"/>
      <c r="CB42" s="867"/>
      <c r="CC42" s="304"/>
      <c r="CD42" s="304"/>
      <c r="CE42" s="304"/>
      <c r="CF42" s="304"/>
      <c r="CG42" s="304"/>
      <c r="CH42" s="284"/>
      <c r="CI42" s="288"/>
      <c r="CJ42" s="288"/>
    </row>
    <row r="43" spans="1:88" s="250" customFormat="1" ht="3" customHeight="1">
      <c r="A43" s="312"/>
      <c r="B43" s="312"/>
      <c r="C43" s="312"/>
      <c r="D43" s="312"/>
      <c r="E43" s="983"/>
      <c r="F43" s="983"/>
      <c r="G43" s="1044"/>
      <c r="H43" s="1044"/>
      <c r="I43" s="1044"/>
      <c r="J43" s="1044"/>
      <c r="K43" s="1044"/>
      <c r="L43" s="1044"/>
      <c r="M43" s="1044"/>
      <c r="N43" s="1044"/>
      <c r="O43" s="1044"/>
      <c r="P43" s="1044"/>
      <c r="Q43" s="1044"/>
      <c r="R43" s="1044"/>
      <c r="S43" s="1044"/>
      <c r="T43" s="1044"/>
      <c r="U43" s="1044"/>
      <c r="V43" s="1044"/>
      <c r="W43" s="1044"/>
      <c r="X43" s="1044"/>
      <c r="Y43" s="1044"/>
      <c r="Z43" s="1044"/>
      <c r="AA43" s="1044"/>
      <c r="AB43" s="1044"/>
      <c r="AC43" s="1044"/>
      <c r="AD43" s="1044"/>
      <c r="AE43" s="1044"/>
      <c r="AF43" s="1044"/>
      <c r="AG43" s="1044"/>
      <c r="AH43" s="1044"/>
      <c r="AI43" s="1044"/>
      <c r="AJ43" s="1044"/>
      <c r="AK43" s="1014"/>
      <c r="AL43" s="1014"/>
      <c r="AM43" s="1014"/>
      <c r="AN43" s="355"/>
      <c r="AO43" s="436"/>
      <c r="AP43" s="436"/>
      <c r="AQ43" s="436"/>
      <c r="AR43" s="435"/>
      <c r="AS43" s="433"/>
      <c r="AT43" s="433"/>
      <c r="AU43" s="433"/>
      <c r="AV43" s="433"/>
      <c r="AW43" s="433"/>
      <c r="AX43" s="434"/>
      <c r="AY43" s="1007"/>
      <c r="AZ43" s="1007"/>
      <c r="BA43" s="1007"/>
      <c r="BB43" s="1007"/>
      <c r="BC43" s="1007"/>
      <c r="BD43" s="1007"/>
      <c r="BE43" s="434"/>
      <c r="BF43" s="968"/>
      <c r="BG43" s="968"/>
      <c r="BH43" s="968"/>
      <c r="BI43" s="968"/>
      <c r="BJ43" s="968"/>
      <c r="BK43" s="851"/>
      <c r="BL43" s="826"/>
      <c r="BM43" s="820"/>
      <c r="BN43" s="820"/>
      <c r="BO43" s="820"/>
      <c r="BP43" s="435"/>
      <c r="BQ43" s="1007"/>
      <c r="BR43" s="1007"/>
      <c r="BS43" s="1007"/>
      <c r="BT43" s="1007"/>
      <c r="BU43" s="1007"/>
      <c r="BV43" s="1008"/>
      <c r="BW43" s="968"/>
      <c r="BX43" s="968"/>
      <c r="BY43" s="968"/>
      <c r="BZ43" s="968"/>
      <c r="CA43" s="968"/>
      <c r="CB43" s="1009"/>
      <c r="CC43" s="968"/>
      <c r="CD43" s="968"/>
      <c r="CE43" s="968"/>
      <c r="CF43" s="968"/>
      <c r="CG43" s="968"/>
      <c r="CH43" s="285"/>
      <c r="CI43" s="288"/>
      <c r="CJ43" s="288"/>
    </row>
    <row r="44" spans="1:88" s="313" customFormat="1" ht="15" customHeight="1">
      <c r="A44" s="312"/>
      <c r="B44" s="312"/>
      <c r="C44" s="312"/>
      <c r="E44" s="983"/>
      <c r="F44" s="983"/>
      <c r="G44" s="1044"/>
      <c r="H44" s="1044"/>
      <c r="I44" s="1044"/>
      <c r="J44" s="1044"/>
      <c r="K44" s="1044"/>
      <c r="L44" s="1044"/>
      <c r="M44" s="1044"/>
      <c r="N44" s="1044"/>
      <c r="O44" s="1044"/>
      <c r="P44" s="1044"/>
      <c r="Q44" s="1044"/>
      <c r="R44" s="1044"/>
      <c r="S44" s="1044"/>
      <c r="T44" s="1044"/>
      <c r="U44" s="1044"/>
      <c r="V44" s="1044"/>
      <c r="W44" s="1044"/>
      <c r="X44" s="1044"/>
      <c r="Y44" s="1044"/>
      <c r="Z44" s="1044"/>
      <c r="AA44" s="1044"/>
      <c r="AB44" s="1044"/>
      <c r="AC44" s="1044"/>
      <c r="AD44" s="1044"/>
      <c r="AE44" s="1044"/>
      <c r="AF44" s="1044"/>
      <c r="AG44" s="1044"/>
      <c r="AH44" s="1044"/>
      <c r="AI44" s="1044"/>
      <c r="AJ44" s="1044"/>
      <c r="AK44" s="1014"/>
      <c r="AL44" s="1014"/>
      <c r="AM44" s="1014"/>
      <c r="AN44" s="355"/>
      <c r="AO44" s="432" t="str">
        <f>IF(LEN(VLOOKUP(AK42,suvaha!$D$92:$H$158,2,FALSE))&lt;11,"",LEFT(RIGHT(VLOOKUP(AK42,suvaha!$D$92:$H$158,2,FALSE),11),1))</f>
        <v/>
      </c>
      <c r="AP44" s="255"/>
      <c r="AQ44" s="432" t="str">
        <f>IF(LEN(VLOOKUP(AK42,suvaha!$D$92:$H$158,2,FALSE))&lt;10,"",LEFT(RIGHT(VLOOKUP(AK42,suvaha!$D$92:$H$158,2,FALSE),10),1))</f>
        <v/>
      </c>
      <c r="AR44" s="434"/>
      <c r="AS44" s="432" t="str">
        <f>IF(LEN(VLOOKUP(AK42,suvaha!$D$92:$H$158,2,FALSE))&lt;9,"",LEFT(RIGHT(VLOOKUP(AK42,suvaha!$D$92:$H$158,2,FALSE),9),1))</f>
        <v/>
      </c>
      <c r="AT44" s="255"/>
      <c r="AU44" s="432" t="str">
        <f>IF(LEN(VLOOKUP(AK42,suvaha!$D$92:$H$158,2,FALSE))&lt;8,"",LEFT(RIGHT(VLOOKUP(AK42,suvaha!$D$92:$H$158,2,FALSE),8),1))</f>
        <v/>
      </c>
      <c r="AV44" s="434"/>
      <c r="AW44" s="432" t="str">
        <f>IF(LEN(VLOOKUP(AK42,suvaha!$D$92:$H$158,2,FALSE))&lt;7,"",LEFT(RIGHT(VLOOKUP(AK42,suvaha!$D$92:$H$158,2,FALSE),7),1))</f>
        <v/>
      </c>
      <c r="AX44" s="434"/>
      <c r="AY44" s="432" t="str">
        <f>IF(LEN(VLOOKUP(AK42,suvaha!$D$92:$H$158,2,FALSE))&lt;6,"",LEFT(RIGHT(VLOOKUP(AK42,suvaha!$D$92:$H$158,2,FALSE),6),1))</f>
        <v>3</v>
      </c>
      <c r="AZ44" s="255"/>
      <c r="BA44" s="961" t="str">
        <f>IF(LEN(VLOOKUP(AK42,suvaha!$D$92:$H$158,2,FALSE))&lt;5,"",LEFT(RIGHT(VLOOKUP(AK42,suvaha!$D$92:$H$158,2,FALSE),5),1))</f>
        <v>1</v>
      </c>
      <c r="BB44" s="961" t="e">
        <f>IF(LEN(#REF!)&lt;5,"",LEFT(RIGHT(#REF!,5),1))</f>
        <v>#REF!</v>
      </c>
      <c r="BC44" s="434"/>
      <c r="BD44" s="432" t="str">
        <f>IF(LEN(VLOOKUP(AK42,suvaha!$D$92:$H$158,2,FALSE))&lt;4,"",LEFT(RIGHT(VLOOKUP(AK42,suvaha!$D$92:$H$158,2,FALSE),4),1))</f>
        <v>8</v>
      </c>
      <c r="BE44" s="434"/>
      <c r="BF44" s="432" t="str">
        <f>IF(LEN(VLOOKUP(AK42,suvaha!$D$92:$H$158,2,FALSE))&lt;3,"",LEFT(RIGHT(VLOOKUP(AK42,suvaha!$D$92:$H$158,2,FALSE),3),1))</f>
        <v>8</v>
      </c>
      <c r="BG44" s="434"/>
      <c r="BH44" s="432" t="str">
        <f>IF(LEN(VLOOKUP(AK42,suvaha!$D$92:$H$158,2,FALSE))&lt;2,"",LEFT(RIGHT(VLOOKUP(AK42,suvaha!$D$92:$H$158,2,FALSE),2),1))</f>
        <v>5</v>
      </c>
      <c r="BI44" s="434"/>
      <c r="BJ44" s="432" t="str">
        <f>IF(VLOOKUP(AK42,suvaha!$D$92:$H$158,2,FALSE)=0,"",IF(LEN(VLOOKUP(AK42,suvaha!$D$92:$H$158,2,FALSE))&lt;1,"",LEFT(RIGHT(VLOOKUP(AK42,suvaha!$D$92:$H$158,2,FALSE),1),1)))</f>
        <v>7</v>
      </c>
      <c r="BK44" s="851"/>
      <c r="BL44" s="826"/>
      <c r="BM44" s="432" t="str">
        <f>IF(LEN(VLOOKUP(AK42,suvaha!$D$92:$H$158,4,FALSE))&lt;11,"",LEFT(RIGHT(VLOOKUP(AK42,suvaha!$D$92:$H$158,4,FALSE),11),1))</f>
        <v/>
      </c>
      <c r="BN44" s="255"/>
      <c r="BO44" s="432" t="str">
        <f>IF(LEN(VLOOKUP(AK42,suvaha!$D$92:$H$158,4,FALSE))&lt;10,"",LEFT(RIGHT(VLOOKUP(AK42,suvaha!$D$92:$H$158,4,FALSE),10),1))</f>
        <v/>
      </c>
      <c r="BP44" s="434"/>
      <c r="BQ44" s="432" t="str">
        <f>IF(LEN(VLOOKUP(AK42,suvaha!$D$92:$H$158,4,FALSE))&lt;9,"",LEFT(RIGHT(VLOOKUP(AK42,suvaha!$D$92:$H$158,4,FALSE),9),1))</f>
        <v/>
      </c>
      <c r="BR44" s="255"/>
      <c r="BS44" s="432" t="str">
        <f>IF(LEN(VLOOKUP(AK42,suvaha!$D$92:$H$158,4,FALSE))&lt;8,"",LEFT(RIGHT(VLOOKUP(AK42,suvaha!$D$92:$H$158,4,FALSE),8),1))</f>
        <v/>
      </c>
      <c r="BT44" s="434"/>
      <c r="BU44" s="432" t="str">
        <f>IF(LEN(VLOOKUP(AK42,suvaha!$D$92:$H$158,4,FALSE))&lt;7,"",LEFT(RIGHT(VLOOKUP(AK42,suvaha!$D$92:$H$158,4,FALSE),7),1))</f>
        <v>3</v>
      </c>
      <c r="BV44" s="1008"/>
      <c r="BW44" s="432" t="str">
        <f>IF(LEN(VLOOKUP(AK42,suvaha!$D$92:$H$158,4,FALSE))&lt;6,"",LEFT(RIGHT(VLOOKUP(AK42,suvaha!$D$92:$H$158,4,FALSE),6),1))</f>
        <v>8</v>
      </c>
      <c r="BX44" s="434"/>
      <c r="BY44" s="432" t="str">
        <f>IF(LEN(VLOOKUP(AK42,suvaha!$D$92:$H$158,4,FALSE))&lt;5,"",LEFT(RIGHT(VLOOKUP(AK42,suvaha!$D$92:$H$158,4,FALSE),5),1))</f>
        <v>0</v>
      </c>
      <c r="BZ44" s="434"/>
      <c r="CA44" s="432" t="str">
        <f>IF(LEN(VLOOKUP(AK42,suvaha!$D$92:$H$158,4,FALSE))&lt;4,"",LEFT(RIGHT(VLOOKUP(AK42,suvaha!$D$92:$H$158,4,FALSE),4),1))</f>
        <v>8</v>
      </c>
      <c r="CB44" s="1009"/>
      <c r="CC44" s="432" t="str">
        <f>IF(LEN(VLOOKUP(AK42,suvaha!$D$92:$H$158,4,FALSE))&lt;3,"",LEFT(RIGHT(VLOOKUP(AK42,suvaha!$D$92:$H$158,4,FALSE),3),1))</f>
        <v>1</v>
      </c>
      <c r="CD44" s="434"/>
      <c r="CE44" s="432" t="str">
        <f>IF(LEN(VLOOKUP(AK42,suvaha!$D$92:$H$158,4,FALSE))&lt;2,"",LEFT(RIGHT(VLOOKUP(AK42,suvaha!$D$92:$H$158,4,FALSE),2),1))</f>
        <v>7</v>
      </c>
      <c r="CF44" s="434"/>
      <c r="CG44" s="432" t="str">
        <f>IF(VLOOKUP(AK42,suvaha!$D$92:$H$158,4,FALSE)=0,"",IF(LEN(VLOOKUP(AK42,suvaha!$D$92:$H$158,4,FALSE))&lt;1,"",LEFT(RIGHT(VLOOKUP(AK42,suvaha!$D$92:$H$158,4,FALSE),1),1)))</f>
        <v>2</v>
      </c>
      <c r="CH44" s="285"/>
      <c r="CI44" s="312"/>
      <c r="CJ44" s="312"/>
    </row>
    <row r="45" spans="1:88" s="313" customFormat="1" ht="3" customHeight="1">
      <c r="A45" s="312"/>
      <c r="B45" s="312"/>
      <c r="C45" s="312"/>
      <c r="E45" s="983"/>
      <c r="F45" s="983"/>
      <c r="G45" s="1044"/>
      <c r="H45" s="1044"/>
      <c r="I45" s="1044"/>
      <c r="J45" s="1044"/>
      <c r="K45" s="1044"/>
      <c r="L45" s="1044"/>
      <c r="M45" s="1044"/>
      <c r="N45" s="1044"/>
      <c r="O45" s="1044"/>
      <c r="P45" s="1044"/>
      <c r="Q45" s="1044"/>
      <c r="R45" s="1044"/>
      <c r="S45" s="1044"/>
      <c r="T45" s="1044"/>
      <c r="U45" s="1044"/>
      <c r="V45" s="1044"/>
      <c r="W45" s="1044"/>
      <c r="X45" s="1044"/>
      <c r="Y45" s="1044"/>
      <c r="Z45" s="1044"/>
      <c r="AA45" s="1044"/>
      <c r="AB45" s="1044"/>
      <c r="AC45" s="1044"/>
      <c r="AD45" s="1044"/>
      <c r="AE45" s="1044"/>
      <c r="AF45" s="1044"/>
      <c r="AG45" s="1044"/>
      <c r="AH45" s="1044"/>
      <c r="AI45" s="1044"/>
      <c r="AJ45" s="1044"/>
      <c r="AK45" s="1014"/>
      <c r="AL45" s="1014"/>
      <c r="AM45" s="1014"/>
      <c r="AN45" s="358"/>
      <c r="AO45" s="365"/>
      <c r="AP45" s="365"/>
      <c r="AQ45" s="365"/>
      <c r="AR45" s="365"/>
      <c r="AS45" s="365"/>
      <c r="AT45" s="365"/>
      <c r="AU45" s="365"/>
      <c r="AV45" s="365"/>
      <c r="AW45" s="365"/>
      <c r="AX45" s="365"/>
      <c r="AY45" s="365"/>
      <c r="AZ45" s="365"/>
      <c r="BA45" s="365"/>
      <c r="BB45" s="365"/>
      <c r="BC45" s="365"/>
      <c r="BD45" s="365"/>
      <c r="BE45" s="310"/>
      <c r="BF45" s="310"/>
      <c r="BG45" s="310"/>
      <c r="BH45" s="310"/>
      <c r="BI45" s="310"/>
      <c r="BJ45" s="310"/>
      <c r="BK45" s="310"/>
      <c r="BL45" s="846"/>
      <c r="BM45" s="846"/>
      <c r="BN45" s="846"/>
      <c r="BO45" s="846"/>
      <c r="BP45" s="846"/>
      <c r="BQ45" s="846"/>
      <c r="BR45" s="846"/>
      <c r="BS45" s="846"/>
      <c r="BT45" s="846"/>
      <c r="BU45" s="846"/>
      <c r="BV45" s="846"/>
      <c r="BW45" s="846"/>
      <c r="BX45" s="846"/>
      <c r="BY45" s="846"/>
      <c r="BZ45" s="846"/>
      <c r="CA45" s="846"/>
      <c r="CB45" s="846"/>
      <c r="CC45" s="310"/>
      <c r="CD45" s="310"/>
      <c r="CE45" s="310"/>
      <c r="CF45" s="310"/>
      <c r="CG45" s="310"/>
      <c r="CH45" s="286"/>
      <c r="CI45" s="312"/>
      <c r="CJ45" s="312"/>
    </row>
    <row r="46" spans="1:88" s="250" customFormat="1" ht="3" customHeight="1">
      <c r="A46" s="312"/>
      <c r="B46" s="312"/>
      <c r="C46" s="224"/>
      <c r="D46" s="224"/>
      <c r="E46" s="983" t="s">
        <v>1542</v>
      </c>
      <c r="F46" s="983"/>
      <c r="G46" s="1013" t="str">
        <f>Index!C178</f>
        <v>Čistá hodnota zákazky (316A)</v>
      </c>
      <c r="H46" s="1013"/>
      <c r="I46" s="1013"/>
      <c r="J46" s="1013"/>
      <c r="K46" s="1013"/>
      <c r="L46" s="1013"/>
      <c r="M46" s="1013"/>
      <c r="N46" s="1013"/>
      <c r="O46" s="1013"/>
      <c r="P46" s="1013"/>
      <c r="Q46" s="1013"/>
      <c r="R46" s="1013"/>
      <c r="S46" s="1013"/>
      <c r="T46" s="1013"/>
      <c r="U46" s="1013"/>
      <c r="V46" s="1013"/>
      <c r="W46" s="1013"/>
      <c r="X46" s="1013"/>
      <c r="Y46" s="1013"/>
      <c r="Z46" s="1013"/>
      <c r="AA46" s="1013"/>
      <c r="AB46" s="1013"/>
      <c r="AC46" s="1013"/>
      <c r="AD46" s="1013"/>
      <c r="AE46" s="1013"/>
      <c r="AF46" s="1013"/>
      <c r="AG46" s="1013"/>
      <c r="AH46" s="1013"/>
      <c r="AI46" s="1013"/>
      <c r="AJ46" s="1013"/>
      <c r="AK46" s="1014" t="s">
        <v>1696</v>
      </c>
      <c r="AL46" s="1014"/>
      <c r="AM46" s="1014"/>
      <c r="AN46" s="357"/>
      <c r="AO46" s="366"/>
      <c r="AP46" s="366"/>
      <c r="AQ46" s="366"/>
      <c r="AR46" s="366"/>
      <c r="AS46" s="366"/>
      <c r="AT46" s="366"/>
      <c r="AU46" s="366"/>
      <c r="AV46" s="366"/>
      <c r="AW46" s="366"/>
      <c r="AX46" s="366"/>
      <c r="AY46" s="366"/>
      <c r="AZ46" s="366"/>
      <c r="BA46" s="366"/>
      <c r="BB46" s="366"/>
      <c r="BC46" s="366"/>
      <c r="BD46" s="366"/>
      <c r="BE46" s="304"/>
      <c r="BF46" s="304"/>
      <c r="BG46" s="304"/>
      <c r="BH46" s="304"/>
      <c r="BI46" s="304"/>
      <c r="BJ46" s="304"/>
      <c r="BK46" s="304"/>
      <c r="BL46" s="867"/>
      <c r="BM46" s="867"/>
      <c r="BN46" s="867"/>
      <c r="BO46" s="867"/>
      <c r="BP46" s="867"/>
      <c r="BQ46" s="867"/>
      <c r="BR46" s="867"/>
      <c r="BS46" s="867"/>
      <c r="BT46" s="867"/>
      <c r="BU46" s="867"/>
      <c r="BV46" s="867"/>
      <c r="BW46" s="867"/>
      <c r="BX46" s="867"/>
      <c r="BY46" s="867"/>
      <c r="BZ46" s="867"/>
      <c r="CA46" s="867"/>
      <c r="CB46" s="867"/>
      <c r="CC46" s="304"/>
      <c r="CD46" s="304"/>
      <c r="CE46" s="304"/>
      <c r="CF46" s="304"/>
      <c r="CG46" s="304"/>
      <c r="CH46" s="284"/>
      <c r="CI46" s="288"/>
      <c r="CJ46" s="288"/>
    </row>
    <row r="47" spans="1:88" s="250" customFormat="1" ht="3" customHeight="1">
      <c r="A47" s="312"/>
      <c r="B47" s="312"/>
      <c r="C47" s="312"/>
      <c r="D47" s="312"/>
      <c r="E47" s="983"/>
      <c r="F47" s="983"/>
      <c r="G47" s="1013"/>
      <c r="H47" s="1013"/>
      <c r="I47" s="1013"/>
      <c r="J47" s="1013"/>
      <c r="K47" s="1013"/>
      <c r="L47" s="1013"/>
      <c r="M47" s="1013"/>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4"/>
      <c r="AL47" s="1014"/>
      <c r="AM47" s="1014"/>
      <c r="AN47" s="355"/>
      <c r="AO47" s="436"/>
      <c r="AP47" s="436"/>
      <c r="AQ47" s="436"/>
      <c r="AR47" s="435"/>
      <c r="AS47" s="433"/>
      <c r="AT47" s="433"/>
      <c r="AU47" s="433"/>
      <c r="AV47" s="433"/>
      <c r="AW47" s="433"/>
      <c r="AX47" s="434"/>
      <c r="AY47" s="1007"/>
      <c r="AZ47" s="1007"/>
      <c r="BA47" s="1007"/>
      <c r="BB47" s="1007"/>
      <c r="BC47" s="1007"/>
      <c r="BD47" s="1007"/>
      <c r="BE47" s="434"/>
      <c r="BF47" s="968"/>
      <c r="BG47" s="968"/>
      <c r="BH47" s="968"/>
      <c r="BI47" s="968"/>
      <c r="BJ47" s="968"/>
      <c r="BK47" s="851"/>
      <c r="BL47" s="826"/>
      <c r="BM47" s="820"/>
      <c r="BN47" s="820"/>
      <c r="BO47" s="820"/>
      <c r="BP47" s="435"/>
      <c r="BQ47" s="1007"/>
      <c r="BR47" s="1007"/>
      <c r="BS47" s="1007"/>
      <c r="BT47" s="1007"/>
      <c r="BU47" s="1007"/>
      <c r="BV47" s="1008"/>
      <c r="BW47" s="968"/>
      <c r="BX47" s="968"/>
      <c r="BY47" s="968"/>
      <c r="BZ47" s="968"/>
      <c r="CA47" s="968"/>
      <c r="CB47" s="1009"/>
      <c r="CC47" s="968"/>
      <c r="CD47" s="968"/>
      <c r="CE47" s="968"/>
      <c r="CF47" s="968"/>
      <c r="CG47" s="968"/>
      <c r="CH47" s="285"/>
      <c r="CI47" s="288"/>
      <c r="CJ47" s="288"/>
    </row>
    <row r="48" spans="1:88" s="313" customFormat="1" ht="15" customHeight="1">
      <c r="A48" s="312"/>
      <c r="B48" s="312"/>
      <c r="C48" s="312"/>
      <c r="E48" s="983"/>
      <c r="F48" s="983"/>
      <c r="G48" s="1013"/>
      <c r="H48" s="1013"/>
      <c r="I48" s="1013"/>
      <c r="J48" s="1013"/>
      <c r="K48" s="1013"/>
      <c r="L48" s="1013"/>
      <c r="M48" s="1013"/>
      <c r="N48" s="1013"/>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4"/>
      <c r="AL48" s="1014"/>
      <c r="AM48" s="1014"/>
      <c r="AN48" s="355"/>
      <c r="AO48" s="432" t="str">
        <f>IF(LEN(VLOOKUP(AK46,suvaha!$D$92:$H$158,2,FALSE))&lt;11,"",LEFT(RIGHT(VLOOKUP(AK46,suvaha!$D$92:$H$158,2,FALSE),11),1))</f>
        <v/>
      </c>
      <c r="AP48" s="255"/>
      <c r="AQ48" s="432" t="str">
        <f>IF(LEN(VLOOKUP(AK46,suvaha!$D$92:$H$158,2,FALSE))&lt;10,"",LEFT(RIGHT(VLOOKUP(AK46,suvaha!$D$92:$H$158,2,FALSE),10),1))</f>
        <v/>
      </c>
      <c r="AR48" s="434"/>
      <c r="AS48" s="432" t="str">
        <f>IF(LEN(VLOOKUP(AK46,suvaha!$D$92:$H$158,2,FALSE))&lt;9,"",LEFT(RIGHT(VLOOKUP(AK46,suvaha!$D$92:$H$158,2,FALSE),9),1))</f>
        <v/>
      </c>
      <c r="AT48" s="255"/>
      <c r="AU48" s="432" t="str">
        <f>IF(LEN(VLOOKUP(AK46,suvaha!$D$92:$H$158,2,FALSE))&lt;8,"",LEFT(RIGHT(VLOOKUP(AK46,suvaha!$D$92:$H$158,2,FALSE),8),1))</f>
        <v/>
      </c>
      <c r="AV48" s="434"/>
      <c r="AW48" s="432" t="str">
        <f>IF(LEN(VLOOKUP(AK46,suvaha!$D$92:$H$158,2,FALSE))&lt;7,"",LEFT(RIGHT(VLOOKUP(AK46,suvaha!$D$92:$H$158,2,FALSE),7),1))</f>
        <v/>
      </c>
      <c r="AX48" s="434"/>
      <c r="AY48" s="432" t="str">
        <f>IF(LEN(VLOOKUP(AK46,suvaha!$D$92:$H$158,2,FALSE))&lt;6,"",LEFT(RIGHT(VLOOKUP(AK46,suvaha!$D$92:$H$158,2,FALSE),6),1))</f>
        <v/>
      </c>
      <c r="AZ48" s="255"/>
      <c r="BA48" s="961" t="str">
        <f>IF(LEN(VLOOKUP(AK46,suvaha!$D$92:$H$158,2,FALSE))&lt;5,"",LEFT(RIGHT(VLOOKUP(AK46,suvaha!$D$92:$H$158,2,FALSE),5),1))</f>
        <v/>
      </c>
      <c r="BB48" s="961" t="e">
        <f>IF(LEN(#REF!)&lt;5,"",LEFT(RIGHT(#REF!,5),1))</f>
        <v>#REF!</v>
      </c>
      <c r="BC48" s="434"/>
      <c r="BD48" s="432" t="str">
        <f>IF(LEN(VLOOKUP(AK46,suvaha!$D$92:$H$158,2,FALSE))&lt;4,"",LEFT(RIGHT(VLOOKUP(AK46,suvaha!$D$92:$H$158,2,FALSE),4),1))</f>
        <v/>
      </c>
      <c r="BE48" s="434"/>
      <c r="BF48" s="432" t="str">
        <f>IF(LEN(VLOOKUP(AK46,suvaha!$D$92:$H$158,2,FALSE))&lt;3,"",LEFT(RIGHT(VLOOKUP(AK46,suvaha!$D$92:$H$158,2,FALSE),3),1))</f>
        <v/>
      </c>
      <c r="BG48" s="434"/>
      <c r="BH48" s="432" t="str">
        <f>IF(LEN(VLOOKUP(AK46,suvaha!$D$92:$H$158,2,FALSE))&lt;2,"",LEFT(RIGHT(VLOOKUP(AK46,suvaha!$D$92:$H$158,2,FALSE),2),1))</f>
        <v/>
      </c>
      <c r="BI48" s="434"/>
      <c r="BJ48" s="432" t="str">
        <f>IF(VLOOKUP(AK46,suvaha!$D$92:$H$158,2,FALSE)=0,"",IF(LEN(VLOOKUP(AK46,suvaha!$D$92:$H$158,2,FALSE))&lt;1,"",LEFT(RIGHT(VLOOKUP(AK46,suvaha!$D$92:$H$158,2,FALSE),1),1)))</f>
        <v/>
      </c>
      <c r="BK48" s="851"/>
      <c r="BL48" s="826"/>
      <c r="BM48" s="432" t="str">
        <f>IF(LEN(VLOOKUP(AK46,suvaha!$D$92:$H$158,4,FALSE))&lt;11,"",LEFT(RIGHT(VLOOKUP(AK46,suvaha!$D$92:$H$158,4,FALSE),11),1))</f>
        <v/>
      </c>
      <c r="BN48" s="255"/>
      <c r="BO48" s="432" t="str">
        <f>IF(LEN(VLOOKUP(AK46,suvaha!$D$92:$H$158,4,FALSE))&lt;10,"",LEFT(RIGHT(VLOOKUP(AK46,suvaha!$D$92:$H$158,4,FALSE),10),1))</f>
        <v/>
      </c>
      <c r="BP48" s="434"/>
      <c r="BQ48" s="432" t="str">
        <f>IF(LEN(VLOOKUP(AK46,suvaha!$D$92:$H$158,4,FALSE))&lt;9,"",LEFT(RIGHT(VLOOKUP(AK46,suvaha!$D$92:$H$158,4,FALSE),9),1))</f>
        <v/>
      </c>
      <c r="BR48" s="255"/>
      <c r="BS48" s="432" t="str">
        <f>IF(LEN(VLOOKUP(AK46,suvaha!$D$92:$H$158,4,FALSE))&lt;8,"",LEFT(RIGHT(VLOOKUP(AK46,suvaha!$D$92:$H$158,4,FALSE),8),1))</f>
        <v/>
      </c>
      <c r="BT48" s="434"/>
      <c r="BU48" s="432" t="str">
        <f>IF(LEN(VLOOKUP(AK46,suvaha!$D$92:$H$158,4,FALSE))&lt;7,"",LEFT(RIGHT(VLOOKUP(AK46,suvaha!$D$92:$H$158,4,FALSE),7),1))</f>
        <v/>
      </c>
      <c r="BV48" s="1008"/>
      <c r="BW48" s="432" t="str">
        <f>IF(LEN(VLOOKUP(AK46,suvaha!$D$92:$H$158,4,FALSE))&lt;6,"",LEFT(RIGHT(VLOOKUP(AK46,suvaha!$D$92:$H$158,4,FALSE),6),1))</f>
        <v/>
      </c>
      <c r="BX48" s="434"/>
      <c r="BY48" s="432" t="str">
        <f>IF(LEN(VLOOKUP(AK46,suvaha!$D$92:$H$158,4,FALSE))&lt;5,"",LEFT(RIGHT(VLOOKUP(AK46,suvaha!$D$92:$H$158,4,FALSE),5),1))</f>
        <v/>
      </c>
      <c r="BZ48" s="434"/>
      <c r="CA48" s="432" t="str">
        <f>IF(LEN(VLOOKUP(AK46,suvaha!$D$92:$H$158,4,FALSE))&lt;4,"",LEFT(RIGHT(VLOOKUP(AK46,suvaha!$D$92:$H$158,4,FALSE),4),1))</f>
        <v/>
      </c>
      <c r="CB48" s="1009"/>
      <c r="CC48" s="432" t="str">
        <f>IF(LEN(VLOOKUP(AK46,suvaha!$D$92:$H$158,4,FALSE))&lt;3,"",LEFT(RIGHT(VLOOKUP(AK46,suvaha!$D$92:$H$158,4,FALSE),3),1))</f>
        <v/>
      </c>
      <c r="CD48" s="434"/>
      <c r="CE48" s="432" t="str">
        <f>IF(LEN(VLOOKUP(AK46,suvaha!$D$92:$H$158,4,FALSE))&lt;2,"",LEFT(RIGHT(VLOOKUP(AK46,suvaha!$D$92:$H$158,4,FALSE),2),1))</f>
        <v/>
      </c>
      <c r="CF48" s="434"/>
      <c r="CG48" s="432" t="str">
        <f>IF(VLOOKUP(AK46,suvaha!$D$92:$H$158,4,FALSE)=0,"",IF(LEN(VLOOKUP(AK46,suvaha!$D$92:$H$158,4,FALSE))&lt;1,"",LEFT(RIGHT(VLOOKUP(AK46,suvaha!$D$92:$H$158,4,FALSE),1),1)))</f>
        <v/>
      </c>
      <c r="CH48" s="285"/>
      <c r="CI48" s="312"/>
      <c r="CJ48" s="312"/>
    </row>
    <row r="49" spans="1:88" s="313" customFormat="1" ht="3" customHeight="1">
      <c r="A49" s="312"/>
      <c r="B49" s="312"/>
      <c r="C49" s="312"/>
      <c r="E49" s="983"/>
      <c r="F49" s="983"/>
      <c r="G49" s="1013"/>
      <c r="H49" s="1013"/>
      <c r="I49" s="1013"/>
      <c r="J49" s="1013"/>
      <c r="K49" s="1013"/>
      <c r="L49" s="1013"/>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4"/>
      <c r="AL49" s="1014"/>
      <c r="AM49" s="1014"/>
      <c r="AN49" s="358"/>
      <c r="AO49" s="365"/>
      <c r="AP49" s="365"/>
      <c r="AQ49" s="365"/>
      <c r="AR49" s="365"/>
      <c r="AS49" s="365"/>
      <c r="AT49" s="365"/>
      <c r="AU49" s="365"/>
      <c r="AV49" s="365"/>
      <c r="AW49" s="365"/>
      <c r="AX49" s="365"/>
      <c r="AY49" s="365"/>
      <c r="AZ49" s="365"/>
      <c r="BA49" s="365"/>
      <c r="BB49" s="365"/>
      <c r="BC49" s="365"/>
      <c r="BD49" s="365"/>
      <c r="BE49" s="310"/>
      <c r="BF49" s="310"/>
      <c r="BG49" s="310"/>
      <c r="BH49" s="310"/>
      <c r="BI49" s="310"/>
      <c r="BJ49" s="310"/>
      <c r="BK49" s="310"/>
      <c r="BL49" s="846"/>
      <c r="BM49" s="846"/>
      <c r="BN49" s="846"/>
      <c r="BO49" s="846"/>
      <c r="BP49" s="846"/>
      <c r="BQ49" s="846"/>
      <c r="BR49" s="846"/>
      <c r="BS49" s="846"/>
      <c r="BT49" s="846"/>
      <c r="BU49" s="846"/>
      <c r="BV49" s="846"/>
      <c r="BW49" s="846"/>
      <c r="BX49" s="846"/>
      <c r="BY49" s="846"/>
      <c r="BZ49" s="846"/>
      <c r="CA49" s="846"/>
      <c r="CB49" s="846"/>
      <c r="CC49" s="310"/>
      <c r="CD49" s="310"/>
      <c r="CE49" s="310"/>
      <c r="CF49" s="310"/>
      <c r="CG49" s="310"/>
      <c r="CH49" s="286"/>
      <c r="CI49" s="312"/>
      <c r="CJ49" s="312"/>
    </row>
    <row r="50" spans="1:88" s="250" customFormat="1" ht="3" customHeight="1">
      <c r="A50" s="312"/>
      <c r="B50" s="312"/>
      <c r="C50" s="224"/>
      <c r="D50" s="224"/>
      <c r="E50" s="983" t="s">
        <v>1543</v>
      </c>
      <c r="F50" s="983"/>
      <c r="G50" s="1013" t="str">
        <f>Index!C179</f>
        <v>Ostatné záväzky voči prepojeným účtovným jednotkám (361A, 36XA, 471A, 47XA)</v>
      </c>
      <c r="H50" s="1013"/>
      <c r="I50" s="1013"/>
      <c r="J50" s="1013"/>
      <c r="K50" s="1013"/>
      <c r="L50" s="1013"/>
      <c r="M50" s="1013"/>
      <c r="N50" s="1013"/>
      <c r="O50" s="1013"/>
      <c r="P50" s="1013"/>
      <c r="Q50" s="1013"/>
      <c r="R50" s="1013"/>
      <c r="S50" s="1013"/>
      <c r="T50" s="1013"/>
      <c r="U50" s="1013"/>
      <c r="V50" s="1013"/>
      <c r="W50" s="1013"/>
      <c r="X50" s="1013"/>
      <c r="Y50" s="1013"/>
      <c r="Z50" s="1013"/>
      <c r="AA50" s="1013"/>
      <c r="AB50" s="1013"/>
      <c r="AC50" s="1013"/>
      <c r="AD50" s="1013"/>
      <c r="AE50" s="1013"/>
      <c r="AF50" s="1013"/>
      <c r="AG50" s="1013"/>
      <c r="AH50" s="1013"/>
      <c r="AI50" s="1013"/>
      <c r="AJ50" s="1013"/>
      <c r="AK50" s="1014" t="s">
        <v>1698</v>
      </c>
      <c r="AL50" s="1014"/>
      <c r="AM50" s="1014"/>
      <c r="AN50" s="357"/>
      <c r="AO50" s="366"/>
      <c r="AP50" s="366"/>
      <c r="AQ50" s="366"/>
      <c r="AR50" s="366"/>
      <c r="AS50" s="366"/>
      <c r="AT50" s="366"/>
      <c r="AU50" s="366"/>
      <c r="AV50" s="366"/>
      <c r="AW50" s="366"/>
      <c r="AX50" s="366"/>
      <c r="AY50" s="366"/>
      <c r="AZ50" s="366"/>
      <c r="BA50" s="366"/>
      <c r="BB50" s="366"/>
      <c r="BC50" s="366"/>
      <c r="BD50" s="366"/>
      <c r="BE50" s="304"/>
      <c r="BF50" s="304"/>
      <c r="BG50" s="304"/>
      <c r="BH50" s="304"/>
      <c r="BI50" s="304"/>
      <c r="BJ50" s="304"/>
      <c r="BK50" s="304"/>
      <c r="BL50" s="867"/>
      <c r="BM50" s="867"/>
      <c r="BN50" s="867"/>
      <c r="BO50" s="867"/>
      <c r="BP50" s="867"/>
      <c r="BQ50" s="867"/>
      <c r="BR50" s="867"/>
      <c r="BS50" s="867"/>
      <c r="BT50" s="867"/>
      <c r="BU50" s="867"/>
      <c r="BV50" s="867"/>
      <c r="BW50" s="867"/>
      <c r="BX50" s="867"/>
      <c r="BY50" s="867"/>
      <c r="BZ50" s="867"/>
      <c r="CA50" s="867"/>
      <c r="CB50" s="867"/>
      <c r="CC50" s="304"/>
      <c r="CD50" s="304"/>
      <c r="CE50" s="304"/>
      <c r="CF50" s="304"/>
      <c r="CG50" s="304"/>
      <c r="CH50" s="284"/>
      <c r="CI50" s="288"/>
      <c r="CJ50" s="288"/>
    </row>
    <row r="51" spans="1:88" s="250" customFormat="1" ht="3" customHeight="1">
      <c r="A51" s="312"/>
      <c r="B51" s="312"/>
      <c r="C51" s="312"/>
      <c r="D51" s="312"/>
      <c r="E51" s="983"/>
      <c r="F51" s="983"/>
      <c r="G51" s="1013"/>
      <c r="H51" s="1013"/>
      <c r="I51" s="1013"/>
      <c r="J51" s="1013"/>
      <c r="K51" s="1013"/>
      <c r="L51" s="1013"/>
      <c r="M51" s="1013"/>
      <c r="N51" s="1013"/>
      <c r="O51" s="1013"/>
      <c r="P51" s="1013"/>
      <c r="Q51" s="1013"/>
      <c r="R51" s="1013"/>
      <c r="S51" s="1013"/>
      <c r="T51" s="1013"/>
      <c r="U51" s="1013"/>
      <c r="V51" s="1013"/>
      <c r="W51" s="1013"/>
      <c r="X51" s="1013"/>
      <c r="Y51" s="1013"/>
      <c r="Z51" s="1013"/>
      <c r="AA51" s="1013"/>
      <c r="AB51" s="1013"/>
      <c r="AC51" s="1013"/>
      <c r="AD51" s="1013"/>
      <c r="AE51" s="1013"/>
      <c r="AF51" s="1013"/>
      <c r="AG51" s="1013"/>
      <c r="AH51" s="1013"/>
      <c r="AI51" s="1013"/>
      <c r="AJ51" s="1013"/>
      <c r="AK51" s="1014"/>
      <c r="AL51" s="1014"/>
      <c r="AM51" s="1014"/>
      <c r="AN51" s="355"/>
      <c r="AO51" s="436"/>
      <c r="AP51" s="436"/>
      <c r="AQ51" s="436"/>
      <c r="AR51" s="435"/>
      <c r="AS51" s="433"/>
      <c r="AT51" s="433"/>
      <c r="AU51" s="433"/>
      <c r="AV51" s="433"/>
      <c r="AW51" s="433"/>
      <c r="AX51" s="434"/>
      <c r="AY51" s="1007"/>
      <c r="AZ51" s="1007"/>
      <c r="BA51" s="1007"/>
      <c r="BB51" s="1007"/>
      <c r="BC51" s="1007"/>
      <c r="BD51" s="1007"/>
      <c r="BE51" s="434"/>
      <c r="BF51" s="968"/>
      <c r="BG51" s="968"/>
      <c r="BH51" s="968"/>
      <c r="BI51" s="968"/>
      <c r="BJ51" s="968"/>
      <c r="BK51" s="851"/>
      <c r="BL51" s="826"/>
      <c r="BM51" s="820"/>
      <c r="BN51" s="820"/>
      <c r="BO51" s="820"/>
      <c r="BP51" s="435"/>
      <c r="BQ51" s="1007"/>
      <c r="BR51" s="1007"/>
      <c r="BS51" s="1007"/>
      <c r="BT51" s="1007"/>
      <c r="BU51" s="1007"/>
      <c r="BV51" s="1008"/>
      <c r="BW51" s="968"/>
      <c r="BX51" s="968"/>
      <c r="BY51" s="968"/>
      <c r="BZ51" s="968"/>
      <c r="CA51" s="968"/>
      <c r="CB51" s="1009"/>
      <c r="CC51" s="968"/>
      <c r="CD51" s="968"/>
      <c r="CE51" s="968"/>
      <c r="CF51" s="968"/>
      <c r="CG51" s="968"/>
      <c r="CH51" s="285"/>
      <c r="CI51" s="288"/>
      <c r="CJ51" s="288"/>
    </row>
    <row r="52" spans="1:88" s="313" customFormat="1" ht="15" customHeight="1">
      <c r="A52" s="312"/>
      <c r="B52" s="312"/>
      <c r="C52" s="312"/>
      <c r="E52" s="983"/>
      <c r="F52" s="983"/>
      <c r="G52" s="1013"/>
      <c r="H52" s="1013"/>
      <c r="I52" s="1013"/>
      <c r="J52" s="1013"/>
      <c r="K52" s="1013"/>
      <c r="L52" s="1013"/>
      <c r="M52" s="1013"/>
      <c r="N52" s="1013"/>
      <c r="O52" s="1013"/>
      <c r="P52" s="1013"/>
      <c r="Q52" s="1013"/>
      <c r="R52" s="1013"/>
      <c r="S52" s="1013"/>
      <c r="T52" s="1013"/>
      <c r="U52" s="1013"/>
      <c r="V52" s="1013"/>
      <c r="W52" s="1013"/>
      <c r="X52" s="1013"/>
      <c r="Y52" s="1013"/>
      <c r="Z52" s="1013"/>
      <c r="AA52" s="1013"/>
      <c r="AB52" s="1013"/>
      <c r="AC52" s="1013"/>
      <c r="AD52" s="1013"/>
      <c r="AE52" s="1013"/>
      <c r="AF52" s="1013"/>
      <c r="AG52" s="1013"/>
      <c r="AH52" s="1013"/>
      <c r="AI52" s="1013"/>
      <c r="AJ52" s="1013"/>
      <c r="AK52" s="1014"/>
      <c r="AL52" s="1014"/>
      <c r="AM52" s="1014"/>
      <c r="AN52" s="355"/>
      <c r="AO52" s="432" t="str">
        <f>IF(LEN(VLOOKUP(AK50,suvaha!$D$92:$H$158,2,FALSE))&lt;11,"",LEFT(RIGHT(VLOOKUP(AK50,suvaha!$D$92:$H$158,2,FALSE),11),1))</f>
        <v/>
      </c>
      <c r="AP52" s="255"/>
      <c r="AQ52" s="432" t="str">
        <f>IF(LEN(VLOOKUP(AK50,suvaha!$D$92:$H$158,2,FALSE))&lt;10,"",LEFT(RIGHT(VLOOKUP(AK50,suvaha!$D$92:$H$158,2,FALSE),10),1))</f>
        <v/>
      </c>
      <c r="AR52" s="434"/>
      <c r="AS52" s="432" t="str">
        <f>IF(LEN(VLOOKUP(AK50,suvaha!$D$92:$H$158,2,FALSE))&lt;9,"",LEFT(RIGHT(VLOOKUP(AK50,suvaha!$D$92:$H$158,2,FALSE),9),1))</f>
        <v/>
      </c>
      <c r="AT52" s="255"/>
      <c r="AU52" s="432" t="str">
        <f>IF(LEN(VLOOKUP(AK50,suvaha!$D$92:$H$158,2,FALSE))&lt;8,"",LEFT(RIGHT(VLOOKUP(AK50,suvaha!$D$92:$H$158,2,FALSE),8),1))</f>
        <v/>
      </c>
      <c r="AV52" s="434"/>
      <c r="AW52" s="432" t="str">
        <f>IF(LEN(VLOOKUP(AK50,suvaha!$D$92:$H$158,2,FALSE))&lt;7,"",LEFT(RIGHT(VLOOKUP(AK50,suvaha!$D$92:$H$158,2,FALSE),7),1))</f>
        <v>6</v>
      </c>
      <c r="AX52" s="434"/>
      <c r="AY52" s="432" t="str">
        <f>IF(LEN(VLOOKUP(AK50,suvaha!$D$92:$H$158,2,FALSE))&lt;6,"",LEFT(RIGHT(VLOOKUP(AK50,suvaha!$D$92:$H$158,2,FALSE),6),1))</f>
        <v>7</v>
      </c>
      <c r="AZ52" s="255"/>
      <c r="BA52" s="961" t="str">
        <f>IF(LEN(VLOOKUP(AK50,suvaha!$D$92:$H$158,2,FALSE))&lt;5,"",LEFT(RIGHT(VLOOKUP(AK50,suvaha!$D$92:$H$158,2,FALSE),5),1))</f>
        <v>5</v>
      </c>
      <c r="BB52" s="961" t="e">
        <f>IF(LEN(#REF!)&lt;5,"",LEFT(RIGHT(#REF!,5),1))</f>
        <v>#REF!</v>
      </c>
      <c r="BC52" s="434"/>
      <c r="BD52" s="432" t="str">
        <f>IF(LEN(VLOOKUP(AK50,suvaha!$D$92:$H$158,2,FALSE))&lt;4,"",LEFT(RIGHT(VLOOKUP(AK50,suvaha!$D$92:$H$158,2,FALSE),4),1))</f>
        <v>7</v>
      </c>
      <c r="BE52" s="434"/>
      <c r="BF52" s="432" t="str">
        <f>IF(LEN(VLOOKUP(AK50,suvaha!$D$92:$H$158,2,FALSE))&lt;3,"",LEFT(RIGHT(VLOOKUP(AK50,suvaha!$D$92:$H$158,2,FALSE),3),1))</f>
        <v>7</v>
      </c>
      <c r="BG52" s="434"/>
      <c r="BH52" s="432" t="str">
        <f>IF(LEN(VLOOKUP(AK50,suvaha!$D$92:$H$158,2,FALSE))&lt;2,"",LEFT(RIGHT(VLOOKUP(AK50,suvaha!$D$92:$H$158,2,FALSE),2),1))</f>
        <v>6</v>
      </c>
      <c r="BI52" s="434"/>
      <c r="BJ52" s="432" t="str">
        <f>IF(VLOOKUP(AK50,suvaha!$D$92:$H$158,2,FALSE)=0,"",IF(LEN(VLOOKUP(AK50,suvaha!$D$92:$H$158,2,FALSE))&lt;1,"",LEFT(RIGHT(VLOOKUP(AK50,suvaha!$D$92:$H$158,2,FALSE),1),1)))</f>
        <v>9</v>
      </c>
      <c r="BK52" s="851"/>
      <c r="BL52" s="826"/>
      <c r="BM52" s="432" t="str">
        <f>IF(LEN(VLOOKUP(AK50,suvaha!$D$92:$H$158,4,FALSE))&lt;11,"",LEFT(RIGHT(VLOOKUP(AK50,suvaha!$D$92:$H$158,4,FALSE),11),1))</f>
        <v/>
      </c>
      <c r="BN52" s="255"/>
      <c r="BO52" s="432" t="str">
        <f>IF(LEN(VLOOKUP(AK50,suvaha!$D$92:$H$158,4,FALSE))&lt;10,"",LEFT(RIGHT(VLOOKUP(AK50,suvaha!$D$92:$H$158,4,FALSE),10),1))</f>
        <v/>
      </c>
      <c r="BP52" s="434"/>
      <c r="BQ52" s="432" t="str">
        <f>IF(LEN(VLOOKUP(AK50,suvaha!$D$92:$H$158,4,FALSE))&lt;9,"",LEFT(RIGHT(VLOOKUP(AK50,suvaha!$D$92:$H$158,4,FALSE),9),1))</f>
        <v/>
      </c>
      <c r="BR52" s="255"/>
      <c r="BS52" s="432" t="str">
        <f>IF(LEN(VLOOKUP(AK50,suvaha!$D$92:$H$158,4,FALSE))&lt;8,"",LEFT(RIGHT(VLOOKUP(AK50,suvaha!$D$92:$H$158,4,FALSE),8),1))</f>
        <v/>
      </c>
      <c r="BT52" s="434"/>
      <c r="BU52" s="432" t="str">
        <f>IF(LEN(VLOOKUP(AK50,suvaha!$D$92:$H$158,4,FALSE))&lt;7,"",LEFT(RIGHT(VLOOKUP(AK50,suvaha!$D$92:$H$158,4,FALSE),7),1))</f>
        <v/>
      </c>
      <c r="BV52" s="1008"/>
      <c r="BW52" s="432" t="str">
        <f>IF(LEN(VLOOKUP(AK50,suvaha!$D$92:$H$158,4,FALSE))&lt;6,"",LEFT(RIGHT(VLOOKUP(AK50,suvaha!$D$92:$H$158,4,FALSE),6),1))</f>
        <v>3</v>
      </c>
      <c r="BX52" s="434"/>
      <c r="BY52" s="432" t="str">
        <f>IF(LEN(VLOOKUP(AK50,suvaha!$D$92:$H$158,4,FALSE))&lt;5,"",LEFT(RIGHT(VLOOKUP(AK50,suvaha!$D$92:$H$158,4,FALSE),5),1))</f>
        <v>1</v>
      </c>
      <c r="BZ52" s="434"/>
      <c r="CA52" s="432" t="str">
        <f>IF(LEN(VLOOKUP(AK50,suvaha!$D$92:$H$158,4,FALSE))&lt;4,"",LEFT(RIGHT(VLOOKUP(AK50,suvaha!$D$92:$H$158,4,FALSE),4),1))</f>
        <v>6</v>
      </c>
      <c r="CB52" s="1009"/>
      <c r="CC52" s="432" t="str">
        <f>IF(LEN(VLOOKUP(AK50,suvaha!$D$92:$H$158,4,FALSE))&lt;3,"",LEFT(RIGHT(VLOOKUP(AK50,suvaha!$D$92:$H$158,4,FALSE),3),1))</f>
        <v>5</v>
      </c>
      <c r="CD52" s="434"/>
      <c r="CE52" s="432" t="str">
        <f>IF(LEN(VLOOKUP(AK50,suvaha!$D$92:$H$158,4,FALSE))&lt;2,"",LEFT(RIGHT(VLOOKUP(AK50,suvaha!$D$92:$H$158,4,FALSE),2),1))</f>
        <v>8</v>
      </c>
      <c r="CF52" s="434"/>
      <c r="CG52" s="432" t="str">
        <f>IF(VLOOKUP(AK50,suvaha!$D$92:$H$158,4,FALSE)=0,"",IF(LEN(VLOOKUP(AK50,suvaha!$D$92:$H$158,4,FALSE))&lt;1,"",LEFT(RIGHT(VLOOKUP(AK50,suvaha!$D$92:$H$158,4,FALSE),1),1)))</f>
        <v>7</v>
      </c>
      <c r="CH52" s="285"/>
      <c r="CI52" s="312"/>
      <c r="CJ52" s="312"/>
    </row>
    <row r="53" spans="1:88" s="313" customFormat="1" ht="3" customHeight="1">
      <c r="A53" s="312"/>
      <c r="B53" s="312"/>
      <c r="C53" s="312"/>
      <c r="E53" s="983"/>
      <c r="F53" s="983"/>
      <c r="G53" s="1013"/>
      <c r="H53" s="1013"/>
      <c r="I53" s="1013"/>
      <c r="J53" s="1013"/>
      <c r="K53" s="1013"/>
      <c r="L53" s="1013"/>
      <c r="M53" s="1013"/>
      <c r="N53" s="1013"/>
      <c r="O53" s="1013"/>
      <c r="P53" s="1013"/>
      <c r="Q53" s="1013"/>
      <c r="R53" s="1013"/>
      <c r="S53" s="1013"/>
      <c r="T53" s="1013"/>
      <c r="U53" s="1013"/>
      <c r="V53" s="1013"/>
      <c r="W53" s="1013"/>
      <c r="X53" s="1013"/>
      <c r="Y53" s="1013"/>
      <c r="Z53" s="1013"/>
      <c r="AA53" s="1013"/>
      <c r="AB53" s="1013"/>
      <c r="AC53" s="1013"/>
      <c r="AD53" s="1013"/>
      <c r="AE53" s="1013"/>
      <c r="AF53" s="1013"/>
      <c r="AG53" s="1013"/>
      <c r="AH53" s="1013"/>
      <c r="AI53" s="1013"/>
      <c r="AJ53" s="1013"/>
      <c r="AK53" s="1014"/>
      <c r="AL53" s="1014"/>
      <c r="AM53" s="1014"/>
      <c r="AN53" s="358"/>
      <c r="AO53" s="365"/>
      <c r="AP53" s="365"/>
      <c r="AQ53" s="365"/>
      <c r="AR53" s="365"/>
      <c r="AS53" s="365"/>
      <c r="AT53" s="365"/>
      <c r="AU53" s="365"/>
      <c r="AV53" s="365"/>
      <c r="AW53" s="365"/>
      <c r="AX53" s="365"/>
      <c r="AY53" s="365"/>
      <c r="AZ53" s="365"/>
      <c r="BA53" s="365"/>
      <c r="BB53" s="365"/>
      <c r="BC53" s="365"/>
      <c r="BD53" s="365"/>
      <c r="BE53" s="310"/>
      <c r="BF53" s="310"/>
      <c r="BG53" s="310"/>
      <c r="BH53" s="310"/>
      <c r="BI53" s="310"/>
      <c r="BJ53" s="310"/>
      <c r="BK53" s="310"/>
      <c r="BL53" s="846"/>
      <c r="BM53" s="846"/>
      <c r="BN53" s="846"/>
      <c r="BO53" s="846"/>
      <c r="BP53" s="846"/>
      <c r="BQ53" s="846"/>
      <c r="BR53" s="846"/>
      <c r="BS53" s="846"/>
      <c r="BT53" s="846"/>
      <c r="BU53" s="846"/>
      <c r="BV53" s="846"/>
      <c r="BW53" s="846"/>
      <c r="BX53" s="846"/>
      <c r="BY53" s="846"/>
      <c r="BZ53" s="846"/>
      <c r="CA53" s="846"/>
      <c r="CB53" s="846"/>
      <c r="CC53" s="310"/>
      <c r="CD53" s="310"/>
      <c r="CE53" s="310"/>
      <c r="CF53" s="310"/>
      <c r="CG53" s="310"/>
      <c r="CH53" s="286"/>
      <c r="CI53" s="312"/>
      <c r="CJ53" s="312"/>
    </row>
    <row r="54" spans="1:88" s="250" customFormat="1" ht="3" customHeight="1">
      <c r="A54" s="312"/>
      <c r="B54" s="312"/>
      <c r="C54" s="224"/>
      <c r="D54" s="224"/>
      <c r="E54" s="983" t="s">
        <v>1544</v>
      </c>
      <c r="F54" s="983"/>
      <c r="G54" s="1043" t="str">
        <f>Index!C180</f>
        <v>Ostatné záväzky v rámci podielovej účasti okrem záväzkov voči prepojeným účtovným jednotkám (361A, 36XA, 471A, 47XA)</v>
      </c>
      <c r="H54" s="1043"/>
      <c r="I54" s="1043"/>
      <c r="J54" s="1043"/>
      <c r="K54" s="1043"/>
      <c r="L54" s="1043"/>
      <c r="M54" s="1043"/>
      <c r="N54" s="1043"/>
      <c r="O54" s="1043"/>
      <c r="P54" s="1043"/>
      <c r="Q54" s="1043"/>
      <c r="R54" s="1043"/>
      <c r="S54" s="1043"/>
      <c r="T54" s="1043"/>
      <c r="U54" s="1043"/>
      <c r="V54" s="1043"/>
      <c r="W54" s="1043"/>
      <c r="X54" s="1043"/>
      <c r="Y54" s="1043"/>
      <c r="Z54" s="1043"/>
      <c r="AA54" s="1043"/>
      <c r="AB54" s="1043"/>
      <c r="AC54" s="1043"/>
      <c r="AD54" s="1043"/>
      <c r="AE54" s="1043"/>
      <c r="AF54" s="1043"/>
      <c r="AG54" s="1043"/>
      <c r="AH54" s="1043"/>
      <c r="AI54" s="1043"/>
      <c r="AJ54" s="1043"/>
      <c r="AK54" s="1014" t="s">
        <v>1700</v>
      </c>
      <c r="AL54" s="1014"/>
      <c r="AM54" s="1014"/>
      <c r="AN54" s="357"/>
      <c r="AO54" s="366"/>
      <c r="AP54" s="366"/>
      <c r="AQ54" s="366"/>
      <c r="AR54" s="366"/>
      <c r="AS54" s="366"/>
      <c r="AT54" s="366"/>
      <c r="AU54" s="366"/>
      <c r="AV54" s="366"/>
      <c r="AW54" s="366"/>
      <c r="AX54" s="366"/>
      <c r="AY54" s="366"/>
      <c r="AZ54" s="366"/>
      <c r="BA54" s="366"/>
      <c r="BB54" s="366"/>
      <c r="BC54" s="366"/>
      <c r="BD54" s="366"/>
      <c r="BE54" s="304"/>
      <c r="BF54" s="304"/>
      <c r="BG54" s="304"/>
      <c r="BH54" s="304"/>
      <c r="BI54" s="304"/>
      <c r="BJ54" s="304"/>
      <c r="BK54" s="304"/>
      <c r="BL54" s="867"/>
      <c r="BM54" s="867"/>
      <c r="BN54" s="867"/>
      <c r="BO54" s="867"/>
      <c r="BP54" s="867"/>
      <c r="BQ54" s="867"/>
      <c r="BR54" s="867"/>
      <c r="BS54" s="867"/>
      <c r="BT54" s="867"/>
      <c r="BU54" s="867"/>
      <c r="BV54" s="867"/>
      <c r="BW54" s="867"/>
      <c r="BX54" s="867"/>
      <c r="BY54" s="867"/>
      <c r="BZ54" s="867"/>
      <c r="CA54" s="867"/>
      <c r="CB54" s="867"/>
      <c r="CC54" s="304"/>
      <c r="CD54" s="304"/>
      <c r="CE54" s="304"/>
      <c r="CF54" s="304"/>
      <c r="CG54" s="304"/>
      <c r="CH54" s="284"/>
      <c r="CI54" s="288"/>
      <c r="CJ54" s="288"/>
    </row>
    <row r="55" spans="1:88" s="250" customFormat="1" ht="3" customHeight="1">
      <c r="A55" s="312"/>
      <c r="B55" s="312"/>
      <c r="C55" s="312"/>
      <c r="D55" s="312"/>
      <c r="E55" s="983"/>
      <c r="F55" s="983"/>
      <c r="G55" s="1043"/>
      <c r="H55" s="1043"/>
      <c r="I55" s="1043"/>
      <c r="J55" s="1043"/>
      <c r="K55" s="1043"/>
      <c r="L55" s="1043"/>
      <c r="M55" s="1043"/>
      <c r="N55" s="1043"/>
      <c r="O55" s="1043"/>
      <c r="P55" s="1043"/>
      <c r="Q55" s="1043"/>
      <c r="R55" s="1043"/>
      <c r="S55" s="1043"/>
      <c r="T55" s="1043"/>
      <c r="U55" s="1043"/>
      <c r="V55" s="1043"/>
      <c r="W55" s="1043"/>
      <c r="X55" s="1043"/>
      <c r="Y55" s="1043"/>
      <c r="Z55" s="1043"/>
      <c r="AA55" s="1043"/>
      <c r="AB55" s="1043"/>
      <c r="AC55" s="1043"/>
      <c r="AD55" s="1043"/>
      <c r="AE55" s="1043"/>
      <c r="AF55" s="1043"/>
      <c r="AG55" s="1043"/>
      <c r="AH55" s="1043"/>
      <c r="AI55" s="1043"/>
      <c r="AJ55" s="1043"/>
      <c r="AK55" s="1014"/>
      <c r="AL55" s="1014"/>
      <c r="AM55" s="1014"/>
      <c r="AN55" s="355"/>
      <c r="AO55" s="436"/>
      <c r="AP55" s="436"/>
      <c r="AQ55" s="436"/>
      <c r="AR55" s="435"/>
      <c r="AS55" s="433"/>
      <c r="AT55" s="433"/>
      <c r="AU55" s="433"/>
      <c r="AV55" s="433"/>
      <c r="AW55" s="433"/>
      <c r="AX55" s="434"/>
      <c r="AY55" s="1007"/>
      <c r="AZ55" s="1007"/>
      <c r="BA55" s="1007"/>
      <c r="BB55" s="1007"/>
      <c r="BC55" s="1007"/>
      <c r="BD55" s="1007"/>
      <c r="BE55" s="434"/>
      <c r="BF55" s="968"/>
      <c r="BG55" s="968"/>
      <c r="BH55" s="968"/>
      <c r="BI55" s="968"/>
      <c r="BJ55" s="968"/>
      <c r="BK55" s="851"/>
      <c r="BL55" s="826"/>
      <c r="BM55" s="820"/>
      <c r="BN55" s="820"/>
      <c r="BO55" s="820"/>
      <c r="BP55" s="435"/>
      <c r="BQ55" s="1007"/>
      <c r="BR55" s="1007"/>
      <c r="BS55" s="1007"/>
      <c r="BT55" s="1007"/>
      <c r="BU55" s="1007"/>
      <c r="BV55" s="1008"/>
      <c r="BW55" s="968"/>
      <c r="BX55" s="968"/>
      <c r="BY55" s="968"/>
      <c r="BZ55" s="968"/>
      <c r="CA55" s="968"/>
      <c r="CB55" s="1009"/>
      <c r="CC55" s="968"/>
      <c r="CD55" s="968"/>
      <c r="CE55" s="968"/>
      <c r="CF55" s="968"/>
      <c r="CG55" s="968"/>
      <c r="CH55" s="285"/>
      <c r="CI55" s="288"/>
      <c r="CJ55" s="288"/>
    </row>
    <row r="56" spans="1:88" s="313" customFormat="1" ht="15" customHeight="1">
      <c r="A56" s="312"/>
      <c r="B56" s="312"/>
      <c r="C56" s="312"/>
      <c r="E56" s="983"/>
      <c r="F56" s="983"/>
      <c r="G56" s="1043"/>
      <c r="H56" s="1043"/>
      <c r="I56" s="1043"/>
      <c r="J56" s="1043"/>
      <c r="K56" s="1043"/>
      <c r="L56" s="1043"/>
      <c r="M56" s="1043"/>
      <c r="N56" s="1043"/>
      <c r="O56" s="1043"/>
      <c r="P56" s="1043"/>
      <c r="Q56" s="1043"/>
      <c r="R56" s="1043"/>
      <c r="S56" s="1043"/>
      <c r="T56" s="1043"/>
      <c r="U56" s="1043"/>
      <c r="V56" s="1043"/>
      <c r="W56" s="1043"/>
      <c r="X56" s="1043"/>
      <c r="Y56" s="1043"/>
      <c r="Z56" s="1043"/>
      <c r="AA56" s="1043"/>
      <c r="AB56" s="1043"/>
      <c r="AC56" s="1043"/>
      <c r="AD56" s="1043"/>
      <c r="AE56" s="1043"/>
      <c r="AF56" s="1043"/>
      <c r="AG56" s="1043"/>
      <c r="AH56" s="1043"/>
      <c r="AI56" s="1043"/>
      <c r="AJ56" s="1043"/>
      <c r="AK56" s="1014"/>
      <c r="AL56" s="1014"/>
      <c r="AM56" s="1014"/>
      <c r="AN56" s="355"/>
      <c r="AO56" s="432" t="str">
        <f>IF(LEN(VLOOKUP(AK54,suvaha!$D$92:$H$158,2,FALSE))&lt;11,"",LEFT(RIGHT(VLOOKUP(AK54,suvaha!$D$92:$H$158,2,FALSE),11),1))</f>
        <v/>
      </c>
      <c r="AP56" s="255"/>
      <c r="AQ56" s="432" t="str">
        <f>IF(LEN(VLOOKUP(AK54,suvaha!$D$92:$H$158,2,FALSE))&lt;10,"",LEFT(RIGHT(VLOOKUP(AK54,suvaha!$D$92:$H$158,2,FALSE),10),1))</f>
        <v/>
      </c>
      <c r="AR56" s="434"/>
      <c r="AS56" s="432" t="str">
        <f>IF(LEN(VLOOKUP(AK54,suvaha!$D$92:$H$158,2,FALSE))&lt;9,"",LEFT(RIGHT(VLOOKUP(AK54,suvaha!$D$92:$H$158,2,FALSE),9),1))</f>
        <v/>
      </c>
      <c r="AT56" s="255"/>
      <c r="AU56" s="432" t="str">
        <f>IF(LEN(VLOOKUP(AK54,suvaha!$D$92:$H$158,2,FALSE))&lt;8,"",LEFT(RIGHT(VLOOKUP(AK54,suvaha!$D$92:$H$158,2,FALSE),8),1))</f>
        <v/>
      </c>
      <c r="AV56" s="434"/>
      <c r="AW56" s="432" t="str">
        <f>IF(LEN(VLOOKUP(AK54,suvaha!$D$92:$H$158,2,FALSE))&lt;7,"",LEFT(RIGHT(VLOOKUP(AK54,suvaha!$D$92:$H$158,2,FALSE),7),1))</f>
        <v/>
      </c>
      <c r="AX56" s="434"/>
      <c r="AY56" s="432" t="str">
        <f>IF(LEN(VLOOKUP(AK54,suvaha!$D$92:$H$158,2,FALSE))&lt;6,"",LEFT(RIGHT(VLOOKUP(AK54,suvaha!$D$92:$H$158,2,FALSE),6),1))</f>
        <v/>
      </c>
      <c r="AZ56" s="255"/>
      <c r="BA56" s="961" t="str">
        <f>IF(LEN(VLOOKUP(AK54,suvaha!$D$92:$H$158,2,FALSE))&lt;5,"",LEFT(RIGHT(VLOOKUP(AK54,suvaha!$D$92:$H$158,2,FALSE),5),1))</f>
        <v/>
      </c>
      <c r="BB56" s="961" t="e">
        <f>IF(LEN(#REF!)&lt;5,"",LEFT(RIGHT(#REF!,5),1))</f>
        <v>#REF!</v>
      </c>
      <c r="BC56" s="434"/>
      <c r="BD56" s="432" t="str">
        <f>IF(LEN(VLOOKUP(AK54,suvaha!$D$92:$H$158,2,FALSE))&lt;4,"",LEFT(RIGHT(VLOOKUP(AK54,suvaha!$D$92:$H$158,2,FALSE),4),1))</f>
        <v/>
      </c>
      <c r="BE56" s="434"/>
      <c r="BF56" s="432" t="str">
        <f>IF(LEN(VLOOKUP(AK54,suvaha!$D$92:$H$158,2,FALSE))&lt;3,"",LEFT(RIGHT(VLOOKUP(AK54,suvaha!$D$92:$H$158,2,FALSE),3),1))</f>
        <v/>
      </c>
      <c r="BG56" s="434"/>
      <c r="BH56" s="432" t="str">
        <f>IF(LEN(VLOOKUP(AK54,suvaha!$D$92:$H$158,2,FALSE))&lt;2,"",LEFT(RIGHT(VLOOKUP(AK54,suvaha!$D$92:$H$158,2,FALSE),2),1))</f>
        <v/>
      </c>
      <c r="BI56" s="434"/>
      <c r="BJ56" s="432" t="str">
        <f>IF(VLOOKUP(AK54,suvaha!$D$92:$H$158,2,FALSE)=0,"",IF(LEN(VLOOKUP(AK54,suvaha!$D$92:$H$158,2,FALSE))&lt;1,"",LEFT(RIGHT(VLOOKUP(AK54,suvaha!$D$92:$H$158,2,FALSE),1),1)))</f>
        <v/>
      </c>
      <c r="BK56" s="851"/>
      <c r="BL56" s="826"/>
      <c r="BM56" s="432" t="str">
        <f>IF(LEN(VLOOKUP(AK54,suvaha!$D$92:$H$158,4,FALSE))&lt;11,"",LEFT(RIGHT(VLOOKUP(AK54,suvaha!$D$92:$H$158,4,FALSE),11),1))</f>
        <v/>
      </c>
      <c r="BN56" s="255"/>
      <c r="BO56" s="432" t="str">
        <f>IF(LEN(VLOOKUP(AK54,suvaha!$D$92:$H$158,4,FALSE))&lt;10,"",LEFT(RIGHT(VLOOKUP(AK54,suvaha!$D$92:$H$158,4,FALSE),10),1))</f>
        <v/>
      </c>
      <c r="BP56" s="434"/>
      <c r="BQ56" s="432" t="str">
        <f>IF(LEN(VLOOKUP(AK54,suvaha!$D$92:$H$158,4,FALSE))&lt;9,"",LEFT(RIGHT(VLOOKUP(AK54,suvaha!$D$92:$H$158,4,FALSE),9),1))</f>
        <v/>
      </c>
      <c r="BR56" s="255"/>
      <c r="BS56" s="432" t="str">
        <f>IF(LEN(VLOOKUP(AK54,suvaha!$D$92:$H$158,4,FALSE))&lt;8,"",LEFT(RIGHT(VLOOKUP(AK54,suvaha!$D$92:$H$158,4,FALSE),8),1))</f>
        <v/>
      </c>
      <c r="BT56" s="434"/>
      <c r="BU56" s="432" t="str">
        <f>IF(LEN(VLOOKUP(AK54,suvaha!$D$92:$H$158,4,FALSE))&lt;7,"",LEFT(RIGHT(VLOOKUP(AK54,suvaha!$D$92:$H$158,4,FALSE),7),1))</f>
        <v/>
      </c>
      <c r="BV56" s="1008"/>
      <c r="BW56" s="432" t="str">
        <f>IF(LEN(VLOOKUP(AK54,suvaha!$D$92:$H$158,4,FALSE))&lt;6,"",LEFT(RIGHT(VLOOKUP(AK54,suvaha!$D$92:$H$158,4,FALSE),6),1))</f>
        <v/>
      </c>
      <c r="BX56" s="434"/>
      <c r="BY56" s="432" t="str">
        <f>IF(LEN(VLOOKUP(AK54,suvaha!$D$92:$H$158,4,FALSE))&lt;5,"",LEFT(RIGHT(VLOOKUP(AK54,suvaha!$D$92:$H$158,4,FALSE),5),1))</f>
        <v/>
      </c>
      <c r="BZ56" s="434"/>
      <c r="CA56" s="432" t="str">
        <f>IF(LEN(VLOOKUP(AK54,suvaha!$D$92:$H$158,4,FALSE))&lt;4,"",LEFT(RIGHT(VLOOKUP(AK54,suvaha!$D$92:$H$158,4,FALSE),4),1))</f>
        <v/>
      </c>
      <c r="CB56" s="1009"/>
      <c r="CC56" s="432" t="str">
        <f>IF(LEN(VLOOKUP(AK54,suvaha!$D$92:$H$158,4,FALSE))&lt;3,"",LEFT(RIGHT(VLOOKUP(AK54,suvaha!$D$92:$H$158,4,FALSE),3),1))</f>
        <v/>
      </c>
      <c r="CD56" s="434"/>
      <c r="CE56" s="432" t="str">
        <f>IF(LEN(VLOOKUP(AK54,suvaha!$D$92:$H$158,4,FALSE))&lt;2,"",LEFT(RIGHT(VLOOKUP(AK54,suvaha!$D$92:$H$158,4,FALSE),2),1))</f>
        <v/>
      </c>
      <c r="CF56" s="434"/>
      <c r="CG56" s="432" t="str">
        <f>IF(VLOOKUP(AK54,suvaha!$D$92:$H$158,4,FALSE)=0,"",IF(LEN(VLOOKUP(AK54,suvaha!$D$92:$H$158,4,FALSE))&lt;1,"",LEFT(RIGHT(VLOOKUP(AK54,suvaha!$D$92:$H$158,4,FALSE),1),1)))</f>
        <v/>
      </c>
      <c r="CH56" s="285"/>
      <c r="CI56" s="312"/>
      <c r="CJ56" s="312"/>
    </row>
    <row r="57" spans="1:88" s="313" customFormat="1">
      <c r="A57" s="312"/>
      <c r="B57" s="312"/>
      <c r="C57" s="312"/>
      <c r="E57" s="983"/>
      <c r="F57" s="983"/>
      <c r="G57" s="1043"/>
      <c r="H57" s="1043"/>
      <c r="I57" s="1043"/>
      <c r="J57" s="1043"/>
      <c r="K57" s="1043"/>
      <c r="L57" s="1043"/>
      <c r="M57" s="1043"/>
      <c r="N57" s="1043"/>
      <c r="O57" s="1043"/>
      <c r="P57" s="1043"/>
      <c r="Q57" s="1043"/>
      <c r="R57" s="1043"/>
      <c r="S57" s="1043"/>
      <c r="T57" s="1043"/>
      <c r="U57" s="1043"/>
      <c r="V57" s="1043"/>
      <c r="W57" s="1043"/>
      <c r="X57" s="1043"/>
      <c r="Y57" s="1043"/>
      <c r="Z57" s="1043"/>
      <c r="AA57" s="1043"/>
      <c r="AB57" s="1043"/>
      <c r="AC57" s="1043"/>
      <c r="AD57" s="1043"/>
      <c r="AE57" s="1043"/>
      <c r="AF57" s="1043"/>
      <c r="AG57" s="1043"/>
      <c r="AH57" s="1043"/>
      <c r="AI57" s="1043"/>
      <c r="AJ57" s="1043"/>
      <c r="AK57" s="1014"/>
      <c r="AL57" s="1014"/>
      <c r="AM57" s="1014"/>
      <c r="AN57" s="358"/>
      <c r="AO57" s="365"/>
      <c r="AP57" s="365"/>
      <c r="AQ57" s="365"/>
      <c r="AR57" s="365"/>
      <c r="AS57" s="365"/>
      <c r="AT57" s="365"/>
      <c r="AU57" s="365"/>
      <c r="AV57" s="365"/>
      <c r="AW57" s="365"/>
      <c r="AX57" s="365"/>
      <c r="AY57" s="365"/>
      <c r="AZ57" s="365"/>
      <c r="BA57" s="365"/>
      <c r="BB57" s="365"/>
      <c r="BC57" s="365"/>
      <c r="BD57" s="365"/>
      <c r="BE57" s="310"/>
      <c r="BF57" s="310"/>
      <c r="BG57" s="310"/>
      <c r="BH57" s="310"/>
      <c r="BI57" s="310"/>
      <c r="BJ57" s="310"/>
      <c r="BK57" s="310"/>
      <c r="BL57" s="846"/>
      <c r="BM57" s="846"/>
      <c r="BN57" s="846"/>
      <c r="BO57" s="846"/>
      <c r="BP57" s="846"/>
      <c r="BQ57" s="846"/>
      <c r="BR57" s="846"/>
      <c r="BS57" s="846"/>
      <c r="BT57" s="846"/>
      <c r="BU57" s="846"/>
      <c r="BV57" s="846"/>
      <c r="BW57" s="846"/>
      <c r="BX57" s="846"/>
      <c r="BY57" s="846"/>
      <c r="BZ57" s="846"/>
      <c r="CA57" s="846"/>
      <c r="CB57" s="846"/>
      <c r="CC57" s="310"/>
      <c r="CD57" s="310"/>
      <c r="CE57" s="310"/>
      <c r="CF57" s="310"/>
      <c r="CG57" s="310"/>
      <c r="CH57" s="286"/>
      <c r="CI57" s="312"/>
      <c r="CJ57" s="312"/>
    </row>
    <row r="58" spans="1:88" s="250" customFormat="1" ht="3" customHeight="1">
      <c r="A58" s="312"/>
      <c r="B58" s="312"/>
      <c r="C58" s="224"/>
      <c r="D58" s="224"/>
      <c r="E58" s="983" t="s">
        <v>1545</v>
      </c>
      <c r="F58" s="983"/>
      <c r="G58" s="1042" t="str">
        <f>Index!C181</f>
        <v>Záväzky voči spoločníkom a združeniu (364, 365, 366, 367, 368, 398A, 478A, 479A)</v>
      </c>
      <c r="H58" s="1042"/>
      <c r="I58" s="1042"/>
      <c r="J58" s="1042"/>
      <c r="K58" s="1042"/>
      <c r="L58" s="1042"/>
      <c r="M58" s="1042"/>
      <c r="N58" s="1042"/>
      <c r="O58" s="1042"/>
      <c r="P58" s="1042"/>
      <c r="Q58" s="1042"/>
      <c r="R58" s="1042"/>
      <c r="S58" s="1042"/>
      <c r="T58" s="1042"/>
      <c r="U58" s="1042"/>
      <c r="V58" s="1042"/>
      <c r="W58" s="1042"/>
      <c r="X58" s="1042"/>
      <c r="Y58" s="1042"/>
      <c r="Z58" s="1042"/>
      <c r="AA58" s="1042"/>
      <c r="AB58" s="1042"/>
      <c r="AC58" s="1042"/>
      <c r="AD58" s="1042"/>
      <c r="AE58" s="1042"/>
      <c r="AF58" s="1042"/>
      <c r="AG58" s="1042"/>
      <c r="AH58" s="1042"/>
      <c r="AI58" s="1042"/>
      <c r="AJ58" s="1042"/>
      <c r="AK58" s="1014" t="s">
        <v>1701</v>
      </c>
      <c r="AL58" s="1014"/>
      <c r="AM58" s="1014"/>
      <c r="AN58" s="357"/>
      <c r="AO58" s="366"/>
      <c r="AP58" s="366"/>
      <c r="AQ58" s="366"/>
      <c r="AR58" s="366"/>
      <c r="AS58" s="366"/>
      <c r="AT58" s="366"/>
      <c r="AU58" s="366"/>
      <c r="AV58" s="366"/>
      <c r="AW58" s="366"/>
      <c r="AX58" s="366"/>
      <c r="AY58" s="366"/>
      <c r="AZ58" s="366"/>
      <c r="BA58" s="366"/>
      <c r="BB58" s="366"/>
      <c r="BC58" s="366"/>
      <c r="BD58" s="366"/>
      <c r="BE58" s="304"/>
      <c r="BF58" s="304"/>
      <c r="BG58" s="304"/>
      <c r="BH58" s="304"/>
      <c r="BI58" s="304"/>
      <c r="BJ58" s="304"/>
      <c r="BK58" s="304"/>
      <c r="BL58" s="867"/>
      <c r="BM58" s="867"/>
      <c r="BN58" s="867"/>
      <c r="BO58" s="867"/>
      <c r="BP58" s="867"/>
      <c r="BQ58" s="867"/>
      <c r="BR58" s="867"/>
      <c r="BS58" s="867"/>
      <c r="BT58" s="867"/>
      <c r="BU58" s="867"/>
      <c r="BV58" s="867"/>
      <c r="BW58" s="867"/>
      <c r="BX58" s="867"/>
      <c r="BY58" s="867"/>
      <c r="BZ58" s="867"/>
      <c r="CA58" s="867"/>
      <c r="CB58" s="867"/>
      <c r="CC58" s="304"/>
      <c r="CD58" s="304"/>
      <c r="CE58" s="304"/>
      <c r="CF58" s="304"/>
      <c r="CG58" s="304"/>
      <c r="CH58" s="284"/>
      <c r="CI58" s="288"/>
      <c r="CJ58" s="288"/>
    </row>
    <row r="59" spans="1:88" s="250" customFormat="1" ht="3" customHeight="1">
      <c r="A59" s="312"/>
      <c r="B59" s="312"/>
      <c r="C59" s="312"/>
      <c r="D59" s="312"/>
      <c r="E59" s="983"/>
      <c r="F59" s="983"/>
      <c r="G59" s="1042"/>
      <c r="H59" s="1042"/>
      <c r="I59" s="1042"/>
      <c r="J59" s="1042"/>
      <c r="K59" s="1042"/>
      <c r="L59" s="1042"/>
      <c r="M59" s="1042"/>
      <c r="N59" s="1042"/>
      <c r="O59" s="1042"/>
      <c r="P59" s="1042"/>
      <c r="Q59" s="1042"/>
      <c r="R59" s="1042"/>
      <c r="S59" s="1042"/>
      <c r="T59" s="1042"/>
      <c r="U59" s="1042"/>
      <c r="V59" s="1042"/>
      <c r="W59" s="1042"/>
      <c r="X59" s="1042"/>
      <c r="Y59" s="1042"/>
      <c r="Z59" s="1042"/>
      <c r="AA59" s="1042"/>
      <c r="AB59" s="1042"/>
      <c r="AC59" s="1042"/>
      <c r="AD59" s="1042"/>
      <c r="AE59" s="1042"/>
      <c r="AF59" s="1042"/>
      <c r="AG59" s="1042"/>
      <c r="AH59" s="1042"/>
      <c r="AI59" s="1042"/>
      <c r="AJ59" s="1042"/>
      <c r="AK59" s="1014"/>
      <c r="AL59" s="1014"/>
      <c r="AM59" s="1014"/>
      <c r="AN59" s="355"/>
      <c r="AO59" s="436"/>
      <c r="AP59" s="436"/>
      <c r="AQ59" s="436"/>
      <c r="AR59" s="435"/>
      <c r="AS59" s="433"/>
      <c r="AT59" s="433"/>
      <c r="AU59" s="433"/>
      <c r="AV59" s="433"/>
      <c r="AW59" s="433"/>
      <c r="AX59" s="434"/>
      <c r="AY59" s="1007"/>
      <c r="AZ59" s="1007"/>
      <c r="BA59" s="1007"/>
      <c r="BB59" s="1007"/>
      <c r="BC59" s="1007"/>
      <c r="BD59" s="1007"/>
      <c r="BE59" s="434"/>
      <c r="BF59" s="968"/>
      <c r="BG59" s="968"/>
      <c r="BH59" s="968"/>
      <c r="BI59" s="968"/>
      <c r="BJ59" s="968"/>
      <c r="BK59" s="851"/>
      <c r="BL59" s="826"/>
      <c r="BM59" s="820"/>
      <c r="BN59" s="820"/>
      <c r="BO59" s="820"/>
      <c r="BP59" s="435"/>
      <c r="BQ59" s="1007"/>
      <c r="BR59" s="1007"/>
      <c r="BS59" s="1007"/>
      <c r="BT59" s="1007"/>
      <c r="BU59" s="1007"/>
      <c r="BV59" s="1008"/>
      <c r="BW59" s="968"/>
      <c r="BX59" s="968"/>
      <c r="BY59" s="968"/>
      <c r="BZ59" s="968"/>
      <c r="CA59" s="968"/>
      <c r="CB59" s="1009"/>
      <c r="CC59" s="968"/>
      <c r="CD59" s="968"/>
      <c r="CE59" s="968"/>
      <c r="CF59" s="968"/>
      <c r="CG59" s="968"/>
      <c r="CH59" s="285"/>
      <c r="CI59" s="288"/>
      <c r="CJ59" s="288"/>
    </row>
    <row r="60" spans="1:88" s="313" customFormat="1" ht="15" customHeight="1">
      <c r="A60" s="312"/>
      <c r="B60" s="312"/>
      <c r="C60" s="312"/>
      <c r="E60" s="983"/>
      <c r="F60" s="983"/>
      <c r="G60" s="1042"/>
      <c r="H60" s="1042"/>
      <c r="I60" s="1042"/>
      <c r="J60" s="1042"/>
      <c r="K60" s="1042"/>
      <c r="L60" s="1042"/>
      <c r="M60" s="1042"/>
      <c r="N60" s="1042"/>
      <c r="O60" s="1042"/>
      <c r="P60" s="1042"/>
      <c r="Q60" s="1042"/>
      <c r="R60" s="1042"/>
      <c r="S60" s="1042"/>
      <c r="T60" s="1042"/>
      <c r="U60" s="1042"/>
      <c r="V60" s="1042"/>
      <c r="W60" s="1042"/>
      <c r="X60" s="1042"/>
      <c r="Y60" s="1042"/>
      <c r="Z60" s="1042"/>
      <c r="AA60" s="1042"/>
      <c r="AB60" s="1042"/>
      <c r="AC60" s="1042"/>
      <c r="AD60" s="1042"/>
      <c r="AE60" s="1042"/>
      <c r="AF60" s="1042"/>
      <c r="AG60" s="1042"/>
      <c r="AH60" s="1042"/>
      <c r="AI60" s="1042"/>
      <c r="AJ60" s="1042"/>
      <c r="AK60" s="1014"/>
      <c r="AL60" s="1014"/>
      <c r="AM60" s="1014"/>
      <c r="AN60" s="355"/>
      <c r="AO60" s="432" t="str">
        <f>IF(LEN(VLOOKUP(AK58,suvaha!$D$92:$H$158,2,FALSE))&lt;11,"",LEFT(RIGHT(VLOOKUP(AK58,suvaha!$D$92:$H$158,2,FALSE),11),1))</f>
        <v/>
      </c>
      <c r="AP60" s="255"/>
      <c r="AQ60" s="432" t="str">
        <f>IF(LEN(VLOOKUP(AK58,suvaha!$D$92:$H$158,2,FALSE))&lt;10,"",LEFT(RIGHT(VLOOKUP(AK58,suvaha!$D$92:$H$158,2,FALSE),10),1))</f>
        <v/>
      </c>
      <c r="AR60" s="434"/>
      <c r="AS60" s="432" t="str">
        <f>IF(LEN(VLOOKUP(AK58,suvaha!$D$92:$H$158,2,FALSE))&lt;9,"",LEFT(RIGHT(VLOOKUP(AK58,suvaha!$D$92:$H$158,2,FALSE),9),1))</f>
        <v/>
      </c>
      <c r="AT60" s="255"/>
      <c r="AU60" s="432" t="str">
        <f>IF(LEN(VLOOKUP(AK58,suvaha!$D$92:$H$158,2,FALSE))&lt;8,"",LEFT(RIGHT(VLOOKUP(AK58,suvaha!$D$92:$H$158,2,FALSE),8),1))</f>
        <v/>
      </c>
      <c r="AV60" s="434"/>
      <c r="AW60" s="432" t="str">
        <f>IF(LEN(VLOOKUP(AK58,suvaha!$D$92:$H$158,2,FALSE))&lt;7,"",LEFT(RIGHT(VLOOKUP(AK58,suvaha!$D$92:$H$158,2,FALSE),7),1))</f>
        <v/>
      </c>
      <c r="AX60" s="434"/>
      <c r="AY60" s="432" t="str">
        <f>IF(LEN(VLOOKUP(AK58,suvaha!$D$92:$H$158,2,FALSE))&lt;6,"",LEFT(RIGHT(VLOOKUP(AK58,suvaha!$D$92:$H$158,2,FALSE),6),1))</f>
        <v/>
      </c>
      <c r="AZ60" s="255"/>
      <c r="BA60" s="961" t="str">
        <f>IF(LEN(VLOOKUP(AK58,suvaha!$D$92:$H$158,2,FALSE))&lt;5,"",LEFT(RIGHT(VLOOKUP(AK58,suvaha!$D$92:$H$158,2,FALSE),5),1))</f>
        <v/>
      </c>
      <c r="BB60" s="961" t="e">
        <f>IF(LEN(#REF!)&lt;5,"",LEFT(RIGHT(#REF!,5),1))</f>
        <v>#REF!</v>
      </c>
      <c r="BC60" s="434"/>
      <c r="BD60" s="432" t="str">
        <f>IF(LEN(VLOOKUP(AK58,suvaha!$D$92:$H$158,2,FALSE))&lt;4,"",LEFT(RIGHT(VLOOKUP(AK58,suvaha!$D$92:$H$158,2,FALSE),4),1))</f>
        <v/>
      </c>
      <c r="BE60" s="434"/>
      <c r="BF60" s="432" t="str">
        <f>IF(LEN(VLOOKUP(AK58,suvaha!$D$92:$H$158,2,FALSE))&lt;3,"",LEFT(RIGHT(VLOOKUP(AK58,suvaha!$D$92:$H$158,2,FALSE),3),1))</f>
        <v/>
      </c>
      <c r="BG60" s="434"/>
      <c r="BH60" s="432" t="str">
        <f>IF(LEN(VLOOKUP(AK58,suvaha!$D$92:$H$158,2,FALSE))&lt;2,"",LEFT(RIGHT(VLOOKUP(AK58,suvaha!$D$92:$H$158,2,FALSE),2),1))</f>
        <v/>
      </c>
      <c r="BI60" s="434"/>
      <c r="BJ60" s="432" t="str">
        <f>IF(VLOOKUP(AK58,suvaha!$D$92:$H$158,2,FALSE)=0,"",IF(LEN(VLOOKUP(AK58,suvaha!$D$92:$H$158,2,FALSE))&lt;1,"",LEFT(RIGHT(VLOOKUP(AK58,suvaha!$D$92:$H$158,2,FALSE),1),1)))</f>
        <v/>
      </c>
      <c r="BK60" s="851"/>
      <c r="BL60" s="826"/>
      <c r="BM60" s="432" t="str">
        <f>IF(LEN(VLOOKUP(AK58,suvaha!$D$92:$H$158,4,FALSE))&lt;11,"",LEFT(RIGHT(VLOOKUP(AK58,suvaha!$D$92:$H$158,4,FALSE),11),1))</f>
        <v/>
      </c>
      <c r="BN60" s="255"/>
      <c r="BO60" s="432" t="str">
        <f>IF(LEN(VLOOKUP(AK58,suvaha!$D$92:$H$158,4,FALSE))&lt;10,"",LEFT(RIGHT(VLOOKUP(AK58,suvaha!$D$92:$H$158,4,FALSE),10),1))</f>
        <v/>
      </c>
      <c r="BP60" s="434"/>
      <c r="BQ60" s="432" t="str">
        <f>IF(LEN(VLOOKUP(AK58,suvaha!$D$92:$H$158,4,FALSE))&lt;9,"",LEFT(RIGHT(VLOOKUP(AK58,suvaha!$D$92:$H$158,4,FALSE),9),1))</f>
        <v/>
      </c>
      <c r="BR60" s="255"/>
      <c r="BS60" s="432" t="str">
        <f>IF(LEN(VLOOKUP(AK58,suvaha!$D$92:$H$158,4,FALSE))&lt;8,"",LEFT(RIGHT(VLOOKUP(AK58,suvaha!$D$92:$H$158,4,FALSE),8),1))</f>
        <v/>
      </c>
      <c r="BT60" s="434"/>
      <c r="BU60" s="432" t="str">
        <f>IF(LEN(VLOOKUP(AK58,suvaha!$D$92:$H$158,4,FALSE))&lt;7,"",LEFT(RIGHT(VLOOKUP(AK58,suvaha!$D$92:$H$158,4,FALSE),7),1))</f>
        <v/>
      </c>
      <c r="BV60" s="1008"/>
      <c r="BW60" s="432" t="str">
        <f>IF(LEN(VLOOKUP(AK58,suvaha!$D$92:$H$158,4,FALSE))&lt;6,"",LEFT(RIGHT(VLOOKUP(AK58,suvaha!$D$92:$H$158,4,FALSE),6),1))</f>
        <v/>
      </c>
      <c r="BX60" s="434"/>
      <c r="BY60" s="432" t="str">
        <f>IF(LEN(VLOOKUP(AK58,suvaha!$D$92:$H$158,4,FALSE))&lt;5,"",LEFT(RIGHT(VLOOKUP(AK58,suvaha!$D$92:$H$158,4,FALSE),5),1))</f>
        <v/>
      </c>
      <c r="BZ60" s="434"/>
      <c r="CA60" s="432" t="str">
        <f>IF(LEN(VLOOKUP(AK58,suvaha!$D$92:$H$158,4,FALSE))&lt;4,"",LEFT(RIGHT(VLOOKUP(AK58,suvaha!$D$92:$H$158,4,FALSE),4),1))</f>
        <v/>
      </c>
      <c r="CB60" s="1009"/>
      <c r="CC60" s="432" t="str">
        <f>IF(LEN(VLOOKUP(AK58,suvaha!$D$92:$H$158,4,FALSE))&lt;3,"",LEFT(RIGHT(VLOOKUP(AK58,suvaha!$D$92:$H$158,4,FALSE),3),1))</f>
        <v/>
      </c>
      <c r="CD60" s="434"/>
      <c r="CE60" s="432" t="str">
        <f>IF(LEN(VLOOKUP(AK58,suvaha!$D$92:$H$158,4,FALSE))&lt;2,"",LEFT(RIGHT(VLOOKUP(AK58,suvaha!$D$92:$H$158,4,FALSE),2),1))</f>
        <v/>
      </c>
      <c r="CF60" s="434"/>
      <c r="CG60" s="432" t="str">
        <f>IF(VLOOKUP(AK58,suvaha!$D$92:$H$158,4,FALSE)=0,"",IF(LEN(VLOOKUP(AK58,suvaha!$D$92:$H$158,4,FALSE))&lt;1,"",LEFT(RIGHT(VLOOKUP(AK58,suvaha!$D$92:$H$158,4,FALSE),1),1)))</f>
        <v/>
      </c>
      <c r="CH60" s="285"/>
      <c r="CI60" s="312"/>
      <c r="CJ60" s="312"/>
    </row>
    <row r="61" spans="1:88" s="313" customFormat="1" ht="3" customHeight="1">
      <c r="A61" s="312"/>
      <c r="B61" s="312"/>
      <c r="C61" s="312"/>
      <c r="E61" s="983"/>
      <c r="F61" s="983"/>
      <c r="G61" s="1042"/>
      <c r="H61" s="1042"/>
      <c r="I61" s="1042"/>
      <c r="J61" s="1042"/>
      <c r="K61" s="1042"/>
      <c r="L61" s="1042"/>
      <c r="M61" s="1042"/>
      <c r="N61" s="1042"/>
      <c r="O61" s="1042"/>
      <c r="P61" s="1042"/>
      <c r="Q61" s="1042"/>
      <c r="R61" s="1042"/>
      <c r="S61" s="1042"/>
      <c r="T61" s="1042"/>
      <c r="U61" s="1042"/>
      <c r="V61" s="1042"/>
      <c r="W61" s="1042"/>
      <c r="X61" s="1042"/>
      <c r="Y61" s="1042"/>
      <c r="Z61" s="1042"/>
      <c r="AA61" s="1042"/>
      <c r="AB61" s="1042"/>
      <c r="AC61" s="1042"/>
      <c r="AD61" s="1042"/>
      <c r="AE61" s="1042"/>
      <c r="AF61" s="1042"/>
      <c r="AG61" s="1042"/>
      <c r="AH61" s="1042"/>
      <c r="AI61" s="1042"/>
      <c r="AJ61" s="1042"/>
      <c r="AK61" s="1014"/>
      <c r="AL61" s="1014"/>
      <c r="AM61" s="1014"/>
      <c r="AN61" s="358"/>
      <c r="AO61" s="365"/>
      <c r="AP61" s="365"/>
      <c r="AQ61" s="365"/>
      <c r="AR61" s="365"/>
      <c r="AS61" s="365"/>
      <c r="AT61" s="365"/>
      <c r="AU61" s="365"/>
      <c r="AV61" s="365"/>
      <c r="AW61" s="365"/>
      <c r="AX61" s="365"/>
      <c r="AY61" s="365"/>
      <c r="AZ61" s="365"/>
      <c r="BA61" s="365"/>
      <c r="BB61" s="365"/>
      <c r="BC61" s="365"/>
      <c r="BD61" s="365"/>
      <c r="BE61" s="310"/>
      <c r="BF61" s="310"/>
      <c r="BG61" s="310"/>
      <c r="BH61" s="310"/>
      <c r="BI61" s="310"/>
      <c r="BJ61" s="310"/>
      <c r="BK61" s="310"/>
      <c r="BL61" s="846"/>
      <c r="BM61" s="846"/>
      <c r="BN61" s="846"/>
      <c r="BO61" s="846"/>
      <c r="BP61" s="846"/>
      <c r="BQ61" s="846"/>
      <c r="BR61" s="846"/>
      <c r="BS61" s="846"/>
      <c r="BT61" s="846"/>
      <c r="BU61" s="846"/>
      <c r="BV61" s="846"/>
      <c r="BW61" s="846"/>
      <c r="BX61" s="846"/>
      <c r="BY61" s="846"/>
      <c r="BZ61" s="846"/>
      <c r="CA61" s="846"/>
      <c r="CB61" s="846"/>
      <c r="CC61" s="310"/>
      <c r="CD61" s="310"/>
      <c r="CE61" s="310"/>
      <c r="CF61" s="310"/>
      <c r="CG61" s="310"/>
      <c r="CH61" s="286"/>
      <c r="CI61" s="312"/>
      <c r="CJ61" s="312"/>
    </row>
    <row r="62" spans="1:88" s="250" customFormat="1">
      <c r="A62" s="312"/>
      <c r="B62" s="312"/>
      <c r="C62" s="224"/>
      <c r="D62" s="224"/>
      <c r="E62" s="983" t="s">
        <v>1546</v>
      </c>
      <c r="F62" s="983"/>
      <c r="G62" s="1013" t="str">
        <f>Index!C182</f>
        <v>Záväzky voči zamestnancom (331, 333, 33X, 479A)</v>
      </c>
      <c r="H62" s="1013"/>
      <c r="I62" s="1013"/>
      <c r="J62" s="1013"/>
      <c r="K62" s="1013"/>
      <c r="L62" s="1013"/>
      <c r="M62" s="1013"/>
      <c r="N62" s="1013"/>
      <c r="O62" s="1013"/>
      <c r="P62" s="1013"/>
      <c r="Q62" s="1013"/>
      <c r="R62" s="1013"/>
      <c r="S62" s="1013"/>
      <c r="T62" s="1013"/>
      <c r="U62" s="1013"/>
      <c r="V62" s="1013"/>
      <c r="W62" s="1013"/>
      <c r="X62" s="1013"/>
      <c r="Y62" s="1013"/>
      <c r="Z62" s="1013"/>
      <c r="AA62" s="1013"/>
      <c r="AB62" s="1013"/>
      <c r="AC62" s="1013"/>
      <c r="AD62" s="1013"/>
      <c r="AE62" s="1013"/>
      <c r="AF62" s="1013"/>
      <c r="AG62" s="1013"/>
      <c r="AH62" s="1013"/>
      <c r="AI62" s="1013"/>
      <c r="AJ62" s="1013"/>
      <c r="AK62" s="1014" t="s">
        <v>1702</v>
      </c>
      <c r="AL62" s="1014"/>
      <c r="AM62" s="1014"/>
      <c r="AN62" s="357"/>
      <c r="AO62" s="366"/>
      <c r="AP62" s="366"/>
      <c r="AQ62" s="366"/>
      <c r="AR62" s="366"/>
      <c r="AS62" s="366"/>
      <c r="AT62" s="366"/>
      <c r="AU62" s="366"/>
      <c r="AV62" s="366"/>
      <c r="AW62" s="366"/>
      <c r="AX62" s="366"/>
      <c r="AY62" s="366"/>
      <c r="AZ62" s="366"/>
      <c r="BA62" s="366"/>
      <c r="BB62" s="366"/>
      <c r="BC62" s="366"/>
      <c r="BD62" s="366"/>
      <c r="BE62" s="304"/>
      <c r="BF62" s="304"/>
      <c r="BG62" s="304"/>
      <c r="BH62" s="304"/>
      <c r="BI62" s="304"/>
      <c r="BJ62" s="304"/>
      <c r="BK62" s="304"/>
      <c r="BL62" s="867"/>
      <c r="BM62" s="867"/>
      <c r="BN62" s="867"/>
      <c r="BO62" s="867"/>
      <c r="BP62" s="867"/>
      <c r="BQ62" s="867"/>
      <c r="BR62" s="867"/>
      <c r="BS62" s="867"/>
      <c r="BT62" s="867"/>
      <c r="BU62" s="867"/>
      <c r="BV62" s="867"/>
      <c r="BW62" s="867"/>
      <c r="BX62" s="867"/>
      <c r="BY62" s="867"/>
      <c r="BZ62" s="867"/>
      <c r="CA62" s="867"/>
      <c r="CB62" s="867"/>
      <c r="CC62" s="304"/>
      <c r="CD62" s="304"/>
      <c r="CE62" s="304"/>
      <c r="CF62" s="304"/>
      <c r="CG62" s="304"/>
      <c r="CH62" s="284"/>
      <c r="CI62" s="288"/>
      <c r="CJ62" s="288"/>
    </row>
    <row r="63" spans="1:88" s="250" customFormat="1" ht="3" customHeight="1">
      <c r="A63" s="312"/>
      <c r="B63" s="312"/>
      <c r="C63" s="312"/>
      <c r="D63" s="312"/>
      <c r="E63" s="983"/>
      <c r="F63" s="983"/>
      <c r="G63" s="1013"/>
      <c r="H63" s="1013"/>
      <c r="I63" s="1013"/>
      <c r="J63" s="1013"/>
      <c r="K63" s="1013"/>
      <c r="L63" s="1013"/>
      <c r="M63" s="1013"/>
      <c r="N63" s="1013"/>
      <c r="O63" s="1013"/>
      <c r="P63" s="1013"/>
      <c r="Q63" s="1013"/>
      <c r="R63" s="1013"/>
      <c r="S63" s="1013"/>
      <c r="T63" s="1013"/>
      <c r="U63" s="1013"/>
      <c r="V63" s="1013"/>
      <c r="W63" s="1013"/>
      <c r="X63" s="1013"/>
      <c r="Y63" s="1013"/>
      <c r="Z63" s="1013"/>
      <c r="AA63" s="1013"/>
      <c r="AB63" s="1013"/>
      <c r="AC63" s="1013"/>
      <c r="AD63" s="1013"/>
      <c r="AE63" s="1013"/>
      <c r="AF63" s="1013"/>
      <c r="AG63" s="1013"/>
      <c r="AH63" s="1013"/>
      <c r="AI63" s="1013"/>
      <c r="AJ63" s="1013"/>
      <c r="AK63" s="1014"/>
      <c r="AL63" s="1014"/>
      <c r="AM63" s="1014"/>
      <c r="AN63" s="355"/>
      <c r="AO63" s="436"/>
      <c r="AP63" s="436"/>
      <c r="AQ63" s="436"/>
      <c r="AR63" s="435"/>
      <c r="AS63" s="433"/>
      <c r="AT63" s="433"/>
      <c r="AU63" s="433"/>
      <c r="AV63" s="433"/>
      <c r="AW63" s="433"/>
      <c r="AX63" s="434"/>
      <c r="AY63" s="1007"/>
      <c r="AZ63" s="1007"/>
      <c r="BA63" s="1007"/>
      <c r="BB63" s="1007"/>
      <c r="BC63" s="1007"/>
      <c r="BD63" s="1007"/>
      <c r="BE63" s="434"/>
      <c r="BF63" s="968"/>
      <c r="BG63" s="968"/>
      <c r="BH63" s="968"/>
      <c r="BI63" s="968"/>
      <c r="BJ63" s="968"/>
      <c r="BK63" s="851"/>
      <c r="BL63" s="826"/>
      <c r="BM63" s="820"/>
      <c r="BN63" s="820"/>
      <c r="BO63" s="820"/>
      <c r="BP63" s="435"/>
      <c r="BQ63" s="1007"/>
      <c r="BR63" s="1007"/>
      <c r="BS63" s="1007"/>
      <c r="BT63" s="1007"/>
      <c r="BU63" s="1007"/>
      <c r="BV63" s="1008"/>
      <c r="BW63" s="968"/>
      <c r="BX63" s="968"/>
      <c r="BY63" s="968"/>
      <c r="BZ63" s="968"/>
      <c r="CA63" s="968"/>
      <c r="CB63" s="1009"/>
      <c r="CC63" s="968"/>
      <c r="CD63" s="968"/>
      <c r="CE63" s="968"/>
      <c r="CF63" s="968"/>
      <c r="CG63" s="968"/>
      <c r="CH63" s="285"/>
      <c r="CI63" s="288"/>
      <c r="CJ63" s="288"/>
    </row>
    <row r="64" spans="1:88" s="313" customFormat="1" ht="15" customHeight="1">
      <c r="A64" s="312"/>
      <c r="B64" s="312"/>
      <c r="C64" s="312"/>
      <c r="E64" s="983"/>
      <c r="F64" s="983"/>
      <c r="G64" s="1013"/>
      <c r="H64" s="1013"/>
      <c r="I64" s="1013"/>
      <c r="J64" s="1013"/>
      <c r="K64" s="1013"/>
      <c r="L64" s="1013"/>
      <c r="M64" s="1013"/>
      <c r="N64" s="1013"/>
      <c r="O64" s="1013"/>
      <c r="P64" s="1013"/>
      <c r="Q64" s="1013"/>
      <c r="R64" s="1013"/>
      <c r="S64" s="1013"/>
      <c r="T64" s="1013"/>
      <c r="U64" s="1013"/>
      <c r="V64" s="1013"/>
      <c r="W64" s="1013"/>
      <c r="X64" s="1013"/>
      <c r="Y64" s="1013"/>
      <c r="Z64" s="1013"/>
      <c r="AA64" s="1013"/>
      <c r="AB64" s="1013"/>
      <c r="AC64" s="1013"/>
      <c r="AD64" s="1013"/>
      <c r="AE64" s="1013"/>
      <c r="AF64" s="1013"/>
      <c r="AG64" s="1013"/>
      <c r="AH64" s="1013"/>
      <c r="AI64" s="1013"/>
      <c r="AJ64" s="1013"/>
      <c r="AK64" s="1014"/>
      <c r="AL64" s="1014"/>
      <c r="AM64" s="1014"/>
      <c r="AN64" s="355"/>
      <c r="AO64" s="432" t="str">
        <f>IF(LEN(VLOOKUP(AK62,suvaha!$D$92:$H$158,2,FALSE))&lt;11,"",LEFT(RIGHT(VLOOKUP(AK62,suvaha!$D$92:$H$158,2,FALSE),11),1))</f>
        <v/>
      </c>
      <c r="AP64" s="255"/>
      <c r="AQ64" s="432" t="str">
        <f>IF(LEN(VLOOKUP(AK62,suvaha!$D$92:$H$158,2,FALSE))&lt;10,"",LEFT(RIGHT(VLOOKUP(AK62,suvaha!$D$92:$H$158,2,FALSE),10),1))</f>
        <v/>
      </c>
      <c r="AR64" s="434"/>
      <c r="AS64" s="432" t="str">
        <f>IF(LEN(VLOOKUP(AK62,suvaha!$D$92:$H$158,2,FALSE))&lt;9,"",LEFT(RIGHT(VLOOKUP(AK62,suvaha!$D$92:$H$158,2,FALSE),9),1))</f>
        <v/>
      </c>
      <c r="AT64" s="255"/>
      <c r="AU64" s="432" t="str">
        <f>IF(LEN(VLOOKUP(AK62,suvaha!$D$92:$H$158,2,FALSE))&lt;8,"",LEFT(RIGHT(VLOOKUP(AK62,suvaha!$D$92:$H$158,2,FALSE),8),1))</f>
        <v/>
      </c>
      <c r="AV64" s="434"/>
      <c r="AW64" s="432" t="str">
        <f>IF(LEN(VLOOKUP(AK62,suvaha!$D$92:$H$158,2,FALSE))&lt;7,"",LEFT(RIGHT(VLOOKUP(AK62,suvaha!$D$92:$H$158,2,FALSE),7),1))</f>
        <v/>
      </c>
      <c r="AX64" s="434"/>
      <c r="AY64" s="432" t="str">
        <f>IF(LEN(VLOOKUP(AK62,suvaha!$D$92:$H$158,2,FALSE))&lt;6,"",LEFT(RIGHT(VLOOKUP(AK62,suvaha!$D$92:$H$158,2,FALSE),6),1))</f>
        <v/>
      </c>
      <c r="AZ64" s="255"/>
      <c r="BA64" s="961" t="str">
        <f>IF(LEN(VLOOKUP(AK62,suvaha!$D$92:$H$158,2,FALSE))&lt;5,"",LEFT(RIGHT(VLOOKUP(AK62,suvaha!$D$92:$H$158,2,FALSE),5),1))</f>
        <v>1</v>
      </c>
      <c r="BB64" s="961" t="e">
        <f>IF(LEN(#REF!)&lt;5,"",LEFT(RIGHT(#REF!,5),1))</f>
        <v>#REF!</v>
      </c>
      <c r="BC64" s="434"/>
      <c r="BD64" s="432" t="str">
        <f>IF(LEN(VLOOKUP(AK62,suvaha!$D$92:$H$158,2,FALSE))&lt;4,"",LEFT(RIGHT(VLOOKUP(AK62,suvaha!$D$92:$H$158,2,FALSE),4),1))</f>
        <v>2</v>
      </c>
      <c r="BE64" s="434"/>
      <c r="BF64" s="432" t="str">
        <f>IF(LEN(VLOOKUP(AK62,suvaha!$D$92:$H$158,2,FALSE))&lt;3,"",LEFT(RIGHT(VLOOKUP(AK62,suvaha!$D$92:$H$158,2,FALSE),3),1))</f>
        <v>0</v>
      </c>
      <c r="BG64" s="434"/>
      <c r="BH64" s="432" t="str">
        <f>IF(LEN(VLOOKUP(AK62,suvaha!$D$92:$H$158,2,FALSE))&lt;2,"",LEFT(RIGHT(VLOOKUP(AK62,suvaha!$D$92:$H$158,2,FALSE),2),1))</f>
        <v>2</v>
      </c>
      <c r="BI64" s="434"/>
      <c r="BJ64" s="432" t="str">
        <f>IF(VLOOKUP(AK62,suvaha!$D$92:$H$158,2,FALSE)=0,"",IF(LEN(VLOOKUP(AK62,suvaha!$D$92:$H$158,2,FALSE))&lt;1,"",LEFT(RIGHT(VLOOKUP(AK62,suvaha!$D$92:$H$158,2,FALSE),1),1)))</f>
        <v>9</v>
      </c>
      <c r="BK64" s="851"/>
      <c r="BL64" s="826"/>
      <c r="BM64" s="432" t="str">
        <f>IF(LEN(VLOOKUP(AK62,suvaha!$D$92:$H$158,4,FALSE))&lt;11,"",LEFT(RIGHT(VLOOKUP(AK62,suvaha!$D$92:$H$158,4,FALSE),11),1))</f>
        <v/>
      </c>
      <c r="BN64" s="255"/>
      <c r="BO64" s="432" t="str">
        <f>IF(LEN(VLOOKUP(AK62,suvaha!$D$92:$H$158,4,FALSE))&lt;10,"",LEFT(RIGHT(VLOOKUP(AK62,suvaha!$D$92:$H$158,4,FALSE),10),1))</f>
        <v/>
      </c>
      <c r="BP64" s="434"/>
      <c r="BQ64" s="432" t="str">
        <f>IF(LEN(VLOOKUP(AK62,suvaha!$D$92:$H$158,4,FALSE))&lt;9,"",LEFT(RIGHT(VLOOKUP(AK62,suvaha!$D$92:$H$158,4,FALSE),9),1))</f>
        <v/>
      </c>
      <c r="BR64" s="255"/>
      <c r="BS64" s="432" t="str">
        <f>IF(LEN(VLOOKUP(AK62,suvaha!$D$92:$H$158,4,FALSE))&lt;8,"",LEFT(RIGHT(VLOOKUP(AK62,suvaha!$D$92:$H$158,4,FALSE),8),1))</f>
        <v/>
      </c>
      <c r="BT64" s="434"/>
      <c r="BU64" s="432" t="str">
        <f>IF(LEN(VLOOKUP(AK62,suvaha!$D$92:$H$158,4,FALSE))&lt;7,"",LEFT(RIGHT(VLOOKUP(AK62,suvaha!$D$92:$H$158,4,FALSE),7),1))</f>
        <v/>
      </c>
      <c r="BV64" s="1008"/>
      <c r="BW64" s="432" t="str">
        <f>IF(LEN(VLOOKUP(AK62,suvaha!$D$92:$H$158,4,FALSE))&lt;6,"",LEFT(RIGHT(VLOOKUP(AK62,suvaha!$D$92:$H$158,4,FALSE),6),1))</f>
        <v/>
      </c>
      <c r="BX64" s="434"/>
      <c r="BY64" s="432" t="str">
        <f>IF(LEN(VLOOKUP(AK62,suvaha!$D$92:$H$158,4,FALSE))&lt;5,"",LEFT(RIGHT(VLOOKUP(AK62,suvaha!$D$92:$H$158,4,FALSE),5),1))</f>
        <v>1</v>
      </c>
      <c r="BZ64" s="434"/>
      <c r="CA64" s="432" t="str">
        <f>IF(LEN(VLOOKUP(AK62,suvaha!$D$92:$H$158,4,FALSE))&lt;4,"",LEFT(RIGHT(VLOOKUP(AK62,suvaha!$D$92:$H$158,4,FALSE),4),1))</f>
        <v>0</v>
      </c>
      <c r="CB64" s="1009"/>
      <c r="CC64" s="432" t="str">
        <f>IF(LEN(VLOOKUP(AK62,suvaha!$D$92:$H$158,4,FALSE))&lt;3,"",LEFT(RIGHT(VLOOKUP(AK62,suvaha!$D$92:$H$158,4,FALSE),3),1))</f>
        <v>0</v>
      </c>
      <c r="CD64" s="434"/>
      <c r="CE64" s="432" t="str">
        <f>IF(LEN(VLOOKUP(AK62,suvaha!$D$92:$H$158,4,FALSE))&lt;2,"",LEFT(RIGHT(VLOOKUP(AK62,suvaha!$D$92:$H$158,4,FALSE),2),1))</f>
        <v>4</v>
      </c>
      <c r="CF64" s="434"/>
      <c r="CG64" s="432" t="str">
        <f>IF(VLOOKUP(AK62,suvaha!$D$92:$H$158,4,FALSE)=0,"",IF(LEN(VLOOKUP(AK62,suvaha!$D$92:$H$158,4,FALSE))&lt;1,"",LEFT(RIGHT(VLOOKUP(AK62,suvaha!$D$92:$H$158,4,FALSE),1),1)))</f>
        <v>5</v>
      </c>
      <c r="CH64" s="285"/>
      <c r="CI64" s="312"/>
      <c r="CJ64" s="312"/>
    </row>
    <row r="65" spans="1:88" s="313" customFormat="1" ht="3" customHeight="1">
      <c r="A65" s="312"/>
      <c r="B65" s="312"/>
      <c r="C65" s="312"/>
      <c r="E65" s="983"/>
      <c r="F65" s="983"/>
      <c r="G65" s="1013"/>
      <c r="H65" s="1013"/>
      <c r="I65" s="1013"/>
      <c r="J65" s="1013"/>
      <c r="K65" s="1013"/>
      <c r="L65" s="1013"/>
      <c r="M65" s="1013"/>
      <c r="N65" s="1013"/>
      <c r="O65" s="1013"/>
      <c r="P65" s="1013"/>
      <c r="Q65" s="1013"/>
      <c r="R65" s="1013"/>
      <c r="S65" s="1013"/>
      <c r="T65" s="1013"/>
      <c r="U65" s="1013"/>
      <c r="V65" s="1013"/>
      <c r="W65" s="1013"/>
      <c r="X65" s="1013"/>
      <c r="Y65" s="1013"/>
      <c r="Z65" s="1013"/>
      <c r="AA65" s="1013"/>
      <c r="AB65" s="1013"/>
      <c r="AC65" s="1013"/>
      <c r="AD65" s="1013"/>
      <c r="AE65" s="1013"/>
      <c r="AF65" s="1013"/>
      <c r="AG65" s="1013"/>
      <c r="AH65" s="1013"/>
      <c r="AI65" s="1013"/>
      <c r="AJ65" s="1013"/>
      <c r="AK65" s="1014"/>
      <c r="AL65" s="1014"/>
      <c r="AM65" s="1014"/>
      <c r="AN65" s="358"/>
      <c r="AO65" s="365"/>
      <c r="AP65" s="365"/>
      <c r="AQ65" s="365"/>
      <c r="AR65" s="365"/>
      <c r="AS65" s="365"/>
      <c r="AT65" s="365"/>
      <c r="AU65" s="365"/>
      <c r="AV65" s="365"/>
      <c r="AW65" s="365"/>
      <c r="AX65" s="365"/>
      <c r="AY65" s="365"/>
      <c r="AZ65" s="365"/>
      <c r="BA65" s="365"/>
      <c r="BB65" s="365"/>
      <c r="BC65" s="365"/>
      <c r="BD65" s="365"/>
      <c r="BE65" s="310"/>
      <c r="BF65" s="310"/>
      <c r="BG65" s="310"/>
      <c r="BH65" s="310"/>
      <c r="BI65" s="310"/>
      <c r="BJ65" s="310"/>
      <c r="BK65" s="310"/>
      <c r="BL65" s="846"/>
      <c r="BM65" s="846"/>
      <c r="BN65" s="846"/>
      <c r="BO65" s="846"/>
      <c r="BP65" s="846"/>
      <c r="BQ65" s="846"/>
      <c r="BR65" s="846"/>
      <c r="BS65" s="846"/>
      <c r="BT65" s="846"/>
      <c r="BU65" s="846"/>
      <c r="BV65" s="846"/>
      <c r="BW65" s="846"/>
      <c r="BX65" s="846"/>
      <c r="BY65" s="846"/>
      <c r="BZ65" s="846"/>
      <c r="CA65" s="846"/>
      <c r="CB65" s="846"/>
      <c r="CC65" s="310"/>
      <c r="CD65" s="310"/>
      <c r="CE65" s="310"/>
      <c r="CF65" s="310"/>
      <c r="CG65" s="310"/>
      <c r="CH65" s="286"/>
      <c r="CI65" s="312"/>
      <c r="CJ65" s="312"/>
    </row>
    <row r="66" spans="1:88" s="250" customFormat="1" ht="3" customHeight="1">
      <c r="A66" s="220"/>
      <c r="B66" s="220"/>
      <c r="C66" s="224"/>
      <c r="D66" s="224"/>
      <c r="E66" s="983" t="s">
        <v>1547</v>
      </c>
      <c r="F66" s="983"/>
      <c r="G66" s="972" t="str">
        <f>Index!C183</f>
        <v>Záväzky zo sociálneho poistenia (336A)</v>
      </c>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3" t="s">
        <v>1704</v>
      </c>
      <c r="AL66" s="973"/>
      <c r="AM66" s="973"/>
      <c r="AN66" s="357"/>
      <c r="AO66" s="366"/>
      <c r="AP66" s="366"/>
      <c r="AQ66" s="366"/>
      <c r="AR66" s="366"/>
      <c r="AS66" s="366"/>
      <c r="AT66" s="366"/>
      <c r="AU66" s="366"/>
      <c r="AV66" s="366"/>
      <c r="AW66" s="366"/>
      <c r="AX66" s="366"/>
      <c r="AY66" s="366"/>
      <c r="AZ66" s="366"/>
      <c r="BA66" s="366"/>
      <c r="BB66" s="366"/>
      <c r="BC66" s="366"/>
      <c r="BD66" s="366"/>
      <c r="BE66" s="304"/>
      <c r="BF66" s="304"/>
      <c r="BG66" s="304"/>
      <c r="BH66" s="304"/>
      <c r="BI66" s="304"/>
      <c r="BJ66" s="304"/>
      <c r="BK66" s="304"/>
      <c r="BL66" s="867"/>
      <c r="BM66" s="867"/>
      <c r="BN66" s="867"/>
      <c r="BO66" s="867"/>
      <c r="BP66" s="867"/>
      <c r="BQ66" s="867"/>
      <c r="BR66" s="867"/>
      <c r="BS66" s="867"/>
      <c r="BT66" s="867"/>
      <c r="BU66" s="867"/>
      <c r="BV66" s="867"/>
      <c r="BW66" s="867"/>
      <c r="BX66" s="867"/>
      <c r="BY66" s="867"/>
      <c r="BZ66" s="867"/>
      <c r="CA66" s="867"/>
      <c r="CB66" s="867"/>
      <c r="CC66" s="304"/>
      <c r="CD66" s="304"/>
      <c r="CE66" s="304"/>
      <c r="CF66" s="304"/>
      <c r="CG66" s="304"/>
      <c r="CH66" s="284"/>
      <c r="CI66" s="288"/>
      <c r="CJ66" s="288"/>
    </row>
    <row r="67" spans="1:88" s="250" customFormat="1" ht="3" customHeight="1">
      <c r="A67" s="220"/>
      <c r="B67" s="220"/>
      <c r="C67" s="220"/>
      <c r="D67" s="220"/>
      <c r="E67" s="983"/>
      <c r="F67" s="983"/>
      <c r="G67" s="972"/>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3"/>
      <c r="AL67" s="973"/>
      <c r="AM67" s="973"/>
      <c r="AN67" s="355"/>
      <c r="AO67" s="436"/>
      <c r="AP67" s="436"/>
      <c r="AQ67" s="436"/>
      <c r="AR67" s="435"/>
      <c r="AS67" s="439"/>
      <c r="AT67" s="439"/>
      <c r="AU67" s="439"/>
      <c r="AV67" s="439"/>
      <c r="AW67" s="439"/>
      <c r="AX67" s="440"/>
      <c r="AY67" s="821"/>
      <c r="AZ67" s="821"/>
      <c r="BA67" s="821"/>
      <c r="BB67" s="821"/>
      <c r="BC67" s="821"/>
      <c r="BD67" s="821"/>
      <c r="BE67" s="434"/>
      <c r="BF67" s="968"/>
      <c r="BG67" s="968"/>
      <c r="BH67" s="968"/>
      <c r="BI67" s="968"/>
      <c r="BJ67" s="968"/>
      <c r="BK67" s="851"/>
      <c r="BL67" s="826"/>
      <c r="BM67" s="820"/>
      <c r="BN67" s="820"/>
      <c r="BO67" s="820"/>
      <c r="BP67" s="435"/>
      <c r="BQ67" s="821"/>
      <c r="BR67" s="821"/>
      <c r="BS67" s="821"/>
      <c r="BT67" s="821"/>
      <c r="BU67" s="821"/>
      <c r="BV67" s="818"/>
      <c r="BW67" s="822"/>
      <c r="BX67" s="822"/>
      <c r="BY67" s="822"/>
      <c r="BZ67" s="822"/>
      <c r="CA67" s="822"/>
      <c r="CB67" s="819"/>
      <c r="CC67" s="822"/>
      <c r="CD67" s="822"/>
      <c r="CE67" s="822"/>
      <c r="CF67" s="822"/>
      <c r="CG67" s="822"/>
      <c r="CH67" s="285"/>
      <c r="CI67" s="288"/>
      <c r="CJ67" s="288"/>
    </row>
    <row r="68" spans="1:88" ht="15" customHeight="1">
      <c r="E68" s="983"/>
      <c r="F68" s="983"/>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3"/>
      <c r="AL68" s="973"/>
      <c r="AM68" s="973"/>
      <c r="AN68" s="355"/>
      <c r="AO68" s="432" t="str">
        <f>IF(LEN(VLOOKUP(AK66,suvaha!$D$92:$H$158,2,FALSE))&lt;11,"",LEFT(RIGHT(VLOOKUP(AK66,suvaha!$D$92:$H$158,2,FALSE),11),1))</f>
        <v/>
      </c>
      <c r="AP68" s="255"/>
      <c r="AQ68" s="432" t="str">
        <f>IF(LEN(VLOOKUP(AK66,suvaha!$D$92:$H$158,2,FALSE))&lt;10,"",LEFT(RIGHT(VLOOKUP(AK66,suvaha!$D$92:$H$158,2,FALSE),10),1))</f>
        <v/>
      </c>
      <c r="AR68" s="434"/>
      <c r="AS68" s="432" t="str">
        <f>IF(LEN(VLOOKUP(AK66,suvaha!$D$92:$H$158,2,FALSE))&lt;9,"",LEFT(RIGHT(VLOOKUP(AK66,suvaha!$D$92:$H$158,2,FALSE),9),1))</f>
        <v/>
      </c>
      <c r="AT68" s="255"/>
      <c r="AU68" s="432" t="str">
        <f>IF(LEN(VLOOKUP(AK66,suvaha!$D$92:$H$158,2,FALSE))&lt;8,"",LEFT(RIGHT(VLOOKUP(AK66,suvaha!$D$92:$H$158,2,FALSE),8),1))</f>
        <v/>
      </c>
      <c r="AV68" s="434"/>
      <c r="AW68" s="432" t="str">
        <f>IF(LEN(VLOOKUP(AK66,suvaha!$D$92:$H$158,2,FALSE))&lt;7,"",LEFT(RIGHT(VLOOKUP(AK66,suvaha!$D$92:$H$158,2,FALSE),7),1))</f>
        <v/>
      </c>
      <c r="AX68" s="440"/>
      <c r="AY68" s="432" t="str">
        <f>IF(LEN(VLOOKUP(AK66,suvaha!$D$92:$H$158,2,FALSE))&lt;6,"",LEFT(RIGHT(VLOOKUP(AK66,suvaha!$D$92:$H$158,2,FALSE),6),1))</f>
        <v/>
      </c>
      <c r="AZ68" s="255"/>
      <c r="BA68" s="961" t="str">
        <f>IF(LEN(VLOOKUP(AK66,suvaha!$D$92:$H$158,2,FALSE))&lt;5,"",LEFT(RIGHT(VLOOKUP(AK66,suvaha!$D$92:$H$158,2,FALSE),5),1))</f>
        <v>3</v>
      </c>
      <c r="BB68" s="961" t="e">
        <f>IF(LEN(#REF!)&lt;5,"",LEFT(RIGHT(#REF!,5),1))</f>
        <v>#REF!</v>
      </c>
      <c r="BC68" s="434"/>
      <c r="BD68" s="432" t="str">
        <f>IF(LEN(VLOOKUP(AK66,suvaha!$D$92:$H$158,2,FALSE))&lt;4,"",LEFT(RIGHT(VLOOKUP(AK66,suvaha!$D$92:$H$158,2,FALSE),4),1))</f>
        <v>2</v>
      </c>
      <c r="BE68" s="434"/>
      <c r="BF68" s="432" t="str">
        <f>IF(LEN(VLOOKUP(AK66,suvaha!$D$92:$H$158,2,FALSE))&lt;3,"",LEFT(RIGHT(VLOOKUP(AK66,suvaha!$D$92:$H$158,2,FALSE),3),1))</f>
        <v>3</v>
      </c>
      <c r="BG68" s="434"/>
      <c r="BH68" s="432" t="str">
        <f>IF(LEN(VLOOKUP(AK66,suvaha!$D$92:$H$158,2,FALSE))&lt;2,"",LEFT(RIGHT(VLOOKUP(AK66,suvaha!$D$92:$H$158,2,FALSE),2),1))</f>
        <v>8</v>
      </c>
      <c r="BI68" s="434"/>
      <c r="BJ68" s="432" t="str">
        <f>IF(VLOOKUP(AK66,suvaha!$D$92:$H$158,2,FALSE)=0,"",IF(LEN(VLOOKUP(AK66,suvaha!$D$92:$H$158,2,FALSE))&lt;1,"",LEFT(RIGHT(VLOOKUP(AK66,suvaha!$D$92:$H$158,2,FALSE),1),1)))</f>
        <v>2</v>
      </c>
      <c r="BK68" s="851"/>
      <c r="BL68" s="826"/>
      <c r="BM68" s="432" t="str">
        <f>IF(LEN(VLOOKUP(AK66,suvaha!$D$92:$H$158,4,FALSE))&lt;11,"",LEFT(RIGHT(VLOOKUP(AK66,suvaha!$D$92:$H$158,4,FALSE),11),1))</f>
        <v/>
      </c>
      <c r="BN68" s="255"/>
      <c r="BO68" s="432" t="str">
        <f>IF(LEN(VLOOKUP(AK66,suvaha!$D$92:$H$158,4,FALSE))&lt;10,"",LEFT(RIGHT(VLOOKUP(AK66,suvaha!$D$92:$H$158,4,FALSE),10),1))</f>
        <v/>
      </c>
      <c r="BP68" s="434"/>
      <c r="BQ68" s="432" t="str">
        <f>IF(LEN(VLOOKUP(AK66,suvaha!$D$92:$H$158,4,FALSE))&lt;9,"",LEFT(RIGHT(VLOOKUP(AK66,suvaha!$D$92:$H$158,4,FALSE),9),1))</f>
        <v/>
      </c>
      <c r="BR68" s="255"/>
      <c r="BS68" s="432" t="str">
        <f>IF(LEN(VLOOKUP(AK66,suvaha!$D$92:$H$158,4,FALSE))&lt;8,"",LEFT(RIGHT(VLOOKUP(AK66,suvaha!$D$92:$H$158,4,FALSE),8),1))</f>
        <v/>
      </c>
      <c r="BT68" s="434"/>
      <c r="BU68" s="432" t="str">
        <f>IF(LEN(VLOOKUP(AK66,suvaha!$D$92:$H$158,4,FALSE))&lt;7,"",LEFT(RIGHT(VLOOKUP(AK66,suvaha!$D$92:$H$158,4,FALSE),7),1))</f>
        <v/>
      </c>
      <c r="BV68" s="818"/>
      <c r="BW68" s="432" t="str">
        <f>IF(LEN(VLOOKUP(AK66,suvaha!$D$92:$H$158,4,FALSE))&lt;6,"",LEFT(RIGHT(VLOOKUP(AK66,suvaha!$D$92:$H$158,4,FALSE),6),1))</f>
        <v/>
      </c>
      <c r="BX68" s="434"/>
      <c r="BY68" s="432" t="str">
        <f>IF(LEN(VLOOKUP(AK66,suvaha!$D$92:$H$158,4,FALSE))&lt;5,"",LEFT(RIGHT(VLOOKUP(AK66,suvaha!$D$92:$H$158,4,FALSE),5),1))</f>
        <v>5</v>
      </c>
      <c r="BZ68" s="434"/>
      <c r="CA68" s="432" t="str">
        <f>IF(LEN(VLOOKUP(AK66,suvaha!$D$92:$H$158,4,FALSE))&lt;4,"",LEFT(RIGHT(VLOOKUP(AK66,suvaha!$D$92:$H$158,4,FALSE),4),1))</f>
        <v>9</v>
      </c>
      <c r="CB68" s="819"/>
      <c r="CC68" s="432" t="str">
        <f>IF(LEN(VLOOKUP(AK66,suvaha!$D$92:$H$158,4,FALSE))&lt;3,"",LEFT(RIGHT(VLOOKUP(AK66,suvaha!$D$92:$H$158,4,FALSE),3),1))</f>
        <v>4</v>
      </c>
      <c r="CD68" s="434"/>
      <c r="CE68" s="432" t="str">
        <f>IF(LEN(VLOOKUP(AK66,suvaha!$D$92:$H$158,4,FALSE))&lt;2,"",LEFT(RIGHT(VLOOKUP(AK66,suvaha!$D$92:$H$158,4,FALSE),2),1))</f>
        <v>4</v>
      </c>
      <c r="CF68" s="434"/>
      <c r="CG68" s="432" t="str">
        <f>IF(VLOOKUP(AK66,suvaha!$D$92:$H$158,4,FALSE)=0,"",IF(LEN(VLOOKUP(AK66,suvaha!$D$92:$H$158,4,FALSE))&lt;1,"",LEFT(RIGHT(VLOOKUP(AK66,suvaha!$D$92:$H$158,4,FALSE),1),1)))</f>
        <v>7</v>
      </c>
      <c r="CH68" s="285"/>
      <c r="CI68" s="220"/>
      <c r="CJ68" s="220"/>
    </row>
    <row r="69" spans="1:88" ht="3" customHeight="1">
      <c r="E69" s="983"/>
      <c r="F69" s="983"/>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3"/>
      <c r="AL69" s="973"/>
      <c r="AM69" s="973"/>
      <c r="AN69" s="358"/>
      <c r="AO69" s="365"/>
      <c r="AP69" s="365"/>
      <c r="AQ69" s="365"/>
      <c r="AR69" s="365"/>
      <c r="AS69" s="365"/>
      <c r="AT69" s="365"/>
      <c r="AU69" s="365"/>
      <c r="AV69" s="365"/>
      <c r="AW69" s="365"/>
      <c r="AX69" s="365"/>
      <c r="AY69" s="365"/>
      <c r="AZ69" s="365"/>
      <c r="BA69" s="365"/>
      <c r="BB69" s="365"/>
      <c r="BC69" s="365"/>
      <c r="BD69" s="365"/>
      <c r="BE69" s="310"/>
      <c r="BF69" s="310"/>
      <c r="BG69" s="310"/>
      <c r="BH69" s="310"/>
      <c r="BI69" s="310"/>
      <c r="BJ69" s="310"/>
      <c r="BK69" s="310"/>
      <c r="BL69" s="846"/>
      <c r="BM69" s="846"/>
      <c r="BN69" s="846"/>
      <c r="BO69" s="846"/>
      <c r="BP69" s="846"/>
      <c r="BQ69" s="846"/>
      <c r="BR69" s="846"/>
      <c r="BS69" s="846"/>
      <c r="BT69" s="846"/>
      <c r="BU69" s="846"/>
      <c r="BV69" s="846"/>
      <c r="BW69" s="846"/>
      <c r="BX69" s="846"/>
      <c r="BY69" s="846"/>
      <c r="BZ69" s="846"/>
      <c r="CA69" s="846"/>
      <c r="CB69" s="846"/>
      <c r="CC69" s="310"/>
      <c r="CD69" s="310"/>
      <c r="CE69" s="310"/>
      <c r="CF69" s="310"/>
      <c r="CG69" s="310"/>
      <c r="CH69" s="286"/>
      <c r="CI69" s="220"/>
      <c r="CJ69" s="220"/>
    </row>
    <row r="70" spans="1:88" s="250" customFormat="1" ht="3" customHeight="1">
      <c r="A70" s="220"/>
      <c r="B70" s="220"/>
      <c r="C70" s="224"/>
      <c r="D70" s="224"/>
      <c r="E70" s="983" t="s">
        <v>1559</v>
      </c>
      <c r="F70" s="983"/>
      <c r="G70" s="972" t="str">
        <f>Index!C184</f>
        <v>Daňové záväzky a dotácie (341, 342, 343, 345, 346, 347, 34X)</v>
      </c>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3" t="s">
        <v>1705</v>
      </c>
      <c r="AL70" s="973"/>
      <c r="AM70" s="973"/>
      <c r="AN70" s="357"/>
      <c r="AO70" s="366"/>
      <c r="AP70" s="366"/>
      <c r="AQ70" s="366"/>
      <c r="AR70" s="366"/>
      <c r="AS70" s="366"/>
      <c r="AT70" s="366"/>
      <c r="AU70" s="366"/>
      <c r="AV70" s="366"/>
      <c r="AW70" s="366"/>
      <c r="AX70" s="366"/>
      <c r="AY70" s="366"/>
      <c r="AZ70" s="366"/>
      <c r="BA70" s="366"/>
      <c r="BB70" s="366"/>
      <c r="BC70" s="366"/>
      <c r="BD70" s="366"/>
      <c r="BE70" s="304"/>
      <c r="BF70" s="304"/>
      <c r="BG70" s="304"/>
      <c r="BH70" s="304"/>
      <c r="BI70" s="304"/>
      <c r="BJ70" s="304"/>
      <c r="BK70" s="304"/>
      <c r="BL70" s="867"/>
      <c r="BM70" s="867"/>
      <c r="BN70" s="867"/>
      <c r="BO70" s="867"/>
      <c r="BP70" s="867"/>
      <c r="BQ70" s="867"/>
      <c r="BR70" s="867"/>
      <c r="BS70" s="867"/>
      <c r="BT70" s="867"/>
      <c r="BU70" s="867"/>
      <c r="BV70" s="867"/>
      <c r="BW70" s="867"/>
      <c r="BX70" s="867"/>
      <c r="BY70" s="867"/>
      <c r="BZ70" s="867"/>
      <c r="CA70" s="867"/>
      <c r="CB70" s="867"/>
      <c r="CC70" s="304"/>
      <c r="CD70" s="304"/>
      <c r="CE70" s="304"/>
      <c r="CF70" s="304"/>
      <c r="CG70" s="304"/>
      <c r="CH70" s="284"/>
      <c r="CI70" s="288"/>
      <c r="CJ70" s="288"/>
    </row>
    <row r="71" spans="1:88" s="250" customFormat="1" ht="3" customHeight="1">
      <c r="A71" s="220"/>
      <c r="B71" s="220"/>
      <c r="C71" s="220"/>
      <c r="D71" s="220"/>
      <c r="E71" s="983"/>
      <c r="F71" s="983"/>
      <c r="G71" s="972"/>
      <c r="H71" s="972"/>
      <c r="I71" s="972"/>
      <c r="J71" s="972"/>
      <c r="K71" s="972"/>
      <c r="L71" s="972"/>
      <c r="M71" s="972"/>
      <c r="N71" s="972"/>
      <c r="O71" s="972"/>
      <c r="P71" s="972"/>
      <c r="Q71" s="972"/>
      <c r="R71" s="972"/>
      <c r="S71" s="972"/>
      <c r="T71" s="972"/>
      <c r="U71" s="972"/>
      <c r="V71" s="972"/>
      <c r="W71" s="972"/>
      <c r="X71" s="972"/>
      <c r="Y71" s="972"/>
      <c r="Z71" s="972"/>
      <c r="AA71" s="972"/>
      <c r="AB71" s="972"/>
      <c r="AC71" s="972"/>
      <c r="AD71" s="972"/>
      <c r="AE71" s="972"/>
      <c r="AF71" s="972"/>
      <c r="AG71" s="972"/>
      <c r="AH71" s="972"/>
      <c r="AI71" s="972"/>
      <c r="AJ71" s="972"/>
      <c r="AK71" s="973"/>
      <c r="AL71" s="973"/>
      <c r="AM71" s="973"/>
      <c r="AN71" s="355"/>
      <c r="AO71" s="436"/>
      <c r="AP71" s="436"/>
      <c r="AQ71" s="436"/>
      <c r="AR71" s="435"/>
      <c r="AS71" s="439"/>
      <c r="AT71" s="439"/>
      <c r="AU71" s="439"/>
      <c r="AV71" s="439"/>
      <c r="AW71" s="439"/>
      <c r="AX71" s="440"/>
      <c r="AY71" s="821"/>
      <c r="AZ71" s="821"/>
      <c r="BA71" s="821"/>
      <c r="BB71" s="821"/>
      <c r="BC71" s="821"/>
      <c r="BD71" s="821"/>
      <c r="BE71" s="434"/>
      <c r="BF71" s="968"/>
      <c r="BG71" s="968"/>
      <c r="BH71" s="968"/>
      <c r="BI71" s="968"/>
      <c r="BJ71" s="968"/>
      <c r="BK71" s="851"/>
      <c r="BL71" s="826"/>
      <c r="BM71" s="820"/>
      <c r="BN71" s="820"/>
      <c r="BO71" s="820"/>
      <c r="BP71" s="435"/>
      <c r="BQ71" s="821"/>
      <c r="BR71" s="821"/>
      <c r="BS71" s="821"/>
      <c r="BT71" s="821"/>
      <c r="BU71" s="821"/>
      <c r="BV71" s="818"/>
      <c r="BW71" s="822"/>
      <c r="BX71" s="822"/>
      <c r="BY71" s="822"/>
      <c r="BZ71" s="822"/>
      <c r="CA71" s="822"/>
      <c r="CB71" s="819"/>
      <c r="CC71" s="822"/>
      <c r="CD71" s="822"/>
      <c r="CE71" s="822"/>
      <c r="CF71" s="822"/>
      <c r="CG71" s="822"/>
      <c r="CH71" s="285"/>
      <c r="CI71" s="288"/>
      <c r="CJ71" s="288"/>
    </row>
    <row r="72" spans="1:88" ht="15" customHeight="1">
      <c r="E72" s="983"/>
      <c r="F72" s="983"/>
      <c r="G72" s="972"/>
      <c r="H72" s="972"/>
      <c r="I72" s="972"/>
      <c r="J72" s="972"/>
      <c r="K72" s="972"/>
      <c r="L72" s="972"/>
      <c r="M72" s="972"/>
      <c r="N72" s="972"/>
      <c r="O72" s="972"/>
      <c r="P72" s="972"/>
      <c r="Q72" s="972"/>
      <c r="R72" s="972"/>
      <c r="S72" s="972"/>
      <c r="T72" s="972"/>
      <c r="U72" s="972"/>
      <c r="V72" s="972"/>
      <c r="W72" s="972"/>
      <c r="X72" s="972"/>
      <c r="Y72" s="972"/>
      <c r="Z72" s="972"/>
      <c r="AA72" s="972"/>
      <c r="AB72" s="972"/>
      <c r="AC72" s="972"/>
      <c r="AD72" s="972"/>
      <c r="AE72" s="972"/>
      <c r="AF72" s="972"/>
      <c r="AG72" s="972"/>
      <c r="AH72" s="972"/>
      <c r="AI72" s="972"/>
      <c r="AJ72" s="972"/>
      <c r="AK72" s="973"/>
      <c r="AL72" s="973"/>
      <c r="AM72" s="973"/>
      <c r="AN72" s="355"/>
      <c r="AO72" s="432" t="str">
        <f>IF(LEN(VLOOKUP(AK70,suvaha!$D$92:$H$158,2,FALSE))&lt;11,"",LEFT(RIGHT(VLOOKUP(AK70,suvaha!$D$92:$H$158,2,FALSE),11),1))</f>
        <v/>
      </c>
      <c r="AP72" s="255"/>
      <c r="AQ72" s="432" t="str">
        <f>IF(LEN(VLOOKUP(AK70,suvaha!$D$92:$H$158,2,FALSE))&lt;10,"",LEFT(RIGHT(VLOOKUP(AK70,suvaha!$D$92:$H$158,2,FALSE),10),1))</f>
        <v/>
      </c>
      <c r="AR72" s="434"/>
      <c r="AS72" s="432" t="str">
        <f>IF(LEN(VLOOKUP(AK70,suvaha!$D$92:$H$158,2,FALSE))&lt;9,"",LEFT(RIGHT(VLOOKUP(AK70,suvaha!$D$92:$H$158,2,FALSE),9),1))</f>
        <v/>
      </c>
      <c r="AT72" s="255"/>
      <c r="AU72" s="432" t="str">
        <f>IF(LEN(VLOOKUP(AK70,suvaha!$D$92:$H$158,2,FALSE))&lt;8,"",LEFT(RIGHT(VLOOKUP(AK70,suvaha!$D$92:$H$158,2,FALSE),8),1))</f>
        <v/>
      </c>
      <c r="AV72" s="434"/>
      <c r="AW72" s="432" t="str">
        <f>IF(LEN(VLOOKUP(AK70,suvaha!$D$92:$H$158,2,FALSE))&lt;7,"",LEFT(RIGHT(VLOOKUP(AK70,suvaha!$D$92:$H$158,2,FALSE),7),1))</f>
        <v/>
      </c>
      <c r="AX72" s="440"/>
      <c r="AY72" s="432" t="str">
        <f>IF(LEN(VLOOKUP(AK70,suvaha!$D$92:$H$158,2,FALSE))&lt;6,"",LEFT(RIGHT(VLOOKUP(AK70,suvaha!$D$92:$H$158,2,FALSE),6),1))</f>
        <v>5</v>
      </c>
      <c r="AZ72" s="255"/>
      <c r="BA72" s="961" t="str">
        <f>IF(LEN(VLOOKUP(AK70,suvaha!$D$92:$H$158,2,FALSE))&lt;5,"",LEFT(RIGHT(VLOOKUP(AK70,suvaha!$D$92:$H$158,2,FALSE),5),1))</f>
        <v>0</v>
      </c>
      <c r="BB72" s="961" t="e">
        <f>IF(LEN(#REF!)&lt;5,"",LEFT(RIGHT(#REF!,5),1))</f>
        <v>#REF!</v>
      </c>
      <c r="BC72" s="434"/>
      <c r="BD72" s="432" t="str">
        <f>IF(LEN(VLOOKUP(AK70,suvaha!$D$92:$H$158,2,FALSE))&lt;4,"",LEFT(RIGHT(VLOOKUP(AK70,suvaha!$D$92:$H$158,2,FALSE),4),1))</f>
        <v>1</v>
      </c>
      <c r="BE72" s="434"/>
      <c r="BF72" s="432" t="str">
        <f>IF(LEN(VLOOKUP(AK70,suvaha!$D$92:$H$158,2,FALSE))&lt;3,"",LEFT(RIGHT(VLOOKUP(AK70,suvaha!$D$92:$H$158,2,FALSE),3),1))</f>
        <v>5</v>
      </c>
      <c r="BG72" s="434"/>
      <c r="BH72" s="432" t="str">
        <f>IF(LEN(VLOOKUP(AK70,suvaha!$D$92:$H$158,2,FALSE))&lt;2,"",LEFT(RIGHT(VLOOKUP(AK70,suvaha!$D$92:$H$158,2,FALSE),2),1))</f>
        <v>3</v>
      </c>
      <c r="BI72" s="434"/>
      <c r="BJ72" s="432" t="str">
        <f>IF(VLOOKUP(AK70,suvaha!$D$92:$H$158,2,FALSE)=0,"",IF(LEN(VLOOKUP(AK70,suvaha!$D$92:$H$158,2,FALSE))&lt;1,"",LEFT(RIGHT(VLOOKUP(AK70,suvaha!$D$92:$H$158,2,FALSE),1),1)))</f>
        <v>3</v>
      </c>
      <c r="BK72" s="851"/>
      <c r="BL72" s="826"/>
      <c r="BM72" s="432" t="str">
        <f>IF(LEN(VLOOKUP(AK70,suvaha!$D$92:$H$158,4,FALSE))&lt;11,"",LEFT(RIGHT(VLOOKUP(AK70,suvaha!$D$92:$H$158,4,FALSE),11),1))</f>
        <v/>
      </c>
      <c r="BN72" s="255"/>
      <c r="BO72" s="432" t="str">
        <f>IF(LEN(VLOOKUP(AK70,suvaha!$D$92:$H$158,4,FALSE))&lt;10,"",LEFT(RIGHT(VLOOKUP(AK70,suvaha!$D$92:$H$158,4,FALSE),10),1))</f>
        <v/>
      </c>
      <c r="BP72" s="434"/>
      <c r="BQ72" s="432" t="str">
        <f>IF(LEN(VLOOKUP(AK70,suvaha!$D$92:$H$158,4,FALSE))&lt;9,"",LEFT(RIGHT(VLOOKUP(AK70,suvaha!$D$92:$H$158,4,FALSE),9),1))</f>
        <v/>
      </c>
      <c r="BR72" s="255"/>
      <c r="BS72" s="432" t="str">
        <f>IF(LEN(VLOOKUP(AK70,suvaha!$D$92:$H$158,4,FALSE))&lt;8,"",LEFT(RIGHT(VLOOKUP(AK70,suvaha!$D$92:$H$158,4,FALSE),8),1))</f>
        <v/>
      </c>
      <c r="BT72" s="434"/>
      <c r="BU72" s="432" t="str">
        <f>IF(LEN(VLOOKUP(AK70,suvaha!$D$92:$H$158,4,FALSE))&lt;7,"",LEFT(RIGHT(VLOOKUP(AK70,suvaha!$D$92:$H$158,4,FALSE),7),1))</f>
        <v/>
      </c>
      <c r="BV72" s="818"/>
      <c r="BW72" s="432" t="str">
        <f>IF(LEN(VLOOKUP(AK70,suvaha!$D$92:$H$158,4,FALSE))&lt;6,"",LEFT(RIGHT(VLOOKUP(AK70,suvaha!$D$92:$H$158,4,FALSE),6),1))</f>
        <v>3</v>
      </c>
      <c r="BX72" s="434"/>
      <c r="BY72" s="432" t="str">
        <f>IF(LEN(VLOOKUP(AK70,suvaha!$D$92:$H$158,4,FALSE))&lt;5,"",LEFT(RIGHT(VLOOKUP(AK70,suvaha!$D$92:$H$158,4,FALSE),5),1))</f>
        <v>9</v>
      </c>
      <c r="BZ72" s="434"/>
      <c r="CA72" s="432" t="str">
        <f>IF(LEN(VLOOKUP(AK70,suvaha!$D$92:$H$158,4,FALSE))&lt;4,"",LEFT(RIGHT(VLOOKUP(AK70,suvaha!$D$92:$H$158,4,FALSE),4),1))</f>
        <v>4</v>
      </c>
      <c r="CB72" s="819"/>
      <c r="CC72" s="432" t="str">
        <f>IF(LEN(VLOOKUP(AK70,suvaha!$D$92:$H$158,4,FALSE))&lt;3,"",LEFT(RIGHT(VLOOKUP(AK70,suvaha!$D$92:$H$158,4,FALSE),3),1))</f>
        <v>5</v>
      </c>
      <c r="CD72" s="434"/>
      <c r="CE72" s="432" t="str">
        <f>IF(LEN(VLOOKUP(AK70,suvaha!$D$92:$H$158,4,FALSE))&lt;2,"",LEFT(RIGHT(VLOOKUP(AK70,suvaha!$D$92:$H$158,4,FALSE),2),1))</f>
        <v>5</v>
      </c>
      <c r="CF72" s="434"/>
      <c r="CG72" s="432" t="str">
        <f>IF(VLOOKUP(AK70,suvaha!$D$92:$H$158,4,FALSE)=0,"",IF(LEN(VLOOKUP(AK70,suvaha!$D$92:$H$158,4,FALSE))&lt;1,"",LEFT(RIGHT(VLOOKUP(AK70,suvaha!$D$92:$H$158,4,FALSE),1),1)))</f>
        <v>1</v>
      </c>
      <c r="CH72" s="285"/>
      <c r="CI72" s="220"/>
      <c r="CJ72" s="220"/>
    </row>
    <row r="73" spans="1:88" ht="3" customHeight="1">
      <c r="E73" s="983"/>
      <c r="F73" s="983"/>
      <c r="G73" s="972"/>
      <c r="H73" s="972"/>
      <c r="I73" s="972"/>
      <c r="J73" s="972"/>
      <c r="K73" s="972"/>
      <c r="L73" s="972"/>
      <c r="M73" s="972"/>
      <c r="N73" s="972"/>
      <c r="O73" s="972"/>
      <c r="P73" s="972"/>
      <c r="Q73" s="972"/>
      <c r="R73" s="972"/>
      <c r="S73" s="972"/>
      <c r="T73" s="972"/>
      <c r="U73" s="972"/>
      <c r="V73" s="972"/>
      <c r="W73" s="972"/>
      <c r="X73" s="972"/>
      <c r="Y73" s="972"/>
      <c r="Z73" s="972"/>
      <c r="AA73" s="972"/>
      <c r="AB73" s="972"/>
      <c r="AC73" s="972"/>
      <c r="AD73" s="972"/>
      <c r="AE73" s="972"/>
      <c r="AF73" s="972"/>
      <c r="AG73" s="972"/>
      <c r="AH73" s="972"/>
      <c r="AI73" s="972"/>
      <c r="AJ73" s="972"/>
      <c r="AK73" s="973"/>
      <c r="AL73" s="973"/>
      <c r="AM73" s="973"/>
      <c r="AN73" s="358"/>
      <c r="AO73" s="365"/>
      <c r="AP73" s="365"/>
      <c r="AQ73" s="365"/>
      <c r="AR73" s="365"/>
      <c r="AS73" s="365"/>
      <c r="AT73" s="365"/>
      <c r="AU73" s="365"/>
      <c r="AV73" s="365"/>
      <c r="AW73" s="365"/>
      <c r="AX73" s="365"/>
      <c r="AY73" s="365"/>
      <c r="AZ73" s="365"/>
      <c r="BA73" s="365"/>
      <c r="BB73" s="365"/>
      <c r="BC73" s="365"/>
      <c r="BD73" s="365"/>
      <c r="BE73" s="310"/>
      <c r="BF73" s="310"/>
      <c r="BG73" s="310"/>
      <c r="BH73" s="310"/>
      <c r="BI73" s="310"/>
      <c r="BJ73" s="310"/>
      <c r="BK73" s="310"/>
      <c r="BL73" s="846"/>
      <c r="BM73" s="846"/>
      <c r="BN73" s="846"/>
      <c r="BO73" s="846"/>
      <c r="BP73" s="846"/>
      <c r="BQ73" s="846"/>
      <c r="BR73" s="846"/>
      <c r="BS73" s="846"/>
      <c r="BT73" s="846"/>
      <c r="BU73" s="846"/>
      <c r="BV73" s="846"/>
      <c r="BW73" s="846"/>
      <c r="BX73" s="846"/>
      <c r="BY73" s="846"/>
      <c r="BZ73" s="846"/>
      <c r="CA73" s="846"/>
      <c r="CB73" s="846"/>
      <c r="CC73" s="310"/>
      <c r="CD73" s="310"/>
      <c r="CE73" s="310"/>
      <c r="CF73" s="310"/>
      <c r="CG73" s="310"/>
      <c r="CH73" s="286"/>
      <c r="CI73" s="220"/>
      <c r="CJ73" s="220"/>
    </row>
    <row r="74" spans="1:88" s="250" customFormat="1" ht="3" customHeight="1">
      <c r="A74" s="220"/>
      <c r="B74" s="220"/>
      <c r="C74" s="224"/>
      <c r="D74" s="224"/>
      <c r="E74" s="983" t="s">
        <v>1561</v>
      </c>
      <c r="F74" s="983"/>
      <c r="G74" s="972" t="str">
        <f>Index!C185</f>
        <v>Záväzky z derivátových operácií (373A, 377A)</v>
      </c>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2"/>
      <c r="AK74" s="973" t="s">
        <v>1707</v>
      </c>
      <c r="AL74" s="973"/>
      <c r="AM74" s="973"/>
      <c r="AN74" s="357"/>
      <c r="AO74" s="366"/>
      <c r="AP74" s="366"/>
      <c r="AQ74" s="366"/>
      <c r="AR74" s="366"/>
      <c r="AS74" s="366"/>
      <c r="AT74" s="366"/>
      <c r="AU74" s="366"/>
      <c r="AV74" s="366"/>
      <c r="AW74" s="366"/>
      <c r="AX74" s="366"/>
      <c r="AY74" s="366"/>
      <c r="AZ74" s="366"/>
      <c r="BA74" s="366"/>
      <c r="BB74" s="366"/>
      <c r="BC74" s="366"/>
      <c r="BD74" s="366"/>
      <c r="BE74" s="304"/>
      <c r="BF74" s="304"/>
      <c r="BG74" s="304"/>
      <c r="BH74" s="304"/>
      <c r="BI74" s="304"/>
      <c r="BJ74" s="304"/>
      <c r="BK74" s="304"/>
      <c r="BL74" s="867"/>
      <c r="BM74" s="867"/>
      <c r="BN74" s="867"/>
      <c r="BO74" s="867"/>
      <c r="BP74" s="867"/>
      <c r="BQ74" s="867"/>
      <c r="BR74" s="867"/>
      <c r="BS74" s="867"/>
      <c r="BT74" s="867"/>
      <c r="BU74" s="867"/>
      <c r="BV74" s="867"/>
      <c r="BW74" s="867"/>
      <c r="BX74" s="867"/>
      <c r="BY74" s="867"/>
      <c r="BZ74" s="867"/>
      <c r="CA74" s="867"/>
      <c r="CB74" s="867"/>
      <c r="CC74" s="304"/>
      <c r="CD74" s="304"/>
      <c r="CE74" s="304"/>
      <c r="CF74" s="304"/>
      <c r="CG74" s="304"/>
      <c r="CH74" s="284"/>
      <c r="CI74" s="288"/>
      <c r="CJ74" s="288"/>
    </row>
    <row r="75" spans="1:88" s="250" customFormat="1" ht="3" customHeight="1">
      <c r="A75" s="220"/>
      <c r="B75" s="220"/>
      <c r="C75" s="220"/>
      <c r="D75" s="220"/>
      <c r="E75" s="983"/>
      <c r="F75" s="983"/>
      <c r="G75" s="972"/>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3"/>
      <c r="AL75" s="973"/>
      <c r="AM75" s="973"/>
      <c r="AN75" s="355"/>
      <c r="AO75" s="436"/>
      <c r="AP75" s="436"/>
      <c r="AQ75" s="436"/>
      <c r="AR75" s="435"/>
      <c r="AS75" s="439"/>
      <c r="AT75" s="439"/>
      <c r="AU75" s="439"/>
      <c r="AV75" s="439"/>
      <c r="AW75" s="439"/>
      <c r="AX75" s="440"/>
      <c r="AY75" s="821"/>
      <c r="AZ75" s="821"/>
      <c r="BA75" s="821"/>
      <c r="BB75" s="821"/>
      <c r="BC75" s="821"/>
      <c r="BD75" s="821"/>
      <c r="BE75" s="434"/>
      <c r="BF75" s="968"/>
      <c r="BG75" s="968"/>
      <c r="BH75" s="968"/>
      <c r="BI75" s="968"/>
      <c r="BJ75" s="968"/>
      <c r="BK75" s="851"/>
      <c r="BL75" s="826"/>
      <c r="BM75" s="820"/>
      <c r="BN75" s="820"/>
      <c r="BO75" s="820"/>
      <c r="BP75" s="435"/>
      <c r="BQ75" s="821"/>
      <c r="BR75" s="821"/>
      <c r="BS75" s="821"/>
      <c r="BT75" s="821"/>
      <c r="BU75" s="821"/>
      <c r="BV75" s="818"/>
      <c r="BW75" s="822"/>
      <c r="BX75" s="822"/>
      <c r="BY75" s="822"/>
      <c r="BZ75" s="822"/>
      <c r="CA75" s="822"/>
      <c r="CB75" s="819"/>
      <c r="CC75" s="822"/>
      <c r="CD75" s="822"/>
      <c r="CE75" s="822"/>
      <c r="CF75" s="822"/>
      <c r="CG75" s="822"/>
      <c r="CH75" s="285"/>
      <c r="CI75" s="288"/>
      <c r="CJ75" s="288"/>
    </row>
    <row r="76" spans="1:88" ht="15" customHeight="1">
      <c r="E76" s="983"/>
      <c r="F76" s="983"/>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3"/>
      <c r="AL76" s="973"/>
      <c r="AM76" s="973"/>
      <c r="AN76" s="355"/>
      <c r="AO76" s="432" t="str">
        <f>IF(LEN(VLOOKUP(AK74,suvaha!$D$92:$H$158,2,FALSE))&lt;11,"",LEFT(RIGHT(VLOOKUP(AK74,suvaha!$D$92:$H$158,2,FALSE),11),1))</f>
        <v/>
      </c>
      <c r="AP76" s="255"/>
      <c r="AQ76" s="432" t="str">
        <f>IF(LEN(VLOOKUP(AK74,suvaha!$D$92:$H$158,2,FALSE))&lt;10,"",LEFT(RIGHT(VLOOKUP(AK74,suvaha!$D$92:$H$158,2,FALSE),10),1))</f>
        <v/>
      </c>
      <c r="AR76" s="434"/>
      <c r="AS76" s="432" t="str">
        <f>IF(LEN(VLOOKUP(AK74,suvaha!$D$92:$H$158,2,FALSE))&lt;9,"",LEFT(RIGHT(VLOOKUP(AK74,suvaha!$D$92:$H$158,2,FALSE),9),1))</f>
        <v/>
      </c>
      <c r="AT76" s="255"/>
      <c r="AU76" s="432" t="str">
        <f>IF(LEN(VLOOKUP(AK74,suvaha!$D$92:$H$158,2,FALSE))&lt;8,"",LEFT(RIGHT(VLOOKUP(AK74,suvaha!$D$92:$H$158,2,FALSE),8),1))</f>
        <v/>
      </c>
      <c r="AV76" s="434"/>
      <c r="AW76" s="432" t="str">
        <f>IF(LEN(VLOOKUP(AK74,suvaha!$D$92:$H$158,2,FALSE))&lt;7,"",LEFT(RIGHT(VLOOKUP(AK74,suvaha!$D$92:$H$158,2,FALSE),7),1))</f>
        <v/>
      </c>
      <c r="AX76" s="440"/>
      <c r="AY76" s="432" t="str">
        <f>IF(LEN(VLOOKUP(AK74,suvaha!$D$92:$H$158,2,FALSE))&lt;6,"",LEFT(RIGHT(VLOOKUP(AK74,suvaha!$D$92:$H$158,2,FALSE),6),1))</f>
        <v/>
      </c>
      <c r="AZ76" s="255"/>
      <c r="BA76" s="961" t="str">
        <f>IF(LEN(VLOOKUP(AK74,suvaha!$D$92:$H$158,2,FALSE))&lt;5,"",LEFT(RIGHT(VLOOKUP(AK74,suvaha!$D$92:$H$158,2,FALSE),5),1))</f>
        <v/>
      </c>
      <c r="BB76" s="961" t="e">
        <f>IF(LEN(#REF!)&lt;5,"",LEFT(RIGHT(#REF!,5),1))</f>
        <v>#REF!</v>
      </c>
      <c r="BC76" s="434"/>
      <c r="BD76" s="432" t="str">
        <f>IF(LEN(VLOOKUP(AK74,suvaha!$D$92:$H$158,2,FALSE))&lt;4,"",LEFT(RIGHT(VLOOKUP(AK74,suvaha!$D$92:$H$158,2,FALSE),4),1))</f>
        <v/>
      </c>
      <c r="BE76" s="434"/>
      <c r="BF76" s="432" t="str">
        <f>IF(LEN(VLOOKUP(AK74,suvaha!$D$92:$H$158,2,FALSE))&lt;3,"",LEFT(RIGHT(VLOOKUP(AK74,suvaha!$D$92:$H$158,2,FALSE),3),1))</f>
        <v/>
      </c>
      <c r="BG76" s="434"/>
      <c r="BH76" s="432" t="str">
        <f>IF(LEN(VLOOKUP(AK74,suvaha!$D$92:$H$158,2,FALSE))&lt;2,"",LEFT(RIGHT(VLOOKUP(AK74,suvaha!$D$92:$H$158,2,FALSE),2),1))</f>
        <v/>
      </c>
      <c r="BI76" s="434"/>
      <c r="BJ76" s="432" t="str">
        <f>IF(VLOOKUP(AK74,suvaha!$D$92:$H$158,2,FALSE)=0,"",IF(LEN(VLOOKUP(AK74,suvaha!$D$92:$H$158,2,FALSE))&lt;1,"",LEFT(RIGHT(VLOOKUP(AK74,suvaha!$D$92:$H$158,2,FALSE),1),1)))</f>
        <v/>
      </c>
      <c r="BK76" s="851"/>
      <c r="BL76" s="826"/>
      <c r="BM76" s="432" t="str">
        <f>IF(LEN(VLOOKUP(AK74,suvaha!$D$92:$H$158,4,FALSE))&lt;11,"",LEFT(RIGHT(VLOOKUP(AK74,suvaha!$D$92:$H$158,4,FALSE),11),1))</f>
        <v/>
      </c>
      <c r="BN76" s="255"/>
      <c r="BO76" s="432" t="str">
        <f>IF(LEN(VLOOKUP(AK74,suvaha!$D$92:$H$158,4,FALSE))&lt;10,"",LEFT(RIGHT(VLOOKUP(AK74,suvaha!$D$92:$H$158,4,FALSE),10),1))</f>
        <v/>
      </c>
      <c r="BP76" s="434"/>
      <c r="BQ76" s="432" t="str">
        <f>IF(LEN(VLOOKUP(AK74,suvaha!$D$92:$H$158,4,FALSE))&lt;9,"",LEFT(RIGHT(VLOOKUP(AK74,suvaha!$D$92:$H$158,4,FALSE),9),1))</f>
        <v/>
      </c>
      <c r="BR76" s="255"/>
      <c r="BS76" s="432" t="str">
        <f>IF(LEN(VLOOKUP(AK74,suvaha!$D$92:$H$158,4,FALSE))&lt;8,"",LEFT(RIGHT(VLOOKUP(AK74,suvaha!$D$92:$H$158,4,FALSE),8),1))</f>
        <v/>
      </c>
      <c r="BT76" s="434"/>
      <c r="BU76" s="432" t="str">
        <f>IF(LEN(VLOOKUP(AK74,suvaha!$D$92:$H$158,4,FALSE))&lt;7,"",LEFT(RIGHT(VLOOKUP(AK74,suvaha!$D$92:$H$158,4,FALSE),7),1))</f>
        <v/>
      </c>
      <c r="BV76" s="818"/>
      <c r="BW76" s="432" t="str">
        <f>IF(LEN(VLOOKUP(AK74,suvaha!$D$92:$H$158,4,FALSE))&lt;6,"",LEFT(RIGHT(VLOOKUP(AK74,suvaha!$D$92:$H$158,4,FALSE),6),1))</f>
        <v/>
      </c>
      <c r="BX76" s="434"/>
      <c r="BY76" s="432" t="str">
        <f>IF(LEN(VLOOKUP(AK74,suvaha!$D$92:$H$158,4,FALSE))&lt;5,"",LEFT(RIGHT(VLOOKUP(AK74,suvaha!$D$92:$H$158,4,FALSE),5),1))</f>
        <v/>
      </c>
      <c r="BZ76" s="434"/>
      <c r="CA76" s="432" t="str">
        <f>IF(LEN(VLOOKUP(AK74,suvaha!$D$92:$H$158,4,FALSE))&lt;4,"",LEFT(RIGHT(VLOOKUP(AK74,suvaha!$D$92:$H$158,4,FALSE),4),1))</f>
        <v/>
      </c>
      <c r="CB76" s="819"/>
      <c r="CC76" s="432" t="str">
        <f>IF(LEN(VLOOKUP(AK74,suvaha!$D$92:$H$158,4,FALSE))&lt;3,"",LEFT(RIGHT(VLOOKUP(AK74,suvaha!$D$92:$H$158,4,FALSE),3),1))</f>
        <v/>
      </c>
      <c r="CD76" s="434"/>
      <c r="CE76" s="432" t="str">
        <f>IF(LEN(VLOOKUP(AK74,suvaha!$D$92:$H$158,4,FALSE))&lt;2,"",LEFT(RIGHT(VLOOKUP(AK74,suvaha!$D$92:$H$158,4,FALSE),2),1))</f>
        <v/>
      </c>
      <c r="CF76" s="434"/>
      <c r="CG76" s="432" t="str">
        <f>IF(VLOOKUP(AK74,suvaha!$D$92:$H$158,4,FALSE)=0,"",IF(LEN(VLOOKUP(AK74,suvaha!$D$92:$H$158,4,FALSE))&lt;1,"",LEFT(RIGHT(VLOOKUP(AK74,suvaha!$D$92:$H$158,4,FALSE),1),1)))</f>
        <v/>
      </c>
      <c r="CH76" s="285"/>
      <c r="CI76" s="220"/>
      <c r="CJ76" s="220"/>
    </row>
    <row r="77" spans="1:88" ht="3" customHeight="1">
      <c r="E77" s="983"/>
      <c r="F77" s="983"/>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3"/>
      <c r="AL77" s="973"/>
      <c r="AM77" s="973"/>
      <c r="AN77" s="358"/>
      <c r="AO77" s="365"/>
      <c r="AP77" s="365"/>
      <c r="AQ77" s="365"/>
      <c r="AR77" s="365"/>
      <c r="AS77" s="365"/>
      <c r="AT77" s="365"/>
      <c r="AU77" s="365"/>
      <c r="AV77" s="365"/>
      <c r="AW77" s="365"/>
      <c r="AX77" s="365"/>
      <c r="AY77" s="365"/>
      <c r="AZ77" s="365"/>
      <c r="BA77" s="365"/>
      <c r="BB77" s="365"/>
      <c r="BC77" s="365"/>
      <c r="BD77" s="365"/>
      <c r="BE77" s="310"/>
      <c r="BF77" s="310"/>
      <c r="BG77" s="310"/>
      <c r="BH77" s="310"/>
      <c r="BI77" s="310"/>
      <c r="BJ77" s="310"/>
      <c r="BK77" s="310"/>
      <c r="BL77" s="846"/>
      <c r="BM77" s="846"/>
      <c r="BN77" s="846"/>
      <c r="BO77" s="846"/>
      <c r="BP77" s="846"/>
      <c r="BQ77" s="846"/>
      <c r="BR77" s="846"/>
      <c r="BS77" s="846"/>
      <c r="BT77" s="846"/>
      <c r="BU77" s="846"/>
      <c r="BV77" s="846"/>
      <c r="BW77" s="846"/>
      <c r="BX77" s="846"/>
      <c r="BY77" s="846"/>
      <c r="BZ77" s="846"/>
      <c r="CA77" s="846"/>
      <c r="CB77" s="846"/>
      <c r="CC77" s="310"/>
      <c r="CD77" s="310"/>
      <c r="CE77" s="310"/>
      <c r="CF77" s="310"/>
      <c r="CG77" s="310"/>
      <c r="CH77" s="286"/>
      <c r="CI77" s="220"/>
      <c r="CJ77" s="220"/>
    </row>
    <row r="78" spans="1:88" s="250" customFormat="1" ht="3" customHeight="1">
      <c r="A78" s="220"/>
      <c r="B78" s="220"/>
      <c r="C78" s="224"/>
      <c r="D78" s="224"/>
      <c r="E78" s="983" t="s">
        <v>1578</v>
      </c>
      <c r="F78" s="983"/>
      <c r="G78" s="972" t="str">
        <f>Index!C186</f>
        <v>Iné záväzky (372A, 379A, 474A, 475A, 479A, 47XA)</v>
      </c>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3" t="s">
        <v>1708</v>
      </c>
      <c r="AL78" s="973"/>
      <c r="AM78" s="973"/>
      <c r="AN78" s="357"/>
      <c r="AO78" s="366"/>
      <c r="AP78" s="366"/>
      <c r="AQ78" s="366"/>
      <c r="AR78" s="366"/>
      <c r="AS78" s="366"/>
      <c r="AT78" s="366"/>
      <c r="AU78" s="366"/>
      <c r="AV78" s="366"/>
      <c r="AW78" s="366"/>
      <c r="AX78" s="366"/>
      <c r="AY78" s="366"/>
      <c r="AZ78" s="366"/>
      <c r="BA78" s="366"/>
      <c r="BB78" s="366"/>
      <c r="BC78" s="366"/>
      <c r="BD78" s="366"/>
      <c r="BE78" s="304"/>
      <c r="BF78" s="304"/>
      <c r="BG78" s="304"/>
      <c r="BH78" s="304"/>
      <c r="BI78" s="304"/>
      <c r="BJ78" s="304"/>
      <c r="BK78" s="304"/>
      <c r="BL78" s="867"/>
      <c r="BM78" s="867"/>
      <c r="BN78" s="867"/>
      <c r="BO78" s="867"/>
      <c r="BP78" s="867"/>
      <c r="BQ78" s="867"/>
      <c r="BR78" s="867"/>
      <c r="BS78" s="867"/>
      <c r="BT78" s="867"/>
      <c r="BU78" s="867"/>
      <c r="BV78" s="867"/>
      <c r="BW78" s="867"/>
      <c r="BX78" s="867"/>
      <c r="BY78" s="867"/>
      <c r="BZ78" s="867"/>
      <c r="CA78" s="867"/>
      <c r="CB78" s="867"/>
      <c r="CC78" s="304"/>
      <c r="CD78" s="304"/>
      <c r="CE78" s="304"/>
      <c r="CF78" s="304"/>
      <c r="CG78" s="304"/>
      <c r="CH78" s="284"/>
      <c r="CI78" s="288"/>
      <c r="CJ78" s="288"/>
    </row>
    <row r="79" spans="1:88" s="250" customFormat="1" ht="3" customHeight="1">
      <c r="A79" s="220"/>
      <c r="B79" s="220"/>
      <c r="C79" s="220"/>
      <c r="D79" s="220"/>
      <c r="E79" s="983"/>
      <c r="F79" s="983"/>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3"/>
      <c r="AL79" s="973"/>
      <c r="AM79" s="973"/>
      <c r="AN79" s="355"/>
      <c r="AO79" s="436"/>
      <c r="AP79" s="436"/>
      <c r="AQ79" s="436"/>
      <c r="AR79" s="435"/>
      <c r="AS79" s="439"/>
      <c r="AT79" s="439"/>
      <c r="AU79" s="439"/>
      <c r="AV79" s="439"/>
      <c r="AW79" s="439"/>
      <c r="AX79" s="440"/>
      <c r="AY79" s="821"/>
      <c r="AZ79" s="821"/>
      <c r="BA79" s="821"/>
      <c r="BB79" s="821"/>
      <c r="BC79" s="821"/>
      <c r="BD79" s="821"/>
      <c r="BE79" s="434"/>
      <c r="BF79" s="968"/>
      <c r="BG79" s="968"/>
      <c r="BH79" s="968"/>
      <c r="BI79" s="968"/>
      <c r="BJ79" s="968"/>
      <c r="BK79" s="851"/>
      <c r="BL79" s="826"/>
      <c r="BM79" s="820"/>
      <c r="BN79" s="820"/>
      <c r="BO79" s="820"/>
      <c r="BP79" s="435"/>
      <c r="BQ79" s="821"/>
      <c r="BR79" s="821"/>
      <c r="BS79" s="821"/>
      <c r="BT79" s="821"/>
      <c r="BU79" s="821"/>
      <c r="BV79" s="818"/>
      <c r="BW79" s="822"/>
      <c r="BX79" s="822"/>
      <c r="BY79" s="822"/>
      <c r="BZ79" s="822"/>
      <c r="CA79" s="822"/>
      <c r="CB79" s="819"/>
      <c r="CC79" s="822"/>
      <c r="CD79" s="822"/>
      <c r="CE79" s="822"/>
      <c r="CF79" s="822"/>
      <c r="CG79" s="822"/>
      <c r="CH79" s="285"/>
      <c r="CI79" s="288"/>
      <c r="CJ79" s="288"/>
    </row>
    <row r="80" spans="1:88" ht="15" customHeight="1">
      <c r="E80" s="983"/>
      <c r="F80" s="983"/>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3"/>
      <c r="AL80" s="973"/>
      <c r="AM80" s="973"/>
      <c r="AN80" s="355"/>
      <c r="AO80" s="432" t="str">
        <f>IF(LEN(VLOOKUP(AK78,suvaha!$D$92:$H$158,2,FALSE))&lt;11,"",LEFT(RIGHT(VLOOKUP(AK78,suvaha!$D$92:$H$158,2,FALSE),11),1))</f>
        <v/>
      </c>
      <c r="AP80" s="255"/>
      <c r="AQ80" s="432" t="str">
        <f>IF(LEN(VLOOKUP(AK78,suvaha!$D$92:$H$158,2,FALSE))&lt;10,"",LEFT(RIGHT(VLOOKUP(AK78,suvaha!$D$92:$H$158,2,FALSE),10),1))</f>
        <v/>
      </c>
      <c r="AR80" s="434"/>
      <c r="AS80" s="432" t="str">
        <f>IF(LEN(VLOOKUP(AK78,suvaha!$D$92:$H$158,2,FALSE))&lt;9,"",LEFT(RIGHT(VLOOKUP(AK78,suvaha!$D$92:$H$158,2,FALSE),9),1))</f>
        <v/>
      </c>
      <c r="AT80" s="255"/>
      <c r="AU80" s="432" t="str">
        <f>IF(LEN(VLOOKUP(AK78,suvaha!$D$92:$H$158,2,FALSE))&lt;8,"",LEFT(RIGHT(VLOOKUP(AK78,suvaha!$D$92:$H$158,2,FALSE),8),1))</f>
        <v/>
      </c>
      <c r="AV80" s="434"/>
      <c r="AW80" s="432" t="str">
        <f>IF(LEN(VLOOKUP(AK78,suvaha!$D$92:$H$158,2,FALSE))&lt;7,"",LEFT(RIGHT(VLOOKUP(AK78,suvaha!$D$92:$H$158,2,FALSE),7),1))</f>
        <v/>
      </c>
      <c r="AX80" s="440"/>
      <c r="AY80" s="432" t="str">
        <f>IF(LEN(VLOOKUP(AK78,suvaha!$D$92:$H$158,2,FALSE))&lt;6,"",LEFT(RIGHT(VLOOKUP(AK78,suvaha!$D$92:$H$158,2,FALSE),6),1))</f>
        <v/>
      </c>
      <c r="AZ80" s="255"/>
      <c r="BA80" s="961" t="str">
        <f>IF(LEN(VLOOKUP(AK78,suvaha!$D$92:$H$158,2,FALSE))&lt;5,"",LEFT(RIGHT(VLOOKUP(AK78,suvaha!$D$92:$H$158,2,FALSE),5),1))</f>
        <v/>
      </c>
      <c r="BB80" s="961" t="e">
        <f>IF(LEN(#REF!)&lt;5,"",LEFT(RIGHT(#REF!,5),1))</f>
        <v>#REF!</v>
      </c>
      <c r="BC80" s="434"/>
      <c r="BD80" s="432" t="str">
        <f>IF(LEN(VLOOKUP(AK78,suvaha!$D$92:$H$158,2,FALSE))&lt;4,"",LEFT(RIGHT(VLOOKUP(AK78,suvaha!$D$92:$H$158,2,FALSE),4),1))</f>
        <v>8</v>
      </c>
      <c r="BE80" s="434"/>
      <c r="BF80" s="432" t="str">
        <f>IF(LEN(VLOOKUP(AK78,suvaha!$D$92:$H$158,2,FALSE))&lt;3,"",LEFT(RIGHT(VLOOKUP(AK78,suvaha!$D$92:$H$158,2,FALSE),3),1))</f>
        <v>2</v>
      </c>
      <c r="BG80" s="434"/>
      <c r="BH80" s="432" t="str">
        <f>IF(LEN(VLOOKUP(AK78,suvaha!$D$92:$H$158,2,FALSE))&lt;2,"",LEFT(RIGHT(VLOOKUP(AK78,suvaha!$D$92:$H$158,2,FALSE),2),1))</f>
        <v>6</v>
      </c>
      <c r="BI80" s="434"/>
      <c r="BJ80" s="432" t="str">
        <f>IF(VLOOKUP(AK78,suvaha!$D$92:$H$158,2,FALSE)=0,"",IF(LEN(VLOOKUP(AK78,suvaha!$D$92:$H$158,2,FALSE))&lt;1,"",LEFT(RIGHT(VLOOKUP(AK78,suvaha!$D$92:$H$158,2,FALSE),1),1)))</f>
        <v>5</v>
      </c>
      <c r="BK80" s="851"/>
      <c r="BL80" s="826"/>
      <c r="BM80" s="432" t="str">
        <f>IF(LEN(VLOOKUP(AK78,suvaha!$D$92:$H$158,4,FALSE))&lt;11,"",LEFT(RIGHT(VLOOKUP(AK78,suvaha!$D$92:$H$158,4,FALSE),11),1))</f>
        <v/>
      </c>
      <c r="BN80" s="255"/>
      <c r="BO80" s="432" t="str">
        <f>IF(LEN(VLOOKUP(AK78,suvaha!$D$92:$H$158,4,FALSE))&lt;10,"",LEFT(RIGHT(VLOOKUP(AK78,suvaha!$D$92:$H$158,4,FALSE),10),1))</f>
        <v/>
      </c>
      <c r="BP80" s="434"/>
      <c r="BQ80" s="432" t="str">
        <f>IF(LEN(VLOOKUP(AK78,suvaha!$D$92:$H$158,4,FALSE))&lt;9,"",LEFT(RIGHT(VLOOKUP(AK78,suvaha!$D$92:$H$158,4,FALSE),9),1))</f>
        <v/>
      </c>
      <c r="BR80" s="255"/>
      <c r="BS80" s="432" t="str">
        <f>IF(LEN(VLOOKUP(AK78,suvaha!$D$92:$H$158,4,FALSE))&lt;8,"",LEFT(RIGHT(VLOOKUP(AK78,suvaha!$D$92:$H$158,4,FALSE),8),1))</f>
        <v/>
      </c>
      <c r="BT80" s="434"/>
      <c r="BU80" s="432" t="str">
        <f>IF(LEN(VLOOKUP(AK78,suvaha!$D$92:$H$158,4,FALSE))&lt;7,"",LEFT(RIGHT(VLOOKUP(AK78,suvaha!$D$92:$H$158,4,FALSE),7),1))</f>
        <v/>
      </c>
      <c r="BV80" s="818"/>
      <c r="BW80" s="432" t="str">
        <f>IF(LEN(VLOOKUP(AK78,suvaha!$D$92:$H$158,4,FALSE))&lt;6,"",LEFT(RIGHT(VLOOKUP(AK78,suvaha!$D$92:$H$158,4,FALSE),6),1))</f>
        <v/>
      </c>
      <c r="BX80" s="434"/>
      <c r="BY80" s="432" t="str">
        <f>IF(LEN(VLOOKUP(AK78,suvaha!$D$92:$H$158,4,FALSE))&lt;5,"",LEFT(RIGHT(VLOOKUP(AK78,suvaha!$D$92:$H$158,4,FALSE),5),1))</f>
        <v/>
      </c>
      <c r="BZ80" s="434"/>
      <c r="CA80" s="432" t="str">
        <f>IF(LEN(VLOOKUP(AK78,suvaha!$D$92:$H$158,4,FALSE))&lt;4,"",LEFT(RIGHT(VLOOKUP(AK78,suvaha!$D$92:$H$158,4,FALSE),4),1))</f>
        <v>4</v>
      </c>
      <c r="CB80" s="819"/>
      <c r="CC80" s="432" t="str">
        <f>IF(LEN(VLOOKUP(AK78,suvaha!$D$92:$H$158,4,FALSE))&lt;3,"",LEFT(RIGHT(VLOOKUP(AK78,suvaha!$D$92:$H$158,4,FALSE),3),1))</f>
        <v>6</v>
      </c>
      <c r="CD80" s="434"/>
      <c r="CE80" s="432" t="str">
        <f>IF(LEN(VLOOKUP(AK78,suvaha!$D$92:$H$158,4,FALSE))&lt;2,"",LEFT(RIGHT(VLOOKUP(AK78,suvaha!$D$92:$H$158,4,FALSE),2),1))</f>
        <v>5</v>
      </c>
      <c r="CF80" s="434"/>
      <c r="CG80" s="432" t="str">
        <f>IF(VLOOKUP(AK78,suvaha!$D$92:$H$158,4,FALSE)=0,"",IF(LEN(VLOOKUP(AK78,suvaha!$D$92:$H$158,4,FALSE))&lt;1,"",LEFT(RIGHT(VLOOKUP(AK78,suvaha!$D$92:$H$158,4,FALSE),1),1)))</f>
        <v>0</v>
      </c>
      <c r="CH80" s="285"/>
      <c r="CI80" s="220"/>
      <c r="CJ80" s="220"/>
    </row>
    <row r="81" spans="1:88" ht="3" customHeight="1">
      <c r="E81" s="983"/>
      <c r="F81" s="983"/>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3"/>
      <c r="AL81" s="973"/>
      <c r="AM81" s="973"/>
      <c r="AN81" s="358"/>
      <c r="AO81" s="365"/>
      <c r="AP81" s="365"/>
      <c r="AQ81" s="365"/>
      <c r="AR81" s="365"/>
      <c r="AS81" s="365"/>
      <c r="AT81" s="365"/>
      <c r="AU81" s="365"/>
      <c r="AV81" s="365"/>
      <c r="AW81" s="365"/>
      <c r="AX81" s="365"/>
      <c r="AY81" s="365"/>
      <c r="AZ81" s="365"/>
      <c r="BA81" s="365"/>
      <c r="BB81" s="365"/>
      <c r="BC81" s="365"/>
      <c r="BD81" s="365"/>
      <c r="BE81" s="310"/>
      <c r="BF81" s="310"/>
      <c r="BG81" s="310"/>
      <c r="BH81" s="310"/>
      <c r="BI81" s="310"/>
      <c r="BJ81" s="310"/>
      <c r="BK81" s="310"/>
      <c r="BL81" s="846"/>
      <c r="BM81" s="846"/>
      <c r="BN81" s="846"/>
      <c r="BO81" s="846"/>
      <c r="BP81" s="846"/>
      <c r="BQ81" s="846"/>
      <c r="BR81" s="846"/>
      <c r="BS81" s="846"/>
      <c r="BT81" s="846"/>
      <c r="BU81" s="846"/>
      <c r="BV81" s="846"/>
      <c r="BW81" s="846"/>
      <c r="BX81" s="846"/>
      <c r="BY81" s="846"/>
      <c r="BZ81" s="846"/>
      <c r="CA81" s="846"/>
      <c r="CB81" s="846"/>
      <c r="CC81" s="310"/>
      <c r="CD81" s="310"/>
      <c r="CE81" s="310"/>
      <c r="CF81" s="310"/>
      <c r="CG81" s="310"/>
      <c r="CH81" s="286"/>
      <c r="CI81" s="220"/>
      <c r="CJ81" s="220"/>
    </row>
    <row r="82" spans="1:88" s="307" customFormat="1" ht="3" customHeight="1">
      <c r="A82" s="302"/>
      <c r="B82" s="302"/>
      <c r="C82" s="303"/>
      <c r="D82" s="303"/>
      <c r="E82" s="1040" t="s">
        <v>631</v>
      </c>
      <c r="F82" s="1041"/>
      <c r="G82" s="992" t="str">
        <f>Index!C187</f>
        <v>Krátkodobé rezervy r. 137 + r. 138</v>
      </c>
      <c r="H82" s="992"/>
      <c r="I82" s="992"/>
      <c r="J82" s="992"/>
      <c r="K82" s="992"/>
      <c r="L82" s="992"/>
      <c r="M82" s="992"/>
      <c r="N82" s="992"/>
      <c r="O82" s="992"/>
      <c r="P82" s="992"/>
      <c r="Q82" s="992"/>
      <c r="R82" s="992"/>
      <c r="S82" s="992"/>
      <c r="T82" s="992"/>
      <c r="U82" s="992"/>
      <c r="V82" s="992"/>
      <c r="W82" s="992"/>
      <c r="X82" s="992"/>
      <c r="Y82" s="992"/>
      <c r="Z82" s="992"/>
      <c r="AA82" s="992"/>
      <c r="AB82" s="992"/>
      <c r="AC82" s="992"/>
      <c r="AD82" s="992"/>
      <c r="AE82" s="992"/>
      <c r="AF82" s="992"/>
      <c r="AG82" s="992"/>
      <c r="AH82" s="992"/>
      <c r="AI82" s="992"/>
      <c r="AJ82" s="992"/>
      <c r="AK82" s="993" t="s">
        <v>1709</v>
      </c>
      <c r="AL82" s="993"/>
      <c r="AM82" s="993"/>
      <c r="AN82" s="364"/>
      <c r="AO82" s="366"/>
      <c r="AP82" s="366"/>
      <c r="AQ82" s="366"/>
      <c r="AR82" s="366"/>
      <c r="AS82" s="366"/>
      <c r="AT82" s="366"/>
      <c r="AU82" s="366"/>
      <c r="AV82" s="366"/>
      <c r="AW82" s="366"/>
      <c r="AX82" s="366"/>
      <c r="AY82" s="366"/>
      <c r="AZ82" s="366"/>
      <c r="BA82" s="366"/>
      <c r="BB82" s="366"/>
      <c r="BC82" s="366"/>
      <c r="BD82" s="366"/>
      <c r="BE82" s="304"/>
      <c r="BF82" s="304"/>
      <c r="BG82" s="304"/>
      <c r="BH82" s="304"/>
      <c r="BI82" s="304"/>
      <c r="BJ82" s="304"/>
      <c r="BK82" s="304"/>
      <c r="BL82" s="867"/>
      <c r="BM82" s="867"/>
      <c r="BN82" s="867"/>
      <c r="BO82" s="867"/>
      <c r="BP82" s="867"/>
      <c r="BQ82" s="867"/>
      <c r="BR82" s="867"/>
      <c r="BS82" s="867"/>
      <c r="BT82" s="867"/>
      <c r="BU82" s="867"/>
      <c r="BV82" s="867"/>
      <c r="BW82" s="867"/>
      <c r="BX82" s="867"/>
      <c r="BY82" s="867"/>
      <c r="BZ82" s="867"/>
      <c r="CA82" s="867"/>
      <c r="CB82" s="867"/>
      <c r="CC82" s="304"/>
      <c r="CD82" s="304"/>
      <c r="CE82" s="304"/>
      <c r="CF82" s="304"/>
      <c r="CG82" s="304"/>
      <c r="CH82" s="305"/>
      <c r="CI82" s="306"/>
      <c r="CJ82" s="306"/>
    </row>
    <row r="83" spans="1:88" s="307" customFormat="1" ht="3" customHeight="1">
      <c r="A83" s="302"/>
      <c r="B83" s="302"/>
      <c r="C83" s="302"/>
      <c r="D83" s="302"/>
      <c r="E83" s="1040"/>
      <c r="F83" s="1041"/>
      <c r="G83" s="992"/>
      <c r="H83" s="992"/>
      <c r="I83" s="992"/>
      <c r="J83" s="992"/>
      <c r="K83" s="992"/>
      <c r="L83" s="992"/>
      <c r="M83" s="992"/>
      <c r="N83" s="992"/>
      <c r="O83" s="992"/>
      <c r="P83" s="992"/>
      <c r="Q83" s="992"/>
      <c r="R83" s="992"/>
      <c r="S83" s="992"/>
      <c r="T83" s="992"/>
      <c r="U83" s="992"/>
      <c r="V83" s="992"/>
      <c r="W83" s="992"/>
      <c r="X83" s="992"/>
      <c r="Y83" s="992"/>
      <c r="Z83" s="992"/>
      <c r="AA83" s="992"/>
      <c r="AB83" s="992"/>
      <c r="AC83" s="992"/>
      <c r="AD83" s="992"/>
      <c r="AE83" s="992"/>
      <c r="AF83" s="992"/>
      <c r="AG83" s="992"/>
      <c r="AH83" s="992"/>
      <c r="AI83" s="992"/>
      <c r="AJ83" s="992"/>
      <c r="AK83" s="993"/>
      <c r="AL83" s="993"/>
      <c r="AM83" s="993"/>
      <c r="AN83" s="367"/>
      <c r="AO83" s="436"/>
      <c r="AP83" s="436"/>
      <c r="AQ83" s="436"/>
      <c r="AR83" s="435"/>
      <c r="AS83" s="433"/>
      <c r="AT83" s="433"/>
      <c r="AU83" s="433"/>
      <c r="AV83" s="433"/>
      <c r="AW83" s="433"/>
      <c r="AX83" s="434"/>
      <c r="AY83" s="1007"/>
      <c r="AZ83" s="1007"/>
      <c r="BA83" s="1007"/>
      <c r="BB83" s="1007"/>
      <c r="BC83" s="1007"/>
      <c r="BD83" s="1007"/>
      <c r="BE83" s="434"/>
      <c r="BF83" s="968"/>
      <c r="BG83" s="968"/>
      <c r="BH83" s="968"/>
      <c r="BI83" s="968"/>
      <c r="BJ83" s="968"/>
      <c r="BK83" s="851"/>
      <c r="BL83" s="826"/>
      <c r="BM83" s="820"/>
      <c r="BN83" s="820"/>
      <c r="BO83" s="820"/>
      <c r="BP83" s="435"/>
      <c r="BQ83" s="1007"/>
      <c r="BR83" s="1007"/>
      <c r="BS83" s="1007"/>
      <c r="BT83" s="1007"/>
      <c r="BU83" s="1007"/>
      <c r="BV83" s="1008"/>
      <c r="BW83" s="968"/>
      <c r="BX83" s="968"/>
      <c r="BY83" s="968"/>
      <c r="BZ83" s="968"/>
      <c r="CA83" s="968"/>
      <c r="CB83" s="1009"/>
      <c r="CC83" s="968"/>
      <c r="CD83" s="968"/>
      <c r="CE83" s="968"/>
      <c r="CF83" s="968"/>
      <c r="CG83" s="968"/>
      <c r="CH83" s="308"/>
      <c r="CI83" s="306"/>
      <c r="CJ83" s="306"/>
    </row>
    <row r="84" spans="1:88" s="309" customFormat="1" ht="15" customHeight="1">
      <c r="A84" s="302"/>
      <c r="B84" s="302"/>
      <c r="C84" s="302"/>
      <c r="E84" s="1040"/>
      <c r="F84" s="1041"/>
      <c r="G84" s="992"/>
      <c r="H84" s="992"/>
      <c r="I84" s="992"/>
      <c r="J84" s="992"/>
      <c r="K84" s="992"/>
      <c r="L84" s="992"/>
      <c r="M84" s="992"/>
      <c r="N84" s="992"/>
      <c r="O84" s="992"/>
      <c r="P84" s="992"/>
      <c r="Q84" s="992"/>
      <c r="R84" s="992"/>
      <c r="S84" s="992"/>
      <c r="T84" s="992"/>
      <c r="U84" s="992"/>
      <c r="V84" s="992"/>
      <c r="W84" s="992"/>
      <c r="X84" s="992"/>
      <c r="Y84" s="992"/>
      <c r="Z84" s="992"/>
      <c r="AA84" s="992"/>
      <c r="AB84" s="992"/>
      <c r="AC84" s="992"/>
      <c r="AD84" s="992"/>
      <c r="AE84" s="992"/>
      <c r="AF84" s="992"/>
      <c r="AG84" s="992"/>
      <c r="AH84" s="992"/>
      <c r="AI84" s="992"/>
      <c r="AJ84" s="992"/>
      <c r="AK84" s="993"/>
      <c r="AL84" s="993"/>
      <c r="AM84" s="993"/>
      <c r="AN84" s="367"/>
      <c r="AO84" s="432" t="str">
        <f>IF(LEN(VLOOKUP(AK82,suvaha!$D$92:$H$158,2,FALSE))&lt;11,"",LEFT(RIGHT(VLOOKUP(AK82,suvaha!$D$92:$H$158,2,FALSE),11),1))</f>
        <v/>
      </c>
      <c r="AP84" s="255"/>
      <c r="AQ84" s="432" t="str">
        <f>IF(LEN(VLOOKUP(AK82,suvaha!$D$92:$H$158,2,FALSE))&lt;10,"",LEFT(RIGHT(VLOOKUP(AK82,suvaha!$D$92:$H$158,2,FALSE),10),1))</f>
        <v/>
      </c>
      <c r="AR84" s="434"/>
      <c r="AS84" s="432" t="str">
        <f>IF(LEN(VLOOKUP(AK82,suvaha!$D$92:$H$158,2,FALSE))&lt;9,"",LEFT(RIGHT(VLOOKUP(AK82,suvaha!$D$92:$H$158,2,FALSE),9),1))</f>
        <v/>
      </c>
      <c r="AT84" s="255"/>
      <c r="AU84" s="432" t="str">
        <f>IF(LEN(VLOOKUP(AK82,suvaha!$D$92:$H$158,2,FALSE))&lt;8,"",LEFT(RIGHT(VLOOKUP(AK82,suvaha!$D$92:$H$158,2,FALSE),8),1))</f>
        <v/>
      </c>
      <c r="AV84" s="434"/>
      <c r="AW84" s="432" t="str">
        <f>IF(LEN(VLOOKUP(AK82,suvaha!$D$92:$H$158,2,FALSE))&lt;7,"",LEFT(RIGHT(VLOOKUP(AK82,suvaha!$D$92:$H$158,2,FALSE),7),1))</f>
        <v/>
      </c>
      <c r="AX84" s="434"/>
      <c r="AY84" s="432" t="str">
        <f>IF(LEN(VLOOKUP(AK82,suvaha!$D$92:$H$158,2,FALSE))&lt;6,"",LEFT(RIGHT(VLOOKUP(AK82,suvaha!$D$92:$H$158,2,FALSE),6),1))</f>
        <v>2</v>
      </c>
      <c r="AZ84" s="255"/>
      <c r="BA84" s="961" t="str">
        <f>IF(LEN(VLOOKUP(AK82,suvaha!$D$92:$H$158,2,FALSE))&lt;5,"",LEFT(RIGHT(VLOOKUP(AK82,suvaha!$D$92:$H$158,2,FALSE),5),1))</f>
        <v>3</v>
      </c>
      <c r="BB84" s="961" t="e">
        <f>IF(LEN(#REF!)&lt;5,"",LEFT(RIGHT(#REF!,5),1))</f>
        <v>#REF!</v>
      </c>
      <c r="BC84" s="434"/>
      <c r="BD84" s="432" t="str">
        <f>IF(LEN(VLOOKUP(AK82,suvaha!$D$92:$H$158,2,FALSE))&lt;4,"",LEFT(RIGHT(VLOOKUP(AK82,suvaha!$D$92:$H$158,2,FALSE),4),1))</f>
        <v>8</v>
      </c>
      <c r="BE84" s="434"/>
      <c r="BF84" s="432" t="str">
        <f>IF(LEN(VLOOKUP(AK82,suvaha!$D$92:$H$158,2,FALSE))&lt;3,"",LEFT(RIGHT(VLOOKUP(AK82,suvaha!$D$92:$H$158,2,FALSE),3),1))</f>
        <v>4</v>
      </c>
      <c r="BG84" s="434"/>
      <c r="BH84" s="432" t="str">
        <f>IF(LEN(VLOOKUP(AK82,suvaha!$D$92:$H$158,2,FALSE))&lt;2,"",LEFT(RIGHT(VLOOKUP(AK82,suvaha!$D$92:$H$158,2,FALSE),2),1))</f>
        <v>4</v>
      </c>
      <c r="BI84" s="434"/>
      <c r="BJ84" s="432" t="str">
        <f>IF(VLOOKUP(AK82,suvaha!$D$92:$H$158,2,FALSE)=0,"",IF(LEN(VLOOKUP(AK82,suvaha!$D$92:$H$158,2,FALSE))&lt;1,"",LEFT(RIGHT(VLOOKUP(AK82,suvaha!$D$92:$H$158,2,FALSE),1),1)))</f>
        <v>1</v>
      </c>
      <c r="BK84" s="851"/>
      <c r="BL84" s="826"/>
      <c r="BM84" s="432" t="str">
        <f>IF(LEN(VLOOKUP(AK82,suvaha!$D$92:$H$158,4,FALSE))&lt;11,"",LEFT(RIGHT(VLOOKUP(AK82,suvaha!$D$92:$H$158,4,FALSE),11),1))</f>
        <v/>
      </c>
      <c r="BN84" s="255"/>
      <c r="BO84" s="432" t="str">
        <f>IF(LEN(VLOOKUP(AK82,suvaha!$D$92:$H$158,4,FALSE))&lt;10,"",LEFT(RIGHT(VLOOKUP(AK82,suvaha!$D$92:$H$158,4,FALSE),10),1))</f>
        <v/>
      </c>
      <c r="BP84" s="434"/>
      <c r="BQ84" s="432" t="str">
        <f>IF(LEN(VLOOKUP(AK82,suvaha!$D$92:$H$158,4,FALSE))&lt;9,"",LEFT(RIGHT(VLOOKUP(AK82,suvaha!$D$92:$H$158,4,FALSE),9),1))</f>
        <v/>
      </c>
      <c r="BR84" s="255"/>
      <c r="BS84" s="432" t="str">
        <f>IF(LEN(VLOOKUP(AK82,suvaha!$D$92:$H$158,4,FALSE))&lt;8,"",LEFT(RIGHT(VLOOKUP(AK82,suvaha!$D$92:$H$158,4,FALSE),8),1))</f>
        <v/>
      </c>
      <c r="BT84" s="434"/>
      <c r="BU84" s="432" t="str">
        <f>IF(LEN(VLOOKUP(AK82,suvaha!$D$92:$H$158,4,FALSE))&lt;7,"",LEFT(RIGHT(VLOOKUP(AK82,suvaha!$D$92:$H$158,4,FALSE),7),1))</f>
        <v/>
      </c>
      <c r="BV84" s="1008"/>
      <c r="BW84" s="432" t="str">
        <f>IF(LEN(VLOOKUP(AK82,suvaha!$D$92:$H$158,4,FALSE))&lt;6,"",LEFT(RIGHT(VLOOKUP(AK82,suvaha!$D$92:$H$158,4,FALSE),6),1))</f>
        <v>5</v>
      </c>
      <c r="BX84" s="434"/>
      <c r="BY84" s="432" t="str">
        <f>IF(LEN(VLOOKUP(AK82,suvaha!$D$92:$H$158,4,FALSE))&lt;5,"",LEFT(RIGHT(VLOOKUP(AK82,suvaha!$D$92:$H$158,4,FALSE),5),1))</f>
        <v>2</v>
      </c>
      <c r="BZ84" s="434"/>
      <c r="CA84" s="432" t="str">
        <f>IF(LEN(VLOOKUP(AK82,suvaha!$D$92:$H$158,4,FALSE))&lt;4,"",LEFT(RIGHT(VLOOKUP(AK82,suvaha!$D$92:$H$158,4,FALSE),4),1))</f>
        <v>9</v>
      </c>
      <c r="CB84" s="1009"/>
      <c r="CC84" s="432" t="str">
        <f>IF(LEN(VLOOKUP(AK82,suvaha!$D$92:$H$158,4,FALSE))&lt;3,"",LEFT(RIGHT(VLOOKUP(AK82,suvaha!$D$92:$H$158,4,FALSE),3),1))</f>
        <v>5</v>
      </c>
      <c r="CD84" s="434"/>
      <c r="CE84" s="432" t="str">
        <f>IF(LEN(VLOOKUP(AK82,suvaha!$D$92:$H$158,4,FALSE))&lt;2,"",LEFT(RIGHT(VLOOKUP(AK82,suvaha!$D$92:$H$158,4,FALSE),2),1))</f>
        <v>2</v>
      </c>
      <c r="CF84" s="434"/>
      <c r="CG84" s="432" t="str">
        <f>IF(VLOOKUP(AK82,suvaha!$D$92:$H$158,4,FALSE)=0,"",IF(LEN(VLOOKUP(AK82,suvaha!$D$92:$H$158,4,FALSE))&lt;1,"",LEFT(RIGHT(VLOOKUP(AK82,suvaha!$D$92:$H$158,4,FALSE),1),1)))</f>
        <v>0</v>
      </c>
      <c r="CH84" s="308"/>
      <c r="CI84" s="302"/>
      <c r="CJ84" s="302"/>
    </row>
    <row r="85" spans="1:88" s="309" customFormat="1" ht="3" customHeight="1">
      <c r="A85" s="302"/>
      <c r="B85" s="302"/>
      <c r="C85" s="302"/>
      <c r="E85" s="1040"/>
      <c r="F85" s="1041"/>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3"/>
      <c r="AL85" s="993"/>
      <c r="AM85" s="993"/>
      <c r="AN85" s="363"/>
      <c r="AO85" s="365"/>
      <c r="AP85" s="365"/>
      <c r="AQ85" s="365"/>
      <c r="AR85" s="365"/>
      <c r="AS85" s="365"/>
      <c r="AT85" s="365"/>
      <c r="AU85" s="365"/>
      <c r="AV85" s="365"/>
      <c r="AW85" s="365"/>
      <c r="AX85" s="365"/>
      <c r="AY85" s="365"/>
      <c r="AZ85" s="365"/>
      <c r="BA85" s="365"/>
      <c r="BB85" s="365"/>
      <c r="BC85" s="365"/>
      <c r="BD85" s="365"/>
      <c r="BE85" s="310"/>
      <c r="BF85" s="310"/>
      <c r="BG85" s="310"/>
      <c r="BH85" s="310"/>
      <c r="BI85" s="310"/>
      <c r="BJ85" s="310"/>
      <c r="BK85" s="310"/>
      <c r="BL85" s="846"/>
      <c r="BM85" s="846"/>
      <c r="BN85" s="846"/>
      <c r="BO85" s="846"/>
      <c r="BP85" s="846"/>
      <c r="BQ85" s="846"/>
      <c r="BR85" s="846"/>
      <c r="BS85" s="846"/>
      <c r="BT85" s="846"/>
      <c r="BU85" s="846"/>
      <c r="BV85" s="846"/>
      <c r="BW85" s="846"/>
      <c r="BX85" s="846"/>
      <c r="BY85" s="846"/>
      <c r="BZ85" s="846"/>
      <c r="CA85" s="846"/>
      <c r="CB85" s="846"/>
      <c r="CC85" s="310"/>
      <c r="CD85" s="310"/>
      <c r="CE85" s="310"/>
      <c r="CF85" s="310"/>
      <c r="CG85" s="310"/>
      <c r="CH85" s="311"/>
      <c r="CI85" s="302"/>
      <c r="CJ85" s="302"/>
    </row>
    <row r="86" spans="1:88" s="250" customFormat="1" ht="3" customHeight="1">
      <c r="A86" s="220"/>
      <c r="B86" s="220"/>
      <c r="C86" s="224"/>
      <c r="D86" s="224"/>
      <c r="E86" s="970" t="s">
        <v>633</v>
      </c>
      <c r="F86" s="971"/>
      <c r="G86" s="972" t="str">
        <f>Index!C188</f>
        <v>Zákonné rezervy (323A, 451A)</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3" t="s">
        <v>1711</v>
      </c>
      <c r="AL86" s="973"/>
      <c r="AM86" s="973"/>
      <c r="AN86" s="357"/>
      <c r="AO86" s="366"/>
      <c r="AP86" s="366"/>
      <c r="AQ86" s="366"/>
      <c r="AR86" s="366"/>
      <c r="AS86" s="366"/>
      <c r="AT86" s="366"/>
      <c r="AU86" s="366"/>
      <c r="AV86" s="366"/>
      <c r="AW86" s="366"/>
      <c r="AX86" s="366"/>
      <c r="AY86" s="366"/>
      <c r="AZ86" s="366"/>
      <c r="BA86" s="366"/>
      <c r="BB86" s="366"/>
      <c r="BC86" s="366"/>
      <c r="BD86" s="366"/>
      <c r="BE86" s="304"/>
      <c r="BF86" s="304"/>
      <c r="BG86" s="304"/>
      <c r="BH86" s="304"/>
      <c r="BI86" s="304"/>
      <c r="BJ86" s="304"/>
      <c r="BK86" s="304"/>
      <c r="BL86" s="867"/>
      <c r="BM86" s="867"/>
      <c r="BN86" s="867"/>
      <c r="BO86" s="867"/>
      <c r="BP86" s="867"/>
      <c r="BQ86" s="867"/>
      <c r="BR86" s="867"/>
      <c r="BS86" s="867"/>
      <c r="BT86" s="867"/>
      <c r="BU86" s="867"/>
      <c r="BV86" s="867"/>
      <c r="BW86" s="867"/>
      <c r="BX86" s="867"/>
      <c r="BY86" s="867"/>
      <c r="BZ86" s="867"/>
      <c r="CA86" s="867"/>
      <c r="CB86" s="867"/>
      <c r="CC86" s="304"/>
      <c r="CD86" s="304"/>
      <c r="CE86" s="304"/>
      <c r="CF86" s="304"/>
      <c r="CG86" s="304"/>
      <c r="CH86" s="284"/>
      <c r="CI86" s="288"/>
      <c r="CJ86" s="288"/>
    </row>
    <row r="87" spans="1:88" s="250" customFormat="1" ht="3" customHeight="1">
      <c r="A87" s="220"/>
      <c r="B87" s="220"/>
      <c r="C87" s="220"/>
      <c r="D87" s="220"/>
      <c r="E87" s="970"/>
      <c r="F87" s="971"/>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3"/>
      <c r="AL87" s="973"/>
      <c r="AM87" s="973"/>
      <c r="AN87" s="355"/>
      <c r="AO87" s="436"/>
      <c r="AP87" s="436"/>
      <c r="AQ87" s="436"/>
      <c r="AR87" s="435"/>
      <c r="AS87" s="439"/>
      <c r="AT87" s="439"/>
      <c r="AU87" s="439"/>
      <c r="AV87" s="439"/>
      <c r="AW87" s="439"/>
      <c r="AX87" s="440"/>
      <c r="AY87" s="821"/>
      <c r="AZ87" s="821"/>
      <c r="BA87" s="821"/>
      <c r="BB87" s="821"/>
      <c r="BC87" s="821"/>
      <c r="BD87" s="821"/>
      <c r="BE87" s="434"/>
      <c r="BF87" s="968"/>
      <c r="BG87" s="968"/>
      <c r="BH87" s="968"/>
      <c r="BI87" s="968"/>
      <c r="BJ87" s="968"/>
      <c r="BK87" s="851"/>
      <c r="BL87" s="826"/>
      <c r="BM87" s="820"/>
      <c r="BN87" s="820"/>
      <c r="BO87" s="820"/>
      <c r="BP87" s="435"/>
      <c r="BQ87" s="821"/>
      <c r="BR87" s="821"/>
      <c r="BS87" s="821"/>
      <c r="BT87" s="821"/>
      <c r="BU87" s="821"/>
      <c r="BV87" s="818"/>
      <c r="BW87" s="822"/>
      <c r="BX87" s="822"/>
      <c r="BY87" s="822"/>
      <c r="BZ87" s="822"/>
      <c r="CA87" s="822"/>
      <c r="CB87" s="819"/>
      <c r="CC87" s="822"/>
      <c r="CD87" s="822"/>
      <c r="CE87" s="822"/>
      <c r="CF87" s="822"/>
      <c r="CG87" s="822"/>
      <c r="CH87" s="285"/>
      <c r="CI87" s="288"/>
      <c r="CJ87" s="288"/>
    </row>
    <row r="88" spans="1:88" ht="15" customHeight="1">
      <c r="E88" s="970"/>
      <c r="F88" s="971"/>
      <c r="G88" s="972"/>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973"/>
      <c r="AL88" s="973"/>
      <c r="AM88" s="973"/>
      <c r="AN88" s="355"/>
      <c r="AO88" s="432" t="str">
        <f>IF(LEN(VLOOKUP(AK86,suvaha!$D$92:$H$158,2,FALSE))&lt;11,"",LEFT(RIGHT(VLOOKUP(AK86,suvaha!$D$92:$H$158,2,FALSE),11),1))</f>
        <v/>
      </c>
      <c r="AP88" s="255"/>
      <c r="AQ88" s="432" t="str">
        <f>IF(LEN(VLOOKUP(AK86,suvaha!$D$92:$H$158,2,FALSE))&lt;10,"",LEFT(RIGHT(VLOOKUP(AK86,suvaha!$D$92:$H$158,2,FALSE),10),1))</f>
        <v/>
      </c>
      <c r="AR88" s="434"/>
      <c r="AS88" s="432" t="str">
        <f>IF(LEN(VLOOKUP(AK86,suvaha!$D$92:$H$158,2,FALSE))&lt;9,"",LEFT(RIGHT(VLOOKUP(AK86,suvaha!$D$92:$H$158,2,FALSE),9),1))</f>
        <v/>
      </c>
      <c r="AT88" s="255"/>
      <c r="AU88" s="432" t="str">
        <f>IF(LEN(VLOOKUP(AK86,suvaha!$D$92:$H$158,2,FALSE))&lt;8,"",LEFT(RIGHT(VLOOKUP(AK86,suvaha!$D$92:$H$158,2,FALSE),8),1))</f>
        <v/>
      </c>
      <c r="AV88" s="434"/>
      <c r="AW88" s="432" t="str">
        <f>IF(LEN(VLOOKUP(AK86,suvaha!$D$92:$H$158,2,FALSE))&lt;7,"",LEFT(RIGHT(VLOOKUP(AK86,suvaha!$D$92:$H$158,2,FALSE),7),1))</f>
        <v/>
      </c>
      <c r="AX88" s="440"/>
      <c r="AY88" s="432" t="str">
        <f>IF(LEN(VLOOKUP(AK86,suvaha!$D$92:$H$158,2,FALSE))&lt;6,"",LEFT(RIGHT(VLOOKUP(AK86,suvaha!$D$92:$H$158,2,FALSE),6),1))</f>
        <v/>
      </c>
      <c r="AZ88" s="255"/>
      <c r="BA88" s="961" t="str">
        <f>IF(LEN(VLOOKUP(AK86,suvaha!$D$92:$H$158,2,FALSE))&lt;5,"",LEFT(RIGHT(VLOOKUP(AK86,suvaha!$D$92:$H$158,2,FALSE),5),1))</f>
        <v/>
      </c>
      <c r="BB88" s="961" t="e">
        <f>IF(LEN(#REF!)&lt;5,"",LEFT(RIGHT(#REF!,5),1))</f>
        <v>#REF!</v>
      </c>
      <c r="BC88" s="434"/>
      <c r="BD88" s="432" t="str">
        <f>IF(LEN(VLOOKUP(AK86,suvaha!$D$92:$H$158,2,FALSE))&lt;4,"",LEFT(RIGHT(VLOOKUP(AK86,suvaha!$D$92:$H$158,2,FALSE),4),1))</f>
        <v/>
      </c>
      <c r="BE88" s="434"/>
      <c r="BF88" s="432" t="str">
        <f>IF(LEN(VLOOKUP(AK86,suvaha!$D$92:$H$158,2,FALSE))&lt;3,"",LEFT(RIGHT(VLOOKUP(AK86,suvaha!$D$92:$H$158,2,FALSE),3),1))</f>
        <v/>
      </c>
      <c r="BG88" s="434"/>
      <c r="BH88" s="432" t="str">
        <f>IF(LEN(VLOOKUP(AK86,suvaha!$D$92:$H$158,2,FALSE))&lt;2,"",LEFT(RIGHT(VLOOKUP(AK86,suvaha!$D$92:$H$158,2,FALSE),2),1))</f>
        <v/>
      </c>
      <c r="BI88" s="434"/>
      <c r="BJ88" s="432" t="str">
        <f>IF(VLOOKUP(AK86,suvaha!$D$92:$H$158,2,FALSE)=0,"",IF(LEN(VLOOKUP(AK86,suvaha!$D$92:$H$158,2,FALSE))&lt;1,"",LEFT(RIGHT(VLOOKUP(AK86,suvaha!$D$92:$H$158,2,FALSE),1),1)))</f>
        <v/>
      </c>
      <c r="BK88" s="851"/>
      <c r="BL88" s="826"/>
      <c r="BM88" s="432" t="str">
        <f>IF(LEN(VLOOKUP(AK86,suvaha!$D$92:$H$158,4,FALSE))&lt;11,"",LEFT(RIGHT(VLOOKUP(AK86,suvaha!$D$92:$H$158,4,FALSE),11),1))</f>
        <v/>
      </c>
      <c r="BN88" s="255"/>
      <c r="BO88" s="432" t="str">
        <f>IF(LEN(VLOOKUP(AK86,suvaha!$D$92:$H$158,4,FALSE))&lt;10,"",LEFT(RIGHT(VLOOKUP(AK86,suvaha!$D$92:$H$158,4,FALSE),10),1))</f>
        <v/>
      </c>
      <c r="BP88" s="434"/>
      <c r="BQ88" s="432" t="str">
        <f>IF(LEN(VLOOKUP(AK86,suvaha!$D$92:$H$158,4,FALSE))&lt;9,"",LEFT(RIGHT(VLOOKUP(AK86,suvaha!$D$92:$H$158,4,FALSE),9),1))</f>
        <v/>
      </c>
      <c r="BR88" s="255"/>
      <c r="BS88" s="432" t="str">
        <f>IF(LEN(VLOOKUP(AK86,suvaha!$D$92:$H$158,4,FALSE))&lt;8,"",LEFT(RIGHT(VLOOKUP(AK86,suvaha!$D$92:$H$158,4,FALSE),8),1))</f>
        <v/>
      </c>
      <c r="BT88" s="434"/>
      <c r="BU88" s="432" t="str">
        <f>IF(LEN(VLOOKUP(AK86,suvaha!$D$92:$H$158,4,FALSE))&lt;7,"",LEFT(RIGHT(VLOOKUP(AK86,suvaha!$D$92:$H$158,4,FALSE),7),1))</f>
        <v/>
      </c>
      <c r="BV88" s="818"/>
      <c r="BW88" s="432" t="str">
        <f>IF(LEN(VLOOKUP(AK86,suvaha!$D$92:$H$158,4,FALSE))&lt;6,"",LEFT(RIGHT(VLOOKUP(AK86,suvaha!$D$92:$H$158,4,FALSE),6),1))</f>
        <v/>
      </c>
      <c r="BX88" s="434"/>
      <c r="BY88" s="432" t="str">
        <f>IF(LEN(VLOOKUP(AK86,suvaha!$D$92:$H$158,4,FALSE))&lt;5,"",LEFT(RIGHT(VLOOKUP(AK86,suvaha!$D$92:$H$158,4,FALSE),5),1))</f>
        <v/>
      </c>
      <c r="BZ88" s="434"/>
      <c r="CA88" s="432" t="str">
        <f>IF(LEN(VLOOKUP(AK86,suvaha!$D$92:$H$158,4,FALSE))&lt;4,"",LEFT(RIGHT(VLOOKUP(AK86,suvaha!$D$92:$H$158,4,FALSE),4),1))</f>
        <v>5</v>
      </c>
      <c r="CB88" s="819"/>
      <c r="CC88" s="432" t="str">
        <f>IF(LEN(VLOOKUP(AK86,suvaha!$D$92:$H$158,4,FALSE))&lt;3,"",LEFT(RIGHT(VLOOKUP(AK86,suvaha!$D$92:$H$158,4,FALSE),3),1))</f>
        <v>2</v>
      </c>
      <c r="CD88" s="434"/>
      <c r="CE88" s="432" t="str">
        <f>IF(LEN(VLOOKUP(AK86,suvaha!$D$92:$H$158,4,FALSE))&lt;2,"",LEFT(RIGHT(VLOOKUP(AK86,suvaha!$D$92:$H$158,4,FALSE),2),1))</f>
        <v>8</v>
      </c>
      <c r="CF88" s="434"/>
      <c r="CG88" s="432" t="str">
        <f>IF(VLOOKUP(AK86,suvaha!$D$92:$H$158,4,FALSE)=0,"",IF(LEN(VLOOKUP(AK86,suvaha!$D$92:$H$158,4,FALSE))&lt;1,"",LEFT(RIGHT(VLOOKUP(AK86,suvaha!$D$92:$H$158,4,FALSE),1),1)))</f>
        <v>3</v>
      </c>
      <c r="CH88" s="285"/>
      <c r="CI88" s="220"/>
      <c r="CJ88" s="220"/>
    </row>
    <row r="89" spans="1:88" ht="3" customHeight="1">
      <c r="E89" s="970"/>
      <c r="F89" s="971"/>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3"/>
      <c r="AL89" s="973"/>
      <c r="AM89" s="973"/>
      <c r="AN89" s="358"/>
      <c r="AO89" s="365"/>
      <c r="AP89" s="365"/>
      <c r="AQ89" s="365"/>
      <c r="AR89" s="365"/>
      <c r="AS89" s="365"/>
      <c r="AT89" s="365"/>
      <c r="AU89" s="365"/>
      <c r="AV89" s="365"/>
      <c r="AW89" s="365"/>
      <c r="AX89" s="365"/>
      <c r="AY89" s="365"/>
      <c r="AZ89" s="365"/>
      <c r="BA89" s="365"/>
      <c r="BB89" s="365"/>
      <c r="BC89" s="365"/>
      <c r="BD89" s="365"/>
      <c r="BE89" s="310"/>
      <c r="BF89" s="310"/>
      <c r="BG89" s="310"/>
      <c r="BH89" s="310"/>
      <c r="BI89" s="310"/>
      <c r="BJ89" s="310"/>
      <c r="BK89" s="310"/>
      <c r="BL89" s="846"/>
      <c r="BM89" s="846"/>
      <c r="BN89" s="846"/>
      <c r="BO89" s="846"/>
      <c r="BP89" s="846"/>
      <c r="BQ89" s="846"/>
      <c r="BR89" s="846"/>
      <c r="BS89" s="846"/>
      <c r="BT89" s="846"/>
      <c r="BU89" s="846"/>
      <c r="BV89" s="846"/>
      <c r="BW89" s="846"/>
      <c r="BX89" s="846"/>
      <c r="BY89" s="846"/>
      <c r="BZ89" s="846"/>
      <c r="CA89" s="846"/>
      <c r="CB89" s="846"/>
      <c r="CC89" s="310"/>
      <c r="CD89" s="310"/>
      <c r="CE89" s="310"/>
      <c r="CF89" s="310"/>
      <c r="CG89" s="310"/>
      <c r="CH89" s="286"/>
      <c r="CI89" s="220"/>
      <c r="CJ89" s="220"/>
    </row>
    <row r="90" spans="1:88" s="250" customFormat="1" ht="3" customHeight="1">
      <c r="A90" s="220"/>
      <c r="B90" s="220"/>
      <c r="C90" s="224"/>
      <c r="D90" s="224"/>
      <c r="E90" s="983" t="s">
        <v>1542</v>
      </c>
      <c r="F90" s="983"/>
      <c r="G90" s="972" t="str">
        <f>Index!C189</f>
        <v>Ostatné rezervy (323A, 32X, 459A, 45XA)</v>
      </c>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3" t="s">
        <v>1713</v>
      </c>
      <c r="AL90" s="973"/>
      <c r="AM90" s="973"/>
      <c r="AN90" s="357"/>
      <c r="AO90" s="366"/>
      <c r="AP90" s="366"/>
      <c r="AQ90" s="366"/>
      <c r="AR90" s="366"/>
      <c r="AS90" s="366"/>
      <c r="AT90" s="366"/>
      <c r="AU90" s="366"/>
      <c r="AV90" s="366"/>
      <c r="AW90" s="366"/>
      <c r="AX90" s="366"/>
      <c r="AY90" s="366"/>
      <c r="AZ90" s="366"/>
      <c r="BA90" s="366"/>
      <c r="BB90" s="366"/>
      <c r="BC90" s="366"/>
      <c r="BD90" s="366"/>
      <c r="BE90" s="304"/>
      <c r="BF90" s="304"/>
      <c r="BG90" s="304"/>
      <c r="BH90" s="304"/>
      <c r="BI90" s="304"/>
      <c r="BJ90" s="304"/>
      <c r="BK90" s="304"/>
      <c r="BL90" s="867"/>
      <c r="BM90" s="867"/>
      <c r="BN90" s="867"/>
      <c r="BO90" s="867"/>
      <c r="BP90" s="867"/>
      <c r="BQ90" s="867"/>
      <c r="BR90" s="867"/>
      <c r="BS90" s="867"/>
      <c r="BT90" s="867"/>
      <c r="BU90" s="867"/>
      <c r="BV90" s="867"/>
      <c r="BW90" s="867"/>
      <c r="BX90" s="867"/>
      <c r="BY90" s="867"/>
      <c r="BZ90" s="867"/>
      <c r="CA90" s="867"/>
      <c r="CB90" s="867"/>
      <c r="CC90" s="304"/>
      <c r="CD90" s="304"/>
      <c r="CE90" s="304"/>
      <c r="CF90" s="304"/>
      <c r="CG90" s="304"/>
      <c r="CH90" s="284"/>
      <c r="CI90" s="288"/>
      <c r="CJ90" s="288"/>
    </row>
    <row r="91" spans="1:88" s="250" customFormat="1" ht="3" customHeight="1">
      <c r="A91" s="220"/>
      <c r="B91" s="220"/>
      <c r="C91" s="220"/>
      <c r="D91" s="220"/>
      <c r="E91" s="983"/>
      <c r="F91" s="983"/>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3"/>
      <c r="AL91" s="973"/>
      <c r="AM91" s="973"/>
      <c r="AN91" s="355"/>
      <c r="AO91" s="436"/>
      <c r="AP91" s="436"/>
      <c r="AQ91" s="436"/>
      <c r="AR91" s="435"/>
      <c r="AS91" s="439"/>
      <c r="AT91" s="439"/>
      <c r="AU91" s="439"/>
      <c r="AV91" s="439"/>
      <c r="AW91" s="439"/>
      <c r="AX91" s="440"/>
      <c r="AY91" s="821"/>
      <c r="AZ91" s="821"/>
      <c r="BA91" s="821"/>
      <c r="BB91" s="821"/>
      <c r="BC91" s="821"/>
      <c r="BD91" s="821"/>
      <c r="BE91" s="434"/>
      <c r="BF91" s="968"/>
      <c r="BG91" s="968"/>
      <c r="BH91" s="968"/>
      <c r="BI91" s="968"/>
      <c r="BJ91" s="968"/>
      <c r="BK91" s="851"/>
      <c r="BL91" s="826"/>
      <c r="BM91" s="820"/>
      <c r="BN91" s="820"/>
      <c r="BO91" s="820"/>
      <c r="BP91" s="435"/>
      <c r="BQ91" s="821"/>
      <c r="BR91" s="821"/>
      <c r="BS91" s="821"/>
      <c r="BT91" s="821"/>
      <c r="BU91" s="821"/>
      <c r="BV91" s="818"/>
      <c r="BW91" s="822"/>
      <c r="BX91" s="822"/>
      <c r="BY91" s="822"/>
      <c r="BZ91" s="822"/>
      <c r="CA91" s="822"/>
      <c r="CB91" s="819"/>
      <c r="CC91" s="822"/>
      <c r="CD91" s="822"/>
      <c r="CE91" s="822"/>
      <c r="CF91" s="822"/>
      <c r="CG91" s="822"/>
      <c r="CH91" s="285"/>
      <c r="CI91" s="288"/>
      <c r="CJ91" s="288"/>
    </row>
    <row r="92" spans="1:88" ht="15" customHeight="1">
      <c r="E92" s="983"/>
      <c r="F92" s="983"/>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3"/>
      <c r="AL92" s="973"/>
      <c r="AM92" s="973"/>
      <c r="AN92" s="355"/>
      <c r="AO92" s="432" t="str">
        <f>IF(LEN(VLOOKUP(AK90,suvaha!$D$92:$H$158,2,FALSE))&lt;11,"",LEFT(RIGHT(VLOOKUP(AK90,suvaha!$D$92:$H$158,2,FALSE),11),1))</f>
        <v/>
      </c>
      <c r="AP92" s="255"/>
      <c r="AQ92" s="432" t="str">
        <f>IF(LEN(VLOOKUP(AK90,suvaha!$D$92:$H$158,2,FALSE))&lt;10,"",LEFT(RIGHT(VLOOKUP(AK90,suvaha!$D$92:$H$158,2,FALSE),10),1))</f>
        <v/>
      </c>
      <c r="AR92" s="434"/>
      <c r="AS92" s="432" t="str">
        <f>IF(LEN(VLOOKUP(AK90,suvaha!$D$92:$H$158,2,FALSE))&lt;9,"",LEFT(RIGHT(VLOOKUP(AK90,suvaha!$D$92:$H$158,2,FALSE),9),1))</f>
        <v/>
      </c>
      <c r="AT92" s="255"/>
      <c r="AU92" s="432" t="str">
        <f>IF(LEN(VLOOKUP(AK90,suvaha!$D$92:$H$158,2,FALSE))&lt;8,"",LEFT(RIGHT(VLOOKUP(AK90,suvaha!$D$92:$H$158,2,FALSE),8),1))</f>
        <v/>
      </c>
      <c r="AV92" s="434"/>
      <c r="AW92" s="432" t="str">
        <f>IF(LEN(VLOOKUP(AK90,suvaha!$D$92:$H$158,2,FALSE))&lt;7,"",LEFT(RIGHT(VLOOKUP(AK90,suvaha!$D$92:$H$158,2,FALSE),7),1))</f>
        <v/>
      </c>
      <c r="AX92" s="440"/>
      <c r="AY92" s="432" t="str">
        <f>IF(LEN(VLOOKUP(AK90,suvaha!$D$92:$H$158,2,FALSE))&lt;6,"",LEFT(RIGHT(VLOOKUP(AK90,suvaha!$D$92:$H$158,2,FALSE),6),1))</f>
        <v>2</v>
      </c>
      <c r="AZ92" s="255"/>
      <c r="BA92" s="961" t="str">
        <f>IF(LEN(VLOOKUP(AK90,suvaha!$D$92:$H$158,2,FALSE))&lt;5,"",LEFT(RIGHT(VLOOKUP(AK90,suvaha!$D$92:$H$158,2,FALSE),5),1))</f>
        <v>3</v>
      </c>
      <c r="BB92" s="961" t="e">
        <f>IF(LEN(#REF!)&lt;5,"",LEFT(RIGHT(#REF!,5),1))</f>
        <v>#REF!</v>
      </c>
      <c r="BC92" s="434"/>
      <c r="BD92" s="432" t="str">
        <f>IF(LEN(VLOOKUP(AK90,suvaha!$D$92:$H$158,2,FALSE))&lt;4,"",LEFT(RIGHT(VLOOKUP(AK90,suvaha!$D$92:$H$158,2,FALSE),4),1))</f>
        <v>8</v>
      </c>
      <c r="BE92" s="434"/>
      <c r="BF92" s="432" t="str">
        <f>IF(LEN(VLOOKUP(AK90,suvaha!$D$92:$H$158,2,FALSE))&lt;3,"",LEFT(RIGHT(VLOOKUP(AK90,suvaha!$D$92:$H$158,2,FALSE),3),1))</f>
        <v>4</v>
      </c>
      <c r="BG92" s="434"/>
      <c r="BH92" s="432" t="str">
        <f>IF(LEN(VLOOKUP(AK90,suvaha!$D$92:$H$158,2,FALSE))&lt;2,"",LEFT(RIGHT(VLOOKUP(AK90,suvaha!$D$92:$H$158,2,FALSE),2),1))</f>
        <v>4</v>
      </c>
      <c r="BI92" s="434"/>
      <c r="BJ92" s="432" t="str">
        <f>IF(VLOOKUP(AK90,suvaha!$D$92:$H$158,2,FALSE)=0,"",IF(LEN(VLOOKUP(AK90,suvaha!$D$92:$H$158,2,FALSE))&lt;1,"",LEFT(RIGHT(VLOOKUP(AK90,suvaha!$D$92:$H$158,2,FALSE),1),1)))</f>
        <v>1</v>
      </c>
      <c r="BK92" s="851"/>
      <c r="BL92" s="826"/>
      <c r="BM92" s="432" t="str">
        <f>IF(LEN(VLOOKUP(AK90,suvaha!$D$92:$H$158,4,FALSE))&lt;11,"",LEFT(RIGHT(VLOOKUP(AK90,suvaha!$D$92:$H$158,4,FALSE),11),1))</f>
        <v/>
      </c>
      <c r="BN92" s="255"/>
      <c r="BO92" s="432" t="str">
        <f>IF(LEN(VLOOKUP(AK90,suvaha!$D$92:$H$158,4,FALSE))&lt;10,"",LEFT(RIGHT(VLOOKUP(AK90,suvaha!$D$92:$H$158,4,FALSE),10),1))</f>
        <v/>
      </c>
      <c r="BP92" s="434"/>
      <c r="BQ92" s="432" t="str">
        <f>IF(LEN(VLOOKUP(AK90,suvaha!$D$92:$H$158,4,FALSE))&lt;9,"",LEFT(RIGHT(VLOOKUP(AK90,suvaha!$D$92:$H$158,4,FALSE),9),1))</f>
        <v/>
      </c>
      <c r="BR92" s="255"/>
      <c r="BS92" s="432" t="str">
        <f>IF(LEN(VLOOKUP(AK90,suvaha!$D$92:$H$158,4,FALSE))&lt;8,"",LEFT(RIGHT(VLOOKUP(AK90,suvaha!$D$92:$H$158,4,FALSE),8),1))</f>
        <v/>
      </c>
      <c r="BT92" s="434"/>
      <c r="BU92" s="432" t="str">
        <f>IF(LEN(VLOOKUP(AK90,suvaha!$D$92:$H$158,4,FALSE))&lt;7,"",LEFT(RIGHT(VLOOKUP(AK90,suvaha!$D$92:$H$158,4,FALSE),7),1))</f>
        <v/>
      </c>
      <c r="BV92" s="818"/>
      <c r="BW92" s="432" t="str">
        <f>IF(LEN(VLOOKUP(AK90,suvaha!$D$92:$H$158,4,FALSE))&lt;6,"",LEFT(RIGHT(VLOOKUP(AK90,suvaha!$D$92:$H$158,4,FALSE),6),1))</f>
        <v>5</v>
      </c>
      <c r="BX92" s="434"/>
      <c r="BY92" s="432" t="str">
        <f>IF(LEN(VLOOKUP(AK90,suvaha!$D$92:$H$158,4,FALSE))&lt;5,"",LEFT(RIGHT(VLOOKUP(AK90,suvaha!$D$92:$H$158,4,FALSE),5),1))</f>
        <v>2</v>
      </c>
      <c r="BZ92" s="434"/>
      <c r="CA92" s="432" t="str">
        <f>IF(LEN(VLOOKUP(AK90,suvaha!$D$92:$H$158,4,FALSE))&lt;4,"",LEFT(RIGHT(VLOOKUP(AK90,suvaha!$D$92:$H$158,4,FALSE),4),1))</f>
        <v>4</v>
      </c>
      <c r="CB92" s="819"/>
      <c r="CC92" s="432" t="str">
        <f>IF(LEN(VLOOKUP(AK90,suvaha!$D$92:$H$158,4,FALSE))&lt;3,"",LEFT(RIGHT(VLOOKUP(AK90,suvaha!$D$92:$H$158,4,FALSE),3),1))</f>
        <v>2</v>
      </c>
      <c r="CD92" s="434"/>
      <c r="CE92" s="432" t="str">
        <f>IF(LEN(VLOOKUP(AK90,suvaha!$D$92:$H$158,4,FALSE))&lt;2,"",LEFT(RIGHT(VLOOKUP(AK90,suvaha!$D$92:$H$158,4,FALSE),2),1))</f>
        <v>3</v>
      </c>
      <c r="CF92" s="434"/>
      <c r="CG92" s="432" t="str">
        <f>IF(VLOOKUP(AK90,suvaha!$D$92:$H$158,4,FALSE)=0,"",IF(LEN(VLOOKUP(AK90,suvaha!$D$92:$H$158,4,FALSE))&lt;1,"",LEFT(RIGHT(VLOOKUP(AK90,suvaha!$D$92:$H$158,4,FALSE),1),1)))</f>
        <v>7</v>
      </c>
      <c r="CH92" s="285"/>
      <c r="CI92" s="220"/>
      <c r="CJ92" s="220"/>
    </row>
    <row r="93" spans="1:88" ht="3" customHeight="1">
      <c r="E93" s="983"/>
      <c r="F93" s="983"/>
      <c r="G93" s="972"/>
      <c r="H93" s="972"/>
      <c r="I93" s="972"/>
      <c r="J93" s="972"/>
      <c r="K93" s="972"/>
      <c r="L93" s="972"/>
      <c r="M93" s="972"/>
      <c r="N93" s="972"/>
      <c r="O93" s="972"/>
      <c r="P93" s="972"/>
      <c r="Q93" s="972"/>
      <c r="R93" s="972"/>
      <c r="S93" s="972"/>
      <c r="T93" s="972"/>
      <c r="U93" s="972"/>
      <c r="V93" s="972"/>
      <c r="W93" s="972"/>
      <c r="X93" s="972"/>
      <c r="Y93" s="972"/>
      <c r="Z93" s="972"/>
      <c r="AA93" s="972"/>
      <c r="AB93" s="972"/>
      <c r="AC93" s="972"/>
      <c r="AD93" s="972"/>
      <c r="AE93" s="972"/>
      <c r="AF93" s="972"/>
      <c r="AG93" s="972"/>
      <c r="AH93" s="972"/>
      <c r="AI93" s="972"/>
      <c r="AJ93" s="972"/>
      <c r="AK93" s="973"/>
      <c r="AL93" s="973"/>
      <c r="AM93" s="973"/>
      <c r="AN93" s="358"/>
      <c r="AO93" s="365"/>
      <c r="AP93" s="365"/>
      <c r="AQ93" s="365"/>
      <c r="AR93" s="365"/>
      <c r="AS93" s="365"/>
      <c r="AT93" s="365"/>
      <c r="AU93" s="365"/>
      <c r="AV93" s="365"/>
      <c r="AW93" s="365"/>
      <c r="AX93" s="365"/>
      <c r="AY93" s="365"/>
      <c r="AZ93" s="365"/>
      <c r="BA93" s="365"/>
      <c r="BB93" s="365"/>
      <c r="BC93" s="365"/>
      <c r="BD93" s="365"/>
      <c r="BE93" s="310"/>
      <c r="BF93" s="310"/>
      <c r="BG93" s="310"/>
      <c r="BH93" s="310"/>
      <c r="BI93" s="310"/>
      <c r="BJ93" s="310"/>
      <c r="BK93" s="310"/>
      <c r="BL93" s="846"/>
      <c r="BM93" s="846"/>
      <c r="BN93" s="846"/>
      <c r="BO93" s="846"/>
      <c r="BP93" s="846"/>
      <c r="BQ93" s="846"/>
      <c r="BR93" s="846"/>
      <c r="BS93" s="846"/>
      <c r="BT93" s="846"/>
      <c r="BU93" s="846"/>
      <c r="BV93" s="846"/>
      <c r="BW93" s="846"/>
      <c r="BX93" s="846"/>
      <c r="BY93" s="846"/>
      <c r="BZ93" s="846"/>
      <c r="CA93" s="846"/>
      <c r="CB93" s="846"/>
      <c r="CC93" s="310"/>
      <c r="CD93" s="310"/>
      <c r="CE93" s="310"/>
      <c r="CF93" s="310"/>
      <c r="CG93" s="310"/>
      <c r="CH93" s="286"/>
      <c r="CI93" s="220"/>
      <c r="CJ93" s="220"/>
    </row>
    <row r="94" spans="1:88" s="307" customFormat="1" ht="3" customHeight="1">
      <c r="A94" s="302"/>
      <c r="B94" s="302"/>
      <c r="C94" s="303"/>
      <c r="D94" s="303"/>
      <c r="E94" s="1040" t="s">
        <v>1714</v>
      </c>
      <c r="F94" s="1041"/>
      <c r="G94" s="992" t="str">
        <f>Index!C190</f>
        <v>Bežné bankové úvery (221A, 231, 232, 23X, 461A, 46XA)</v>
      </c>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3" t="s">
        <v>1715</v>
      </c>
      <c r="AL94" s="993"/>
      <c r="AM94" s="993"/>
      <c r="AN94" s="364"/>
      <c r="AO94" s="366"/>
      <c r="AP94" s="366"/>
      <c r="AQ94" s="366"/>
      <c r="AR94" s="366"/>
      <c r="AS94" s="366"/>
      <c r="AT94" s="366"/>
      <c r="AU94" s="366"/>
      <c r="AV94" s="366"/>
      <c r="AW94" s="366"/>
      <c r="AX94" s="366"/>
      <c r="AY94" s="366"/>
      <c r="AZ94" s="366"/>
      <c r="BA94" s="366"/>
      <c r="BB94" s="366"/>
      <c r="BC94" s="366"/>
      <c r="BD94" s="366"/>
      <c r="BE94" s="304"/>
      <c r="BF94" s="304"/>
      <c r="BG94" s="304"/>
      <c r="BH94" s="304"/>
      <c r="BI94" s="304"/>
      <c r="BJ94" s="304"/>
      <c r="BK94" s="304"/>
      <c r="BL94" s="867"/>
      <c r="BM94" s="867"/>
      <c r="BN94" s="867"/>
      <c r="BO94" s="867"/>
      <c r="BP94" s="867"/>
      <c r="BQ94" s="867"/>
      <c r="BR94" s="867"/>
      <c r="BS94" s="867"/>
      <c r="BT94" s="867"/>
      <c r="BU94" s="867"/>
      <c r="BV94" s="867"/>
      <c r="BW94" s="867"/>
      <c r="BX94" s="867"/>
      <c r="BY94" s="867"/>
      <c r="BZ94" s="867"/>
      <c r="CA94" s="867"/>
      <c r="CB94" s="867"/>
      <c r="CC94" s="304"/>
      <c r="CD94" s="304"/>
      <c r="CE94" s="304"/>
      <c r="CF94" s="304"/>
      <c r="CG94" s="304"/>
      <c r="CH94" s="305"/>
      <c r="CI94" s="306"/>
      <c r="CJ94" s="306"/>
    </row>
    <row r="95" spans="1:88" s="307" customFormat="1" ht="3" customHeight="1">
      <c r="A95" s="302"/>
      <c r="B95" s="302"/>
      <c r="C95" s="302"/>
      <c r="D95" s="302"/>
      <c r="E95" s="1040"/>
      <c r="F95" s="1041"/>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3"/>
      <c r="AL95" s="993"/>
      <c r="AM95" s="993"/>
      <c r="AN95" s="367"/>
      <c r="AO95" s="436"/>
      <c r="AP95" s="436"/>
      <c r="AQ95" s="436"/>
      <c r="AR95" s="435"/>
      <c r="AS95" s="433"/>
      <c r="AT95" s="433"/>
      <c r="AU95" s="433"/>
      <c r="AV95" s="433"/>
      <c r="AW95" s="433"/>
      <c r="AX95" s="434"/>
      <c r="AY95" s="1007"/>
      <c r="AZ95" s="1007"/>
      <c r="BA95" s="1007"/>
      <c r="BB95" s="1007"/>
      <c r="BC95" s="1007"/>
      <c r="BD95" s="1007"/>
      <c r="BE95" s="434"/>
      <c r="BF95" s="968"/>
      <c r="BG95" s="968"/>
      <c r="BH95" s="968"/>
      <c r="BI95" s="968"/>
      <c r="BJ95" s="968"/>
      <c r="BK95" s="851"/>
      <c r="BL95" s="826"/>
      <c r="BM95" s="820"/>
      <c r="BN95" s="820"/>
      <c r="BO95" s="820"/>
      <c r="BP95" s="435"/>
      <c r="BQ95" s="1007"/>
      <c r="BR95" s="1007"/>
      <c r="BS95" s="1007"/>
      <c r="BT95" s="1007"/>
      <c r="BU95" s="1007"/>
      <c r="BV95" s="1008"/>
      <c r="BW95" s="968"/>
      <c r="BX95" s="968"/>
      <c r="BY95" s="968"/>
      <c r="BZ95" s="968"/>
      <c r="CA95" s="968"/>
      <c r="CB95" s="1009"/>
      <c r="CC95" s="968"/>
      <c r="CD95" s="968"/>
      <c r="CE95" s="968"/>
      <c r="CF95" s="968"/>
      <c r="CG95" s="968"/>
      <c r="CH95" s="308"/>
      <c r="CI95" s="306"/>
      <c r="CJ95" s="306"/>
    </row>
    <row r="96" spans="1:88" s="309" customFormat="1" ht="15" customHeight="1">
      <c r="A96" s="302"/>
      <c r="B96" s="302"/>
      <c r="C96" s="302"/>
      <c r="E96" s="1040"/>
      <c r="F96" s="1041"/>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3"/>
      <c r="AL96" s="993"/>
      <c r="AM96" s="993"/>
      <c r="AN96" s="367"/>
      <c r="AO96" s="432" t="str">
        <f>IF(LEN(VLOOKUP(AK94,suvaha!$D$92:$H$158,2,FALSE))&lt;11,"",LEFT(RIGHT(VLOOKUP(AK94,suvaha!$D$92:$H$158,2,FALSE),11),1))</f>
        <v/>
      </c>
      <c r="AP96" s="255"/>
      <c r="AQ96" s="432" t="str">
        <f>IF(LEN(VLOOKUP(AK94,suvaha!$D$92:$H$158,2,FALSE))&lt;10,"",LEFT(RIGHT(VLOOKUP(AK94,suvaha!$D$92:$H$158,2,FALSE),10),1))</f>
        <v/>
      </c>
      <c r="AR96" s="434"/>
      <c r="AS96" s="432" t="str">
        <f>IF(LEN(VLOOKUP(AK94,suvaha!$D$92:$H$158,2,FALSE))&lt;9,"",LEFT(RIGHT(VLOOKUP(AK94,suvaha!$D$92:$H$158,2,FALSE),9),1))</f>
        <v/>
      </c>
      <c r="AT96" s="255"/>
      <c r="AU96" s="432" t="str">
        <f>IF(LEN(VLOOKUP(AK94,suvaha!$D$92:$H$158,2,FALSE))&lt;8,"",LEFT(RIGHT(VLOOKUP(AK94,suvaha!$D$92:$H$158,2,FALSE),8),1))</f>
        <v/>
      </c>
      <c r="AV96" s="434"/>
      <c r="AW96" s="432" t="str">
        <f>IF(LEN(VLOOKUP(AK94,suvaha!$D$92:$H$158,2,FALSE))&lt;7,"",LEFT(RIGHT(VLOOKUP(AK94,suvaha!$D$92:$H$158,2,FALSE),7),1))</f>
        <v>5</v>
      </c>
      <c r="AX96" s="434"/>
      <c r="AY96" s="432" t="str">
        <f>IF(LEN(VLOOKUP(AK94,suvaha!$D$92:$H$158,2,FALSE))&lt;6,"",LEFT(RIGHT(VLOOKUP(AK94,suvaha!$D$92:$H$158,2,FALSE),6),1))</f>
        <v>9</v>
      </c>
      <c r="AZ96" s="255"/>
      <c r="BA96" s="961" t="str">
        <f>IF(LEN(VLOOKUP(AK94,suvaha!$D$92:$H$158,2,FALSE))&lt;5,"",LEFT(RIGHT(VLOOKUP(AK94,suvaha!$D$92:$H$158,2,FALSE),5),1))</f>
        <v>9</v>
      </c>
      <c r="BB96" s="961" t="e">
        <f>IF(LEN(#REF!)&lt;5,"",LEFT(RIGHT(#REF!,5),1))</f>
        <v>#REF!</v>
      </c>
      <c r="BC96" s="434"/>
      <c r="BD96" s="432" t="str">
        <f>IF(LEN(VLOOKUP(AK94,suvaha!$D$92:$H$158,2,FALSE))&lt;4,"",LEFT(RIGHT(VLOOKUP(AK94,suvaha!$D$92:$H$158,2,FALSE),4),1))</f>
        <v>8</v>
      </c>
      <c r="BE96" s="434"/>
      <c r="BF96" s="432" t="str">
        <f>IF(LEN(VLOOKUP(AK94,suvaha!$D$92:$H$158,2,FALSE))&lt;3,"",LEFT(RIGHT(VLOOKUP(AK94,suvaha!$D$92:$H$158,2,FALSE),3),1))</f>
        <v>9</v>
      </c>
      <c r="BG96" s="434"/>
      <c r="BH96" s="432" t="str">
        <f>IF(LEN(VLOOKUP(AK94,suvaha!$D$92:$H$158,2,FALSE))&lt;2,"",LEFT(RIGHT(VLOOKUP(AK94,suvaha!$D$92:$H$158,2,FALSE),2),1))</f>
        <v>8</v>
      </c>
      <c r="BI96" s="434"/>
      <c r="BJ96" s="432" t="str">
        <f>IF(VLOOKUP(AK94,suvaha!$D$92:$H$158,2,FALSE)=0,"",IF(LEN(VLOOKUP(AK94,suvaha!$D$92:$H$158,2,FALSE))&lt;1,"",LEFT(RIGHT(VLOOKUP(AK94,suvaha!$D$92:$H$158,2,FALSE),1),1)))</f>
        <v>1</v>
      </c>
      <c r="BK96" s="851"/>
      <c r="BL96" s="826"/>
      <c r="BM96" s="432" t="str">
        <f>IF(LEN(VLOOKUP(AK94,suvaha!$D$92:$H$158,4,FALSE))&lt;11,"",LEFT(RIGHT(VLOOKUP(AK94,suvaha!$D$92:$H$158,4,FALSE),11),1))</f>
        <v/>
      </c>
      <c r="BN96" s="255"/>
      <c r="BO96" s="432" t="str">
        <f>IF(LEN(VLOOKUP(AK94,suvaha!$D$92:$H$158,4,FALSE))&lt;10,"",LEFT(RIGHT(VLOOKUP(AK94,suvaha!$D$92:$H$158,4,FALSE),10),1))</f>
        <v/>
      </c>
      <c r="BP96" s="434"/>
      <c r="BQ96" s="432" t="str">
        <f>IF(LEN(VLOOKUP(AK94,suvaha!$D$92:$H$158,4,FALSE))&lt;9,"",LEFT(RIGHT(VLOOKUP(AK94,suvaha!$D$92:$H$158,4,FALSE),9),1))</f>
        <v/>
      </c>
      <c r="BR96" s="255"/>
      <c r="BS96" s="432" t="str">
        <f>IF(LEN(VLOOKUP(AK94,suvaha!$D$92:$H$158,4,FALSE))&lt;8,"",LEFT(RIGHT(VLOOKUP(AK94,suvaha!$D$92:$H$158,4,FALSE),8),1))</f>
        <v>1</v>
      </c>
      <c r="BT96" s="434"/>
      <c r="BU96" s="432" t="str">
        <f>IF(LEN(VLOOKUP(AK94,suvaha!$D$92:$H$158,4,FALSE))&lt;7,"",LEFT(RIGHT(VLOOKUP(AK94,suvaha!$D$92:$H$158,4,FALSE),7),1))</f>
        <v>1</v>
      </c>
      <c r="BV96" s="1008"/>
      <c r="BW96" s="432" t="str">
        <f>IF(LEN(VLOOKUP(AK94,suvaha!$D$92:$H$158,4,FALSE))&lt;6,"",LEFT(RIGHT(VLOOKUP(AK94,suvaha!$D$92:$H$158,4,FALSE),6),1))</f>
        <v>6</v>
      </c>
      <c r="BX96" s="434"/>
      <c r="BY96" s="432" t="str">
        <f>IF(LEN(VLOOKUP(AK94,suvaha!$D$92:$H$158,4,FALSE))&lt;5,"",LEFT(RIGHT(VLOOKUP(AK94,suvaha!$D$92:$H$158,4,FALSE),5),1))</f>
        <v>4</v>
      </c>
      <c r="BZ96" s="434"/>
      <c r="CA96" s="432" t="str">
        <f>IF(LEN(VLOOKUP(AK94,suvaha!$D$92:$H$158,4,FALSE))&lt;4,"",LEFT(RIGHT(VLOOKUP(AK94,suvaha!$D$92:$H$158,4,FALSE),4),1))</f>
        <v>9</v>
      </c>
      <c r="CB96" s="1009"/>
      <c r="CC96" s="432" t="str">
        <f>IF(LEN(VLOOKUP(AK94,suvaha!$D$92:$H$158,4,FALSE))&lt;3,"",LEFT(RIGHT(VLOOKUP(AK94,suvaha!$D$92:$H$158,4,FALSE),3),1))</f>
        <v>6</v>
      </c>
      <c r="CD96" s="434"/>
      <c r="CE96" s="432" t="str">
        <f>IF(LEN(VLOOKUP(AK94,suvaha!$D$92:$H$158,4,FALSE))&lt;2,"",LEFT(RIGHT(VLOOKUP(AK94,suvaha!$D$92:$H$158,4,FALSE),2),1))</f>
        <v>3</v>
      </c>
      <c r="CF96" s="434"/>
      <c r="CG96" s="432" t="str">
        <f>IF(VLOOKUP(AK94,suvaha!$D$92:$H$158,4,FALSE)=0,"",IF(LEN(VLOOKUP(AK94,suvaha!$D$92:$H$158,4,FALSE))&lt;1,"",LEFT(RIGHT(VLOOKUP(AK94,suvaha!$D$92:$H$158,4,FALSE),1),1)))</f>
        <v>0</v>
      </c>
      <c r="CH96" s="308"/>
      <c r="CI96" s="302"/>
      <c r="CJ96" s="302"/>
    </row>
    <row r="97" spans="1:88" s="309" customFormat="1" ht="3" customHeight="1">
      <c r="A97" s="302"/>
      <c r="B97" s="302"/>
      <c r="C97" s="302"/>
      <c r="E97" s="1040"/>
      <c r="F97" s="1041"/>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3"/>
      <c r="AL97" s="993"/>
      <c r="AM97" s="993"/>
      <c r="AN97" s="363"/>
      <c r="AO97" s="365"/>
      <c r="AP97" s="365"/>
      <c r="AQ97" s="365"/>
      <c r="AR97" s="365"/>
      <c r="AS97" s="365"/>
      <c r="AT97" s="365"/>
      <c r="AU97" s="365"/>
      <c r="AV97" s="365"/>
      <c r="AW97" s="365"/>
      <c r="AX97" s="365"/>
      <c r="AY97" s="365"/>
      <c r="AZ97" s="365"/>
      <c r="BA97" s="365"/>
      <c r="BB97" s="365"/>
      <c r="BC97" s="365"/>
      <c r="BD97" s="365"/>
      <c r="BE97" s="310"/>
      <c r="BF97" s="310"/>
      <c r="BG97" s="310"/>
      <c r="BH97" s="310"/>
      <c r="BI97" s="310"/>
      <c r="BJ97" s="310"/>
      <c r="BK97" s="310"/>
      <c r="BL97" s="846"/>
      <c r="BM97" s="846"/>
      <c r="BN97" s="846"/>
      <c r="BO97" s="846"/>
      <c r="BP97" s="846"/>
      <c r="BQ97" s="846"/>
      <c r="BR97" s="846"/>
      <c r="BS97" s="846"/>
      <c r="BT97" s="846"/>
      <c r="BU97" s="846"/>
      <c r="BV97" s="846"/>
      <c r="BW97" s="846"/>
      <c r="BX97" s="846"/>
      <c r="BY97" s="846"/>
      <c r="BZ97" s="846"/>
      <c r="CA97" s="846"/>
      <c r="CB97" s="846"/>
      <c r="CC97" s="310"/>
      <c r="CD97" s="310"/>
      <c r="CE97" s="310"/>
      <c r="CF97" s="310"/>
      <c r="CG97" s="310"/>
      <c r="CH97" s="311"/>
      <c r="CI97" s="302"/>
      <c r="CJ97" s="302"/>
    </row>
    <row r="98" spans="1:88" s="307" customFormat="1" ht="3" customHeight="1">
      <c r="A98" s="302"/>
      <c r="B98" s="302"/>
      <c r="C98" s="303"/>
      <c r="D98" s="303"/>
      <c r="E98" s="1040" t="s">
        <v>1716</v>
      </c>
      <c r="F98" s="1041"/>
      <c r="G98" s="992" t="str">
        <f>Index!C191</f>
        <v>Krátkodobé finančné výpomoci (241, 249, 24X, 473A, /-/255A)</v>
      </c>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3" t="s">
        <v>1717</v>
      </c>
      <c r="AL98" s="993"/>
      <c r="AM98" s="993"/>
      <c r="AN98" s="364"/>
      <c r="AO98" s="366"/>
      <c r="AP98" s="366"/>
      <c r="AQ98" s="366"/>
      <c r="AR98" s="366"/>
      <c r="AS98" s="366"/>
      <c r="AT98" s="366"/>
      <c r="AU98" s="366"/>
      <c r="AV98" s="366"/>
      <c r="AW98" s="366"/>
      <c r="AX98" s="366"/>
      <c r="AY98" s="366"/>
      <c r="AZ98" s="366"/>
      <c r="BA98" s="366"/>
      <c r="BB98" s="366"/>
      <c r="BC98" s="366"/>
      <c r="BD98" s="366"/>
      <c r="BE98" s="304"/>
      <c r="BF98" s="304"/>
      <c r="BG98" s="304"/>
      <c r="BH98" s="304"/>
      <c r="BI98" s="304"/>
      <c r="BJ98" s="304"/>
      <c r="BK98" s="304"/>
      <c r="BL98" s="867"/>
      <c r="BM98" s="867"/>
      <c r="BN98" s="867"/>
      <c r="BO98" s="867"/>
      <c r="BP98" s="867"/>
      <c r="BQ98" s="867"/>
      <c r="BR98" s="867"/>
      <c r="BS98" s="867"/>
      <c r="BT98" s="867"/>
      <c r="BU98" s="867"/>
      <c r="BV98" s="867"/>
      <c r="BW98" s="867"/>
      <c r="BX98" s="867"/>
      <c r="BY98" s="867"/>
      <c r="BZ98" s="867"/>
      <c r="CA98" s="867"/>
      <c r="CB98" s="867"/>
      <c r="CC98" s="304"/>
      <c r="CD98" s="304"/>
      <c r="CE98" s="304"/>
      <c r="CF98" s="304"/>
      <c r="CG98" s="304"/>
      <c r="CH98" s="305"/>
      <c r="CI98" s="306"/>
      <c r="CJ98" s="306"/>
    </row>
    <row r="99" spans="1:88" s="307" customFormat="1" ht="3" customHeight="1">
      <c r="A99" s="302"/>
      <c r="B99" s="302"/>
      <c r="C99" s="302"/>
      <c r="D99" s="302"/>
      <c r="E99" s="1040"/>
      <c r="F99" s="1041"/>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3"/>
      <c r="AL99" s="993"/>
      <c r="AM99" s="993"/>
      <c r="AN99" s="367"/>
      <c r="AO99" s="436"/>
      <c r="AP99" s="436"/>
      <c r="AQ99" s="436"/>
      <c r="AR99" s="435"/>
      <c r="AS99" s="433"/>
      <c r="AT99" s="433"/>
      <c r="AU99" s="433"/>
      <c r="AV99" s="433"/>
      <c r="AW99" s="433"/>
      <c r="AX99" s="434"/>
      <c r="AY99" s="1007"/>
      <c r="AZ99" s="1007"/>
      <c r="BA99" s="1007"/>
      <c r="BB99" s="1007"/>
      <c r="BC99" s="1007"/>
      <c r="BD99" s="1007"/>
      <c r="BE99" s="434"/>
      <c r="BF99" s="968"/>
      <c r="BG99" s="968"/>
      <c r="BH99" s="968"/>
      <c r="BI99" s="968"/>
      <c r="BJ99" s="968"/>
      <c r="BK99" s="851"/>
      <c r="BL99" s="826"/>
      <c r="BM99" s="820"/>
      <c r="BN99" s="820"/>
      <c r="BO99" s="820"/>
      <c r="BP99" s="435"/>
      <c r="BQ99" s="1007"/>
      <c r="BR99" s="1007"/>
      <c r="BS99" s="1007"/>
      <c r="BT99" s="1007"/>
      <c r="BU99" s="1007"/>
      <c r="BV99" s="1008"/>
      <c r="BW99" s="968"/>
      <c r="BX99" s="968"/>
      <c r="BY99" s="968"/>
      <c r="BZ99" s="968"/>
      <c r="CA99" s="968"/>
      <c r="CB99" s="1009"/>
      <c r="CC99" s="968"/>
      <c r="CD99" s="968"/>
      <c r="CE99" s="968"/>
      <c r="CF99" s="968"/>
      <c r="CG99" s="968"/>
      <c r="CH99" s="308"/>
      <c r="CI99" s="306"/>
      <c r="CJ99" s="306"/>
    </row>
    <row r="100" spans="1:88" s="309" customFormat="1" ht="15" customHeight="1">
      <c r="A100" s="302"/>
      <c r="B100" s="302"/>
      <c r="C100" s="302"/>
      <c r="E100" s="1040"/>
      <c r="F100" s="1041"/>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3"/>
      <c r="AL100" s="993"/>
      <c r="AM100" s="993"/>
      <c r="AN100" s="367"/>
      <c r="AO100" s="432" t="str">
        <f>IF(LEN(VLOOKUP(AK98,suvaha!$D$92:$H$158,2,FALSE))&lt;11,"",LEFT(RIGHT(VLOOKUP(AK98,suvaha!$D$92:$H$158,2,FALSE),11),1))</f>
        <v/>
      </c>
      <c r="AP100" s="255"/>
      <c r="AQ100" s="432" t="str">
        <f>IF(LEN(VLOOKUP(AK98,suvaha!$D$92:$H$158,2,FALSE))&lt;10,"",LEFT(RIGHT(VLOOKUP(AK98,suvaha!$D$92:$H$158,2,FALSE),10),1))</f>
        <v/>
      </c>
      <c r="AR100" s="434"/>
      <c r="AS100" s="432" t="str">
        <f>IF(LEN(VLOOKUP(AK98,suvaha!$D$92:$H$158,2,FALSE))&lt;9,"",LEFT(RIGHT(VLOOKUP(AK98,suvaha!$D$92:$H$158,2,FALSE),9),1))</f>
        <v/>
      </c>
      <c r="AT100" s="255"/>
      <c r="AU100" s="432" t="str">
        <f>IF(LEN(VLOOKUP(AK98,suvaha!$D$92:$H$158,2,FALSE))&lt;8,"",LEFT(RIGHT(VLOOKUP(AK98,suvaha!$D$92:$H$158,2,FALSE),8),1))</f>
        <v/>
      </c>
      <c r="AV100" s="434"/>
      <c r="AW100" s="432" t="str">
        <f>IF(LEN(VLOOKUP(AK98,suvaha!$D$92:$H$158,2,FALSE))&lt;7,"",LEFT(RIGHT(VLOOKUP(AK98,suvaha!$D$92:$H$158,2,FALSE),7),1))</f>
        <v/>
      </c>
      <c r="AX100" s="434"/>
      <c r="AY100" s="432" t="str">
        <f>IF(LEN(VLOOKUP(AK98,suvaha!$D$92:$H$158,2,FALSE))&lt;6,"",LEFT(RIGHT(VLOOKUP(AK98,suvaha!$D$92:$H$158,2,FALSE),6),1))</f>
        <v/>
      </c>
      <c r="AZ100" s="255"/>
      <c r="BA100" s="961" t="str">
        <f>IF(LEN(VLOOKUP(AK98,suvaha!$D$92:$H$158,2,FALSE))&lt;5,"",LEFT(RIGHT(VLOOKUP(AK98,suvaha!$D$92:$H$158,2,FALSE),5),1))</f>
        <v/>
      </c>
      <c r="BB100" s="961" t="e">
        <f>IF(LEN(#REF!)&lt;5,"",LEFT(RIGHT(#REF!,5),1))</f>
        <v>#REF!</v>
      </c>
      <c r="BC100" s="434"/>
      <c r="BD100" s="432" t="str">
        <f>IF(LEN(VLOOKUP(AK98,suvaha!$D$92:$H$158,2,FALSE))&lt;4,"",LEFT(RIGHT(VLOOKUP(AK98,suvaha!$D$92:$H$158,2,FALSE),4),1))</f>
        <v/>
      </c>
      <c r="BE100" s="434"/>
      <c r="BF100" s="432" t="str">
        <f>IF(LEN(VLOOKUP(AK98,suvaha!$D$92:$H$158,2,FALSE))&lt;3,"",LEFT(RIGHT(VLOOKUP(AK98,suvaha!$D$92:$H$158,2,FALSE),3),1))</f>
        <v/>
      </c>
      <c r="BG100" s="434"/>
      <c r="BH100" s="432" t="str">
        <f>IF(LEN(VLOOKUP(AK98,suvaha!$D$92:$H$158,2,FALSE))&lt;2,"",LEFT(RIGHT(VLOOKUP(AK98,suvaha!$D$92:$H$158,2,FALSE),2),1))</f>
        <v/>
      </c>
      <c r="BI100" s="434"/>
      <c r="BJ100" s="432" t="str">
        <f>IF(VLOOKUP(AK98,suvaha!$D$92:$H$158,2,FALSE)=0,"",IF(LEN(VLOOKUP(AK98,suvaha!$D$92:$H$158,2,FALSE))&lt;1,"",LEFT(RIGHT(VLOOKUP(AK98,suvaha!$D$92:$H$158,2,FALSE),1),1)))</f>
        <v/>
      </c>
      <c r="BK100" s="851"/>
      <c r="BL100" s="826"/>
      <c r="BM100" s="432" t="str">
        <f>IF(LEN(VLOOKUP(AK98,suvaha!$D$92:$H$158,4,FALSE))&lt;11,"",LEFT(RIGHT(VLOOKUP(AK98,suvaha!$D$92:$H$158,4,FALSE),11),1))</f>
        <v/>
      </c>
      <c r="BN100" s="255"/>
      <c r="BO100" s="432" t="str">
        <f>IF(LEN(VLOOKUP(AK98,suvaha!$D$92:$H$158,4,FALSE))&lt;10,"",LEFT(RIGHT(VLOOKUP(AK98,suvaha!$D$92:$H$158,4,FALSE),10),1))</f>
        <v/>
      </c>
      <c r="BP100" s="434"/>
      <c r="BQ100" s="432" t="str">
        <f>IF(LEN(VLOOKUP(AK98,suvaha!$D$92:$H$158,4,FALSE))&lt;9,"",LEFT(RIGHT(VLOOKUP(AK98,suvaha!$D$92:$H$158,4,FALSE),9),1))</f>
        <v/>
      </c>
      <c r="BR100" s="255"/>
      <c r="BS100" s="432" t="str">
        <f>IF(LEN(VLOOKUP(AK98,suvaha!$D$92:$H$158,4,FALSE))&lt;8,"",LEFT(RIGHT(VLOOKUP(AK98,suvaha!$D$92:$H$158,4,FALSE),8),1))</f>
        <v/>
      </c>
      <c r="BT100" s="434"/>
      <c r="BU100" s="432" t="str">
        <f>IF(LEN(VLOOKUP(AK98,suvaha!$D$92:$H$158,4,FALSE))&lt;7,"",LEFT(RIGHT(VLOOKUP(AK98,suvaha!$D$92:$H$158,4,FALSE),7),1))</f>
        <v/>
      </c>
      <c r="BV100" s="1008"/>
      <c r="BW100" s="432" t="str">
        <f>IF(LEN(VLOOKUP(AK98,suvaha!$D$92:$H$158,4,FALSE))&lt;6,"",LEFT(RIGHT(VLOOKUP(AK98,suvaha!$D$92:$H$158,4,FALSE),6),1))</f>
        <v/>
      </c>
      <c r="BX100" s="434"/>
      <c r="BY100" s="432" t="str">
        <f>IF(LEN(VLOOKUP(AK98,suvaha!$D$92:$H$158,4,FALSE))&lt;5,"",LEFT(RIGHT(VLOOKUP(AK98,suvaha!$D$92:$H$158,4,FALSE),5),1))</f>
        <v/>
      </c>
      <c r="BZ100" s="434"/>
      <c r="CA100" s="432" t="str">
        <f>IF(LEN(VLOOKUP(AK98,suvaha!$D$92:$H$158,4,FALSE))&lt;4,"",LEFT(RIGHT(VLOOKUP(AK98,suvaha!$D$92:$H$158,4,FALSE),4),1))</f>
        <v/>
      </c>
      <c r="CB100" s="1009"/>
      <c r="CC100" s="432" t="str">
        <f>IF(LEN(VLOOKUP(AK98,suvaha!$D$92:$H$158,4,FALSE))&lt;3,"",LEFT(RIGHT(VLOOKUP(AK98,suvaha!$D$92:$H$158,4,FALSE),3),1))</f>
        <v/>
      </c>
      <c r="CD100" s="434"/>
      <c r="CE100" s="432" t="str">
        <f>IF(LEN(VLOOKUP(AK98,suvaha!$D$92:$H$158,4,FALSE))&lt;2,"",LEFT(RIGHT(VLOOKUP(AK98,suvaha!$D$92:$H$158,4,FALSE),2),1))</f>
        <v/>
      </c>
      <c r="CF100" s="434"/>
      <c r="CG100" s="432" t="str">
        <f>IF(VLOOKUP(AK98,suvaha!$D$92:$H$158,4,FALSE)=0,"",IF(LEN(VLOOKUP(AK98,suvaha!$D$92:$H$158,4,FALSE))&lt;1,"",LEFT(RIGHT(VLOOKUP(AK98,suvaha!$D$92:$H$158,4,FALSE),1),1)))</f>
        <v/>
      </c>
      <c r="CH100" s="308"/>
      <c r="CI100" s="302"/>
      <c r="CJ100" s="302"/>
    </row>
    <row r="101" spans="1:88" s="309" customFormat="1" ht="3" customHeight="1">
      <c r="A101" s="302"/>
      <c r="B101" s="302"/>
      <c r="C101" s="302"/>
      <c r="E101" s="1040"/>
      <c r="F101" s="1041"/>
      <c r="G101" s="992"/>
      <c r="H101" s="992"/>
      <c r="I101" s="992"/>
      <c r="J101" s="992"/>
      <c r="K101" s="992"/>
      <c r="L101" s="992"/>
      <c r="M101" s="992"/>
      <c r="N101" s="992"/>
      <c r="O101" s="992"/>
      <c r="P101" s="992"/>
      <c r="Q101" s="992"/>
      <c r="R101" s="992"/>
      <c r="S101" s="992"/>
      <c r="T101" s="992"/>
      <c r="U101" s="992"/>
      <c r="V101" s="992"/>
      <c r="W101" s="992"/>
      <c r="X101" s="992"/>
      <c r="Y101" s="992"/>
      <c r="Z101" s="992"/>
      <c r="AA101" s="992"/>
      <c r="AB101" s="992"/>
      <c r="AC101" s="992"/>
      <c r="AD101" s="992"/>
      <c r="AE101" s="992"/>
      <c r="AF101" s="992"/>
      <c r="AG101" s="992"/>
      <c r="AH101" s="992"/>
      <c r="AI101" s="992"/>
      <c r="AJ101" s="992"/>
      <c r="AK101" s="993"/>
      <c r="AL101" s="993"/>
      <c r="AM101" s="993"/>
      <c r="AN101" s="363"/>
      <c r="AO101" s="365"/>
      <c r="AP101" s="365"/>
      <c r="AQ101" s="365"/>
      <c r="AR101" s="365"/>
      <c r="AS101" s="365"/>
      <c r="AT101" s="365"/>
      <c r="AU101" s="365"/>
      <c r="AV101" s="365"/>
      <c r="AW101" s="365"/>
      <c r="AX101" s="365"/>
      <c r="AY101" s="365"/>
      <c r="AZ101" s="365"/>
      <c r="BA101" s="365"/>
      <c r="BB101" s="365"/>
      <c r="BC101" s="365"/>
      <c r="BD101" s="365"/>
      <c r="BE101" s="310"/>
      <c r="BF101" s="310"/>
      <c r="BG101" s="310"/>
      <c r="BH101" s="310"/>
      <c r="BI101" s="310"/>
      <c r="BJ101" s="310"/>
      <c r="BK101" s="310"/>
      <c r="BL101" s="846"/>
      <c r="BM101" s="846"/>
      <c r="BN101" s="846"/>
      <c r="BO101" s="846"/>
      <c r="BP101" s="846"/>
      <c r="BQ101" s="846"/>
      <c r="BR101" s="846"/>
      <c r="BS101" s="846"/>
      <c r="BT101" s="846"/>
      <c r="BU101" s="846"/>
      <c r="BV101" s="846"/>
      <c r="BW101" s="846"/>
      <c r="BX101" s="846"/>
      <c r="BY101" s="846"/>
      <c r="BZ101" s="846"/>
      <c r="CA101" s="846"/>
      <c r="CB101" s="846"/>
      <c r="CC101" s="310"/>
      <c r="CD101" s="310"/>
      <c r="CE101" s="310"/>
      <c r="CF101" s="310"/>
      <c r="CG101" s="310"/>
      <c r="CH101" s="311"/>
      <c r="CI101" s="302"/>
      <c r="CJ101" s="302"/>
    </row>
    <row r="102" spans="1:88" s="307" customFormat="1" ht="3" customHeight="1">
      <c r="A102" s="302"/>
      <c r="B102" s="302"/>
      <c r="C102" s="303"/>
      <c r="D102" s="303"/>
      <c r="E102" s="1040" t="s">
        <v>576</v>
      </c>
      <c r="F102" s="1041"/>
      <c r="G102" s="992" t="str">
        <f>Index!C192</f>
        <v>Časové rozlíšenie súčet (r. 142 až r. 145)</v>
      </c>
      <c r="H102" s="992"/>
      <c r="I102" s="992"/>
      <c r="J102" s="992"/>
      <c r="K102" s="992"/>
      <c r="L102" s="992"/>
      <c r="M102" s="992"/>
      <c r="N102" s="992"/>
      <c r="O102" s="992"/>
      <c r="P102" s="992"/>
      <c r="Q102" s="992"/>
      <c r="R102" s="992"/>
      <c r="S102" s="992"/>
      <c r="T102" s="992"/>
      <c r="U102" s="992"/>
      <c r="V102" s="992"/>
      <c r="W102" s="992"/>
      <c r="X102" s="992"/>
      <c r="Y102" s="992"/>
      <c r="Z102" s="992"/>
      <c r="AA102" s="992"/>
      <c r="AB102" s="992"/>
      <c r="AC102" s="992"/>
      <c r="AD102" s="992"/>
      <c r="AE102" s="992"/>
      <c r="AF102" s="992"/>
      <c r="AG102" s="992"/>
      <c r="AH102" s="992"/>
      <c r="AI102" s="992"/>
      <c r="AJ102" s="992"/>
      <c r="AK102" s="993" t="s">
        <v>1718</v>
      </c>
      <c r="AL102" s="993"/>
      <c r="AM102" s="993"/>
      <c r="AN102" s="364"/>
      <c r="AO102" s="366"/>
      <c r="AP102" s="366"/>
      <c r="AQ102" s="366"/>
      <c r="AR102" s="366"/>
      <c r="AS102" s="366"/>
      <c r="AT102" s="366"/>
      <c r="AU102" s="366"/>
      <c r="AV102" s="366"/>
      <c r="AW102" s="366"/>
      <c r="AX102" s="366"/>
      <c r="AY102" s="366"/>
      <c r="AZ102" s="366"/>
      <c r="BA102" s="366"/>
      <c r="BB102" s="366"/>
      <c r="BC102" s="366"/>
      <c r="BD102" s="366"/>
      <c r="BE102" s="304"/>
      <c r="BF102" s="304"/>
      <c r="BG102" s="304"/>
      <c r="BH102" s="304"/>
      <c r="BI102" s="304"/>
      <c r="BJ102" s="304"/>
      <c r="BK102" s="304"/>
      <c r="BL102" s="867"/>
      <c r="BM102" s="867"/>
      <c r="BN102" s="867"/>
      <c r="BO102" s="867"/>
      <c r="BP102" s="867"/>
      <c r="BQ102" s="867"/>
      <c r="BR102" s="867"/>
      <c r="BS102" s="867"/>
      <c r="BT102" s="867"/>
      <c r="BU102" s="867"/>
      <c r="BV102" s="867"/>
      <c r="BW102" s="867"/>
      <c r="BX102" s="867"/>
      <c r="BY102" s="867"/>
      <c r="BZ102" s="867"/>
      <c r="CA102" s="867"/>
      <c r="CB102" s="867"/>
      <c r="CC102" s="304"/>
      <c r="CD102" s="304"/>
      <c r="CE102" s="304"/>
      <c r="CF102" s="304"/>
      <c r="CG102" s="304"/>
      <c r="CH102" s="305"/>
      <c r="CI102" s="306"/>
      <c r="CJ102" s="306"/>
    </row>
    <row r="103" spans="1:88" s="307" customFormat="1" ht="3" customHeight="1">
      <c r="A103" s="302"/>
      <c r="B103" s="302"/>
      <c r="C103" s="302"/>
      <c r="D103" s="302"/>
      <c r="E103" s="1040"/>
      <c r="F103" s="1041"/>
      <c r="G103" s="992"/>
      <c r="H103" s="992"/>
      <c r="I103" s="992"/>
      <c r="J103" s="992"/>
      <c r="K103" s="992"/>
      <c r="L103" s="992"/>
      <c r="M103" s="992"/>
      <c r="N103" s="992"/>
      <c r="O103" s="992"/>
      <c r="P103" s="992"/>
      <c r="Q103" s="992"/>
      <c r="R103" s="992"/>
      <c r="S103" s="992"/>
      <c r="T103" s="992"/>
      <c r="U103" s="992"/>
      <c r="V103" s="992"/>
      <c r="W103" s="992"/>
      <c r="X103" s="992"/>
      <c r="Y103" s="992"/>
      <c r="Z103" s="992"/>
      <c r="AA103" s="992"/>
      <c r="AB103" s="992"/>
      <c r="AC103" s="992"/>
      <c r="AD103" s="992"/>
      <c r="AE103" s="992"/>
      <c r="AF103" s="992"/>
      <c r="AG103" s="992"/>
      <c r="AH103" s="992"/>
      <c r="AI103" s="992"/>
      <c r="AJ103" s="992"/>
      <c r="AK103" s="993"/>
      <c r="AL103" s="993"/>
      <c r="AM103" s="993"/>
      <c r="AN103" s="367"/>
      <c r="AO103" s="436"/>
      <c r="AP103" s="436"/>
      <c r="AQ103" s="436"/>
      <c r="AR103" s="435"/>
      <c r="AS103" s="433"/>
      <c r="AT103" s="433"/>
      <c r="AU103" s="433"/>
      <c r="AV103" s="433"/>
      <c r="AW103" s="433"/>
      <c r="AX103" s="434"/>
      <c r="AY103" s="1007"/>
      <c r="AZ103" s="1007"/>
      <c r="BA103" s="1007"/>
      <c r="BB103" s="1007"/>
      <c r="BC103" s="1007"/>
      <c r="BD103" s="1007"/>
      <c r="BE103" s="434"/>
      <c r="BF103" s="968"/>
      <c r="BG103" s="968"/>
      <c r="BH103" s="968"/>
      <c r="BI103" s="968"/>
      <c r="BJ103" s="968"/>
      <c r="BK103" s="851"/>
      <c r="BL103" s="826"/>
      <c r="BM103" s="820"/>
      <c r="BN103" s="820"/>
      <c r="BO103" s="820"/>
      <c r="BP103" s="435"/>
      <c r="BQ103" s="1007"/>
      <c r="BR103" s="1007"/>
      <c r="BS103" s="1007"/>
      <c r="BT103" s="1007"/>
      <c r="BU103" s="1007"/>
      <c r="BV103" s="1008"/>
      <c r="BW103" s="968"/>
      <c r="BX103" s="968"/>
      <c r="BY103" s="968"/>
      <c r="BZ103" s="968"/>
      <c r="CA103" s="968"/>
      <c r="CB103" s="1009"/>
      <c r="CC103" s="968"/>
      <c r="CD103" s="968"/>
      <c r="CE103" s="968"/>
      <c r="CF103" s="968"/>
      <c r="CG103" s="968"/>
      <c r="CH103" s="308"/>
      <c r="CI103" s="306"/>
      <c r="CJ103" s="306"/>
    </row>
    <row r="104" spans="1:88" s="309" customFormat="1" ht="15" customHeight="1">
      <c r="A104" s="302"/>
      <c r="B104" s="302"/>
      <c r="C104" s="302"/>
      <c r="E104" s="1040"/>
      <c r="F104" s="1041"/>
      <c r="G104" s="992"/>
      <c r="H104" s="992"/>
      <c r="I104" s="992"/>
      <c r="J104" s="992"/>
      <c r="K104" s="992"/>
      <c r="L104" s="992"/>
      <c r="M104" s="992"/>
      <c r="N104" s="992"/>
      <c r="O104" s="992"/>
      <c r="P104" s="992"/>
      <c r="Q104" s="992"/>
      <c r="R104" s="992"/>
      <c r="S104" s="992"/>
      <c r="T104" s="992"/>
      <c r="U104" s="992"/>
      <c r="V104" s="992"/>
      <c r="W104" s="992"/>
      <c r="X104" s="992"/>
      <c r="Y104" s="992"/>
      <c r="Z104" s="992"/>
      <c r="AA104" s="992"/>
      <c r="AB104" s="992"/>
      <c r="AC104" s="992"/>
      <c r="AD104" s="992"/>
      <c r="AE104" s="992"/>
      <c r="AF104" s="992"/>
      <c r="AG104" s="992"/>
      <c r="AH104" s="992"/>
      <c r="AI104" s="992"/>
      <c r="AJ104" s="992"/>
      <c r="AK104" s="993"/>
      <c r="AL104" s="993"/>
      <c r="AM104" s="993"/>
      <c r="AN104" s="367"/>
      <c r="AO104" s="432" t="str">
        <f>IF(LEN(VLOOKUP(AK102,suvaha!$D$92:$H$158,2,FALSE))&lt;11,"",LEFT(RIGHT(VLOOKUP(AK102,suvaha!$D$92:$H$158,2,FALSE),11),1))</f>
        <v/>
      </c>
      <c r="AP104" s="255"/>
      <c r="AQ104" s="432" t="str">
        <f>IF(LEN(VLOOKUP(AK102,suvaha!$D$92:$H$158,2,FALSE))&lt;10,"",LEFT(RIGHT(VLOOKUP(AK102,suvaha!$D$92:$H$158,2,FALSE),10),1))</f>
        <v/>
      </c>
      <c r="AR104" s="434"/>
      <c r="AS104" s="432" t="str">
        <f>IF(LEN(VLOOKUP(AK102,suvaha!$D$92:$H$158,2,FALSE))&lt;9,"",LEFT(RIGHT(VLOOKUP(AK102,suvaha!$D$92:$H$158,2,FALSE),9),1))</f>
        <v/>
      </c>
      <c r="AT104" s="255"/>
      <c r="AU104" s="432" t="str">
        <f>IF(LEN(VLOOKUP(AK102,suvaha!$D$92:$H$158,2,FALSE))&lt;8,"",LEFT(RIGHT(VLOOKUP(AK102,suvaha!$D$92:$H$158,2,FALSE),8),1))</f>
        <v/>
      </c>
      <c r="AV104" s="434"/>
      <c r="AW104" s="432" t="str">
        <f>IF(LEN(VLOOKUP(AK102,suvaha!$D$92:$H$158,2,FALSE))&lt;7,"",LEFT(RIGHT(VLOOKUP(AK102,suvaha!$D$92:$H$158,2,FALSE),7),1))</f>
        <v/>
      </c>
      <c r="AX104" s="434"/>
      <c r="AY104" s="432" t="str">
        <f>IF(LEN(VLOOKUP(AK102,suvaha!$D$92:$H$158,2,FALSE))&lt;6,"",LEFT(RIGHT(VLOOKUP(AK102,suvaha!$D$92:$H$158,2,FALSE),6),1))</f>
        <v/>
      </c>
      <c r="AZ104" s="255"/>
      <c r="BA104" s="961" t="str">
        <f>IF(LEN(VLOOKUP(AK102,suvaha!$D$92:$H$158,2,FALSE))&lt;5,"",LEFT(RIGHT(VLOOKUP(AK102,suvaha!$D$92:$H$158,2,FALSE),5),1))</f>
        <v>2</v>
      </c>
      <c r="BB104" s="961" t="e">
        <f>IF(LEN(#REF!)&lt;5,"",LEFT(RIGHT(#REF!,5),1))</f>
        <v>#REF!</v>
      </c>
      <c r="BC104" s="434"/>
      <c r="BD104" s="432" t="str">
        <f>IF(LEN(VLOOKUP(AK102,suvaha!$D$92:$H$158,2,FALSE))&lt;4,"",LEFT(RIGHT(VLOOKUP(AK102,suvaha!$D$92:$H$158,2,FALSE),4),1))</f>
        <v>0</v>
      </c>
      <c r="BE104" s="434"/>
      <c r="BF104" s="432" t="str">
        <f>IF(LEN(VLOOKUP(AK102,suvaha!$D$92:$H$158,2,FALSE))&lt;3,"",LEFT(RIGHT(VLOOKUP(AK102,suvaha!$D$92:$H$158,2,FALSE),3),1))</f>
        <v>8</v>
      </c>
      <c r="BG104" s="434"/>
      <c r="BH104" s="432" t="str">
        <f>IF(LEN(VLOOKUP(AK102,suvaha!$D$92:$H$158,2,FALSE))&lt;2,"",LEFT(RIGHT(VLOOKUP(AK102,suvaha!$D$92:$H$158,2,FALSE),2),1))</f>
        <v>3</v>
      </c>
      <c r="BI104" s="434"/>
      <c r="BJ104" s="432" t="str">
        <f>IF(VLOOKUP(AK102,suvaha!$D$92:$H$158,2,FALSE)=0,"",IF(LEN(VLOOKUP(AK102,suvaha!$D$92:$H$158,2,FALSE))&lt;1,"",LEFT(RIGHT(VLOOKUP(AK102,suvaha!$D$92:$H$158,2,FALSE),1),1)))</f>
        <v>2</v>
      </c>
      <c r="BK104" s="851"/>
      <c r="BL104" s="826"/>
      <c r="BM104" s="432" t="str">
        <f>IF(LEN(VLOOKUP(AK102,suvaha!$D$92:$H$158,4,FALSE))&lt;11,"",LEFT(RIGHT(VLOOKUP(AK102,suvaha!$D$92:$H$158,4,FALSE),11),1))</f>
        <v/>
      </c>
      <c r="BN104" s="255"/>
      <c r="BO104" s="432" t="str">
        <f>IF(LEN(VLOOKUP(AK102,suvaha!$D$92:$H$158,4,FALSE))&lt;10,"",LEFT(RIGHT(VLOOKUP(AK102,suvaha!$D$92:$H$158,4,FALSE),10),1))</f>
        <v/>
      </c>
      <c r="BP104" s="434"/>
      <c r="BQ104" s="432" t="str">
        <f>IF(LEN(VLOOKUP(AK102,suvaha!$D$92:$H$158,4,FALSE))&lt;9,"",LEFT(RIGHT(VLOOKUP(AK102,suvaha!$D$92:$H$158,4,FALSE),9),1))</f>
        <v/>
      </c>
      <c r="BR104" s="255"/>
      <c r="BS104" s="432" t="str">
        <f>IF(LEN(VLOOKUP(AK102,suvaha!$D$92:$H$158,4,FALSE))&lt;8,"",LEFT(RIGHT(VLOOKUP(AK102,suvaha!$D$92:$H$158,4,FALSE),8),1))</f>
        <v/>
      </c>
      <c r="BT104" s="434"/>
      <c r="BU104" s="432" t="str">
        <f>IF(LEN(VLOOKUP(AK102,suvaha!$D$92:$H$158,4,FALSE))&lt;7,"",LEFT(RIGHT(VLOOKUP(AK102,suvaha!$D$92:$H$158,4,FALSE),7),1))</f>
        <v/>
      </c>
      <c r="BV104" s="1008"/>
      <c r="BW104" s="432" t="str">
        <f>IF(LEN(VLOOKUP(AK102,suvaha!$D$92:$H$158,4,FALSE))&lt;6,"",LEFT(RIGHT(VLOOKUP(AK102,suvaha!$D$92:$H$158,4,FALSE),6),1))</f>
        <v/>
      </c>
      <c r="BX104" s="434"/>
      <c r="BY104" s="432" t="str">
        <f>IF(LEN(VLOOKUP(AK102,suvaha!$D$92:$H$158,4,FALSE))&lt;5,"",LEFT(RIGHT(VLOOKUP(AK102,suvaha!$D$92:$H$158,4,FALSE),5),1))</f>
        <v/>
      </c>
      <c r="BZ104" s="434"/>
      <c r="CA104" s="432" t="str">
        <f>IF(LEN(VLOOKUP(AK102,suvaha!$D$92:$H$158,4,FALSE))&lt;4,"",LEFT(RIGHT(VLOOKUP(AK102,suvaha!$D$92:$H$158,4,FALSE),4),1))</f>
        <v/>
      </c>
      <c r="CB104" s="1009"/>
      <c r="CC104" s="432" t="str">
        <f>IF(LEN(VLOOKUP(AK102,suvaha!$D$92:$H$158,4,FALSE))&lt;3,"",LEFT(RIGHT(VLOOKUP(AK102,suvaha!$D$92:$H$158,4,FALSE),3),1))</f>
        <v/>
      </c>
      <c r="CD104" s="434"/>
      <c r="CE104" s="432" t="str">
        <f>IF(LEN(VLOOKUP(AK102,suvaha!$D$92:$H$158,4,FALSE))&lt;2,"",LEFT(RIGHT(VLOOKUP(AK102,suvaha!$D$92:$H$158,4,FALSE),2),1))</f>
        <v/>
      </c>
      <c r="CF104" s="434"/>
      <c r="CG104" s="432" t="str">
        <f>IF(VLOOKUP(AK102,suvaha!$D$92:$H$158,4,FALSE)=0,"",IF(LEN(VLOOKUP(AK102,suvaha!$D$92:$H$158,4,FALSE))&lt;1,"",LEFT(RIGHT(VLOOKUP(AK102,suvaha!$D$92:$H$158,4,FALSE),1),1)))</f>
        <v/>
      </c>
      <c r="CH104" s="308"/>
      <c r="CI104" s="302"/>
      <c r="CJ104" s="302"/>
    </row>
    <row r="105" spans="1:88" s="309" customFormat="1" ht="3" customHeight="1">
      <c r="A105" s="302"/>
      <c r="B105" s="302"/>
      <c r="C105" s="302"/>
      <c r="E105" s="1040"/>
      <c r="F105" s="1041"/>
      <c r="G105" s="992"/>
      <c r="H105" s="992"/>
      <c r="I105" s="992"/>
      <c r="J105" s="992"/>
      <c r="K105" s="992"/>
      <c r="L105" s="992"/>
      <c r="M105" s="992"/>
      <c r="N105" s="992"/>
      <c r="O105" s="992"/>
      <c r="P105" s="992"/>
      <c r="Q105" s="992"/>
      <c r="R105" s="992"/>
      <c r="S105" s="992"/>
      <c r="T105" s="992"/>
      <c r="U105" s="992"/>
      <c r="V105" s="992"/>
      <c r="W105" s="992"/>
      <c r="X105" s="992"/>
      <c r="Y105" s="992"/>
      <c r="Z105" s="992"/>
      <c r="AA105" s="992"/>
      <c r="AB105" s="992"/>
      <c r="AC105" s="992"/>
      <c r="AD105" s="992"/>
      <c r="AE105" s="992"/>
      <c r="AF105" s="992"/>
      <c r="AG105" s="992"/>
      <c r="AH105" s="992"/>
      <c r="AI105" s="992"/>
      <c r="AJ105" s="992"/>
      <c r="AK105" s="993"/>
      <c r="AL105" s="993"/>
      <c r="AM105" s="993"/>
      <c r="AN105" s="363"/>
      <c r="AO105" s="365"/>
      <c r="AP105" s="365"/>
      <c r="AQ105" s="365"/>
      <c r="AR105" s="365"/>
      <c r="AS105" s="365"/>
      <c r="AT105" s="365"/>
      <c r="AU105" s="365"/>
      <c r="AV105" s="365"/>
      <c r="AW105" s="365"/>
      <c r="AX105" s="365"/>
      <c r="AY105" s="365"/>
      <c r="AZ105" s="365"/>
      <c r="BA105" s="365"/>
      <c r="BB105" s="365"/>
      <c r="BC105" s="365"/>
      <c r="BD105" s="365"/>
      <c r="BE105" s="310"/>
      <c r="BF105" s="310"/>
      <c r="BG105" s="310"/>
      <c r="BH105" s="310"/>
      <c r="BI105" s="310"/>
      <c r="BJ105" s="310"/>
      <c r="BK105" s="310"/>
      <c r="BL105" s="846"/>
      <c r="BM105" s="846"/>
      <c r="BN105" s="846"/>
      <c r="BO105" s="846"/>
      <c r="BP105" s="846"/>
      <c r="BQ105" s="846"/>
      <c r="BR105" s="846"/>
      <c r="BS105" s="846"/>
      <c r="BT105" s="846"/>
      <c r="BU105" s="846"/>
      <c r="BV105" s="846"/>
      <c r="BW105" s="846"/>
      <c r="BX105" s="846"/>
      <c r="BY105" s="846"/>
      <c r="BZ105" s="846"/>
      <c r="CA105" s="846"/>
      <c r="CB105" s="846"/>
      <c r="CC105" s="310"/>
      <c r="CD105" s="310"/>
      <c r="CE105" s="310"/>
      <c r="CF105" s="310"/>
      <c r="CG105" s="310"/>
      <c r="CH105" s="311"/>
      <c r="CI105" s="302"/>
      <c r="CJ105" s="302"/>
    </row>
    <row r="106" spans="1:88" s="250" customFormat="1" ht="3" customHeight="1">
      <c r="A106" s="220"/>
      <c r="B106" s="220"/>
      <c r="C106" s="224"/>
      <c r="D106" s="224"/>
      <c r="E106" s="970" t="s">
        <v>577</v>
      </c>
      <c r="F106" s="971"/>
      <c r="G106" s="972" t="str">
        <f>Index!C193</f>
        <v>Výdavky budúcich období dlhodobé (383A)</v>
      </c>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3" t="s">
        <v>1719</v>
      </c>
      <c r="AL106" s="973"/>
      <c r="AM106" s="973"/>
      <c r="AN106" s="357"/>
      <c r="AO106" s="366"/>
      <c r="AP106" s="366"/>
      <c r="AQ106" s="366"/>
      <c r="AR106" s="366"/>
      <c r="AS106" s="366"/>
      <c r="AT106" s="366"/>
      <c r="AU106" s="366"/>
      <c r="AV106" s="366"/>
      <c r="AW106" s="366"/>
      <c r="AX106" s="366"/>
      <c r="AY106" s="366"/>
      <c r="AZ106" s="366"/>
      <c r="BA106" s="366"/>
      <c r="BB106" s="366"/>
      <c r="BC106" s="366"/>
      <c r="BD106" s="366"/>
      <c r="BE106" s="304"/>
      <c r="BF106" s="304"/>
      <c r="BG106" s="304"/>
      <c r="BH106" s="304"/>
      <c r="BI106" s="304"/>
      <c r="BJ106" s="304"/>
      <c r="BK106" s="304"/>
      <c r="BL106" s="867"/>
      <c r="BM106" s="867"/>
      <c r="BN106" s="867"/>
      <c r="BO106" s="867"/>
      <c r="BP106" s="867"/>
      <c r="BQ106" s="867"/>
      <c r="BR106" s="867"/>
      <c r="BS106" s="867"/>
      <c r="BT106" s="867"/>
      <c r="BU106" s="867"/>
      <c r="BV106" s="867"/>
      <c r="BW106" s="867"/>
      <c r="BX106" s="867"/>
      <c r="BY106" s="867"/>
      <c r="BZ106" s="867"/>
      <c r="CA106" s="867"/>
      <c r="CB106" s="867"/>
      <c r="CC106" s="304"/>
      <c r="CD106" s="304"/>
      <c r="CE106" s="304"/>
      <c r="CF106" s="304"/>
      <c r="CG106" s="304"/>
      <c r="CH106" s="284"/>
      <c r="CI106" s="288"/>
      <c r="CJ106" s="288"/>
    </row>
    <row r="107" spans="1:88" s="250" customFormat="1" ht="3" customHeight="1">
      <c r="A107" s="220"/>
      <c r="B107" s="220"/>
      <c r="C107" s="220"/>
      <c r="D107" s="220"/>
      <c r="E107" s="970"/>
      <c r="F107" s="971"/>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3"/>
      <c r="AL107" s="973"/>
      <c r="AM107" s="973"/>
      <c r="AN107" s="355"/>
      <c r="AO107" s="436"/>
      <c r="AP107" s="436"/>
      <c r="AQ107" s="436"/>
      <c r="AR107" s="435"/>
      <c r="AS107" s="439"/>
      <c r="AT107" s="439"/>
      <c r="AU107" s="439"/>
      <c r="AV107" s="439"/>
      <c r="AW107" s="439"/>
      <c r="AX107" s="440"/>
      <c r="AY107" s="821"/>
      <c r="AZ107" s="821"/>
      <c r="BA107" s="821"/>
      <c r="BB107" s="821"/>
      <c r="BC107" s="821"/>
      <c r="BD107" s="821"/>
      <c r="BE107" s="434"/>
      <c r="BF107" s="968"/>
      <c r="BG107" s="968"/>
      <c r="BH107" s="968"/>
      <c r="BI107" s="968"/>
      <c r="BJ107" s="968"/>
      <c r="BK107" s="851"/>
      <c r="BL107" s="826"/>
      <c r="BM107" s="820"/>
      <c r="BN107" s="820"/>
      <c r="BO107" s="820"/>
      <c r="BP107" s="435"/>
      <c r="BQ107" s="821"/>
      <c r="BR107" s="821"/>
      <c r="BS107" s="821"/>
      <c r="BT107" s="821"/>
      <c r="BU107" s="821"/>
      <c r="BV107" s="818"/>
      <c r="BW107" s="822"/>
      <c r="BX107" s="822"/>
      <c r="BY107" s="822"/>
      <c r="BZ107" s="822"/>
      <c r="CA107" s="822"/>
      <c r="CB107" s="819"/>
      <c r="CC107" s="822"/>
      <c r="CD107" s="822"/>
      <c r="CE107" s="822"/>
      <c r="CF107" s="822"/>
      <c r="CG107" s="822"/>
      <c r="CH107" s="285"/>
      <c r="CI107" s="288"/>
      <c r="CJ107" s="288"/>
    </row>
    <row r="108" spans="1:88" ht="15" customHeight="1">
      <c r="E108" s="970"/>
      <c r="F108" s="971"/>
      <c r="G108" s="972"/>
      <c r="H108" s="972"/>
      <c r="I108" s="972"/>
      <c r="J108" s="972"/>
      <c r="K108" s="972"/>
      <c r="L108" s="972"/>
      <c r="M108" s="972"/>
      <c r="N108" s="972"/>
      <c r="O108" s="972"/>
      <c r="P108" s="972"/>
      <c r="Q108" s="972"/>
      <c r="R108" s="972"/>
      <c r="S108" s="972"/>
      <c r="T108" s="972"/>
      <c r="U108" s="972"/>
      <c r="V108" s="972"/>
      <c r="W108" s="972"/>
      <c r="X108" s="972"/>
      <c r="Y108" s="972"/>
      <c r="Z108" s="972"/>
      <c r="AA108" s="972"/>
      <c r="AB108" s="972"/>
      <c r="AC108" s="972"/>
      <c r="AD108" s="972"/>
      <c r="AE108" s="972"/>
      <c r="AF108" s="972"/>
      <c r="AG108" s="972"/>
      <c r="AH108" s="972"/>
      <c r="AI108" s="972"/>
      <c r="AJ108" s="972"/>
      <c r="AK108" s="973"/>
      <c r="AL108" s="973"/>
      <c r="AM108" s="973"/>
      <c r="AN108" s="355"/>
      <c r="AO108" s="432" t="str">
        <f>IF(LEN(VLOOKUP(AK106,suvaha!$D$92:$H$158,2,FALSE))&lt;11,"",LEFT(RIGHT(VLOOKUP(AK106,suvaha!$D$92:$H$158,2,FALSE),11),1))</f>
        <v/>
      </c>
      <c r="AP108" s="255"/>
      <c r="AQ108" s="432" t="str">
        <f>IF(LEN(VLOOKUP(AK106,suvaha!$D$92:$H$158,2,FALSE))&lt;10,"",LEFT(RIGHT(VLOOKUP(AK106,suvaha!$D$92:$H$158,2,FALSE),10),1))</f>
        <v/>
      </c>
      <c r="AR108" s="434"/>
      <c r="AS108" s="432" t="str">
        <f>IF(LEN(VLOOKUP(AK106,suvaha!$D$92:$H$158,2,FALSE))&lt;9,"",LEFT(RIGHT(VLOOKUP(AK106,suvaha!$D$92:$H$158,2,FALSE),9),1))</f>
        <v/>
      </c>
      <c r="AT108" s="255"/>
      <c r="AU108" s="432" t="str">
        <f>IF(LEN(VLOOKUP(AK106,suvaha!$D$92:$H$158,2,FALSE))&lt;8,"",LEFT(RIGHT(VLOOKUP(AK106,suvaha!$D$92:$H$158,2,FALSE),8),1))</f>
        <v/>
      </c>
      <c r="AV108" s="434"/>
      <c r="AW108" s="432" t="str">
        <f>IF(LEN(VLOOKUP(AK106,suvaha!$D$92:$H$158,2,FALSE))&lt;7,"",LEFT(RIGHT(VLOOKUP(AK106,suvaha!$D$92:$H$158,2,FALSE),7),1))</f>
        <v/>
      </c>
      <c r="AX108" s="440"/>
      <c r="AY108" s="432" t="str">
        <f>IF(LEN(VLOOKUP(AK106,suvaha!$D$92:$H$158,2,FALSE))&lt;6,"",LEFT(RIGHT(VLOOKUP(AK106,suvaha!$D$92:$H$158,2,FALSE),6),1))</f>
        <v/>
      </c>
      <c r="AZ108" s="255"/>
      <c r="BA108" s="961" t="str">
        <f>IF(LEN(VLOOKUP(AK106,suvaha!$D$92:$H$158,2,FALSE))&lt;5,"",LEFT(RIGHT(VLOOKUP(AK106,suvaha!$D$92:$H$158,2,FALSE),5),1))</f>
        <v/>
      </c>
      <c r="BB108" s="961" t="e">
        <f>IF(LEN(#REF!)&lt;5,"",LEFT(RIGHT(#REF!,5),1))</f>
        <v>#REF!</v>
      </c>
      <c r="BC108" s="434"/>
      <c r="BD108" s="432" t="str">
        <f>IF(LEN(VLOOKUP(AK106,suvaha!$D$92:$H$158,2,FALSE))&lt;4,"",LEFT(RIGHT(VLOOKUP(AK106,suvaha!$D$92:$H$158,2,FALSE),4),1))</f>
        <v/>
      </c>
      <c r="BE108" s="434"/>
      <c r="BF108" s="432" t="str">
        <f>IF(LEN(VLOOKUP(AK106,suvaha!$D$92:$H$158,2,FALSE))&lt;3,"",LEFT(RIGHT(VLOOKUP(AK106,suvaha!$D$92:$H$158,2,FALSE),3),1))</f>
        <v/>
      </c>
      <c r="BG108" s="434"/>
      <c r="BH108" s="432" t="str">
        <f>IF(LEN(VLOOKUP(AK106,suvaha!$D$92:$H$158,2,FALSE))&lt;2,"",LEFT(RIGHT(VLOOKUP(AK106,suvaha!$D$92:$H$158,2,FALSE),2),1))</f>
        <v/>
      </c>
      <c r="BI108" s="434"/>
      <c r="BJ108" s="432" t="str">
        <f>IF(VLOOKUP(AK106,suvaha!$D$92:$H$158,2,FALSE)=0,"",IF(LEN(VLOOKUP(AK106,suvaha!$D$92:$H$158,2,FALSE))&lt;1,"",LEFT(RIGHT(VLOOKUP(AK106,suvaha!$D$92:$H$158,2,FALSE),1),1)))</f>
        <v/>
      </c>
      <c r="BK108" s="851"/>
      <c r="BL108" s="826"/>
      <c r="BM108" s="432" t="str">
        <f>IF(LEN(VLOOKUP(AK106,suvaha!$D$92:$H$158,4,FALSE))&lt;11,"",LEFT(RIGHT(VLOOKUP(AK106,suvaha!$D$92:$H$158,4,FALSE),11),1))</f>
        <v/>
      </c>
      <c r="BN108" s="255"/>
      <c r="BO108" s="432" t="str">
        <f>IF(LEN(VLOOKUP(AK106,suvaha!$D$92:$H$158,4,FALSE))&lt;10,"",LEFT(RIGHT(VLOOKUP(AK106,suvaha!$D$92:$H$158,4,FALSE),10),1))</f>
        <v/>
      </c>
      <c r="BP108" s="434"/>
      <c r="BQ108" s="432" t="str">
        <f>IF(LEN(VLOOKUP(AK106,suvaha!$D$92:$H$158,4,FALSE))&lt;9,"",LEFT(RIGHT(VLOOKUP(AK106,suvaha!$D$92:$H$158,4,FALSE),9),1))</f>
        <v/>
      </c>
      <c r="BR108" s="255"/>
      <c r="BS108" s="432" t="str">
        <f>IF(LEN(VLOOKUP(AK106,suvaha!$D$92:$H$158,4,FALSE))&lt;8,"",LEFT(RIGHT(VLOOKUP(AK106,suvaha!$D$92:$H$158,4,FALSE),8),1))</f>
        <v/>
      </c>
      <c r="BT108" s="434"/>
      <c r="BU108" s="432" t="str">
        <f>IF(LEN(VLOOKUP(AK106,suvaha!$D$92:$H$158,4,FALSE))&lt;7,"",LEFT(RIGHT(VLOOKUP(AK106,suvaha!$D$92:$H$158,4,FALSE),7),1))</f>
        <v/>
      </c>
      <c r="BV108" s="818"/>
      <c r="BW108" s="432" t="str">
        <f>IF(LEN(VLOOKUP(AK106,suvaha!$D$92:$H$158,4,FALSE))&lt;6,"",LEFT(RIGHT(VLOOKUP(AK106,suvaha!$D$92:$H$158,4,FALSE),6),1))</f>
        <v/>
      </c>
      <c r="BX108" s="434"/>
      <c r="BY108" s="432" t="str">
        <f>IF(LEN(VLOOKUP(AK106,suvaha!$D$92:$H$158,4,FALSE))&lt;5,"",LEFT(RIGHT(VLOOKUP(AK106,suvaha!$D$92:$H$158,4,FALSE),5),1))</f>
        <v/>
      </c>
      <c r="BZ108" s="434"/>
      <c r="CA108" s="432" t="str">
        <f>IF(LEN(VLOOKUP(AK106,suvaha!$D$92:$H$158,4,FALSE))&lt;4,"",LEFT(RIGHT(VLOOKUP(AK106,suvaha!$D$92:$H$158,4,FALSE),4),1))</f>
        <v/>
      </c>
      <c r="CB108" s="819"/>
      <c r="CC108" s="432" t="str">
        <f>IF(LEN(VLOOKUP(AK106,suvaha!$D$92:$H$158,4,FALSE))&lt;3,"",LEFT(RIGHT(VLOOKUP(AK106,suvaha!$D$92:$H$158,4,FALSE),3),1))</f>
        <v/>
      </c>
      <c r="CD108" s="434"/>
      <c r="CE108" s="432" t="str">
        <f>IF(LEN(VLOOKUP(AK106,suvaha!$D$92:$H$158,4,FALSE))&lt;2,"",LEFT(RIGHT(VLOOKUP(AK106,suvaha!$D$92:$H$158,4,FALSE),2),1))</f>
        <v/>
      </c>
      <c r="CF108" s="434"/>
      <c r="CG108" s="432" t="str">
        <f>IF(VLOOKUP(AK106,suvaha!$D$92:$H$158,4,FALSE)=0,"",IF(LEN(VLOOKUP(AK106,suvaha!$D$92:$H$158,4,FALSE))&lt;1,"",LEFT(RIGHT(VLOOKUP(AK106,suvaha!$D$92:$H$158,4,FALSE),1),1)))</f>
        <v/>
      </c>
      <c r="CH108" s="285"/>
      <c r="CI108" s="220"/>
      <c r="CJ108" s="220"/>
    </row>
    <row r="109" spans="1:88" ht="3" customHeight="1">
      <c r="E109" s="970"/>
      <c r="F109" s="971"/>
      <c r="G109" s="972"/>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3"/>
      <c r="AL109" s="973"/>
      <c r="AM109" s="973"/>
      <c r="AN109" s="358"/>
      <c r="AO109" s="365"/>
      <c r="AP109" s="365"/>
      <c r="AQ109" s="365"/>
      <c r="AR109" s="365"/>
      <c r="AS109" s="365"/>
      <c r="AT109" s="365"/>
      <c r="AU109" s="365"/>
      <c r="AV109" s="365"/>
      <c r="AW109" s="365"/>
      <c r="AX109" s="365"/>
      <c r="AY109" s="365"/>
      <c r="AZ109" s="365"/>
      <c r="BA109" s="365"/>
      <c r="BB109" s="365"/>
      <c r="BC109" s="365"/>
      <c r="BD109" s="365"/>
      <c r="BE109" s="310"/>
      <c r="BF109" s="310"/>
      <c r="BG109" s="310"/>
      <c r="BH109" s="310"/>
      <c r="BI109" s="310"/>
      <c r="BJ109" s="310"/>
      <c r="BK109" s="310"/>
      <c r="BL109" s="846"/>
      <c r="BM109" s="846"/>
      <c r="BN109" s="846"/>
      <c r="BO109" s="846"/>
      <c r="BP109" s="846"/>
      <c r="BQ109" s="846"/>
      <c r="BR109" s="846"/>
      <c r="BS109" s="846"/>
      <c r="BT109" s="846"/>
      <c r="BU109" s="846"/>
      <c r="BV109" s="846"/>
      <c r="BW109" s="846"/>
      <c r="BX109" s="846"/>
      <c r="BY109" s="846"/>
      <c r="BZ109" s="846"/>
      <c r="CA109" s="846"/>
      <c r="CB109" s="846"/>
      <c r="CC109" s="310"/>
      <c r="CD109" s="310"/>
      <c r="CE109" s="310"/>
      <c r="CF109" s="310"/>
      <c r="CG109" s="310"/>
      <c r="CH109" s="286"/>
      <c r="CI109" s="220"/>
      <c r="CJ109" s="220"/>
    </row>
    <row r="110" spans="1:88" s="250" customFormat="1" ht="3" customHeight="1">
      <c r="A110" s="220"/>
      <c r="B110" s="220"/>
      <c r="C110" s="224"/>
      <c r="D110" s="224"/>
      <c r="E110" s="983" t="s">
        <v>1542</v>
      </c>
      <c r="F110" s="983"/>
      <c r="G110" s="972" t="str">
        <f>Index!C194</f>
        <v>Výdavky budúcich období krátkodobé (383A)</v>
      </c>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3" t="s">
        <v>1720</v>
      </c>
      <c r="AL110" s="973"/>
      <c r="AM110" s="973"/>
      <c r="AN110" s="357"/>
      <c r="AO110" s="366"/>
      <c r="AP110" s="366"/>
      <c r="AQ110" s="366"/>
      <c r="AR110" s="366"/>
      <c r="AS110" s="366"/>
      <c r="AT110" s="366"/>
      <c r="AU110" s="366"/>
      <c r="AV110" s="366"/>
      <c r="AW110" s="366"/>
      <c r="AX110" s="366"/>
      <c r="AY110" s="366"/>
      <c r="AZ110" s="366"/>
      <c r="BA110" s="366"/>
      <c r="BB110" s="366"/>
      <c r="BC110" s="366"/>
      <c r="BD110" s="366"/>
      <c r="BE110" s="304"/>
      <c r="BF110" s="304"/>
      <c r="BG110" s="304"/>
      <c r="BH110" s="304"/>
      <c r="BI110" s="304"/>
      <c r="BJ110" s="304"/>
      <c r="BK110" s="304"/>
      <c r="BL110" s="867"/>
      <c r="BM110" s="867"/>
      <c r="BN110" s="867"/>
      <c r="BO110" s="867"/>
      <c r="BP110" s="867"/>
      <c r="BQ110" s="867"/>
      <c r="BR110" s="867"/>
      <c r="BS110" s="867"/>
      <c r="BT110" s="867"/>
      <c r="BU110" s="867"/>
      <c r="BV110" s="867"/>
      <c r="BW110" s="867"/>
      <c r="BX110" s="867"/>
      <c r="BY110" s="867"/>
      <c r="BZ110" s="867"/>
      <c r="CA110" s="867"/>
      <c r="CB110" s="867"/>
      <c r="CC110" s="304"/>
      <c r="CD110" s="304"/>
      <c r="CE110" s="304"/>
      <c r="CF110" s="304"/>
      <c r="CG110" s="304"/>
      <c r="CH110" s="284"/>
      <c r="CI110" s="288"/>
      <c r="CJ110" s="288"/>
    </row>
    <row r="111" spans="1:88" s="250" customFormat="1" ht="3" customHeight="1">
      <c r="A111" s="220"/>
      <c r="B111" s="220"/>
      <c r="C111" s="220"/>
      <c r="D111" s="220"/>
      <c r="E111" s="983"/>
      <c r="F111" s="983"/>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3"/>
      <c r="AL111" s="973"/>
      <c r="AM111" s="973"/>
      <c r="AN111" s="355"/>
      <c r="AO111" s="436"/>
      <c r="AP111" s="436"/>
      <c r="AQ111" s="436"/>
      <c r="AR111" s="435"/>
      <c r="AS111" s="439"/>
      <c r="AT111" s="439"/>
      <c r="AU111" s="439"/>
      <c r="AV111" s="439"/>
      <c r="AW111" s="439"/>
      <c r="AX111" s="440"/>
      <c r="AY111" s="821"/>
      <c r="AZ111" s="821"/>
      <c r="BA111" s="821"/>
      <c r="BB111" s="821"/>
      <c r="BC111" s="821"/>
      <c r="BD111" s="821"/>
      <c r="BE111" s="434"/>
      <c r="BF111" s="968"/>
      <c r="BG111" s="968"/>
      <c r="BH111" s="968"/>
      <c r="BI111" s="968"/>
      <c r="BJ111" s="968"/>
      <c r="BK111" s="851"/>
      <c r="BL111" s="826"/>
      <c r="BM111" s="820"/>
      <c r="BN111" s="820"/>
      <c r="BO111" s="820"/>
      <c r="BP111" s="435"/>
      <c r="BQ111" s="821"/>
      <c r="BR111" s="821"/>
      <c r="BS111" s="821"/>
      <c r="BT111" s="821"/>
      <c r="BU111" s="821"/>
      <c r="BV111" s="818"/>
      <c r="BW111" s="822"/>
      <c r="BX111" s="822"/>
      <c r="BY111" s="822"/>
      <c r="BZ111" s="822"/>
      <c r="CA111" s="822"/>
      <c r="CB111" s="819"/>
      <c r="CC111" s="822"/>
      <c r="CD111" s="822"/>
      <c r="CE111" s="822"/>
      <c r="CF111" s="822"/>
      <c r="CG111" s="822"/>
      <c r="CH111" s="285"/>
      <c r="CI111" s="288"/>
      <c r="CJ111" s="288"/>
    </row>
    <row r="112" spans="1:88" ht="15" customHeight="1">
      <c r="E112" s="983"/>
      <c r="F112" s="983"/>
      <c r="G112" s="972"/>
      <c r="H112" s="972"/>
      <c r="I112" s="972"/>
      <c r="J112" s="972"/>
      <c r="K112" s="972"/>
      <c r="L112" s="972"/>
      <c r="M112" s="972"/>
      <c r="N112" s="972"/>
      <c r="O112" s="972"/>
      <c r="P112" s="972"/>
      <c r="Q112" s="972"/>
      <c r="R112" s="972"/>
      <c r="S112" s="972"/>
      <c r="T112" s="972"/>
      <c r="U112" s="972"/>
      <c r="V112" s="972"/>
      <c r="W112" s="972"/>
      <c r="X112" s="972"/>
      <c r="Y112" s="972"/>
      <c r="Z112" s="972"/>
      <c r="AA112" s="972"/>
      <c r="AB112" s="972"/>
      <c r="AC112" s="972"/>
      <c r="AD112" s="972"/>
      <c r="AE112" s="972"/>
      <c r="AF112" s="972"/>
      <c r="AG112" s="972"/>
      <c r="AH112" s="972"/>
      <c r="AI112" s="972"/>
      <c r="AJ112" s="972"/>
      <c r="AK112" s="973"/>
      <c r="AL112" s="973"/>
      <c r="AM112" s="973"/>
      <c r="AN112" s="355"/>
      <c r="AO112" s="432" t="str">
        <f>IF(LEN(VLOOKUP(AK110,suvaha!$D$92:$H$158,2,FALSE))&lt;11,"",LEFT(RIGHT(VLOOKUP(AK110,suvaha!$D$92:$H$158,2,FALSE),11),1))</f>
        <v/>
      </c>
      <c r="AP112" s="255"/>
      <c r="AQ112" s="432" t="str">
        <f>IF(LEN(VLOOKUP(AK110,suvaha!$D$92:$H$158,2,FALSE))&lt;10,"",LEFT(RIGHT(VLOOKUP(AK110,suvaha!$D$92:$H$158,2,FALSE),10),1))</f>
        <v/>
      </c>
      <c r="AR112" s="434"/>
      <c r="AS112" s="432" t="str">
        <f>IF(LEN(VLOOKUP(AK110,suvaha!$D$92:$H$158,2,FALSE))&lt;9,"",LEFT(RIGHT(VLOOKUP(AK110,suvaha!$D$92:$H$158,2,FALSE),9),1))</f>
        <v/>
      </c>
      <c r="AT112" s="255"/>
      <c r="AU112" s="432" t="str">
        <f>IF(LEN(VLOOKUP(AK110,suvaha!$D$92:$H$158,2,FALSE))&lt;8,"",LEFT(RIGHT(VLOOKUP(AK110,suvaha!$D$92:$H$158,2,FALSE),8),1))</f>
        <v/>
      </c>
      <c r="AV112" s="434"/>
      <c r="AW112" s="432" t="str">
        <f>IF(LEN(VLOOKUP(AK110,suvaha!$D$92:$H$158,2,FALSE))&lt;7,"",LEFT(RIGHT(VLOOKUP(AK110,suvaha!$D$92:$H$158,2,FALSE),7),1))</f>
        <v/>
      </c>
      <c r="AX112" s="440"/>
      <c r="AY112" s="432" t="str">
        <f>IF(LEN(VLOOKUP(AK110,suvaha!$D$92:$H$158,2,FALSE))&lt;6,"",LEFT(RIGHT(VLOOKUP(AK110,suvaha!$D$92:$H$158,2,FALSE),6),1))</f>
        <v/>
      </c>
      <c r="AZ112" s="255"/>
      <c r="BA112" s="961" t="str">
        <f>IF(LEN(VLOOKUP(AK110,suvaha!$D$92:$H$158,2,FALSE))&lt;5,"",LEFT(RIGHT(VLOOKUP(AK110,suvaha!$D$92:$H$158,2,FALSE),5),1))</f>
        <v>2</v>
      </c>
      <c r="BB112" s="961" t="e">
        <f>IF(LEN(#REF!)&lt;5,"",LEFT(RIGHT(#REF!,5),1))</f>
        <v>#REF!</v>
      </c>
      <c r="BC112" s="434"/>
      <c r="BD112" s="432" t="str">
        <f>IF(LEN(VLOOKUP(AK110,suvaha!$D$92:$H$158,2,FALSE))&lt;4,"",LEFT(RIGHT(VLOOKUP(AK110,suvaha!$D$92:$H$158,2,FALSE),4),1))</f>
        <v>0</v>
      </c>
      <c r="BE112" s="434"/>
      <c r="BF112" s="432" t="str">
        <f>IF(LEN(VLOOKUP(AK110,suvaha!$D$92:$H$158,2,FALSE))&lt;3,"",LEFT(RIGHT(VLOOKUP(AK110,suvaha!$D$92:$H$158,2,FALSE),3),1))</f>
        <v>8</v>
      </c>
      <c r="BG112" s="434"/>
      <c r="BH112" s="432" t="str">
        <f>IF(LEN(VLOOKUP(AK110,suvaha!$D$92:$H$158,2,FALSE))&lt;2,"",LEFT(RIGHT(VLOOKUP(AK110,suvaha!$D$92:$H$158,2,FALSE),2),1))</f>
        <v>3</v>
      </c>
      <c r="BI112" s="434"/>
      <c r="BJ112" s="432" t="str">
        <f>IF(VLOOKUP(AK110,suvaha!$D$92:$H$158,2,FALSE)=0,"",IF(LEN(VLOOKUP(AK110,suvaha!$D$92:$H$158,2,FALSE))&lt;1,"",LEFT(RIGHT(VLOOKUP(AK110,suvaha!$D$92:$H$158,2,FALSE),1),1)))</f>
        <v>2</v>
      </c>
      <c r="BK112" s="851"/>
      <c r="BL112" s="826"/>
      <c r="BM112" s="432" t="str">
        <f>IF(LEN(VLOOKUP(AK110,suvaha!$D$92:$H$158,4,FALSE))&lt;11,"",LEFT(RIGHT(VLOOKUP(AK110,suvaha!$D$92:$H$158,4,FALSE),11),1))</f>
        <v/>
      </c>
      <c r="BN112" s="255"/>
      <c r="BO112" s="432" t="str">
        <f>IF(LEN(VLOOKUP(AK110,suvaha!$D$92:$H$158,4,FALSE))&lt;10,"",LEFT(RIGHT(VLOOKUP(AK110,suvaha!$D$92:$H$158,4,FALSE),10),1))</f>
        <v/>
      </c>
      <c r="BP112" s="434"/>
      <c r="BQ112" s="432" t="str">
        <f>IF(LEN(VLOOKUP(AK110,suvaha!$D$92:$H$158,4,FALSE))&lt;9,"",LEFT(RIGHT(VLOOKUP(AK110,suvaha!$D$92:$H$158,4,FALSE),9),1))</f>
        <v/>
      </c>
      <c r="BR112" s="255"/>
      <c r="BS112" s="432" t="str">
        <f>IF(LEN(VLOOKUP(AK110,suvaha!$D$92:$H$158,4,FALSE))&lt;8,"",LEFT(RIGHT(VLOOKUP(AK110,suvaha!$D$92:$H$158,4,FALSE),8),1))</f>
        <v/>
      </c>
      <c r="BT112" s="434"/>
      <c r="BU112" s="432" t="str">
        <f>IF(LEN(VLOOKUP(AK110,suvaha!$D$92:$H$158,4,FALSE))&lt;7,"",LEFT(RIGHT(VLOOKUP(AK110,suvaha!$D$92:$H$158,4,FALSE),7),1))</f>
        <v/>
      </c>
      <c r="BV112" s="818"/>
      <c r="BW112" s="432" t="str">
        <f>IF(LEN(VLOOKUP(AK110,suvaha!$D$92:$H$158,4,FALSE))&lt;6,"",LEFT(RIGHT(VLOOKUP(AK110,suvaha!$D$92:$H$158,4,FALSE),6),1))</f>
        <v/>
      </c>
      <c r="BX112" s="434"/>
      <c r="BY112" s="432" t="str">
        <f>IF(LEN(VLOOKUP(AK110,suvaha!$D$92:$H$158,4,FALSE))&lt;5,"",LEFT(RIGHT(VLOOKUP(AK110,suvaha!$D$92:$H$158,4,FALSE),5),1))</f>
        <v/>
      </c>
      <c r="BZ112" s="434"/>
      <c r="CA112" s="432" t="str">
        <f>IF(LEN(VLOOKUP(AK110,suvaha!$D$92:$H$158,4,FALSE))&lt;4,"",LEFT(RIGHT(VLOOKUP(AK110,suvaha!$D$92:$H$158,4,FALSE),4),1))</f>
        <v/>
      </c>
      <c r="CB112" s="819"/>
      <c r="CC112" s="432" t="str">
        <f>IF(LEN(VLOOKUP(AK110,suvaha!$D$92:$H$158,4,FALSE))&lt;3,"",LEFT(RIGHT(VLOOKUP(AK110,suvaha!$D$92:$H$158,4,FALSE),3),1))</f>
        <v/>
      </c>
      <c r="CD112" s="434"/>
      <c r="CE112" s="432" t="str">
        <f>IF(LEN(VLOOKUP(AK110,suvaha!$D$92:$H$158,4,FALSE))&lt;2,"",LEFT(RIGHT(VLOOKUP(AK110,suvaha!$D$92:$H$158,4,FALSE),2),1))</f>
        <v/>
      </c>
      <c r="CF112" s="434"/>
      <c r="CG112" s="432" t="str">
        <f>IF(VLOOKUP(AK110,suvaha!$D$92:$H$158,4,FALSE)=0,"",IF(LEN(VLOOKUP(AK110,suvaha!$D$92:$H$158,4,FALSE))&lt;1,"",LEFT(RIGHT(VLOOKUP(AK110,suvaha!$D$92:$H$158,4,FALSE),1),1)))</f>
        <v/>
      </c>
      <c r="CH112" s="285"/>
      <c r="CI112" s="220"/>
      <c r="CJ112" s="220"/>
    </row>
    <row r="113" spans="1:88" ht="3" customHeight="1">
      <c r="E113" s="983"/>
      <c r="F113" s="983"/>
      <c r="G113" s="972"/>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3"/>
      <c r="AL113" s="973"/>
      <c r="AM113" s="973"/>
      <c r="AN113" s="358"/>
      <c r="AO113" s="365"/>
      <c r="AP113" s="365"/>
      <c r="AQ113" s="365"/>
      <c r="AR113" s="365"/>
      <c r="AS113" s="365"/>
      <c r="AT113" s="365"/>
      <c r="AU113" s="365"/>
      <c r="AV113" s="365"/>
      <c r="AW113" s="365"/>
      <c r="AX113" s="365"/>
      <c r="AY113" s="365"/>
      <c r="AZ113" s="365"/>
      <c r="BA113" s="365"/>
      <c r="BB113" s="365"/>
      <c r="BC113" s="365"/>
      <c r="BD113" s="365"/>
      <c r="BE113" s="310"/>
      <c r="BF113" s="310"/>
      <c r="BG113" s="310"/>
      <c r="BH113" s="310"/>
      <c r="BI113" s="310"/>
      <c r="BJ113" s="310"/>
      <c r="BK113" s="310"/>
      <c r="BL113" s="846"/>
      <c r="BM113" s="846"/>
      <c r="BN113" s="846"/>
      <c r="BO113" s="846"/>
      <c r="BP113" s="846"/>
      <c r="BQ113" s="846"/>
      <c r="BR113" s="846"/>
      <c r="BS113" s="846"/>
      <c r="BT113" s="846"/>
      <c r="BU113" s="846"/>
      <c r="BV113" s="846"/>
      <c r="BW113" s="846"/>
      <c r="BX113" s="846"/>
      <c r="BY113" s="846"/>
      <c r="BZ113" s="846"/>
      <c r="CA113" s="846"/>
      <c r="CB113" s="846"/>
      <c r="CC113" s="310"/>
      <c r="CD113" s="310"/>
      <c r="CE113" s="310"/>
      <c r="CF113" s="310"/>
      <c r="CG113" s="310"/>
      <c r="CH113" s="286"/>
      <c r="CI113" s="220"/>
      <c r="CJ113" s="220"/>
    </row>
    <row r="114" spans="1:88" s="250" customFormat="1" ht="3" customHeight="1">
      <c r="A114" s="220"/>
      <c r="B114" s="220"/>
      <c r="C114" s="224"/>
      <c r="D114" s="224"/>
      <c r="E114" s="983" t="s">
        <v>1543</v>
      </c>
      <c r="F114" s="983"/>
      <c r="G114" s="972" t="str">
        <f>Index!C195</f>
        <v>Výnosy budúcich období dlhodobé (384A)</v>
      </c>
      <c r="H114" s="972"/>
      <c r="I114" s="972"/>
      <c r="J114" s="972"/>
      <c r="K114" s="972"/>
      <c r="L114" s="972"/>
      <c r="M114" s="972"/>
      <c r="N114" s="972"/>
      <c r="O114" s="972"/>
      <c r="P114" s="972"/>
      <c r="Q114" s="972"/>
      <c r="R114" s="972"/>
      <c r="S114" s="972"/>
      <c r="T114" s="972"/>
      <c r="U114" s="972"/>
      <c r="V114" s="972"/>
      <c r="W114" s="972"/>
      <c r="X114" s="972"/>
      <c r="Y114" s="972"/>
      <c r="Z114" s="972"/>
      <c r="AA114" s="972"/>
      <c r="AB114" s="972"/>
      <c r="AC114" s="972"/>
      <c r="AD114" s="972"/>
      <c r="AE114" s="972"/>
      <c r="AF114" s="972"/>
      <c r="AG114" s="972"/>
      <c r="AH114" s="972"/>
      <c r="AI114" s="972"/>
      <c r="AJ114" s="972"/>
      <c r="AK114" s="973" t="s">
        <v>1721</v>
      </c>
      <c r="AL114" s="973"/>
      <c r="AM114" s="973"/>
      <c r="AN114" s="357"/>
      <c r="AO114" s="366"/>
      <c r="AP114" s="366"/>
      <c r="AQ114" s="366"/>
      <c r="AR114" s="366"/>
      <c r="AS114" s="366"/>
      <c r="AT114" s="366"/>
      <c r="AU114" s="366"/>
      <c r="AV114" s="366"/>
      <c r="AW114" s="366"/>
      <c r="AX114" s="366"/>
      <c r="AY114" s="366"/>
      <c r="AZ114" s="366"/>
      <c r="BA114" s="366"/>
      <c r="BB114" s="366"/>
      <c r="BC114" s="366"/>
      <c r="BD114" s="366"/>
      <c r="BE114" s="304"/>
      <c r="BF114" s="304"/>
      <c r="BG114" s="304"/>
      <c r="BH114" s="304"/>
      <c r="BI114" s="304"/>
      <c r="BJ114" s="304"/>
      <c r="BK114" s="304"/>
      <c r="BL114" s="867"/>
      <c r="BM114" s="867"/>
      <c r="BN114" s="867"/>
      <c r="BO114" s="867"/>
      <c r="BP114" s="867"/>
      <c r="BQ114" s="867"/>
      <c r="BR114" s="867"/>
      <c r="BS114" s="867"/>
      <c r="BT114" s="867"/>
      <c r="BU114" s="867"/>
      <c r="BV114" s="867"/>
      <c r="BW114" s="867"/>
      <c r="BX114" s="867"/>
      <c r="BY114" s="867"/>
      <c r="BZ114" s="867"/>
      <c r="CA114" s="867"/>
      <c r="CB114" s="867"/>
      <c r="CC114" s="304"/>
      <c r="CD114" s="304"/>
      <c r="CE114" s="304"/>
      <c r="CF114" s="304"/>
      <c r="CG114" s="304"/>
      <c r="CH114" s="284"/>
      <c r="CI114" s="288"/>
      <c r="CJ114" s="288"/>
    </row>
    <row r="115" spans="1:88" s="250" customFormat="1" ht="3" customHeight="1">
      <c r="A115" s="220"/>
      <c r="B115" s="220"/>
      <c r="C115" s="220"/>
      <c r="D115" s="220"/>
      <c r="E115" s="983"/>
      <c r="F115" s="983"/>
      <c r="G115" s="972"/>
      <c r="H115" s="972"/>
      <c r="I115" s="972"/>
      <c r="J115" s="972"/>
      <c r="K115" s="972"/>
      <c r="L115" s="972"/>
      <c r="M115" s="972"/>
      <c r="N115" s="972"/>
      <c r="O115" s="972"/>
      <c r="P115" s="972"/>
      <c r="Q115" s="972"/>
      <c r="R115" s="972"/>
      <c r="S115" s="972"/>
      <c r="T115" s="972"/>
      <c r="U115" s="972"/>
      <c r="V115" s="972"/>
      <c r="W115" s="972"/>
      <c r="X115" s="972"/>
      <c r="Y115" s="972"/>
      <c r="Z115" s="972"/>
      <c r="AA115" s="972"/>
      <c r="AB115" s="972"/>
      <c r="AC115" s="972"/>
      <c r="AD115" s="972"/>
      <c r="AE115" s="972"/>
      <c r="AF115" s="972"/>
      <c r="AG115" s="972"/>
      <c r="AH115" s="972"/>
      <c r="AI115" s="972"/>
      <c r="AJ115" s="972"/>
      <c r="AK115" s="973"/>
      <c r="AL115" s="973"/>
      <c r="AM115" s="973"/>
      <c r="AN115" s="355"/>
      <c r="AO115" s="436"/>
      <c r="AP115" s="436"/>
      <c r="AQ115" s="436"/>
      <c r="AR115" s="435"/>
      <c r="AS115" s="439"/>
      <c r="AT115" s="439"/>
      <c r="AU115" s="439"/>
      <c r="AV115" s="439"/>
      <c r="AW115" s="439"/>
      <c r="AX115" s="440"/>
      <c r="AY115" s="821"/>
      <c r="AZ115" s="821"/>
      <c r="BA115" s="821"/>
      <c r="BB115" s="821"/>
      <c r="BC115" s="821"/>
      <c r="BD115" s="821"/>
      <c r="BE115" s="434"/>
      <c r="BF115" s="968"/>
      <c r="BG115" s="968"/>
      <c r="BH115" s="968"/>
      <c r="BI115" s="968"/>
      <c r="BJ115" s="968"/>
      <c r="BK115" s="851"/>
      <c r="BL115" s="826"/>
      <c r="BM115" s="820"/>
      <c r="BN115" s="820"/>
      <c r="BO115" s="820"/>
      <c r="BP115" s="435"/>
      <c r="BQ115" s="821"/>
      <c r="BR115" s="821"/>
      <c r="BS115" s="821"/>
      <c r="BT115" s="821"/>
      <c r="BU115" s="821"/>
      <c r="BV115" s="818"/>
      <c r="BW115" s="822"/>
      <c r="BX115" s="822"/>
      <c r="BY115" s="822"/>
      <c r="BZ115" s="822"/>
      <c r="CA115" s="822"/>
      <c r="CB115" s="819"/>
      <c r="CC115" s="822"/>
      <c r="CD115" s="822"/>
      <c r="CE115" s="822"/>
      <c r="CF115" s="822"/>
      <c r="CG115" s="822"/>
      <c r="CH115" s="285"/>
      <c r="CI115" s="288"/>
      <c r="CJ115" s="288"/>
    </row>
    <row r="116" spans="1:88" ht="15" customHeight="1">
      <c r="E116" s="983"/>
      <c r="F116" s="983"/>
      <c r="G116" s="972"/>
      <c r="H116" s="972"/>
      <c r="I116" s="972"/>
      <c r="J116" s="972"/>
      <c r="K116" s="972"/>
      <c r="L116" s="972"/>
      <c r="M116" s="972"/>
      <c r="N116" s="972"/>
      <c r="O116" s="972"/>
      <c r="P116" s="972"/>
      <c r="Q116" s="972"/>
      <c r="R116" s="972"/>
      <c r="S116" s="972"/>
      <c r="T116" s="972"/>
      <c r="U116" s="972"/>
      <c r="V116" s="972"/>
      <c r="W116" s="972"/>
      <c r="X116" s="972"/>
      <c r="Y116" s="972"/>
      <c r="Z116" s="972"/>
      <c r="AA116" s="972"/>
      <c r="AB116" s="972"/>
      <c r="AC116" s="972"/>
      <c r="AD116" s="972"/>
      <c r="AE116" s="972"/>
      <c r="AF116" s="972"/>
      <c r="AG116" s="972"/>
      <c r="AH116" s="972"/>
      <c r="AI116" s="972"/>
      <c r="AJ116" s="972"/>
      <c r="AK116" s="973"/>
      <c r="AL116" s="973"/>
      <c r="AM116" s="973"/>
      <c r="AN116" s="355"/>
      <c r="AO116" s="432" t="str">
        <f>IF(LEN(VLOOKUP(AK114,suvaha!$D$92:$H$158,2,FALSE))&lt;11,"",LEFT(RIGHT(VLOOKUP(AK114,suvaha!$D$92:$H$158,2,FALSE),11),1))</f>
        <v/>
      </c>
      <c r="AP116" s="255"/>
      <c r="AQ116" s="432" t="str">
        <f>IF(LEN(VLOOKUP(AK114,suvaha!$D$92:$H$158,2,FALSE))&lt;10,"",LEFT(RIGHT(VLOOKUP(AK114,suvaha!$D$92:$H$158,2,FALSE),10),1))</f>
        <v/>
      </c>
      <c r="AR116" s="434"/>
      <c r="AS116" s="432" t="str">
        <f>IF(LEN(VLOOKUP(AK114,suvaha!$D$92:$H$158,2,FALSE))&lt;9,"",LEFT(RIGHT(VLOOKUP(AK114,suvaha!$D$92:$H$158,2,FALSE),9),1))</f>
        <v/>
      </c>
      <c r="AT116" s="255"/>
      <c r="AU116" s="432" t="str">
        <f>IF(LEN(VLOOKUP(AK114,suvaha!$D$92:$H$158,2,FALSE))&lt;8,"",LEFT(RIGHT(VLOOKUP(AK114,suvaha!$D$92:$H$158,2,FALSE),8),1))</f>
        <v/>
      </c>
      <c r="AV116" s="434"/>
      <c r="AW116" s="432" t="str">
        <f>IF(LEN(VLOOKUP(AK114,suvaha!$D$92:$H$158,2,FALSE))&lt;7,"",LEFT(RIGHT(VLOOKUP(AK114,suvaha!$D$92:$H$158,2,FALSE),7),1))</f>
        <v/>
      </c>
      <c r="AX116" s="440"/>
      <c r="AY116" s="432" t="str">
        <f>IF(LEN(VLOOKUP(AK114,suvaha!$D$92:$H$158,2,FALSE))&lt;6,"",LEFT(RIGHT(VLOOKUP(AK114,suvaha!$D$92:$H$158,2,FALSE),6),1))</f>
        <v/>
      </c>
      <c r="AZ116" s="255"/>
      <c r="BA116" s="961" t="str">
        <f>IF(LEN(VLOOKUP(AK114,suvaha!$D$92:$H$158,2,FALSE))&lt;5,"",LEFT(RIGHT(VLOOKUP(AK114,suvaha!$D$92:$H$158,2,FALSE),5),1))</f>
        <v/>
      </c>
      <c r="BB116" s="961" t="e">
        <f>IF(LEN(#REF!)&lt;5,"",LEFT(RIGHT(#REF!,5),1))</f>
        <v>#REF!</v>
      </c>
      <c r="BC116" s="434"/>
      <c r="BD116" s="432" t="str">
        <f>IF(LEN(VLOOKUP(AK114,suvaha!$D$92:$H$158,2,FALSE))&lt;4,"",LEFT(RIGHT(VLOOKUP(AK114,suvaha!$D$92:$H$158,2,FALSE),4),1))</f>
        <v/>
      </c>
      <c r="BE116" s="434"/>
      <c r="BF116" s="432" t="str">
        <f>IF(LEN(VLOOKUP(AK114,suvaha!$D$92:$H$158,2,FALSE))&lt;3,"",LEFT(RIGHT(VLOOKUP(AK114,suvaha!$D$92:$H$158,2,FALSE),3),1))</f>
        <v/>
      </c>
      <c r="BG116" s="434"/>
      <c r="BH116" s="432" t="str">
        <f>IF(LEN(VLOOKUP(AK114,suvaha!$D$92:$H$158,2,FALSE))&lt;2,"",LEFT(RIGHT(VLOOKUP(AK114,suvaha!$D$92:$H$158,2,FALSE),2),1))</f>
        <v/>
      </c>
      <c r="BI116" s="434"/>
      <c r="BJ116" s="432" t="str">
        <f>IF(VLOOKUP(AK114,suvaha!$D$92:$H$158,2,FALSE)=0,"",IF(LEN(VLOOKUP(AK114,suvaha!$D$92:$H$158,2,FALSE))&lt;1,"",LEFT(RIGHT(VLOOKUP(AK114,suvaha!$D$92:$H$158,2,FALSE),1),1)))</f>
        <v/>
      </c>
      <c r="BK116" s="851"/>
      <c r="BL116" s="826"/>
      <c r="BM116" s="432" t="str">
        <f>IF(LEN(VLOOKUP(AK114,suvaha!$D$92:$H$158,4,FALSE))&lt;11,"",LEFT(RIGHT(VLOOKUP(AK114,suvaha!$D$92:$H$158,4,FALSE),11),1))</f>
        <v/>
      </c>
      <c r="BN116" s="255"/>
      <c r="BO116" s="432" t="str">
        <f>IF(LEN(VLOOKUP(AK114,suvaha!$D$92:$H$158,4,FALSE))&lt;10,"",LEFT(RIGHT(VLOOKUP(AK114,suvaha!$D$92:$H$158,4,FALSE),10),1))</f>
        <v/>
      </c>
      <c r="BP116" s="434"/>
      <c r="BQ116" s="432" t="str">
        <f>IF(LEN(VLOOKUP(AK114,suvaha!$D$92:$H$158,4,FALSE))&lt;9,"",LEFT(RIGHT(VLOOKUP(AK114,suvaha!$D$92:$H$158,4,FALSE),9),1))</f>
        <v/>
      </c>
      <c r="BR116" s="255"/>
      <c r="BS116" s="432" t="str">
        <f>IF(LEN(VLOOKUP(AK114,suvaha!$D$92:$H$158,4,FALSE))&lt;8,"",LEFT(RIGHT(VLOOKUP(AK114,suvaha!$D$92:$H$158,4,FALSE),8),1))</f>
        <v/>
      </c>
      <c r="BT116" s="434"/>
      <c r="BU116" s="432" t="str">
        <f>IF(LEN(VLOOKUP(AK114,suvaha!$D$92:$H$158,4,FALSE))&lt;7,"",LEFT(RIGHT(VLOOKUP(AK114,suvaha!$D$92:$H$158,4,FALSE),7),1))</f>
        <v/>
      </c>
      <c r="BV116" s="818"/>
      <c r="BW116" s="432" t="str">
        <f>IF(LEN(VLOOKUP(AK114,suvaha!$D$92:$H$158,4,FALSE))&lt;6,"",LEFT(RIGHT(VLOOKUP(AK114,suvaha!$D$92:$H$158,4,FALSE),6),1))</f>
        <v/>
      </c>
      <c r="BX116" s="434"/>
      <c r="BY116" s="432" t="str">
        <f>IF(LEN(VLOOKUP(AK114,suvaha!$D$92:$H$158,4,FALSE))&lt;5,"",LEFT(RIGHT(VLOOKUP(AK114,suvaha!$D$92:$H$158,4,FALSE),5),1))</f>
        <v/>
      </c>
      <c r="BZ116" s="434"/>
      <c r="CA116" s="432" t="str">
        <f>IF(LEN(VLOOKUP(AK114,suvaha!$D$92:$H$158,4,FALSE))&lt;4,"",LEFT(RIGHT(VLOOKUP(AK114,suvaha!$D$92:$H$158,4,FALSE),4),1))</f>
        <v/>
      </c>
      <c r="CB116" s="819"/>
      <c r="CC116" s="432" t="str">
        <f>IF(LEN(VLOOKUP(AK114,suvaha!$D$92:$H$158,4,FALSE))&lt;3,"",LEFT(RIGHT(VLOOKUP(AK114,suvaha!$D$92:$H$158,4,FALSE),3),1))</f>
        <v/>
      </c>
      <c r="CD116" s="434"/>
      <c r="CE116" s="432" t="str">
        <f>IF(LEN(VLOOKUP(AK114,suvaha!$D$92:$H$158,4,FALSE))&lt;2,"",LEFT(RIGHT(VLOOKUP(AK114,suvaha!$D$92:$H$158,4,FALSE),2),1))</f>
        <v/>
      </c>
      <c r="CF116" s="434"/>
      <c r="CG116" s="432" t="str">
        <f>IF(VLOOKUP(AK114,suvaha!$D$92:$H$158,4,FALSE)=0,"",IF(LEN(VLOOKUP(AK114,suvaha!$D$92:$H$158,4,FALSE))&lt;1,"",LEFT(RIGHT(VLOOKUP(AK114,suvaha!$D$92:$H$158,4,FALSE),1),1)))</f>
        <v/>
      </c>
      <c r="CH116" s="285"/>
      <c r="CI116" s="220"/>
      <c r="CJ116" s="220"/>
    </row>
    <row r="117" spans="1:88" ht="3" customHeight="1">
      <c r="E117" s="983"/>
      <c r="F117" s="983"/>
      <c r="G117" s="972"/>
      <c r="H117" s="972"/>
      <c r="I117" s="972"/>
      <c r="J117" s="972"/>
      <c r="K117" s="972"/>
      <c r="L117" s="972"/>
      <c r="M117" s="972"/>
      <c r="N117" s="972"/>
      <c r="O117" s="972"/>
      <c r="P117" s="972"/>
      <c r="Q117" s="972"/>
      <c r="R117" s="972"/>
      <c r="S117" s="972"/>
      <c r="T117" s="972"/>
      <c r="U117" s="972"/>
      <c r="V117" s="972"/>
      <c r="W117" s="972"/>
      <c r="X117" s="972"/>
      <c r="Y117" s="972"/>
      <c r="Z117" s="972"/>
      <c r="AA117" s="972"/>
      <c r="AB117" s="972"/>
      <c r="AC117" s="972"/>
      <c r="AD117" s="972"/>
      <c r="AE117" s="972"/>
      <c r="AF117" s="972"/>
      <c r="AG117" s="972"/>
      <c r="AH117" s="972"/>
      <c r="AI117" s="972"/>
      <c r="AJ117" s="972"/>
      <c r="AK117" s="973"/>
      <c r="AL117" s="973"/>
      <c r="AM117" s="973"/>
      <c r="AN117" s="358"/>
      <c r="AO117" s="365"/>
      <c r="AP117" s="365"/>
      <c r="AQ117" s="365"/>
      <c r="AR117" s="365"/>
      <c r="AS117" s="365"/>
      <c r="AT117" s="365"/>
      <c r="AU117" s="365"/>
      <c r="AV117" s="365"/>
      <c r="AW117" s="365"/>
      <c r="AX117" s="365"/>
      <c r="AY117" s="365"/>
      <c r="AZ117" s="365"/>
      <c r="BA117" s="365"/>
      <c r="BB117" s="365"/>
      <c r="BC117" s="365"/>
      <c r="BD117" s="365"/>
      <c r="BE117" s="310"/>
      <c r="BF117" s="310"/>
      <c r="BG117" s="310"/>
      <c r="BH117" s="310"/>
      <c r="BI117" s="310"/>
      <c r="BJ117" s="310"/>
      <c r="BK117" s="310"/>
      <c r="BL117" s="846"/>
      <c r="BM117" s="846"/>
      <c r="BN117" s="846"/>
      <c r="BO117" s="846"/>
      <c r="BP117" s="846"/>
      <c r="BQ117" s="846"/>
      <c r="BR117" s="846"/>
      <c r="BS117" s="846"/>
      <c r="BT117" s="846"/>
      <c r="BU117" s="846"/>
      <c r="BV117" s="846"/>
      <c r="BW117" s="846"/>
      <c r="BX117" s="846"/>
      <c r="BY117" s="846"/>
      <c r="BZ117" s="846"/>
      <c r="CA117" s="846"/>
      <c r="CB117" s="846"/>
      <c r="CC117" s="310"/>
      <c r="CD117" s="310"/>
      <c r="CE117" s="310"/>
      <c r="CF117" s="310"/>
      <c r="CG117" s="310"/>
      <c r="CH117" s="286"/>
      <c r="CI117" s="220"/>
      <c r="CJ117" s="220"/>
    </row>
    <row r="118" spans="1:88" s="250" customFormat="1" ht="3" customHeight="1" thickBot="1">
      <c r="A118" s="220"/>
      <c r="B118" s="220"/>
      <c r="C118" s="224"/>
      <c r="D118" s="224"/>
      <c r="E118" s="962" t="s">
        <v>1544</v>
      </c>
      <c r="F118" s="962"/>
      <c r="G118" s="964" t="str">
        <f>Index!C196</f>
        <v>Výnosy budúcich období krátkodobé (384A)</v>
      </c>
      <c r="H118" s="964"/>
      <c r="I118" s="964"/>
      <c r="J118" s="964"/>
      <c r="K118" s="964"/>
      <c r="L118" s="964"/>
      <c r="M118" s="964"/>
      <c r="N118" s="964"/>
      <c r="O118" s="964"/>
      <c r="P118" s="964"/>
      <c r="Q118" s="964"/>
      <c r="R118" s="964"/>
      <c r="S118" s="964"/>
      <c r="T118" s="964"/>
      <c r="U118" s="964"/>
      <c r="V118" s="964"/>
      <c r="W118" s="964"/>
      <c r="X118" s="964"/>
      <c r="Y118" s="964"/>
      <c r="Z118" s="964"/>
      <c r="AA118" s="964"/>
      <c r="AB118" s="964"/>
      <c r="AC118" s="964"/>
      <c r="AD118" s="964"/>
      <c r="AE118" s="964"/>
      <c r="AF118" s="964"/>
      <c r="AG118" s="964"/>
      <c r="AH118" s="964"/>
      <c r="AI118" s="964"/>
      <c r="AJ118" s="964"/>
      <c r="AK118" s="966" t="s">
        <v>1722</v>
      </c>
      <c r="AL118" s="966"/>
      <c r="AM118" s="966"/>
      <c r="AN118" s="357"/>
      <c r="AO118" s="366"/>
      <c r="AP118" s="366"/>
      <c r="AQ118" s="366"/>
      <c r="AR118" s="366"/>
      <c r="AS118" s="366"/>
      <c r="AT118" s="366"/>
      <c r="AU118" s="366"/>
      <c r="AV118" s="366"/>
      <c r="AW118" s="366"/>
      <c r="AX118" s="366"/>
      <c r="AY118" s="366"/>
      <c r="AZ118" s="366"/>
      <c r="BA118" s="366"/>
      <c r="BB118" s="366"/>
      <c r="BC118" s="366"/>
      <c r="BD118" s="366"/>
      <c r="BE118" s="304"/>
      <c r="BF118" s="304"/>
      <c r="BG118" s="304"/>
      <c r="BH118" s="304"/>
      <c r="BI118" s="304"/>
      <c r="BJ118" s="304"/>
      <c r="BK118" s="304"/>
      <c r="BL118" s="867"/>
      <c r="BM118" s="867"/>
      <c r="BN118" s="867"/>
      <c r="BO118" s="867"/>
      <c r="BP118" s="867"/>
      <c r="BQ118" s="867"/>
      <c r="BR118" s="867"/>
      <c r="BS118" s="867"/>
      <c r="BT118" s="867"/>
      <c r="BU118" s="867"/>
      <c r="BV118" s="867"/>
      <c r="BW118" s="867"/>
      <c r="BX118" s="867"/>
      <c r="BY118" s="867"/>
      <c r="BZ118" s="867"/>
      <c r="CA118" s="867"/>
      <c r="CB118" s="867"/>
      <c r="CC118" s="304"/>
      <c r="CD118" s="304"/>
      <c r="CE118" s="304"/>
      <c r="CF118" s="304"/>
      <c r="CG118" s="304"/>
      <c r="CH118" s="284"/>
      <c r="CI118" s="288"/>
      <c r="CJ118" s="288"/>
    </row>
    <row r="119" spans="1:88" s="250" customFormat="1" ht="3" customHeight="1" thickBot="1">
      <c r="A119" s="220"/>
      <c r="B119" s="220"/>
      <c r="C119" s="220"/>
      <c r="D119" s="220"/>
      <c r="E119" s="963"/>
      <c r="F119" s="963"/>
      <c r="G119" s="965"/>
      <c r="H119" s="965"/>
      <c r="I119" s="965"/>
      <c r="J119" s="965"/>
      <c r="K119" s="965"/>
      <c r="L119" s="965"/>
      <c r="M119" s="965"/>
      <c r="N119" s="965"/>
      <c r="O119" s="965"/>
      <c r="P119" s="965"/>
      <c r="Q119" s="965"/>
      <c r="R119" s="965"/>
      <c r="S119" s="965"/>
      <c r="T119" s="965"/>
      <c r="U119" s="965"/>
      <c r="V119" s="965"/>
      <c r="W119" s="965"/>
      <c r="X119" s="965"/>
      <c r="Y119" s="965"/>
      <c r="Z119" s="965"/>
      <c r="AA119" s="965"/>
      <c r="AB119" s="965"/>
      <c r="AC119" s="965"/>
      <c r="AD119" s="965"/>
      <c r="AE119" s="965"/>
      <c r="AF119" s="965"/>
      <c r="AG119" s="965"/>
      <c r="AH119" s="965"/>
      <c r="AI119" s="965"/>
      <c r="AJ119" s="965"/>
      <c r="AK119" s="967"/>
      <c r="AL119" s="967"/>
      <c r="AM119" s="967"/>
      <c r="AN119" s="355"/>
      <c r="AO119" s="436"/>
      <c r="AP119" s="436"/>
      <c r="AQ119" s="436"/>
      <c r="AR119" s="435"/>
      <c r="AS119" s="439"/>
      <c r="AT119" s="439"/>
      <c r="AU119" s="439"/>
      <c r="AV119" s="439"/>
      <c r="AW119" s="439"/>
      <c r="AX119" s="440"/>
      <c r="AY119" s="821"/>
      <c r="AZ119" s="821"/>
      <c r="BA119" s="821"/>
      <c r="BB119" s="821"/>
      <c r="BC119" s="821"/>
      <c r="BD119" s="821"/>
      <c r="BE119" s="434"/>
      <c r="BF119" s="968"/>
      <c r="BG119" s="968"/>
      <c r="BH119" s="968"/>
      <c r="BI119" s="968"/>
      <c r="BJ119" s="968"/>
      <c r="BK119" s="851"/>
      <c r="BL119" s="826"/>
      <c r="BM119" s="820"/>
      <c r="BN119" s="820"/>
      <c r="BO119" s="820"/>
      <c r="BP119" s="435"/>
      <c r="BQ119" s="821"/>
      <c r="BR119" s="821"/>
      <c r="BS119" s="821"/>
      <c r="BT119" s="821"/>
      <c r="BU119" s="821"/>
      <c r="BV119" s="818"/>
      <c r="BW119" s="822"/>
      <c r="BX119" s="822"/>
      <c r="BY119" s="822"/>
      <c r="BZ119" s="822"/>
      <c r="CA119" s="822"/>
      <c r="CB119" s="819"/>
      <c r="CC119" s="822"/>
      <c r="CD119" s="822"/>
      <c r="CE119" s="822"/>
      <c r="CF119" s="822"/>
      <c r="CG119" s="822"/>
      <c r="CH119" s="285"/>
      <c r="CI119" s="288"/>
      <c r="CJ119" s="288"/>
    </row>
    <row r="120" spans="1:88" ht="15" customHeight="1" thickBot="1">
      <c r="E120" s="963"/>
      <c r="F120" s="963"/>
      <c r="G120" s="965"/>
      <c r="H120" s="965"/>
      <c r="I120" s="965"/>
      <c r="J120" s="965"/>
      <c r="K120" s="965"/>
      <c r="L120" s="965"/>
      <c r="M120" s="965"/>
      <c r="N120" s="965"/>
      <c r="O120" s="965"/>
      <c r="P120" s="965"/>
      <c r="Q120" s="965"/>
      <c r="R120" s="965"/>
      <c r="S120" s="965"/>
      <c r="T120" s="965"/>
      <c r="U120" s="965"/>
      <c r="V120" s="965"/>
      <c r="W120" s="965"/>
      <c r="X120" s="965"/>
      <c r="Y120" s="965"/>
      <c r="Z120" s="965"/>
      <c r="AA120" s="965"/>
      <c r="AB120" s="965"/>
      <c r="AC120" s="965"/>
      <c r="AD120" s="965"/>
      <c r="AE120" s="965"/>
      <c r="AF120" s="965"/>
      <c r="AG120" s="965"/>
      <c r="AH120" s="965"/>
      <c r="AI120" s="965"/>
      <c r="AJ120" s="965"/>
      <c r="AK120" s="967"/>
      <c r="AL120" s="967"/>
      <c r="AM120" s="967"/>
      <c r="AN120" s="355"/>
      <c r="AO120" s="432" t="str">
        <f>IF(LEN(VLOOKUP(AK118,suvaha!$D$92:$H$158,2,FALSE))&lt;11,"",LEFT(RIGHT(VLOOKUP(AK118,suvaha!$D$92:$H$158,2,FALSE),11),1))</f>
        <v/>
      </c>
      <c r="AP120" s="255"/>
      <c r="AQ120" s="432" t="str">
        <f>IF(LEN(VLOOKUP(AK118,suvaha!$D$92:$H$158,2,FALSE))&lt;10,"",LEFT(RIGHT(VLOOKUP(AK118,suvaha!$D$92:$H$158,2,FALSE),10),1))</f>
        <v/>
      </c>
      <c r="AR120" s="434"/>
      <c r="AS120" s="432" t="str">
        <f>IF(LEN(VLOOKUP(AK118,suvaha!$D$92:$H$158,2,FALSE))&lt;9,"",LEFT(RIGHT(VLOOKUP(AK118,suvaha!$D$92:$H$158,2,FALSE),9),1))</f>
        <v/>
      </c>
      <c r="AT120" s="255"/>
      <c r="AU120" s="432" t="str">
        <f>IF(LEN(VLOOKUP(AK118,suvaha!$D$92:$H$158,2,FALSE))&lt;8,"",LEFT(RIGHT(VLOOKUP(AK118,suvaha!$D$92:$H$158,2,FALSE),8),1))</f>
        <v/>
      </c>
      <c r="AV120" s="434"/>
      <c r="AW120" s="432" t="str">
        <f>IF(LEN(VLOOKUP(AK118,suvaha!$D$92:$H$158,2,FALSE))&lt;7,"",LEFT(RIGHT(VLOOKUP(AK118,suvaha!$D$92:$H$158,2,FALSE),7),1))</f>
        <v/>
      </c>
      <c r="AX120" s="440"/>
      <c r="AY120" s="432" t="str">
        <f>IF(LEN(VLOOKUP(AK118,suvaha!$D$92:$H$158,2,FALSE))&lt;6,"",LEFT(RIGHT(VLOOKUP(AK118,suvaha!$D$92:$H$158,2,FALSE),6),1))</f>
        <v/>
      </c>
      <c r="AZ120" s="255"/>
      <c r="BA120" s="961" t="str">
        <f>IF(LEN(VLOOKUP(AK118,suvaha!$D$92:$H$158,2,FALSE))&lt;5,"",LEFT(RIGHT(VLOOKUP(AK118,suvaha!$D$92:$H$158,2,FALSE),5),1))</f>
        <v/>
      </c>
      <c r="BB120" s="961" t="e">
        <f>IF(LEN(#REF!)&lt;5,"",LEFT(RIGHT(#REF!,5),1))</f>
        <v>#REF!</v>
      </c>
      <c r="BC120" s="434"/>
      <c r="BD120" s="432" t="str">
        <f>IF(LEN(VLOOKUP(AK118,suvaha!$D$92:$H$158,2,FALSE))&lt;4,"",LEFT(RIGHT(VLOOKUP(AK118,suvaha!$D$92:$H$158,2,FALSE),4),1))</f>
        <v/>
      </c>
      <c r="BE120" s="434"/>
      <c r="BF120" s="432" t="str">
        <f>IF(LEN(VLOOKUP(AK118,suvaha!$D$92:$H$158,2,FALSE))&lt;3,"",LEFT(RIGHT(VLOOKUP(AK118,suvaha!$D$92:$H$158,2,FALSE),3),1))</f>
        <v/>
      </c>
      <c r="BG120" s="434"/>
      <c r="BH120" s="432" t="str">
        <f>IF(LEN(VLOOKUP(AK118,suvaha!$D$92:$H$158,2,FALSE))&lt;2,"",LEFT(RIGHT(VLOOKUP(AK118,suvaha!$D$92:$H$158,2,FALSE),2),1))</f>
        <v/>
      </c>
      <c r="BI120" s="434"/>
      <c r="BJ120" s="432" t="str">
        <f>IF(VLOOKUP(AK118,suvaha!$D$92:$H$158,2,FALSE)=0,"",IF(LEN(VLOOKUP(AK118,suvaha!$D$92:$H$158,2,FALSE))&lt;1,"",LEFT(RIGHT(VLOOKUP(AK118,suvaha!$D$92:$H$158,2,FALSE),1),1)))</f>
        <v/>
      </c>
      <c r="BK120" s="851"/>
      <c r="BL120" s="826"/>
      <c r="BM120" s="432" t="str">
        <f>IF(LEN(VLOOKUP(AK118,suvaha!$D$92:$H$158,4,FALSE))&lt;11,"",LEFT(RIGHT(VLOOKUP(AK118,suvaha!$D$92:$H$158,4,FALSE),11),1))</f>
        <v/>
      </c>
      <c r="BN120" s="255"/>
      <c r="BO120" s="432" t="str">
        <f>IF(LEN(VLOOKUP(AK118,suvaha!$D$92:$H$158,4,FALSE))&lt;10,"",LEFT(RIGHT(VLOOKUP(AK118,suvaha!$D$92:$H$158,4,FALSE),10),1))</f>
        <v/>
      </c>
      <c r="BP120" s="434"/>
      <c r="BQ120" s="432" t="str">
        <f>IF(LEN(VLOOKUP(AK118,suvaha!$D$92:$H$158,4,FALSE))&lt;9,"",LEFT(RIGHT(VLOOKUP(AK118,suvaha!$D$92:$H$158,4,FALSE),9),1))</f>
        <v/>
      </c>
      <c r="BR120" s="255"/>
      <c r="BS120" s="432" t="str">
        <f>IF(LEN(VLOOKUP(AK118,suvaha!$D$92:$H$158,4,FALSE))&lt;8,"",LEFT(RIGHT(VLOOKUP(AK118,suvaha!$D$92:$H$158,4,FALSE),8),1))</f>
        <v/>
      </c>
      <c r="BT120" s="434"/>
      <c r="BU120" s="432" t="str">
        <f>IF(LEN(VLOOKUP(AK118,suvaha!$D$92:$H$158,4,FALSE))&lt;7,"",LEFT(RIGHT(VLOOKUP(AK118,suvaha!$D$92:$H$158,4,FALSE),7),1))</f>
        <v/>
      </c>
      <c r="BV120" s="818"/>
      <c r="BW120" s="432" t="str">
        <f>IF(LEN(VLOOKUP(AK118,suvaha!$D$92:$H$158,4,FALSE))&lt;6,"",LEFT(RIGHT(VLOOKUP(AK118,suvaha!$D$92:$H$158,4,FALSE),6),1))</f>
        <v/>
      </c>
      <c r="BX120" s="434"/>
      <c r="BY120" s="432" t="str">
        <f>IF(LEN(VLOOKUP(AK118,suvaha!$D$92:$H$158,4,FALSE))&lt;5,"",LEFT(RIGHT(VLOOKUP(AK118,suvaha!$D$92:$H$158,4,FALSE),5),1))</f>
        <v/>
      </c>
      <c r="BZ120" s="434"/>
      <c r="CA120" s="432" t="str">
        <f>IF(LEN(VLOOKUP(AK118,suvaha!$D$92:$H$158,4,FALSE))&lt;4,"",LEFT(RIGHT(VLOOKUP(AK118,suvaha!$D$92:$H$158,4,FALSE),4),1))</f>
        <v/>
      </c>
      <c r="CB120" s="819"/>
      <c r="CC120" s="432" t="str">
        <f>IF(LEN(VLOOKUP(AK118,suvaha!$D$92:$H$158,4,FALSE))&lt;3,"",LEFT(RIGHT(VLOOKUP(AK118,suvaha!$D$92:$H$158,4,FALSE),3),1))</f>
        <v/>
      </c>
      <c r="CD120" s="434"/>
      <c r="CE120" s="432" t="str">
        <f>IF(LEN(VLOOKUP(AK118,suvaha!$D$92:$H$158,4,FALSE))&lt;2,"",LEFT(RIGHT(VLOOKUP(AK118,suvaha!$D$92:$H$158,4,FALSE),2),1))</f>
        <v/>
      </c>
      <c r="CF120" s="434"/>
      <c r="CG120" s="432" t="str">
        <f>IF(VLOOKUP(AK118,suvaha!$D$92:$H$158,4,FALSE)=0,"",IF(LEN(VLOOKUP(AK118,suvaha!$D$92:$H$158,4,FALSE))&lt;1,"",LEFT(RIGHT(VLOOKUP(AK118,suvaha!$D$92:$H$158,4,FALSE),1),1)))</f>
        <v/>
      </c>
      <c r="CH120" s="285"/>
      <c r="CI120" s="220"/>
      <c r="CJ120" s="220"/>
    </row>
    <row r="121" spans="1:88" ht="3" customHeight="1" thickBot="1">
      <c r="E121" s="963"/>
      <c r="F121" s="963"/>
      <c r="G121" s="965"/>
      <c r="H121" s="965"/>
      <c r="I121" s="965"/>
      <c r="J121" s="965"/>
      <c r="K121" s="965"/>
      <c r="L121" s="965"/>
      <c r="M121" s="965"/>
      <c r="N121" s="965"/>
      <c r="O121" s="965"/>
      <c r="P121" s="965"/>
      <c r="Q121" s="965"/>
      <c r="R121" s="965"/>
      <c r="S121" s="965"/>
      <c r="T121" s="965"/>
      <c r="U121" s="965"/>
      <c r="V121" s="965"/>
      <c r="W121" s="965"/>
      <c r="X121" s="965"/>
      <c r="Y121" s="965"/>
      <c r="Z121" s="965"/>
      <c r="AA121" s="965"/>
      <c r="AB121" s="965"/>
      <c r="AC121" s="965"/>
      <c r="AD121" s="965"/>
      <c r="AE121" s="965"/>
      <c r="AF121" s="965"/>
      <c r="AG121" s="965"/>
      <c r="AH121" s="965"/>
      <c r="AI121" s="965"/>
      <c r="AJ121" s="965"/>
      <c r="AK121" s="967"/>
      <c r="AL121" s="967"/>
      <c r="AM121" s="967"/>
      <c r="AN121" s="358"/>
      <c r="AO121" s="360"/>
      <c r="AP121" s="360"/>
      <c r="AQ121" s="360"/>
      <c r="AR121" s="360"/>
      <c r="AS121" s="360"/>
      <c r="AT121" s="360"/>
      <c r="AU121" s="360"/>
      <c r="AV121" s="360"/>
      <c r="AW121" s="360"/>
      <c r="AX121" s="360"/>
      <c r="AY121" s="360"/>
      <c r="AZ121" s="360"/>
      <c r="BA121" s="360"/>
      <c r="BB121" s="360"/>
      <c r="BC121" s="360"/>
      <c r="BD121" s="360"/>
      <c r="BE121" s="256"/>
      <c r="BF121" s="256"/>
      <c r="BG121" s="256"/>
      <c r="BH121" s="256"/>
      <c r="BI121" s="256"/>
      <c r="BJ121" s="256"/>
      <c r="BK121" s="256"/>
      <c r="BL121" s="969"/>
      <c r="BM121" s="969"/>
      <c r="BN121" s="969"/>
      <c r="BO121" s="969"/>
      <c r="BP121" s="969"/>
      <c r="BQ121" s="969"/>
      <c r="BR121" s="969"/>
      <c r="BS121" s="969"/>
      <c r="BT121" s="969"/>
      <c r="BU121" s="969"/>
      <c r="BV121" s="969"/>
      <c r="BW121" s="969"/>
      <c r="BX121" s="969"/>
      <c r="BY121" s="969"/>
      <c r="BZ121" s="969"/>
      <c r="CA121" s="969"/>
      <c r="CB121" s="969"/>
      <c r="CC121" s="256"/>
      <c r="CD121" s="256"/>
      <c r="CE121" s="256"/>
      <c r="CF121" s="256"/>
      <c r="CG121" s="256"/>
      <c r="CH121" s="286"/>
      <c r="CI121" s="220"/>
      <c r="CJ121" s="220"/>
    </row>
    <row r="122" spans="1:88" ht="6" customHeight="1">
      <c r="D122" s="220"/>
      <c r="E122" s="268"/>
      <c r="F122" s="268"/>
      <c r="G122" s="268"/>
      <c r="H122" s="240"/>
      <c r="I122" s="240"/>
      <c r="J122" s="240"/>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220"/>
      <c r="CJ122" s="220"/>
    </row>
    <row r="123" spans="1:88" ht="13.5" thickBot="1">
      <c r="D123" s="220"/>
      <c r="E123" s="289"/>
      <c r="F123" s="268"/>
      <c r="G123" s="268"/>
      <c r="H123" s="98"/>
      <c r="I123" s="240"/>
      <c r="J123" s="240"/>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959"/>
      <c r="CH123" s="959"/>
      <c r="CI123" s="220"/>
      <c r="CJ123" s="220"/>
    </row>
    <row r="124" spans="1:88" ht="8.25" customHeight="1" thickTop="1">
      <c r="D124" s="220"/>
      <c r="E124" s="268"/>
      <c r="F124" s="268"/>
      <c r="G124" s="268"/>
      <c r="H124" s="98" t="s">
        <v>1532</v>
      </c>
      <c r="I124" s="240"/>
      <c r="J124" s="240"/>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290"/>
      <c r="BZ124" s="356"/>
      <c r="CA124" s="415" t="str">
        <f>Index!C427</f>
        <v>Strana 9</v>
      </c>
      <c r="CB124" s="356"/>
      <c r="CC124" s="356"/>
      <c r="CD124" s="356"/>
      <c r="CE124" s="356"/>
      <c r="CF124" s="356"/>
      <c r="CG124" s="356"/>
      <c r="CH124" s="356"/>
    </row>
    <row r="125" spans="1:88" s="277" customFormat="1">
      <c r="A125" s="272"/>
      <c r="B125" s="272"/>
      <c r="C125" s="272"/>
      <c r="D125" s="272"/>
      <c r="E125" s="273"/>
      <c r="F125" s="273"/>
      <c r="G125" s="273"/>
      <c r="H125" s="274"/>
      <c r="I125" s="274"/>
      <c r="J125" s="274"/>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c r="CG125" s="275"/>
      <c r="CH125" s="275"/>
    </row>
    <row r="126" spans="1:88" s="277" customFormat="1">
      <c r="A126" s="272"/>
      <c r="B126" s="272"/>
      <c r="C126" s="272"/>
      <c r="D126" s="272"/>
      <c r="E126" s="273"/>
      <c r="F126" s="273"/>
      <c r="G126" s="273"/>
      <c r="H126" s="274"/>
      <c r="I126" s="274"/>
      <c r="J126" s="274"/>
      <c r="K126" s="275"/>
      <c r="L126" s="275"/>
      <c r="M126" s="275"/>
      <c r="N126" s="275"/>
      <c r="O126" s="275"/>
      <c r="P126" s="275"/>
      <c r="Q126" s="275"/>
      <c r="R126" s="275"/>
      <c r="S126" s="275"/>
      <c r="T126" s="275"/>
      <c r="U126" s="275"/>
      <c r="V126" s="275"/>
      <c r="W126" s="275"/>
      <c r="X126" s="275"/>
      <c r="Y126" s="275"/>
      <c r="Z126" s="275"/>
      <c r="AA126" s="275"/>
      <c r="AB126" s="275"/>
      <c r="AC126" s="275"/>
      <c r="AD126" s="275"/>
      <c r="AE126" s="276">
        <v>10</v>
      </c>
      <c r="AF126" s="275"/>
      <c r="AG126" s="276">
        <v>9</v>
      </c>
      <c r="AH126" s="275"/>
      <c r="AI126" s="276">
        <v>8</v>
      </c>
      <c r="AJ126" s="275"/>
      <c r="AK126" s="276">
        <v>7</v>
      </c>
      <c r="AL126" s="275"/>
      <c r="AM126" s="276">
        <v>6</v>
      </c>
      <c r="AN126" s="275"/>
      <c r="AO126" s="276">
        <v>5</v>
      </c>
      <c r="AP126" s="275"/>
      <c r="AQ126" s="276">
        <v>4</v>
      </c>
      <c r="AR126" s="275"/>
      <c r="AS126" s="276">
        <v>3</v>
      </c>
      <c r="AT126" s="275"/>
      <c r="AU126" s="276">
        <v>2</v>
      </c>
      <c r="AV126" s="275"/>
      <c r="AW126" s="276">
        <v>1</v>
      </c>
      <c r="AX126" s="275"/>
      <c r="AY126" s="276">
        <v>0</v>
      </c>
      <c r="AZ126" s="275"/>
      <c r="BA126" s="275"/>
      <c r="BB126" s="276">
        <v>10</v>
      </c>
      <c r="BC126" s="275"/>
      <c r="BD126" s="276">
        <v>9</v>
      </c>
      <c r="BE126" s="275"/>
      <c r="BF126" s="276">
        <v>8</v>
      </c>
      <c r="BG126" s="275"/>
      <c r="BH126" s="276">
        <v>7</v>
      </c>
      <c r="BI126" s="275"/>
      <c r="BJ126" s="276">
        <v>6</v>
      </c>
      <c r="BK126" s="276">
        <v>5</v>
      </c>
      <c r="BL126" s="276">
        <v>5</v>
      </c>
      <c r="BM126" s="276">
        <v>5</v>
      </c>
      <c r="BN126" s="276"/>
      <c r="BO126" s="276">
        <v>4</v>
      </c>
      <c r="BP126" s="276"/>
      <c r="BQ126" s="276">
        <v>3</v>
      </c>
      <c r="BR126" s="276">
        <v>2</v>
      </c>
      <c r="BS126" s="276">
        <v>2</v>
      </c>
      <c r="BT126" s="276">
        <v>1</v>
      </c>
      <c r="BU126" s="276">
        <v>1</v>
      </c>
      <c r="BV126" s="276"/>
      <c r="BW126" s="276">
        <v>0</v>
      </c>
      <c r="BX126" s="275"/>
      <c r="BY126" s="275"/>
      <c r="BZ126" s="275"/>
      <c r="CA126" s="275"/>
      <c r="CB126" s="275"/>
      <c r="CC126" s="275"/>
      <c r="CD126" s="275"/>
      <c r="CE126" s="275"/>
      <c r="CF126" s="275"/>
      <c r="CG126" s="275"/>
      <c r="CH126" s="272"/>
      <c r="CI126" s="272"/>
      <c r="CJ126" s="272"/>
    </row>
    <row r="127" spans="1:88" s="277" customFormat="1">
      <c r="B127" s="272"/>
      <c r="C127" s="272"/>
      <c r="D127" s="272"/>
      <c r="E127" s="273"/>
      <c r="F127" s="273"/>
      <c r="G127" s="273"/>
      <c r="H127" s="274"/>
      <c r="I127" s="274"/>
      <c r="J127" s="274"/>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6">
        <v>10</v>
      </c>
      <c r="AP127" s="276"/>
      <c r="AQ127" s="276">
        <v>9</v>
      </c>
      <c r="AR127" s="276"/>
      <c r="AS127" s="276">
        <v>8</v>
      </c>
      <c r="AT127" s="276"/>
      <c r="AU127" s="276">
        <v>7</v>
      </c>
      <c r="AV127" s="276"/>
      <c r="AW127" s="276">
        <v>6</v>
      </c>
      <c r="AX127" s="276"/>
      <c r="AY127" s="276">
        <v>5</v>
      </c>
      <c r="AZ127" s="276"/>
      <c r="BA127" s="276"/>
      <c r="BB127" s="276">
        <v>4</v>
      </c>
      <c r="BC127" s="276"/>
      <c r="BD127" s="276">
        <v>3</v>
      </c>
      <c r="BE127" s="276"/>
      <c r="BF127" s="276">
        <v>2</v>
      </c>
      <c r="BG127" s="276"/>
      <c r="BH127" s="276">
        <v>1</v>
      </c>
      <c r="BI127" s="276"/>
      <c r="BJ127" s="276">
        <v>0</v>
      </c>
      <c r="BK127" s="276">
        <v>10</v>
      </c>
      <c r="BL127" s="276">
        <v>10</v>
      </c>
      <c r="BM127" s="276">
        <v>10</v>
      </c>
      <c r="BN127" s="276"/>
      <c r="BO127" s="276">
        <v>9</v>
      </c>
      <c r="BP127" s="276"/>
      <c r="BQ127" s="276">
        <v>8</v>
      </c>
      <c r="BR127" s="276"/>
      <c r="BS127" s="276">
        <v>7</v>
      </c>
      <c r="BT127" s="276"/>
      <c r="BU127" s="276">
        <v>6</v>
      </c>
      <c r="BV127" s="276"/>
      <c r="BW127" s="276">
        <v>5</v>
      </c>
      <c r="BX127" s="276"/>
      <c r="BY127" s="276">
        <v>4</v>
      </c>
      <c r="BZ127" s="276"/>
      <c r="CA127" s="276">
        <v>3</v>
      </c>
      <c r="CB127" s="276"/>
      <c r="CC127" s="276">
        <v>2</v>
      </c>
      <c r="CD127" s="276"/>
      <c r="CE127" s="276">
        <v>1</v>
      </c>
      <c r="CF127" s="276"/>
      <c r="CG127" s="276">
        <v>0</v>
      </c>
      <c r="CH127" s="272"/>
      <c r="CJ127" s="272"/>
    </row>
    <row r="128" spans="1:88" s="293" customFormat="1">
      <c r="A128" s="292"/>
      <c r="B128" s="292"/>
      <c r="C128" s="292"/>
      <c r="E128" s="294"/>
      <c r="F128" s="294"/>
      <c r="G128" s="294"/>
      <c r="H128" s="295"/>
      <c r="I128" s="295"/>
      <c r="J128" s="295"/>
      <c r="K128" s="296"/>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296"/>
      <c r="AJ128" s="296"/>
      <c r="AK128" s="296"/>
      <c r="AL128" s="296"/>
      <c r="AM128" s="296"/>
      <c r="AN128" s="296"/>
      <c r="AO128" s="296"/>
      <c r="AP128" s="296"/>
      <c r="AQ128" s="296"/>
      <c r="AR128" s="296"/>
      <c r="AS128" s="296"/>
      <c r="AT128" s="296"/>
      <c r="AU128" s="296"/>
      <c r="AV128" s="296"/>
      <c r="AW128" s="296"/>
      <c r="AX128" s="296"/>
      <c r="AY128" s="296"/>
      <c r="AZ128" s="296"/>
      <c r="BA128" s="296"/>
      <c r="BB128" s="296"/>
      <c r="BC128" s="296"/>
      <c r="BD128" s="296"/>
      <c r="BE128" s="296"/>
      <c r="BF128" s="296"/>
      <c r="BG128" s="296"/>
      <c r="BH128" s="296"/>
      <c r="BI128" s="296"/>
      <c r="BJ128" s="296"/>
      <c r="BK128" s="296"/>
      <c r="BL128" s="296"/>
      <c r="BM128" s="296"/>
      <c r="BN128" s="296"/>
      <c r="BO128" s="296"/>
      <c r="BP128" s="296"/>
      <c r="BQ128" s="296"/>
      <c r="BR128" s="296"/>
      <c r="BS128" s="296"/>
      <c r="BT128" s="296"/>
      <c r="BU128" s="296"/>
      <c r="BV128" s="296"/>
      <c r="BW128" s="296"/>
      <c r="BX128" s="296"/>
      <c r="BY128" s="296"/>
      <c r="BZ128" s="296"/>
      <c r="CA128" s="296"/>
      <c r="CB128" s="296"/>
      <c r="CC128" s="296"/>
      <c r="CD128" s="296"/>
      <c r="CE128" s="296"/>
      <c r="CF128" s="296"/>
      <c r="CG128" s="296"/>
      <c r="CH128" s="296"/>
    </row>
    <row r="129" spans="5:86">
      <c r="E129" s="268"/>
      <c r="F129" s="268"/>
      <c r="G129" s="268"/>
      <c r="H129" s="240"/>
      <c r="I129" s="240"/>
      <c r="J129" s="240"/>
      <c r="K129" s="356"/>
      <c r="L129" s="356"/>
      <c r="M129" s="356"/>
      <c r="N129" s="356"/>
      <c r="O129" s="356"/>
      <c r="P129" s="356"/>
      <c r="Q129" s="356"/>
      <c r="R129" s="356"/>
      <c r="S129" s="356"/>
      <c r="T129" s="356"/>
      <c r="U129" s="356"/>
      <c r="V129" s="356"/>
      <c r="W129" s="356"/>
      <c r="X129" s="356"/>
      <c r="Y129" s="356"/>
      <c r="Z129" s="356"/>
      <c r="AA129" s="356"/>
      <c r="AB129" s="356"/>
      <c r="AC129" s="356"/>
      <c r="AD129" s="356"/>
      <c r="AE129" s="356"/>
      <c r="AF129" s="356"/>
      <c r="AG129" s="356"/>
      <c r="AH129" s="356"/>
      <c r="AI129" s="356"/>
      <c r="AJ129" s="356"/>
      <c r="AK129" s="356"/>
      <c r="AL129" s="356"/>
      <c r="AM129" s="356"/>
      <c r="AN129" s="356"/>
      <c r="AO129" s="356"/>
      <c r="AP129" s="356"/>
      <c r="AQ129" s="356"/>
      <c r="AR129" s="356"/>
      <c r="AS129" s="356"/>
      <c r="AT129" s="356"/>
      <c r="AU129" s="356"/>
      <c r="AV129" s="356"/>
      <c r="AW129" s="356"/>
      <c r="AX129" s="356"/>
      <c r="AY129" s="356"/>
      <c r="AZ129" s="356"/>
      <c r="BA129" s="356"/>
      <c r="BB129" s="356"/>
      <c r="BC129" s="356"/>
      <c r="BD129" s="356"/>
      <c r="BE129" s="356"/>
      <c r="BF129" s="356"/>
      <c r="BG129" s="356"/>
      <c r="BH129" s="356"/>
      <c r="BI129" s="356"/>
      <c r="BJ129" s="356"/>
      <c r="BK129" s="356"/>
      <c r="BL129" s="356"/>
      <c r="BM129" s="356"/>
      <c r="BN129" s="356"/>
      <c r="BO129" s="356"/>
      <c r="BP129" s="356"/>
      <c r="BQ129" s="356"/>
      <c r="BR129" s="356"/>
      <c r="BS129" s="356"/>
      <c r="BT129" s="356"/>
      <c r="BU129" s="356"/>
      <c r="BV129" s="356"/>
      <c r="BW129" s="356"/>
      <c r="BX129" s="356"/>
      <c r="BY129" s="356"/>
      <c r="BZ129" s="356"/>
      <c r="CA129" s="356"/>
      <c r="CB129" s="356"/>
      <c r="CC129" s="356"/>
      <c r="CD129" s="356"/>
      <c r="CE129" s="356"/>
      <c r="CF129" s="356"/>
      <c r="CG129" s="356"/>
      <c r="CH129" s="356"/>
    </row>
    <row r="130" spans="5:86">
      <c r="E130" s="268"/>
      <c r="F130" s="268"/>
      <c r="G130" s="268"/>
      <c r="H130" s="240"/>
      <c r="I130" s="240"/>
      <c r="J130" s="240"/>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row>
  </sheetData>
  <mergeCells count="478">
    <mergeCell ref="BL7:CH8"/>
    <mergeCell ref="AF4:AF5"/>
    <mergeCell ref="AH4:AH5"/>
    <mergeCell ref="AJ4:AJ5"/>
    <mergeCell ref="AL4:AL5"/>
    <mergeCell ref="AN4:AN5"/>
    <mergeCell ref="AP4:AP5"/>
    <mergeCell ref="H2:X4"/>
    <mergeCell ref="AB2:AX2"/>
    <mergeCell ref="AY2:AY5"/>
    <mergeCell ref="AZ2:BT2"/>
    <mergeCell ref="BU2:CE5"/>
    <mergeCell ref="AE3:AW3"/>
    <mergeCell ref="AZ3:BC4"/>
    <mergeCell ref="BD3:BS3"/>
    <mergeCell ref="AB4:AC5"/>
    <mergeCell ref="AD4:AD5"/>
    <mergeCell ref="B8:D8"/>
    <mergeCell ref="B9:C9"/>
    <mergeCell ref="E9:F9"/>
    <mergeCell ref="G9:AJ9"/>
    <mergeCell ref="AK9:AM9"/>
    <mergeCell ref="AN9:BJ9"/>
    <mergeCell ref="AR4:AR5"/>
    <mergeCell ref="E7:F8"/>
    <mergeCell ref="G7:AJ8"/>
    <mergeCell ref="AK7:AM8"/>
    <mergeCell ref="AN7:BJ8"/>
    <mergeCell ref="BQ11:BU11"/>
    <mergeCell ref="BV11:BV12"/>
    <mergeCell ref="BW11:CA11"/>
    <mergeCell ref="CB11:CB12"/>
    <mergeCell ref="CC11:CG11"/>
    <mergeCell ref="BA12:BB12"/>
    <mergeCell ref="BL9:CH9"/>
    <mergeCell ref="E10:F13"/>
    <mergeCell ref="G10:AJ13"/>
    <mergeCell ref="AK10:AM13"/>
    <mergeCell ref="BL10:CB10"/>
    <mergeCell ref="AY11:BD11"/>
    <mergeCell ref="BF11:BJ11"/>
    <mergeCell ref="BK11:BK12"/>
    <mergeCell ref="BL11:BL12"/>
    <mergeCell ref="BM11:BO11"/>
    <mergeCell ref="BQ15:BU15"/>
    <mergeCell ref="BV15:BV16"/>
    <mergeCell ref="BW15:CA15"/>
    <mergeCell ref="CB15:CB16"/>
    <mergeCell ref="CC15:CG15"/>
    <mergeCell ref="BA16:BB16"/>
    <mergeCell ref="BL13:CB13"/>
    <mergeCell ref="E14:F17"/>
    <mergeCell ref="G14:AJ17"/>
    <mergeCell ref="AK14:AM17"/>
    <mergeCell ref="BL14:CB14"/>
    <mergeCell ref="AY15:BD15"/>
    <mergeCell ref="BF15:BJ15"/>
    <mergeCell ref="BK15:BK16"/>
    <mergeCell ref="BL15:BL16"/>
    <mergeCell ref="BM15:BO15"/>
    <mergeCell ref="BQ19:BU19"/>
    <mergeCell ref="BV19:BV20"/>
    <mergeCell ref="BW19:CA19"/>
    <mergeCell ref="CB19:CB20"/>
    <mergeCell ref="CC19:CG19"/>
    <mergeCell ref="BA20:BB20"/>
    <mergeCell ref="BL17:CB17"/>
    <mergeCell ref="E18:F21"/>
    <mergeCell ref="G18:AJ21"/>
    <mergeCell ref="AK18:AM21"/>
    <mergeCell ref="BL18:CB18"/>
    <mergeCell ref="AY19:BD19"/>
    <mergeCell ref="BF19:BJ19"/>
    <mergeCell ref="BK19:BK20"/>
    <mergeCell ref="BL19:BL20"/>
    <mergeCell ref="BM19:BO19"/>
    <mergeCell ref="BQ23:BU23"/>
    <mergeCell ref="BV23:BV24"/>
    <mergeCell ref="BW23:CA23"/>
    <mergeCell ref="CB23:CB24"/>
    <mergeCell ref="CC23:CG23"/>
    <mergeCell ref="BA24:BB24"/>
    <mergeCell ref="BL21:CB21"/>
    <mergeCell ref="E22:F25"/>
    <mergeCell ref="G22:AJ25"/>
    <mergeCell ref="AK22:AM25"/>
    <mergeCell ref="BL22:CB22"/>
    <mergeCell ref="AY23:BD23"/>
    <mergeCell ref="BF23:BJ23"/>
    <mergeCell ref="BK23:BK24"/>
    <mergeCell ref="BL23:BL24"/>
    <mergeCell ref="BM23:BO23"/>
    <mergeCell ref="BQ27:BU27"/>
    <mergeCell ref="BV27:BV28"/>
    <mergeCell ref="BW27:CA27"/>
    <mergeCell ref="CB27:CB28"/>
    <mergeCell ref="CC27:CG27"/>
    <mergeCell ref="BA28:BB28"/>
    <mergeCell ref="BL25:CB25"/>
    <mergeCell ref="E26:F29"/>
    <mergeCell ref="G26:AJ29"/>
    <mergeCell ref="AK26:AM29"/>
    <mergeCell ref="BL26:CB26"/>
    <mergeCell ref="AY27:BD27"/>
    <mergeCell ref="BF27:BJ27"/>
    <mergeCell ref="BK27:BK28"/>
    <mergeCell ref="BL27:BL28"/>
    <mergeCell ref="BM27:BO27"/>
    <mergeCell ref="BQ31:BU31"/>
    <mergeCell ref="BV31:BV32"/>
    <mergeCell ref="BW31:CA31"/>
    <mergeCell ref="CB31:CB32"/>
    <mergeCell ref="CC31:CG31"/>
    <mergeCell ref="BA32:BB32"/>
    <mergeCell ref="BL29:CB29"/>
    <mergeCell ref="E30:F33"/>
    <mergeCell ref="G30:AJ33"/>
    <mergeCell ref="AK30:AM33"/>
    <mergeCell ref="BL30:CB30"/>
    <mergeCell ref="AY31:BD31"/>
    <mergeCell ref="BF31:BJ31"/>
    <mergeCell ref="BK31:BK32"/>
    <mergeCell ref="BL31:BL32"/>
    <mergeCell ref="BM31:BO31"/>
    <mergeCell ref="BQ35:BU35"/>
    <mergeCell ref="BV35:BV36"/>
    <mergeCell ref="BW35:CA35"/>
    <mergeCell ref="CB35:CB36"/>
    <mergeCell ref="CC35:CG35"/>
    <mergeCell ref="BA36:BB36"/>
    <mergeCell ref="BL33:CB33"/>
    <mergeCell ref="E34:F37"/>
    <mergeCell ref="G34:AJ37"/>
    <mergeCell ref="AK34:AM37"/>
    <mergeCell ref="BL34:CB34"/>
    <mergeCell ref="AY35:BD35"/>
    <mergeCell ref="BF35:BJ35"/>
    <mergeCell ref="BK35:BK36"/>
    <mergeCell ref="BL35:BL36"/>
    <mergeCell ref="BM35:BO35"/>
    <mergeCell ref="BQ39:BU39"/>
    <mergeCell ref="BV39:BV40"/>
    <mergeCell ref="BW39:CA39"/>
    <mergeCell ref="CB39:CB40"/>
    <mergeCell ref="CC39:CG39"/>
    <mergeCell ref="BA40:BB40"/>
    <mergeCell ref="BL37:CB37"/>
    <mergeCell ref="E38:F41"/>
    <mergeCell ref="G38:AJ41"/>
    <mergeCell ref="AK38:AM41"/>
    <mergeCell ref="BL38:CB38"/>
    <mergeCell ref="AY39:BD39"/>
    <mergeCell ref="BF39:BJ39"/>
    <mergeCell ref="BK39:BK40"/>
    <mergeCell ref="BL39:BL40"/>
    <mergeCell ref="BM39:BO39"/>
    <mergeCell ref="BQ43:BU43"/>
    <mergeCell ref="BV43:BV44"/>
    <mergeCell ref="BW43:CA43"/>
    <mergeCell ref="CB43:CB44"/>
    <mergeCell ref="CC43:CG43"/>
    <mergeCell ref="BA44:BB44"/>
    <mergeCell ref="BL41:CB41"/>
    <mergeCell ref="E42:F45"/>
    <mergeCell ref="G42:AJ45"/>
    <mergeCell ref="AK42:AM45"/>
    <mergeCell ref="BL42:CB42"/>
    <mergeCell ref="AY43:BD43"/>
    <mergeCell ref="BF43:BJ43"/>
    <mergeCell ref="BK43:BK44"/>
    <mergeCell ref="BL43:BL44"/>
    <mergeCell ref="BM43:BO43"/>
    <mergeCell ref="BQ47:BU47"/>
    <mergeCell ref="BV47:BV48"/>
    <mergeCell ref="BW47:CA47"/>
    <mergeCell ref="CB47:CB48"/>
    <mergeCell ref="CC47:CG47"/>
    <mergeCell ref="BA48:BB48"/>
    <mergeCell ref="BL45:CB45"/>
    <mergeCell ref="E46:F49"/>
    <mergeCell ref="G46:AJ49"/>
    <mergeCell ref="AK46:AM49"/>
    <mergeCell ref="BL46:CB46"/>
    <mergeCell ref="AY47:BD47"/>
    <mergeCell ref="BF47:BJ47"/>
    <mergeCell ref="BK47:BK48"/>
    <mergeCell ref="BL47:BL48"/>
    <mergeCell ref="BM47:BO47"/>
    <mergeCell ref="BQ51:BU51"/>
    <mergeCell ref="BV51:BV52"/>
    <mergeCell ref="BW51:CA51"/>
    <mergeCell ref="CB51:CB52"/>
    <mergeCell ref="CC51:CG51"/>
    <mergeCell ref="BA52:BB52"/>
    <mergeCell ref="BL49:CB49"/>
    <mergeCell ref="E50:F53"/>
    <mergeCell ref="G50:AJ53"/>
    <mergeCell ref="AK50:AM53"/>
    <mergeCell ref="BL50:CB50"/>
    <mergeCell ref="AY51:BD51"/>
    <mergeCell ref="BF51:BJ51"/>
    <mergeCell ref="BK51:BK52"/>
    <mergeCell ref="BL51:BL52"/>
    <mergeCell ref="BM51:BO51"/>
    <mergeCell ref="BQ55:BU55"/>
    <mergeCell ref="BV55:BV56"/>
    <mergeCell ref="BW55:CA55"/>
    <mergeCell ref="CB55:CB56"/>
    <mergeCell ref="CC55:CG55"/>
    <mergeCell ref="BA56:BB56"/>
    <mergeCell ref="BL53:CB53"/>
    <mergeCell ref="E54:F57"/>
    <mergeCell ref="G54:AJ57"/>
    <mergeCell ref="AK54:AM57"/>
    <mergeCell ref="BL54:CB54"/>
    <mergeCell ref="AY55:BD55"/>
    <mergeCell ref="BF55:BJ55"/>
    <mergeCell ref="BK55:BK56"/>
    <mergeCell ref="BL55:BL56"/>
    <mergeCell ref="BM55:BO55"/>
    <mergeCell ref="BQ59:BU59"/>
    <mergeCell ref="BV59:BV60"/>
    <mergeCell ref="BW59:CA59"/>
    <mergeCell ref="CB59:CB60"/>
    <mergeCell ref="CC59:CG59"/>
    <mergeCell ref="BA60:BB60"/>
    <mergeCell ref="BL57:CB57"/>
    <mergeCell ref="E58:F61"/>
    <mergeCell ref="G58:AJ61"/>
    <mergeCell ref="AK58:AM61"/>
    <mergeCell ref="BL58:CB58"/>
    <mergeCell ref="AY59:BD59"/>
    <mergeCell ref="BF59:BJ59"/>
    <mergeCell ref="BK59:BK60"/>
    <mergeCell ref="BL59:BL60"/>
    <mergeCell ref="BM59:BO59"/>
    <mergeCell ref="BQ63:BU63"/>
    <mergeCell ref="BV63:BV64"/>
    <mergeCell ref="BW63:CA63"/>
    <mergeCell ref="CB63:CB64"/>
    <mergeCell ref="CC63:CG63"/>
    <mergeCell ref="BA64:BB64"/>
    <mergeCell ref="BL61:CB61"/>
    <mergeCell ref="E62:F65"/>
    <mergeCell ref="G62:AJ65"/>
    <mergeCell ref="AK62:AM65"/>
    <mergeCell ref="BL62:CB62"/>
    <mergeCell ref="AY63:BD63"/>
    <mergeCell ref="BF63:BJ63"/>
    <mergeCell ref="BK63:BK64"/>
    <mergeCell ref="BL63:BL64"/>
    <mergeCell ref="BM63:BO63"/>
    <mergeCell ref="BQ67:BU67"/>
    <mergeCell ref="BV67:BV68"/>
    <mergeCell ref="BW67:CA67"/>
    <mergeCell ref="CB67:CB68"/>
    <mergeCell ref="CC67:CG67"/>
    <mergeCell ref="BA68:BB68"/>
    <mergeCell ref="BL65:CB65"/>
    <mergeCell ref="E66:F69"/>
    <mergeCell ref="G66:AJ69"/>
    <mergeCell ref="AK66:AM69"/>
    <mergeCell ref="BL66:CB66"/>
    <mergeCell ref="AY67:BD67"/>
    <mergeCell ref="BF67:BJ67"/>
    <mergeCell ref="BK67:BK68"/>
    <mergeCell ref="BL67:BL68"/>
    <mergeCell ref="BM67:BO67"/>
    <mergeCell ref="BQ71:BU71"/>
    <mergeCell ref="BV71:BV72"/>
    <mergeCell ref="BW71:CA71"/>
    <mergeCell ref="CB71:CB72"/>
    <mergeCell ref="CC71:CG71"/>
    <mergeCell ref="BA72:BB72"/>
    <mergeCell ref="BL69:CB69"/>
    <mergeCell ref="E70:F73"/>
    <mergeCell ref="G70:AJ73"/>
    <mergeCell ref="AK70:AM73"/>
    <mergeCell ref="BL70:CB70"/>
    <mergeCell ref="AY71:BD71"/>
    <mergeCell ref="BF71:BJ71"/>
    <mergeCell ref="BK71:BK72"/>
    <mergeCell ref="BL71:BL72"/>
    <mergeCell ref="BM71:BO71"/>
    <mergeCell ref="BQ75:BU75"/>
    <mergeCell ref="BV75:BV76"/>
    <mergeCell ref="BW75:CA75"/>
    <mergeCell ref="CB75:CB76"/>
    <mergeCell ref="CC75:CG75"/>
    <mergeCell ref="BA76:BB76"/>
    <mergeCell ref="BL73:CB73"/>
    <mergeCell ref="E74:F77"/>
    <mergeCell ref="G74:AJ77"/>
    <mergeCell ref="AK74:AM77"/>
    <mergeCell ref="BL74:CB74"/>
    <mergeCell ref="AY75:BD75"/>
    <mergeCell ref="BF75:BJ75"/>
    <mergeCell ref="BK75:BK76"/>
    <mergeCell ref="BL75:BL76"/>
    <mergeCell ref="BM75:BO75"/>
    <mergeCell ref="BQ79:BU79"/>
    <mergeCell ref="BV79:BV80"/>
    <mergeCell ref="BW79:CA79"/>
    <mergeCell ref="CB79:CB80"/>
    <mergeCell ref="CC79:CG79"/>
    <mergeCell ref="BA80:BB80"/>
    <mergeCell ref="BL77:CB77"/>
    <mergeCell ref="E78:F81"/>
    <mergeCell ref="G78:AJ81"/>
    <mergeCell ref="AK78:AM81"/>
    <mergeCell ref="BL78:CB78"/>
    <mergeCell ref="AY79:BD79"/>
    <mergeCell ref="BF79:BJ79"/>
    <mergeCell ref="BK79:BK80"/>
    <mergeCell ref="BL79:BL80"/>
    <mergeCell ref="BM79:BO79"/>
    <mergeCell ref="BQ83:BU83"/>
    <mergeCell ref="BV83:BV84"/>
    <mergeCell ref="BW83:CA83"/>
    <mergeCell ref="CB83:CB84"/>
    <mergeCell ref="CC83:CG83"/>
    <mergeCell ref="BA84:BB84"/>
    <mergeCell ref="BL81:CB81"/>
    <mergeCell ref="E82:F85"/>
    <mergeCell ref="G82:AJ85"/>
    <mergeCell ref="AK82:AM85"/>
    <mergeCell ref="BL82:CB82"/>
    <mergeCell ref="AY83:BD83"/>
    <mergeCell ref="BF83:BJ83"/>
    <mergeCell ref="BK83:BK84"/>
    <mergeCell ref="BL83:BL84"/>
    <mergeCell ref="BM83:BO83"/>
    <mergeCell ref="BQ87:BU87"/>
    <mergeCell ref="BV87:BV88"/>
    <mergeCell ref="BW87:CA87"/>
    <mergeCell ref="CB87:CB88"/>
    <mergeCell ref="CC87:CG87"/>
    <mergeCell ref="BA88:BB88"/>
    <mergeCell ref="BL85:CB85"/>
    <mergeCell ref="E86:F89"/>
    <mergeCell ref="G86:AJ89"/>
    <mergeCell ref="AK86:AM89"/>
    <mergeCell ref="BL86:CB86"/>
    <mergeCell ref="AY87:BD87"/>
    <mergeCell ref="BF87:BJ87"/>
    <mergeCell ref="BK87:BK88"/>
    <mergeCell ref="BL87:BL88"/>
    <mergeCell ref="BM87:BO87"/>
    <mergeCell ref="BQ91:BU91"/>
    <mergeCell ref="BV91:BV92"/>
    <mergeCell ref="BW91:CA91"/>
    <mergeCell ref="CB91:CB92"/>
    <mergeCell ref="CC91:CG91"/>
    <mergeCell ref="BA92:BB92"/>
    <mergeCell ref="BL89:CB89"/>
    <mergeCell ref="E90:F93"/>
    <mergeCell ref="G90:AJ93"/>
    <mergeCell ref="AK90:AM93"/>
    <mergeCell ref="BL90:CB90"/>
    <mergeCell ref="AY91:BD91"/>
    <mergeCell ref="BF91:BJ91"/>
    <mergeCell ref="BK91:BK92"/>
    <mergeCell ref="BL91:BL92"/>
    <mergeCell ref="BM91:BO91"/>
    <mergeCell ref="BQ95:BU95"/>
    <mergeCell ref="BV95:BV96"/>
    <mergeCell ref="BW95:CA95"/>
    <mergeCell ref="CB95:CB96"/>
    <mergeCell ref="CC95:CG95"/>
    <mergeCell ref="BA96:BB96"/>
    <mergeCell ref="BL93:CB93"/>
    <mergeCell ref="E94:F97"/>
    <mergeCell ref="G94:AJ97"/>
    <mergeCell ref="AK94:AM97"/>
    <mergeCell ref="BL94:CB94"/>
    <mergeCell ref="AY95:BD95"/>
    <mergeCell ref="BF95:BJ95"/>
    <mergeCell ref="BK95:BK96"/>
    <mergeCell ref="BL95:BL96"/>
    <mergeCell ref="BM95:BO95"/>
    <mergeCell ref="BQ99:BU99"/>
    <mergeCell ref="BV99:BV100"/>
    <mergeCell ref="BW99:CA99"/>
    <mergeCell ref="CB99:CB100"/>
    <mergeCell ref="CC99:CG99"/>
    <mergeCell ref="BA100:BB100"/>
    <mergeCell ref="BL97:CB97"/>
    <mergeCell ref="E98:F101"/>
    <mergeCell ref="G98:AJ101"/>
    <mergeCell ref="AK98:AM101"/>
    <mergeCell ref="BL98:CB98"/>
    <mergeCell ref="AY99:BD99"/>
    <mergeCell ref="BF99:BJ99"/>
    <mergeCell ref="BK99:BK100"/>
    <mergeCell ref="BL99:BL100"/>
    <mergeCell ref="BM99:BO99"/>
    <mergeCell ref="BQ103:BU103"/>
    <mergeCell ref="BV103:BV104"/>
    <mergeCell ref="BW103:CA103"/>
    <mergeCell ref="CB103:CB104"/>
    <mergeCell ref="CC103:CG103"/>
    <mergeCell ref="BA104:BB104"/>
    <mergeCell ref="BL101:CB101"/>
    <mergeCell ref="E102:F105"/>
    <mergeCell ref="G102:AJ105"/>
    <mergeCell ref="AK102:AM105"/>
    <mergeCell ref="BL102:CB102"/>
    <mergeCell ref="AY103:BD103"/>
    <mergeCell ref="BF103:BJ103"/>
    <mergeCell ref="BK103:BK104"/>
    <mergeCell ref="BL103:BL104"/>
    <mergeCell ref="BM103:BO103"/>
    <mergeCell ref="BQ107:BU107"/>
    <mergeCell ref="BV107:BV108"/>
    <mergeCell ref="BW107:CA107"/>
    <mergeCell ref="CB107:CB108"/>
    <mergeCell ref="CC107:CG107"/>
    <mergeCell ref="BA108:BB108"/>
    <mergeCell ref="BL105:CB105"/>
    <mergeCell ref="E106:F109"/>
    <mergeCell ref="G106:AJ109"/>
    <mergeCell ref="AK106:AM109"/>
    <mergeCell ref="BL106:CB106"/>
    <mergeCell ref="AY107:BD107"/>
    <mergeCell ref="BF107:BJ107"/>
    <mergeCell ref="BK107:BK108"/>
    <mergeCell ref="BL107:BL108"/>
    <mergeCell ref="BM107:BO107"/>
    <mergeCell ref="BQ111:BU111"/>
    <mergeCell ref="BV111:BV112"/>
    <mergeCell ref="BW111:CA111"/>
    <mergeCell ref="CB111:CB112"/>
    <mergeCell ref="CC111:CG111"/>
    <mergeCell ref="BA112:BB112"/>
    <mergeCell ref="BL109:CB109"/>
    <mergeCell ref="E110:F113"/>
    <mergeCell ref="G110:AJ113"/>
    <mergeCell ref="AK110:AM113"/>
    <mergeCell ref="BL110:CB110"/>
    <mergeCell ref="AY111:BD111"/>
    <mergeCell ref="BF111:BJ111"/>
    <mergeCell ref="BK111:BK112"/>
    <mergeCell ref="BL111:BL112"/>
    <mergeCell ref="BM111:BO111"/>
    <mergeCell ref="BQ115:BU115"/>
    <mergeCell ref="BV115:BV116"/>
    <mergeCell ref="BW115:CA115"/>
    <mergeCell ref="CB115:CB116"/>
    <mergeCell ref="CC115:CG115"/>
    <mergeCell ref="BA116:BB116"/>
    <mergeCell ref="BL113:CB113"/>
    <mergeCell ref="E114:F117"/>
    <mergeCell ref="G114:AJ117"/>
    <mergeCell ref="AK114:AM117"/>
    <mergeCell ref="BL114:CB114"/>
    <mergeCell ref="AY115:BD115"/>
    <mergeCell ref="BF115:BJ115"/>
    <mergeCell ref="BK115:BK116"/>
    <mergeCell ref="BL115:BL116"/>
    <mergeCell ref="BM115:BO115"/>
    <mergeCell ref="CG123:CH123"/>
    <mergeCell ref="BQ119:BU119"/>
    <mergeCell ref="BV119:BV120"/>
    <mergeCell ref="BW119:CA119"/>
    <mergeCell ref="CB119:CB120"/>
    <mergeCell ref="CC119:CG119"/>
    <mergeCell ref="BA120:BB120"/>
    <mergeCell ref="BL117:CB117"/>
    <mergeCell ref="E118:F121"/>
    <mergeCell ref="G118:AJ121"/>
    <mergeCell ref="AK118:AM121"/>
    <mergeCell ref="BL118:CB118"/>
    <mergeCell ref="AY119:BD119"/>
    <mergeCell ref="BF119:BJ119"/>
    <mergeCell ref="BK119:BK120"/>
    <mergeCell ref="BL119:BL120"/>
    <mergeCell ref="BM119:BO119"/>
    <mergeCell ref="BL121:CB121"/>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1000-000000000000}">
          <x14:formula1>
            <xm:f>0</xm:f>
          </x14:formula1>
          <x14:formula2>
            <xm:f>9</xm:f>
          </x14:formula2>
          <xm:sqref>BD4:BD5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BF4:BF5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BH4:BH5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BJ4:BJ5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BO4:BO5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AO4:AO5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UPU983044:UPU983045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UZQ983044:UZQ983045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VJM983044:VJM983045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VTI983044:VTI983045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WDE983044:WDE983045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WNA983044:WNA983045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WWW983044:WWW983045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AQ4:AQ5 AE4:AE5 AG4:AG5 AI4:AI5 AK4:AK5 AM4:AM5 BM4:BM5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dimension ref="B1:G36"/>
  <sheetViews>
    <sheetView topLeftCell="A15" zoomScale="80" zoomScaleNormal="80" workbookViewId="0">
      <selection activeCell="E34" sqref="E34"/>
    </sheetView>
  </sheetViews>
  <sheetFormatPr defaultColWidth="9.140625" defaultRowHeight="12.75"/>
  <cols>
    <col min="1" max="1" width="4" style="29" customWidth="1"/>
    <col min="2" max="2" width="44" style="29" customWidth="1"/>
    <col min="3" max="4" width="18.28515625" style="29" customWidth="1"/>
    <col min="5" max="5" width="17.85546875" style="29" customWidth="1"/>
    <col min="6" max="6" width="2.85546875" style="29" customWidth="1"/>
    <col min="7" max="16384" width="9.140625" style="29"/>
  </cols>
  <sheetData>
    <row r="1" spans="2:6" ht="13.5" thickBot="1"/>
    <row r="2" spans="2:6" ht="13.5" thickBot="1">
      <c r="B2" s="676" t="s">
        <v>1008</v>
      </c>
      <c r="C2" s="677"/>
      <c r="D2" s="677"/>
      <c r="E2" s="678"/>
    </row>
    <row r="3" spans="2:6" ht="27" thickBot="1">
      <c r="B3" s="673" t="s">
        <v>868</v>
      </c>
      <c r="C3" s="674"/>
      <c r="D3" s="674"/>
      <c r="E3" s="675"/>
    </row>
    <row r="4" spans="2:6" hidden="1">
      <c r="B4" s="16" t="s">
        <v>868</v>
      </c>
      <c r="C4" s="16" t="s">
        <v>825</v>
      </c>
      <c r="D4" s="16" t="s">
        <v>888</v>
      </c>
    </row>
    <row r="5" spans="2:6" ht="13.5" thickBot="1"/>
    <row r="6" spans="2:6">
      <c r="B6" s="30" t="str">
        <f>Index!C10</f>
        <v>Daňové identifikačné číslo</v>
      </c>
      <c r="C6" s="684">
        <v>2021875383</v>
      </c>
      <c r="D6" s="685"/>
      <c r="E6" s="686"/>
    </row>
    <row r="7" spans="2:6">
      <c r="B7" s="18" t="str">
        <f>Index!C11</f>
        <v>IČO</v>
      </c>
      <c r="C7" s="687">
        <v>36422991</v>
      </c>
      <c r="D7" s="688"/>
      <c r="E7" s="689"/>
      <c r="F7" s="91" t="str">
        <f>Index!C36</f>
        <v>zadaj bez medzier, lomítka, pomĺčky</v>
      </c>
    </row>
    <row r="8" spans="2:6">
      <c r="B8" s="18" t="str">
        <f>Index!C396</f>
        <v>Označenie obchodného registra a číslo zápisu obchodnej spoločnosti</v>
      </c>
      <c r="C8" s="691" t="s">
        <v>3107</v>
      </c>
      <c r="D8" s="695"/>
      <c r="E8" s="696"/>
    </row>
    <row r="9" spans="2:6">
      <c r="B9" s="18" t="str">
        <f>Index!C12</f>
        <v>SK NACE</v>
      </c>
      <c r="C9" s="690">
        <v>46900</v>
      </c>
      <c r="D9" s="691"/>
      <c r="E9" s="692"/>
      <c r="F9" s="91" t="str">
        <f>Index!C36</f>
        <v>zadaj bez medzier, lomítka, pomĺčky</v>
      </c>
    </row>
    <row r="10" spans="2:6">
      <c r="B10" s="18" t="str">
        <f>Index!C13</f>
        <v>Obchodné meno (názov) účtovnej jednotky</v>
      </c>
      <c r="C10" s="693" t="s">
        <v>3105</v>
      </c>
      <c r="D10" s="694"/>
      <c r="E10" s="692"/>
    </row>
    <row r="11" spans="2:6">
      <c r="B11" s="18" t="str">
        <f>Index!C14</f>
        <v>Ulica</v>
      </c>
      <c r="C11" s="679" t="s">
        <v>3082</v>
      </c>
      <c r="D11" s="680"/>
      <c r="E11" s="681"/>
    </row>
    <row r="12" spans="2:6">
      <c r="B12" s="18" t="str">
        <f>Index!C15</f>
        <v>Číslo</v>
      </c>
      <c r="C12" s="682" t="s">
        <v>3083</v>
      </c>
      <c r="D12" s="683"/>
      <c r="E12" s="681"/>
    </row>
    <row r="13" spans="2:6">
      <c r="B13" s="18" t="str">
        <f>Index!C16</f>
        <v>PSČ</v>
      </c>
      <c r="C13" s="679" t="s">
        <v>3084</v>
      </c>
      <c r="D13" s="680"/>
      <c r="E13" s="681"/>
    </row>
    <row r="14" spans="2:6">
      <c r="B14" s="18" t="str">
        <f>Index!C17</f>
        <v>Obec</v>
      </c>
      <c r="C14" s="679" t="s">
        <v>3085</v>
      </c>
      <c r="D14" s="680"/>
      <c r="E14" s="681"/>
    </row>
    <row r="15" spans="2:6">
      <c r="B15" s="18" t="str">
        <f>Index!C18</f>
        <v>Číslo telefónu</v>
      </c>
      <c r="C15" s="682" t="s">
        <v>3086</v>
      </c>
      <c r="D15" s="683"/>
      <c r="E15" s="681"/>
      <c r="F15" s="91" t="str">
        <f>Index!C36</f>
        <v>zadaj bez medzier, lomítka, pomĺčky</v>
      </c>
    </row>
    <row r="16" spans="2:6">
      <c r="B16" s="18" t="str">
        <f>Index!C19</f>
        <v>Číslo faxu</v>
      </c>
      <c r="C16" s="682" t="s">
        <v>3087</v>
      </c>
      <c r="D16" s="683"/>
      <c r="E16" s="681"/>
      <c r="F16" s="91" t="str">
        <f>Index!C36</f>
        <v>zadaj bez medzier, lomítka, pomĺčky</v>
      </c>
    </row>
    <row r="17" spans="2:7">
      <c r="B17" s="18" t="str">
        <f>Index!C20</f>
        <v>E-mailová adresa</v>
      </c>
      <c r="C17" s="699"/>
      <c r="D17" s="700"/>
      <c r="E17" s="681"/>
    </row>
    <row r="18" spans="2:7">
      <c r="B18" s="31" t="str">
        <f>Index!C21</f>
        <v>Účtovná závierka</v>
      </c>
      <c r="C18" s="701" t="str">
        <f>Index!C30</f>
        <v>- riadna</v>
      </c>
      <c r="D18" s="702"/>
      <c r="E18" s="32" t="str">
        <f>Index!C31</f>
        <v>- mimoriadna</v>
      </c>
    </row>
    <row r="19" spans="2:7">
      <c r="B19" s="33" t="str">
        <f>Index!C35</f>
        <v>(vyznačí sa X)</v>
      </c>
      <c r="C19" s="703" t="s">
        <v>1518</v>
      </c>
      <c r="D19" s="704"/>
      <c r="E19" s="38"/>
    </row>
    <row r="20" spans="2:7">
      <c r="B20" s="31" t="str">
        <f>B18</f>
        <v>Účtovná závierka</v>
      </c>
      <c r="C20" s="701" t="str">
        <f>Index!C378</f>
        <v>priebežná</v>
      </c>
      <c r="D20" s="702"/>
      <c r="E20" s="32"/>
    </row>
    <row r="21" spans="2:7">
      <c r="B21" s="33" t="str">
        <f>B19</f>
        <v>(vyznačí sa X)</v>
      </c>
      <c r="C21" s="691"/>
      <c r="D21" s="705"/>
      <c r="E21" s="423"/>
    </row>
    <row r="22" spans="2:7">
      <c r="B22" s="31" t="str">
        <f>Index!C375</f>
        <v>Účtovná jednotka</v>
      </c>
      <c r="C22" s="706" t="str">
        <f>Index!C436</f>
        <v>malá</v>
      </c>
      <c r="D22" s="707"/>
      <c r="E22" s="426" t="str">
        <f>Index!C437</f>
        <v>veľká</v>
      </c>
      <c r="F22" s="464"/>
      <c r="G22" s="464"/>
    </row>
    <row r="23" spans="2:7">
      <c r="B23" s="33" t="str">
        <f>B21</f>
        <v>(vyznačí sa X)</v>
      </c>
      <c r="C23" s="691"/>
      <c r="D23" s="705"/>
      <c r="E23" s="577" t="s">
        <v>1518</v>
      </c>
      <c r="F23" s="464"/>
      <c r="G23" s="464"/>
    </row>
    <row r="24" spans="2:7">
      <c r="B24" s="34" t="str">
        <f>Index!C22</f>
        <v>Za obdobie:</v>
      </c>
      <c r="C24" s="424" t="str">
        <f>Index!C438</f>
        <v>Deň</v>
      </c>
      <c r="D24" s="35" t="str">
        <f>Index!C383</f>
        <v>Mesiac</v>
      </c>
      <c r="E24" s="427" t="str">
        <f>Index!C26</f>
        <v>Rok</v>
      </c>
    </row>
    <row r="25" spans="2:7">
      <c r="B25" s="34" t="str">
        <f>Index!C23</f>
        <v>od</v>
      </c>
      <c r="C25" s="425" t="s">
        <v>651</v>
      </c>
      <c r="D25" s="37" t="s">
        <v>651</v>
      </c>
      <c r="E25" s="563" t="s">
        <v>3101</v>
      </c>
    </row>
    <row r="26" spans="2:7">
      <c r="B26" s="34" t="str">
        <f>Index!C24</f>
        <v>do</v>
      </c>
      <c r="C26" s="425" t="s">
        <v>1579</v>
      </c>
      <c r="D26" s="37" t="s">
        <v>1550</v>
      </c>
      <c r="E26" s="563" t="s">
        <v>3101</v>
      </c>
    </row>
    <row r="27" spans="2:7">
      <c r="B27" s="34" t="str">
        <f>Index!C439</f>
        <v>Koniec obdobia (DD.MM.RRRR)</v>
      </c>
      <c r="C27" s="683" t="s">
        <v>3940</v>
      </c>
      <c r="D27" s="697"/>
      <c r="E27" s="698"/>
    </row>
    <row r="28" spans="2:7">
      <c r="B28" s="34" t="str">
        <f>Index!C27</f>
        <v>Bezprostredne predchádzajúce obdobie:</v>
      </c>
      <c r="C28" s="424" t="str">
        <f>C24</f>
        <v>Deň</v>
      </c>
      <c r="D28" s="35" t="str">
        <f>D24</f>
        <v>Mesiac</v>
      </c>
      <c r="E28" s="427" t="str">
        <f>E24</f>
        <v>Rok</v>
      </c>
    </row>
    <row r="29" spans="2:7">
      <c r="B29" s="18" t="str">
        <f>B25</f>
        <v>od</v>
      </c>
      <c r="C29" s="425" t="s">
        <v>651</v>
      </c>
      <c r="D29" s="37" t="s">
        <v>651</v>
      </c>
      <c r="E29" s="563" t="s">
        <v>3088</v>
      </c>
    </row>
    <row r="30" spans="2:7">
      <c r="B30" s="18" t="str">
        <f>B26</f>
        <v>do</v>
      </c>
      <c r="C30" s="425" t="s">
        <v>1579</v>
      </c>
      <c r="D30" s="37" t="s">
        <v>1550</v>
      </c>
      <c r="E30" s="563" t="s">
        <v>3088</v>
      </c>
    </row>
    <row r="31" spans="2:7">
      <c r="B31" s="18" t="str">
        <f>Index!C439</f>
        <v>Koniec obdobia (DD.MM.RRRR)</v>
      </c>
      <c r="C31" s="683" t="s">
        <v>3106</v>
      </c>
      <c r="D31" s="697"/>
      <c r="E31" s="698"/>
    </row>
    <row r="32" spans="2:7">
      <c r="B32" s="18" t="str">
        <f>Index!C28</f>
        <v>Zostavená dňa:</v>
      </c>
      <c r="C32" s="575" t="s">
        <v>1579</v>
      </c>
      <c r="D32" s="574" t="s">
        <v>653</v>
      </c>
      <c r="E32" s="563" t="s">
        <v>3941</v>
      </c>
    </row>
    <row r="33" spans="2:6" ht="13.5" thickBot="1">
      <c r="B33" s="19" t="str">
        <f>Index!C29</f>
        <v>Schválená dňa:</v>
      </c>
      <c r="C33" s="428"/>
      <c r="D33" s="429"/>
      <c r="E33" s="578" t="s">
        <v>3941</v>
      </c>
    </row>
    <row r="35" spans="2:6">
      <c r="B35" s="36"/>
      <c r="C35" s="36"/>
      <c r="D35" s="36"/>
      <c r="E35" s="36"/>
      <c r="F35" s="36"/>
    </row>
    <row r="36" spans="2:6">
      <c r="B36" s="36"/>
      <c r="C36" s="36"/>
      <c r="D36" s="36"/>
      <c r="E36" s="36"/>
      <c r="F36" s="36"/>
    </row>
  </sheetData>
  <autoFilter ref="B1:E4" xr:uid="{00000000-0009-0000-0000-000000000000}"/>
  <mergeCells count="22">
    <mergeCell ref="C31:E31"/>
    <mergeCell ref="C27:E27"/>
    <mergeCell ref="C15:E15"/>
    <mergeCell ref="C16:E16"/>
    <mergeCell ref="C17:E17"/>
    <mergeCell ref="C18:D18"/>
    <mergeCell ref="C19:D19"/>
    <mergeCell ref="C20:D20"/>
    <mergeCell ref="C21:D21"/>
    <mergeCell ref="C22:D22"/>
    <mergeCell ref="C23:D23"/>
    <mergeCell ref="C14:E14"/>
    <mergeCell ref="C6:E6"/>
    <mergeCell ref="C7:E7"/>
    <mergeCell ref="C9:E9"/>
    <mergeCell ref="C10:E10"/>
    <mergeCell ref="C8:E8"/>
    <mergeCell ref="B3:E3"/>
    <mergeCell ref="B2:E2"/>
    <mergeCell ref="C11:E11"/>
    <mergeCell ref="C12:E12"/>
    <mergeCell ref="C13:E13"/>
  </mergeCells>
  <dataValidations count="1">
    <dataValidation type="list" allowBlank="1" showInputMessage="1" showErrorMessage="1" sqref="B3:E3" xr:uid="{00000000-0002-0000-0000-000000000000}">
      <formula1>$B$4:$D$4</formula1>
    </dataValidation>
  </dataValidations>
  <pageMargins left="0.74803149606299213" right="0.74803149606299213" top="0.98425196850393704" bottom="0.98425196850393704" header="0.51181102362204722" footer="0.51181102362204722"/>
  <pageSetup paperSize="9" scale="80" orientation="portrait" r:id="rId1"/>
  <headerFooter alignWithMargins="0">
    <oddFooter>&amp;LFormatted version 
JO: 20 July 2015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0"/>
  <dimension ref="A1:CK127"/>
  <sheetViews>
    <sheetView topLeftCell="A40" zoomScaleNormal="100" workbookViewId="0">
      <selection activeCell="C31" sqref="C31"/>
    </sheetView>
  </sheetViews>
  <sheetFormatPr defaultRowHeight="12.75"/>
  <cols>
    <col min="1" max="1" width="0.7109375" style="220" customWidth="1"/>
    <col min="2" max="2" width="0.42578125" style="220" customWidth="1"/>
    <col min="3" max="3" width="0.5703125" style="220" customWidth="1"/>
    <col min="4" max="4" width="0.28515625" style="221" customWidth="1"/>
    <col min="5" max="5" width="3.7109375" style="278" customWidth="1"/>
    <col min="6" max="6" width="1.140625" style="278" customWidth="1"/>
    <col min="7" max="7" width="0.7109375" style="278" customWidth="1"/>
    <col min="8" max="10" width="0.7109375" style="279" customWidth="1"/>
    <col min="11" max="11" width="0.7109375" style="280" customWidth="1"/>
    <col min="12" max="12" width="0.5703125" style="280" customWidth="1"/>
    <col min="13" max="25" width="0.7109375" style="280" customWidth="1"/>
    <col min="26" max="26" width="1.4257812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 style="280" customWidth="1"/>
    <col min="63" max="64" width="0.5703125" style="280" customWidth="1"/>
    <col min="65" max="65" width="2.140625" style="280" customWidth="1"/>
    <col min="66" max="66" width="0.5703125" style="280" customWidth="1"/>
    <col min="67" max="67" width="2.140625" style="280" customWidth="1"/>
    <col min="68" max="68" width="0.5703125" style="280" customWidth="1"/>
    <col min="69" max="69" width="2.140625" style="280" customWidth="1"/>
    <col min="70" max="70" width="0.5703125" style="280" customWidth="1"/>
    <col min="71" max="71" width="2.140625" style="280" customWidth="1"/>
    <col min="72" max="72" width="0.5703125" style="280" customWidth="1"/>
    <col min="73" max="73" width="2.140625" style="280" customWidth="1"/>
    <col min="74" max="74" width="0.5703125" style="280" customWidth="1"/>
    <col min="75" max="75" width="2.140625" style="280" customWidth="1"/>
    <col min="76" max="76" width="0.5703125" style="280" customWidth="1"/>
    <col min="77" max="77" width="2.140625" style="280" customWidth="1"/>
    <col min="78" max="78" width="0.5703125" style="280" customWidth="1"/>
    <col min="79" max="79" width="2.140625" style="280" customWidth="1"/>
    <col min="80" max="80" width="0.5703125" style="280" customWidth="1"/>
    <col min="81" max="81" width="2.140625" style="280" customWidth="1"/>
    <col min="82" max="82" width="0.5703125" style="280" customWidth="1"/>
    <col min="83" max="83" width="2.140625" style="280" customWidth="1"/>
    <col min="84" max="84" width="0.5703125" style="280" customWidth="1"/>
    <col min="85" max="85" width="2.140625" style="280" customWidth="1"/>
    <col min="86" max="86" width="0.5703125" style="280" customWidth="1"/>
    <col min="87" max="88" width="2.5703125" style="221" customWidth="1"/>
    <col min="89" max="256" width="9.140625" style="221"/>
    <col min="257" max="257" width="0.7109375" style="221" customWidth="1"/>
    <col min="258" max="258" width="0.42578125" style="221" customWidth="1"/>
    <col min="259" max="259" width="0.5703125" style="221" customWidth="1"/>
    <col min="260" max="260" width="0.28515625" style="221" customWidth="1"/>
    <col min="261" max="261" width="3.7109375" style="221" customWidth="1"/>
    <col min="262" max="262" width="1.140625" style="221" customWidth="1"/>
    <col min="263" max="267" width="0.7109375" style="221" customWidth="1"/>
    <col min="268" max="268" width="0.5703125" style="221" customWidth="1"/>
    <col min="269" max="281" width="0.7109375" style="221" customWidth="1"/>
    <col min="282" max="282" width="1.4257812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 style="221" customWidth="1"/>
    <col min="319" max="320" width="0.5703125" style="221" customWidth="1"/>
    <col min="321" max="321" width="2.140625" style="221" customWidth="1"/>
    <col min="322" max="322" width="0.5703125" style="221" customWidth="1"/>
    <col min="323" max="323" width="2.140625" style="221" customWidth="1"/>
    <col min="324" max="324" width="0.5703125" style="221" customWidth="1"/>
    <col min="325" max="325" width="2.140625" style="221" customWidth="1"/>
    <col min="326" max="326" width="0.5703125" style="221" customWidth="1"/>
    <col min="327" max="327" width="2.140625" style="221" customWidth="1"/>
    <col min="328" max="328" width="0.5703125" style="221" customWidth="1"/>
    <col min="329" max="329" width="2.140625" style="221" customWidth="1"/>
    <col min="330" max="330" width="0.5703125" style="221" customWidth="1"/>
    <col min="331" max="331" width="2.140625" style="221" customWidth="1"/>
    <col min="332" max="332" width="0.5703125" style="221" customWidth="1"/>
    <col min="333" max="333" width="2.140625" style="221" customWidth="1"/>
    <col min="334" max="334" width="0.5703125" style="221" customWidth="1"/>
    <col min="335" max="335" width="2.140625" style="221" customWidth="1"/>
    <col min="336" max="336" width="0.5703125" style="221" customWidth="1"/>
    <col min="337" max="337" width="2.140625" style="221" customWidth="1"/>
    <col min="338" max="338" width="0.5703125" style="221" customWidth="1"/>
    <col min="339" max="339" width="2.140625" style="221" customWidth="1"/>
    <col min="340" max="340" width="0.5703125" style="221" customWidth="1"/>
    <col min="341" max="341" width="2.140625" style="221" customWidth="1"/>
    <col min="342" max="342" width="0.5703125" style="221" customWidth="1"/>
    <col min="343" max="344" width="2.5703125" style="221" customWidth="1"/>
    <col min="345" max="512" width="9.140625" style="221"/>
    <col min="513" max="513" width="0.7109375" style="221" customWidth="1"/>
    <col min="514" max="514" width="0.42578125" style="221" customWidth="1"/>
    <col min="515" max="515" width="0.5703125" style="221" customWidth="1"/>
    <col min="516" max="516" width="0.28515625" style="221" customWidth="1"/>
    <col min="517" max="517" width="3.7109375" style="221" customWidth="1"/>
    <col min="518" max="518" width="1.140625" style="221" customWidth="1"/>
    <col min="519" max="523" width="0.7109375" style="221" customWidth="1"/>
    <col min="524" max="524" width="0.5703125" style="221" customWidth="1"/>
    <col min="525" max="537" width="0.7109375" style="221" customWidth="1"/>
    <col min="538" max="538" width="1.4257812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 style="221" customWidth="1"/>
    <col min="575" max="576" width="0.5703125" style="221" customWidth="1"/>
    <col min="577" max="577" width="2.140625" style="221" customWidth="1"/>
    <col min="578" max="578" width="0.5703125" style="221" customWidth="1"/>
    <col min="579" max="579" width="2.140625" style="221" customWidth="1"/>
    <col min="580" max="580" width="0.5703125" style="221" customWidth="1"/>
    <col min="581" max="581" width="2.140625" style="221" customWidth="1"/>
    <col min="582" max="582" width="0.5703125" style="221" customWidth="1"/>
    <col min="583" max="583" width="2.140625" style="221" customWidth="1"/>
    <col min="584" max="584" width="0.5703125" style="221" customWidth="1"/>
    <col min="585" max="585" width="2.140625" style="221" customWidth="1"/>
    <col min="586" max="586" width="0.5703125" style="221" customWidth="1"/>
    <col min="587" max="587" width="2.140625" style="221" customWidth="1"/>
    <col min="588" max="588" width="0.5703125" style="221" customWidth="1"/>
    <col min="589" max="589" width="2.140625" style="221" customWidth="1"/>
    <col min="590" max="590" width="0.5703125" style="221" customWidth="1"/>
    <col min="591" max="591" width="2.140625" style="221" customWidth="1"/>
    <col min="592" max="592" width="0.5703125" style="221" customWidth="1"/>
    <col min="593" max="593" width="2.140625" style="221" customWidth="1"/>
    <col min="594" max="594" width="0.5703125" style="221" customWidth="1"/>
    <col min="595" max="595" width="2.140625" style="221" customWidth="1"/>
    <col min="596" max="596" width="0.5703125" style="221" customWidth="1"/>
    <col min="597" max="597" width="2.140625" style="221" customWidth="1"/>
    <col min="598" max="598" width="0.5703125" style="221" customWidth="1"/>
    <col min="599" max="600" width="2.5703125" style="221" customWidth="1"/>
    <col min="601" max="768" width="9.140625" style="221"/>
    <col min="769" max="769" width="0.7109375" style="221" customWidth="1"/>
    <col min="770" max="770" width="0.42578125" style="221" customWidth="1"/>
    <col min="771" max="771" width="0.5703125" style="221" customWidth="1"/>
    <col min="772" max="772" width="0.28515625" style="221" customWidth="1"/>
    <col min="773" max="773" width="3.7109375" style="221" customWidth="1"/>
    <col min="774" max="774" width="1.140625" style="221" customWidth="1"/>
    <col min="775" max="779" width="0.7109375" style="221" customWidth="1"/>
    <col min="780" max="780" width="0.5703125" style="221" customWidth="1"/>
    <col min="781" max="793" width="0.7109375" style="221" customWidth="1"/>
    <col min="794" max="794" width="1.4257812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 style="221" customWidth="1"/>
    <col min="831" max="832" width="0.5703125" style="221" customWidth="1"/>
    <col min="833" max="833" width="2.140625" style="221" customWidth="1"/>
    <col min="834" max="834" width="0.5703125" style="221" customWidth="1"/>
    <col min="835" max="835" width="2.140625" style="221" customWidth="1"/>
    <col min="836" max="836" width="0.5703125" style="221" customWidth="1"/>
    <col min="837" max="837" width="2.140625" style="221" customWidth="1"/>
    <col min="838" max="838" width="0.5703125" style="221" customWidth="1"/>
    <col min="839" max="839" width="2.140625" style="221" customWidth="1"/>
    <col min="840" max="840" width="0.5703125" style="221" customWidth="1"/>
    <col min="841" max="841" width="2.140625" style="221" customWidth="1"/>
    <col min="842" max="842" width="0.5703125" style="221" customWidth="1"/>
    <col min="843" max="843" width="2.140625" style="221" customWidth="1"/>
    <col min="844" max="844" width="0.5703125" style="221" customWidth="1"/>
    <col min="845" max="845" width="2.140625" style="221" customWidth="1"/>
    <col min="846" max="846" width="0.5703125" style="221" customWidth="1"/>
    <col min="847" max="847" width="2.140625" style="221" customWidth="1"/>
    <col min="848" max="848" width="0.5703125" style="221" customWidth="1"/>
    <col min="849" max="849" width="2.140625" style="221" customWidth="1"/>
    <col min="850" max="850" width="0.5703125" style="221" customWidth="1"/>
    <col min="851" max="851" width="2.140625" style="221" customWidth="1"/>
    <col min="852" max="852" width="0.5703125" style="221" customWidth="1"/>
    <col min="853" max="853" width="2.140625" style="221" customWidth="1"/>
    <col min="854" max="854" width="0.5703125" style="221" customWidth="1"/>
    <col min="855" max="856" width="2.5703125" style="221" customWidth="1"/>
    <col min="857"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7109375" style="221" customWidth="1"/>
    <col min="1030" max="1030" width="1.140625" style="221" customWidth="1"/>
    <col min="1031" max="1035" width="0.7109375" style="221" customWidth="1"/>
    <col min="1036" max="1036" width="0.5703125" style="221" customWidth="1"/>
    <col min="1037" max="1049" width="0.7109375" style="221" customWidth="1"/>
    <col min="1050" max="1050" width="1.4257812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 style="221" customWidth="1"/>
    <col min="1087" max="1088" width="0.5703125" style="221" customWidth="1"/>
    <col min="1089" max="1089" width="2.140625" style="221" customWidth="1"/>
    <col min="1090" max="1090" width="0.5703125" style="221" customWidth="1"/>
    <col min="1091" max="1091" width="2.140625" style="221" customWidth="1"/>
    <col min="1092" max="1092" width="0.5703125" style="221" customWidth="1"/>
    <col min="1093" max="1093" width="2.140625" style="221" customWidth="1"/>
    <col min="1094" max="1094" width="0.5703125" style="221" customWidth="1"/>
    <col min="1095" max="1095" width="2.140625" style="221" customWidth="1"/>
    <col min="1096" max="1096" width="0.5703125" style="221" customWidth="1"/>
    <col min="1097" max="1097" width="2.140625" style="221" customWidth="1"/>
    <col min="1098" max="1098" width="0.5703125" style="221" customWidth="1"/>
    <col min="1099" max="1099" width="2.140625" style="221" customWidth="1"/>
    <col min="1100" max="1100" width="0.5703125" style="221" customWidth="1"/>
    <col min="1101" max="1101" width="2.140625" style="221" customWidth="1"/>
    <col min="1102" max="1102" width="0.5703125" style="221" customWidth="1"/>
    <col min="1103" max="1103" width="2.140625" style="221" customWidth="1"/>
    <col min="1104" max="1104" width="0.5703125" style="221" customWidth="1"/>
    <col min="1105" max="1105" width="2.140625" style="221" customWidth="1"/>
    <col min="1106" max="1106" width="0.5703125" style="221" customWidth="1"/>
    <col min="1107" max="1107" width="2.140625" style="221" customWidth="1"/>
    <col min="1108" max="1108" width="0.5703125" style="221" customWidth="1"/>
    <col min="1109" max="1109" width="2.140625" style="221" customWidth="1"/>
    <col min="1110" max="1110" width="0.5703125" style="221" customWidth="1"/>
    <col min="1111" max="1112" width="2.5703125" style="221" customWidth="1"/>
    <col min="1113"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7109375" style="221" customWidth="1"/>
    <col min="1286" max="1286" width="1.140625" style="221" customWidth="1"/>
    <col min="1287" max="1291" width="0.7109375" style="221" customWidth="1"/>
    <col min="1292" max="1292" width="0.5703125" style="221" customWidth="1"/>
    <col min="1293" max="1305" width="0.7109375" style="221" customWidth="1"/>
    <col min="1306" max="1306" width="1.4257812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 style="221" customWidth="1"/>
    <col min="1343" max="1344" width="0.5703125" style="221" customWidth="1"/>
    <col min="1345" max="1345" width="2.140625" style="221" customWidth="1"/>
    <col min="1346" max="1346" width="0.5703125" style="221" customWidth="1"/>
    <col min="1347" max="1347" width="2.140625" style="221" customWidth="1"/>
    <col min="1348" max="1348" width="0.5703125" style="221" customWidth="1"/>
    <col min="1349" max="1349" width="2.140625" style="221" customWidth="1"/>
    <col min="1350" max="1350" width="0.5703125" style="221" customWidth="1"/>
    <col min="1351" max="1351" width="2.140625" style="221" customWidth="1"/>
    <col min="1352" max="1352" width="0.5703125" style="221" customWidth="1"/>
    <col min="1353" max="1353" width="2.140625" style="221" customWidth="1"/>
    <col min="1354" max="1354" width="0.5703125" style="221" customWidth="1"/>
    <col min="1355" max="1355" width="2.140625" style="221" customWidth="1"/>
    <col min="1356" max="1356" width="0.5703125" style="221" customWidth="1"/>
    <col min="1357" max="1357" width="2.140625" style="221" customWidth="1"/>
    <col min="1358" max="1358" width="0.5703125" style="221" customWidth="1"/>
    <col min="1359" max="1359" width="2.140625" style="221" customWidth="1"/>
    <col min="1360" max="1360" width="0.5703125" style="221" customWidth="1"/>
    <col min="1361" max="1361" width="2.140625" style="221" customWidth="1"/>
    <col min="1362" max="1362" width="0.5703125" style="221" customWidth="1"/>
    <col min="1363" max="1363" width="2.140625" style="221" customWidth="1"/>
    <col min="1364" max="1364" width="0.5703125" style="221" customWidth="1"/>
    <col min="1365" max="1365" width="2.140625" style="221" customWidth="1"/>
    <col min="1366" max="1366" width="0.5703125" style="221" customWidth="1"/>
    <col min="1367" max="1368" width="2.5703125" style="221" customWidth="1"/>
    <col min="1369"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7109375" style="221" customWidth="1"/>
    <col min="1542" max="1542" width="1.140625" style="221" customWidth="1"/>
    <col min="1543" max="1547" width="0.7109375" style="221" customWidth="1"/>
    <col min="1548" max="1548" width="0.5703125" style="221" customWidth="1"/>
    <col min="1549" max="1561" width="0.7109375" style="221" customWidth="1"/>
    <col min="1562" max="1562" width="1.4257812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 style="221" customWidth="1"/>
    <col min="1599" max="1600" width="0.5703125" style="221" customWidth="1"/>
    <col min="1601" max="1601" width="2.140625" style="221" customWidth="1"/>
    <col min="1602" max="1602" width="0.5703125" style="221" customWidth="1"/>
    <col min="1603" max="1603" width="2.140625" style="221" customWidth="1"/>
    <col min="1604" max="1604" width="0.5703125" style="221" customWidth="1"/>
    <col min="1605" max="1605" width="2.140625" style="221" customWidth="1"/>
    <col min="1606" max="1606" width="0.5703125" style="221" customWidth="1"/>
    <col min="1607" max="1607" width="2.140625" style="221" customWidth="1"/>
    <col min="1608" max="1608" width="0.5703125" style="221" customWidth="1"/>
    <col min="1609" max="1609" width="2.140625" style="221" customWidth="1"/>
    <col min="1610" max="1610" width="0.5703125" style="221" customWidth="1"/>
    <col min="1611" max="1611" width="2.140625" style="221" customWidth="1"/>
    <col min="1612" max="1612" width="0.5703125" style="221" customWidth="1"/>
    <col min="1613" max="1613" width="2.140625" style="221" customWidth="1"/>
    <col min="1614" max="1614" width="0.5703125" style="221" customWidth="1"/>
    <col min="1615" max="1615" width="2.140625" style="221" customWidth="1"/>
    <col min="1616" max="1616" width="0.5703125" style="221" customWidth="1"/>
    <col min="1617" max="1617" width="2.140625" style="221" customWidth="1"/>
    <col min="1618" max="1618" width="0.5703125" style="221" customWidth="1"/>
    <col min="1619" max="1619" width="2.140625" style="221" customWidth="1"/>
    <col min="1620" max="1620" width="0.5703125" style="221" customWidth="1"/>
    <col min="1621" max="1621" width="2.140625" style="221" customWidth="1"/>
    <col min="1622" max="1622" width="0.5703125" style="221" customWidth="1"/>
    <col min="1623" max="1624" width="2.5703125" style="221" customWidth="1"/>
    <col min="1625"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7109375" style="221" customWidth="1"/>
    <col min="1798" max="1798" width="1.140625" style="221" customWidth="1"/>
    <col min="1799" max="1803" width="0.7109375" style="221" customWidth="1"/>
    <col min="1804" max="1804" width="0.5703125" style="221" customWidth="1"/>
    <col min="1805" max="1817" width="0.7109375" style="221" customWidth="1"/>
    <col min="1818" max="1818" width="1.4257812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 style="221" customWidth="1"/>
    <col min="1855" max="1856" width="0.5703125" style="221" customWidth="1"/>
    <col min="1857" max="1857" width="2.140625" style="221" customWidth="1"/>
    <col min="1858" max="1858" width="0.5703125" style="221" customWidth="1"/>
    <col min="1859" max="1859" width="2.140625" style="221" customWidth="1"/>
    <col min="1860" max="1860" width="0.5703125" style="221" customWidth="1"/>
    <col min="1861" max="1861" width="2.140625" style="221" customWidth="1"/>
    <col min="1862" max="1862" width="0.5703125" style="221" customWidth="1"/>
    <col min="1863" max="1863" width="2.140625" style="221" customWidth="1"/>
    <col min="1864" max="1864" width="0.5703125" style="221" customWidth="1"/>
    <col min="1865" max="1865" width="2.140625" style="221" customWidth="1"/>
    <col min="1866" max="1866" width="0.5703125" style="221" customWidth="1"/>
    <col min="1867" max="1867" width="2.140625" style="221" customWidth="1"/>
    <col min="1868" max="1868" width="0.5703125" style="221" customWidth="1"/>
    <col min="1869" max="1869" width="2.140625" style="221" customWidth="1"/>
    <col min="1870" max="1870" width="0.5703125" style="221" customWidth="1"/>
    <col min="1871" max="1871" width="2.140625" style="221" customWidth="1"/>
    <col min="1872" max="1872" width="0.5703125" style="221" customWidth="1"/>
    <col min="1873" max="1873" width="2.140625" style="221" customWidth="1"/>
    <col min="1874" max="1874" width="0.5703125" style="221" customWidth="1"/>
    <col min="1875" max="1875" width="2.140625" style="221" customWidth="1"/>
    <col min="1876" max="1876" width="0.5703125" style="221" customWidth="1"/>
    <col min="1877" max="1877" width="2.140625" style="221" customWidth="1"/>
    <col min="1878" max="1878" width="0.5703125" style="221" customWidth="1"/>
    <col min="1879" max="1880" width="2.5703125" style="221" customWidth="1"/>
    <col min="1881"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7109375" style="221" customWidth="1"/>
    <col min="2054" max="2054" width="1.140625" style="221" customWidth="1"/>
    <col min="2055" max="2059" width="0.7109375" style="221" customWidth="1"/>
    <col min="2060" max="2060" width="0.5703125" style="221" customWidth="1"/>
    <col min="2061" max="2073" width="0.7109375" style="221" customWidth="1"/>
    <col min="2074" max="2074" width="1.4257812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 style="221" customWidth="1"/>
    <col min="2111" max="2112" width="0.5703125" style="221" customWidth="1"/>
    <col min="2113" max="2113" width="2.140625" style="221" customWidth="1"/>
    <col min="2114" max="2114" width="0.5703125" style="221" customWidth="1"/>
    <col min="2115" max="2115" width="2.140625" style="221" customWidth="1"/>
    <col min="2116" max="2116" width="0.5703125" style="221" customWidth="1"/>
    <col min="2117" max="2117" width="2.140625" style="221" customWidth="1"/>
    <col min="2118" max="2118" width="0.5703125" style="221" customWidth="1"/>
    <col min="2119" max="2119" width="2.140625" style="221" customWidth="1"/>
    <col min="2120" max="2120" width="0.5703125" style="221" customWidth="1"/>
    <col min="2121" max="2121" width="2.140625" style="221" customWidth="1"/>
    <col min="2122" max="2122" width="0.5703125" style="221" customWidth="1"/>
    <col min="2123" max="2123" width="2.140625" style="221" customWidth="1"/>
    <col min="2124" max="2124" width="0.5703125" style="221" customWidth="1"/>
    <col min="2125" max="2125" width="2.140625" style="221" customWidth="1"/>
    <col min="2126" max="2126" width="0.5703125" style="221" customWidth="1"/>
    <col min="2127" max="2127" width="2.140625" style="221" customWidth="1"/>
    <col min="2128" max="2128" width="0.5703125" style="221" customWidth="1"/>
    <col min="2129" max="2129" width="2.140625" style="221" customWidth="1"/>
    <col min="2130" max="2130" width="0.5703125" style="221" customWidth="1"/>
    <col min="2131" max="2131" width="2.140625" style="221" customWidth="1"/>
    <col min="2132" max="2132" width="0.5703125" style="221" customWidth="1"/>
    <col min="2133" max="2133" width="2.140625" style="221" customWidth="1"/>
    <col min="2134" max="2134" width="0.5703125" style="221" customWidth="1"/>
    <col min="2135" max="2136" width="2.5703125" style="221" customWidth="1"/>
    <col min="2137"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7109375" style="221" customWidth="1"/>
    <col min="2310" max="2310" width="1.140625" style="221" customWidth="1"/>
    <col min="2311" max="2315" width="0.7109375" style="221" customWidth="1"/>
    <col min="2316" max="2316" width="0.5703125" style="221" customWidth="1"/>
    <col min="2317" max="2329" width="0.7109375" style="221" customWidth="1"/>
    <col min="2330" max="2330" width="1.4257812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 style="221" customWidth="1"/>
    <col min="2367" max="2368" width="0.5703125" style="221" customWidth="1"/>
    <col min="2369" max="2369" width="2.140625" style="221" customWidth="1"/>
    <col min="2370" max="2370" width="0.5703125" style="221" customWidth="1"/>
    <col min="2371" max="2371" width="2.140625" style="221" customWidth="1"/>
    <col min="2372" max="2372" width="0.5703125" style="221" customWidth="1"/>
    <col min="2373" max="2373" width="2.140625" style="221" customWidth="1"/>
    <col min="2374" max="2374" width="0.5703125" style="221" customWidth="1"/>
    <col min="2375" max="2375" width="2.140625" style="221" customWidth="1"/>
    <col min="2376" max="2376" width="0.5703125" style="221" customWidth="1"/>
    <col min="2377" max="2377" width="2.140625" style="221" customWidth="1"/>
    <col min="2378" max="2378" width="0.5703125" style="221" customWidth="1"/>
    <col min="2379" max="2379" width="2.140625" style="221" customWidth="1"/>
    <col min="2380" max="2380" width="0.5703125" style="221" customWidth="1"/>
    <col min="2381" max="2381" width="2.140625" style="221" customWidth="1"/>
    <col min="2382" max="2382" width="0.5703125" style="221" customWidth="1"/>
    <col min="2383" max="2383" width="2.140625" style="221" customWidth="1"/>
    <col min="2384" max="2384" width="0.5703125" style="221" customWidth="1"/>
    <col min="2385" max="2385" width="2.140625" style="221" customWidth="1"/>
    <col min="2386" max="2386" width="0.5703125" style="221" customWidth="1"/>
    <col min="2387" max="2387" width="2.140625" style="221" customWidth="1"/>
    <col min="2388" max="2388" width="0.5703125" style="221" customWidth="1"/>
    <col min="2389" max="2389" width="2.140625" style="221" customWidth="1"/>
    <col min="2390" max="2390" width="0.5703125" style="221" customWidth="1"/>
    <col min="2391" max="2392" width="2.5703125" style="221" customWidth="1"/>
    <col min="2393"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7109375" style="221" customWidth="1"/>
    <col min="2566" max="2566" width="1.140625" style="221" customWidth="1"/>
    <col min="2567" max="2571" width="0.7109375" style="221" customWidth="1"/>
    <col min="2572" max="2572" width="0.5703125" style="221" customWidth="1"/>
    <col min="2573" max="2585" width="0.7109375" style="221" customWidth="1"/>
    <col min="2586" max="2586" width="1.4257812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 style="221" customWidth="1"/>
    <col min="2623" max="2624" width="0.5703125" style="221" customWidth="1"/>
    <col min="2625" max="2625" width="2.140625" style="221" customWidth="1"/>
    <col min="2626" max="2626" width="0.5703125" style="221" customWidth="1"/>
    <col min="2627" max="2627" width="2.140625" style="221" customWidth="1"/>
    <col min="2628" max="2628" width="0.5703125" style="221" customWidth="1"/>
    <col min="2629" max="2629" width="2.140625" style="221" customWidth="1"/>
    <col min="2630" max="2630" width="0.5703125" style="221" customWidth="1"/>
    <col min="2631" max="2631" width="2.140625" style="221" customWidth="1"/>
    <col min="2632" max="2632" width="0.5703125" style="221" customWidth="1"/>
    <col min="2633" max="2633" width="2.140625" style="221" customWidth="1"/>
    <col min="2634" max="2634" width="0.5703125" style="221" customWidth="1"/>
    <col min="2635" max="2635" width="2.140625" style="221" customWidth="1"/>
    <col min="2636" max="2636" width="0.5703125" style="221" customWidth="1"/>
    <col min="2637" max="2637" width="2.140625" style="221" customWidth="1"/>
    <col min="2638" max="2638" width="0.5703125" style="221" customWidth="1"/>
    <col min="2639" max="2639" width="2.140625" style="221" customWidth="1"/>
    <col min="2640" max="2640" width="0.5703125" style="221" customWidth="1"/>
    <col min="2641" max="2641" width="2.140625" style="221" customWidth="1"/>
    <col min="2642" max="2642" width="0.5703125" style="221" customWidth="1"/>
    <col min="2643" max="2643" width="2.140625" style="221" customWidth="1"/>
    <col min="2644" max="2644" width="0.5703125" style="221" customWidth="1"/>
    <col min="2645" max="2645" width="2.140625" style="221" customWidth="1"/>
    <col min="2646" max="2646" width="0.5703125" style="221" customWidth="1"/>
    <col min="2647" max="2648" width="2.5703125" style="221" customWidth="1"/>
    <col min="2649"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7109375" style="221" customWidth="1"/>
    <col min="2822" max="2822" width="1.140625" style="221" customWidth="1"/>
    <col min="2823" max="2827" width="0.7109375" style="221" customWidth="1"/>
    <col min="2828" max="2828" width="0.5703125" style="221" customWidth="1"/>
    <col min="2829" max="2841" width="0.7109375" style="221" customWidth="1"/>
    <col min="2842" max="2842" width="1.4257812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 style="221" customWidth="1"/>
    <col min="2879" max="2880" width="0.5703125" style="221" customWidth="1"/>
    <col min="2881" max="2881" width="2.140625" style="221" customWidth="1"/>
    <col min="2882" max="2882" width="0.5703125" style="221" customWidth="1"/>
    <col min="2883" max="2883" width="2.140625" style="221" customWidth="1"/>
    <col min="2884" max="2884" width="0.5703125" style="221" customWidth="1"/>
    <col min="2885" max="2885" width="2.140625" style="221" customWidth="1"/>
    <col min="2886" max="2886" width="0.5703125" style="221" customWidth="1"/>
    <col min="2887" max="2887" width="2.140625" style="221" customWidth="1"/>
    <col min="2888" max="2888" width="0.5703125" style="221" customWidth="1"/>
    <col min="2889" max="2889" width="2.140625" style="221" customWidth="1"/>
    <col min="2890" max="2890" width="0.5703125" style="221" customWidth="1"/>
    <col min="2891" max="2891" width="2.140625" style="221" customWidth="1"/>
    <col min="2892" max="2892" width="0.5703125" style="221" customWidth="1"/>
    <col min="2893" max="2893" width="2.140625" style="221" customWidth="1"/>
    <col min="2894" max="2894" width="0.5703125" style="221" customWidth="1"/>
    <col min="2895" max="2895" width="2.140625" style="221" customWidth="1"/>
    <col min="2896" max="2896" width="0.5703125" style="221" customWidth="1"/>
    <col min="2897" max="2897" width="2.140625" style="221" customWidth="1"/>
    <col min="2898" max="2898" width="0.5703125" style="221" customWidth="1"/>
    <col min="2899" max="2899" width="2.140625" style="221" customWidth="1"/>
    <col min="2900" max="2900" width="0.5703125" style="221" customWidth="1"/>
    <col min="2901" max="2901" width="2.140625" style="221" customWidth="1"/>
    <col min="2902" max="2902" width="0.5703125" style="221" customWidth="1"/>
    <col min="2903" max="2904" width="2.5703125" style="221" customWidth="1"/>
    <col min="2905"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7109375" style="221" customWidth="1"/>
    <col min="3078" max="3078" width="1.140625" style="221" customWidth="1"/>
    <col min="3079" max="3083" width="0.7109375" style="221" customWidth="1"/>
    <col min="3084" max="3084" width="0.5703125" style="221" customWidth="1"/>
    <col min="3085" max="3097" width="0.7109375" style="221" customWidth="1"/>
    <col min="3098" max="3098" width="1.4257812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 style="221" customWidth="1"/>
    <col min="3135" max="3136" width="0.5703125" style="221" customWidth="1"/>
    <col min="3137" max="3137" width="2.140625" style="221" customWidth="1"/>
    <col min="3138" max="3138" width="0.5703125" style="221" customWidth="1"/>
    <col min="3139" max="3139" width="2.140625" style="221" customWidth="1"/>
    <col min="3140" max="3140" width="0.5703125" style="221" customWidth="1"/>
    <col min="3141" max="3141" width="2.140625" style="221" customWidth="1"/>
    <col min="3142" max="3142" width="0.5703125" style="221" customWidth="1"/>
    <col min="3143" max="3143" width="2.140625" style="221" customWidth="1"/>
    <col min="3144" max="3144" width="0.5703125" style="221" customWidth="1"/>
    <col min="3145" max="3145" width="2.140625" style="221" customWidth="1"/>
    <col min="3146" max="3146" width="0.5703125" style="221" customWidth="1"/>
    <col min="3147" max="3147" width="2.140625" style="221" customWidth="1"/>
    <col min="3148" max="3148" width="0.5703125" style="221" customWidth="1"/>
    <col min="3149" max="3149" width="2.140625" style="221" customWidth="1"/>
    <col min="3150" max="3150" width="0.5703125" style="221" customWidth="1"/>
    <col min="3151" max="3151" width="2.140625" style="221" customWidth="1"/>
    <col min="3152" max="3152" width="0.5703125" style="221" customWidth="1"/>
    <col min="3153" max="3153" width="2.140625" style="221" customWidth="1"/>
    <col min="3154" max="3154" width="0.5703125" style="221" customWidth="1"/>
    <col min="3155" max="3155" width="2.140625" style="221" customWidth="1"/>
    <col min="3156" max="3156" width="0.5703125" style="221" customWidth="1"/>
    <col min="3157" max="3157" width="2.140625" style="221" customWidth="1"/>
    <col min="3158" max="3158" width="0.5703125" style="221" customWidth="1"/>
    <col min="3159" max="3160" width="2.5703125" style="221" customWidth="1"/>
    <col min="3161"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7109375" style="221" customWidth="1"/>
    <col min="3334" max="3334" width="1.140625" style="221" customWidth="1"/>
    <col min="3335" max="3339" width="0.7109375" style="221" customWidth="1"/>
    <col min="3340" max="3340" width="0.5703125" style="221" customWidth="1"/>
    <col min="3341" max="3353" width="0.7109375" style="221" customWidth="1"/>
    <col min="3354" max="3354" width="1.4257812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 style="221" customWidth="1"/>
    <col min="3391" max="3392" width="0.5703125" style="221" customWidth="1"/>
    <col min="3393" max="3393" width="2.140625" style="221" customWidth="1"/>
    <col min="3394" max="3394" width="0.5703125" style="221" customWidth="1"/>
    <col min="3395" max="3395" width="2.140625" style="221" customWidth="1"/>
    <col min="3396" max="3396" width="0.5703125" style="221" customWidth="1"/>
    <col min="3397" max="3397" width="2.140625" style="221" customWidth="1"/>
    <col min="3398" max="3398" width="0.5703125" style="221" customWidth="1"/>
    <col min="3399" max="3399" width="2.140625" style="221" customWidth="1"/>
    <col min="3400" max="3400" width="0.5703125" style="221" customWidth="1"/>
    <col min="3401" max="3401" width="2.140625" style="221" customWidth="1"/>
    <col min="3402" max="3402" width="0.5703125" style="221" customWidth="1"/>
    <col min="3403" max="3403" width="2.140625" style="221" customWidth="1"/>
    <col min="3404" max="3404" width="0.5703125" style="221" customWidth="1"/>
    <col min="3405" max="3405" width="2.140625" style="221" customWidth="1"/>
    <col min="3406" max="3406" width="0.5703125" style="221" customWidth="1"/>
    <col min="3407" max="3407" width="2.140625" style="221" customWidth="1"/>
    <col min="3408" max="3408" width="0.5703125" style="221" customWidth="1"/>
    <col min="3409" max="3409" width="2.140625" style="221" customWidth="1"/>
    <col min="3410" max="3410" width="0.5703125" style="221" customWidth="1"/>
    <col min="3411" max="3411" width="2.140625" style="221" customWidth="1"/>
    <col min="3412" max="3412" width="0.5703125" style="221" customWidth="1"/>
    <col min="3413" max="3413" width="2.140625" style="221" customWidth="1"/>
    <col min="3414" max="3414" width="0.5703125" style="221" customWidth="1"/>
    <col min="3415" max="3416" width="2.5703125" style="221" customWidth="1"/>
    <col min="3417"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7109375" style="221" customWidth="1"/>
    <col min="3590" max="3590" width="1.140625" style="221" customWidth="1"/>
    <col min="3591" max="3595" width="0.7109375" style="221" customWidth="1"/>
    <col min="3596" max="3596" width="0.5703125" style="221" customWidth="1"/>
    <col min="3597" max="3609" width="0.7109375" style="221" customWidth="1"/>
    <col min="3610" max="3610" width="1.4257812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 style="221" customWidth="1"/>
    <col min="3647" max="3648" width="0.5703125" style="221" customWidth="1"/>
    <col min="3649" max="3649" width="2.140625" style="221" customWidth="1"/>
    <col min="3650" max="3650" width="0.5703125" style="221" customWidth="1"/>
    <col min="3651" max="3651" width="2.140625" style="221" customWidth="1"/>
    <col min="3652" max="3652" width="0.5703125" style="221" customWidth="1"/>
    <col min="3653" max="3653" width="2.140625" style="221" customWidth="1"/>
    <col min="3654" max="3654" width="0.5703125" style="221" customWidth="1"/>
    <col min="3655" max="3655" width="2.140625" style="221" customWidth="1"/>
    <col min="3656" max="3656" width="0.5703125" style="221" customWidth="1"/>
    <col min="3657" max="3657" width="2.140625" style="221" customWidth="1"/>
    <col min="3658" max="3658" width="0.5703125" style="221" customWidth="1"/>
    <col min="3659" max="3659" width="2.140625" style="221" customWidth="1"/>
    <col min="3660" max="3660" width="0.5703125" style="221" customWidth="1"/>
    <col min="3661" max="3661" width="2.140625" style="221" customWidth="1"/>
    <col min="3662" max="3662" width="0.5703125" style="221" customWidth="1"/>
    <col min="3663" max="3663" width="2.140625" style="221" customWidth="1"/>
    <col min="3664" max="3664" width="0.5703125" style="221" customWidth="1"/>
    <col min="3665" max="3665" width="2.140625" style="221" customWidth="1"/>
    <col min="3666" max="3666" width="0.5703125" style="221" customWidth="1"/>
    <col min="3667" max="3667" width="2.140625" style="221" customWidth="1"/>
    <col min="3668" max="3668" width="0.5703125" style="221" customWidth="1"/>
    <col min="3669" max="3669" width="2.140625" style="221" customWidth="1"/>
    <col min="3670" max="3670" width="0.5703125" style="221" customWidth="1"/>
    <col min="3671" max="3672" width="2.5703125" style="221" customWidth="1"/>
    <col min="3673"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7109375" style="221" customWidth="1"/>
    <col min="3846" max="3846" width="1.140625" style="221" customWidth="1"/>
    <col min="3847" max="3851" width="0.7109375" style="221" customWidth="1"/>
    <col min="3852" max="3852" width="0.5703125" style="221" customWidth="1"/>
    <col min="3853" max="3865" width="0.7109375" style="221" customWidth="1"/>
    <col min="3866" max="3866" width="1.4257812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 style="221" customWidth="1"/>
    <col min="3903" max="3904" width="0.5703125" style="221" customWidth="1"/>
    <col min="3905" max="3905" width="2.140625" style="221" customWidth="1"/>
    <col min="3906" max="3906" width="0.5703125" style="221" customWidth="1"/>
    <col min="3907" max="3907" width="2.140625" style="221" customWidth="1"/>
    <col min="3908" max="3908" width="0.5703125" style="221" customWidth="1"/>
    <col min="3909" max="3909" width="2.140625" style="221" customWidth="1"/>
    <col min="3910" max="3910" width="0.5703125" style="221" customWidth="1"/>
    <col min="3911" max="3911" width="2.140625" style="221" customWidth="1"/>
    <col min="3912" max="3912" width="0.5703125" style="221" customWidth="1"/>
    <col min="3913" max="3913" width="2.140625" style="221" customWidth="1"/>
    <col min="3914" max="3914" width="0.5703125" style="221" customWidth="1"/>
    <col min="3915" max="3915" width="2.140625" style="221" customWidth="1"/>
    <col min="3916" max="3916" width="0.5703125" style="221" customWidth="1"/>
    <col min="3917" max="3917" width="2.140625" style="221" customWidth="1"/>
    <col min="3918" max="3918" width="0.5703125" style="221" customWidth="1"/>
    <col min="3919" max="3919" width="2.140625" style="221" customWidth="1"/>
    <col min="3920" max="3920" width="0.5703125" style="221" customWidth="1"/>
    <col min="3921" max="3921" width="2.140625" style="221" customWidth="1"/>
    <col min="3922" max="3922" width="0.5703125" style="221" customWidth="1"/>
    <col min="3923" max="3923" width="2.140625" style="221" customWidth="1"/>
    <col min="3924" max="3924" width="0.5703125" style="221" customWidth="1"/>
    <col min="3925" max="3925" width="2.140625" style="221" customWidth="1"/>
    <col min="3926" max="3926" width="0.5703125" style="221" customWidth="1"/>
    <col min="3927" max="3928" width="2.5703125" style="221" customWidth="1"/>
    <col min="3929"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7109375" style="221" customWidth="1"/>
    <col min="4102" max="4102" width="1.140625" style="221" customWidth="1"/>
    <col min="4103" max="4107" width="0.7109375" style="221" customWidth="1"/>
    <col min="4108" max="4108" width="0.5703125" style="221" customWidth="1"/>
    <col min="4109" max="4121" width="0.7109375" style="221" customWidth="1"/>
    <col min="4122" max="4122" width="1.4257812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 style="221" customWidth="1"/>
    <col min="4159" max="4160" width="0.5703125" style="221" customWidth="1"/>
    <col min="4161" max="4161" width="2.140625" style="221" customWidth="1"/>
    <col min="4162" max="4162" width="0.5703125" style="221" customWidth="1"/>
    <col min="4163" max="4163" width="2.140625" style="221" customWidth="1"/>
    <col min="4164" max="4164" width="0.5703125" style="221" customWidth="1"/>
    <col min="4165" max="4165" width="2.140625" style="221" customWidth="1"/>
    <col min="4166" max="4166" width="0.5703125" style="221" customWidth="1"/>
    <col min="4167" max="4167" width="2.140625" style="221" customWidth="1"/>
    <col min="4168" max="4168" width="0.5703125" style="221" customWidth="1"/>
    <col min="4169" max="4169" width="2.140625" style="221" customWidth="1"/>
    <col min="4170" max="4170" width="0.5703125" style="221" customWidth="1"/>
    <col min="4171" max="4171" width="2.140625" style="221" customWidth="1"/>
    <col min="4172" max="4172" width="0.5703125" style="221" customWidth="1"/>
    <col min="4173" max="4173" width="2.140625" style="221" customWidth="1"/>
    <col min="4174" max="4174" width="0.5703125" style="221" customWidth="1"/>
    <col min="4175" max="4175" width="2.140625" style="221" customWidth="1"/>
    <col min="4176" max="4176" width="0.5703125" style="221" customWidth="1"/>
    <col min="4177" max="4177" width="2.140625" style="221" customWidth="1"/>
    <col min="4178" max="4178" width="0.5703125" style="221" customWidth="1"/>
    <col min="4179" max="4179" width="2.140625" style="221" customWidth="1"/>
    <col min="4180" max="4180" width="0.5703125" style="221" customWidth="1"/>
    <col min="4181" max="4181" width="2.140625" style="221" customWidth="1"/>
    <col min="4182" max="4182" width="0.5703125" style="221" customWidth="1"/>
    <col min="4183" max="4184" width="2.5703125" style="221" customWidth="1"/>
    <col min="4185"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7109375" style="221" customWidth="1"/>
    <col min="4358" max="4358" width="1.140625" style="221" customWidth="1"/>
    <col min="4359" max="4363" width="0.7109375" style="221" customWidth="1"/>
    <col min="4364" max="4364" width="0.5703125" style="221" customWidth="1"/>
    <col min="4365" max="4377" width="0.7109375" style="221" customWidth="1"/>
    <col min="4378" max="4378" width="1.4257812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 style="221" customWidth="1"/>
    <col min="4415" max="4416" width="0.5703125" style="221" customWidth="1"/>
    <col min="4417" max="4417" width="2.140625" style="221" customWidth="1"/>
    <col min="4418" max="4418" width="0.5703125" style="221" customWidth="1"/>
    <col min="4419" max="4419" width="2.140625" style="221" customWidth="1"/>
    <col min="4420" max="4420" width="0.5703125" style="221" customWidth="1"/>
    <col min="4421" max="4421" width="2.140625" style="221" customWidth="1"/>
    <col min="4422" max="4422" width="0.5703125" style="221" customWidth="1"/>
    <col min="4423" max="4423" width="2.140625" style="221" customWidth="1"/>
    <col min="4424" max="4424" width="0.5703125" style="221" customWidth="1"/>
    <col min="4425" max="4425" width="2.140625" style="221" customWidth="1"/>
    <col min="4426" max="4426" width="0.5703125" style="221" customWidth="1"/>
    <col min="4427" max="4427" width="2.140625" style="221" customWidth="1"/>
    <col min="4428" max="4428" width="0.5703125" style="221" customWidth="1"/>
    <col min="4429" max="4429" width="2.140625" style="221" customWidth="1"/>
    <col min="4430" max="4430" width="0.5703125" style="221" customWidth="1"/>
    <col min="4431" max="4431" width="2.140625" style="221" customWidth="1"/>
    <col min="4432" max="4432" width="0.5703125" style="221" customWidth="1"/>
    <col min="4433" max="4433" width="2.140625" style="221" customWidth="1"/>
    <col min="4434" max="4434" width="0.5703125" style="221" customWidth="1"/>
    <col min="4435" max="4435" width="2.140625" style="221" customWidth="1"/>
    <col min="4436" max="4436" width="0.5703125" style="221" customWidth="1"/>
    <col min="4437" max="4437" width="2.140625" style="221" customWidth="1"/>
    <col min="4438" max="4438" width="0.5703125" style="221" customWidth="1"/>
    <col min="4439" max="4440" width="2.5703125" style="221" customWidth="1"/>
    <col min="4441"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7109375" style="221" customWidth="1"/>
    <col min="4614" max="4614" width="1.140625" style="221" customWidth="1"/>
    <col min="4615" max="4619" width="0.7109375" style="221" customWidth="1"/>
    <col min="4620" max="4620" width="0.5703125" style="221" customWidth="1"/>
    <col min="4621" max="4633" width="0.7109375" style="221" customWidth="1"/>
    <col min="4634" max="4634" width="1.4257812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 style="221" customWidth="1"/>
    <col min="4671" max="4672" width="0.5703125" style="221" customWidth="1"/>
    <col min="4673" max="4673" width="2.140625" style="221" customWidth="1"/>
    <col min="4674" max="4674" width="0.5703125" style="221" customWidth="1"/>
    <col min="4675" max="4675" width="2.140625" style="221" customWidth="1"/>
    <col min="4676" max="4676" width="0.5703125" style="221" customWidth="1"/>
    <col min="4677" max="4677" width="2.140625" style="221" customWidth="1"/>
    <col min="4678" max="4678" width="0.5703125" style="221" customWidth="1"/>
    <col min="4679" max="4679" width="2.140625" style="221" customWidth="1"/>
    <col min="4680" max="4680" width="0.5703125" style="221" customWidth="1"/>
    <col min="4681" max="4681" width="2.140625" style="221" customWidth="1"/>
    <col min="4682" max="4682" width="0.5703125" style="221" customWidth="1"/>
    <col min="4683" max="4683" width="2.140625" style="221" customWidth="1"/>
    <col min="4684" max="4684" width="0.5703125" style="221" customWidth="1"/>
    <col min="4685" max="4685" width="2.140625" style="221" customWidth="1"/>
    <col min="4686" max="4686" width="0.5703125" style="221" customWidth="1"/>
    <col min="4687" max="4687" width="2.140625" style="221" customWidth="1"/>
    <col min="4688" max="4688" width="0.5703125" style="221" customWidth="1"/>
    <col min="4689" max="4689" width="2.140625" style="221" customWidth="1"/>
    <col min="4690" max="4690" width="0.5703125" style="221" customWidth="1"/>
    <col min="4691" max="4691" width="2.140625" style="221" customWidth="1"/>
    <col min="4692" max="4692" width="0.5703125" style="221" customWidth="1"/>
    <col min="4693" max="4693" width="2.140625" style="221" customWidth="1"/>
    <col min="4694" max="4694" width="0.5703125" style="221" customWidth="1"/>
    <col min="4695" max="4696" width="2.5703125" style="221" customWidth="1"/>
    <col min="4697"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7109375" style="221" customWidth="1"/>
    <col min="4870" max="4870" width="1.140625" style="221" customWidth="1"/>
    <col min="4871" max="4875" width="0.7109375" style="221" customWidth="1"/>
    <col min="4876" max="4876" width="0.5703125" style="221" customWidth="1"/>
    <col min="4877" max="4889" width="0.7109375" style="221" customWidth="1"/>
    <col min="4890" max="4890" width="1.4257812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 style="221" customWidth="1"/>
    <col min="4927" max="4928" width="0.5703125" style="221" customWidth="1"/>
    <col min="4929" max="4929" width="2.140625" style="221" customWidth="1"/>
    <col min="4930" max="4930" width="0.5703125" style="221" customWidth="1"/>
    <col min="4931" max="4931" width="2.140625" style="221" customWidth="1"/>
    <col min="4932" max="4932" width="0.5703125" style="221" customWidth="1"/>
    <col min="4933" max="4933" width="2.140625" style="221" customWidth="1"/>
    <col min="4934" max="4934" width="0.5703125" style="221" customWidth="1"/>
    <col min="4935" max="4935" width="2.140625" style="221" customWidth="1"/>
    <col min="4936" max="4936" width="0.5703125" style="221" customWidth="1"/>
    <col min="4937" max="4937" width="2.140625" style="221" customWidth="1"/>
    <col min="4938" max="4938" width="0.5703125" style="221" customWidth="1"/>
    <col min="4939" max="4939" width="2.140625" style="221" customWidth="1"/>
    <col min="4940" max="4940" width="0.5703125" style="221" customWidth="1"/>
    <col min="4941" max="4941" width="2.140625" style="221" customWidth="1"/>
    <col min="4942" max="4942" width="0.5703125" style="221" customWidth="1"/>
    <col min="4943" max="4943" width="2.140625" style="221" customWidth="1"/>
    <col min="4944" max="4944" width="0.5703125" style="221" customWidth="1"/>
    <col min="4945" max="4945" width="2.140625" style="221" customWidth="1"/>
    <col min="4946" max="4946" width="0.5703125" style="221" customWidth="1"/>
    <col min="4947" max="4947" width="2.140625" style="221" customWidth="1"/>
    <col min="4948" max="4948" width="0.5703125" style="221" customWidth="1"/>
    <col min="4949" max="4949" width="2.140625" style="221" customWidth="1"/>
    <col min="4950" max="4950" width="0.5703125" style="221" customWidth="1"/>
    <col min="4951" max="4952" width="2.5703125" style="221" customWidth="1"/>
    <col min="4953"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7109375" style="221" customWidth="1"/>
    <col min="5126" max="5126" width="1.140625" style="221" customWidth="1"/>
    <col min="5127" max="5131" width="0.7109375" style="221" customWidth="1"/>
    <col min="5132" max="5132" width="0.5703125" style="221" customWidth="1"/>
    <col min="5133" max="5145" width="0.7109375" style="221" customWidth="1"/>
    <col min="5146" max="5146" width="1.4257812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 style="221" customWidth="1"/>
    <col min="5183" max="5184" width="0.5703125" style="221" customWidth="1"/>
    <col min="5185" max="5185" width="2.140625" style="221" customWidth="1"/>
    <col min="5186" max="5186" width="0.5703125" style="221" customWidth="1"/>
    <col min="5187" max="5187" width="2.140625" style="221" customWidth="1"/>
    <col min="5188" max="5188" width="0.5703125" style="221" customWidth="1"/>
    <col min="5189" max="5189" width="2.140625" style="221" customWidth="1"/>
    <col min="5190" max="5190" width="0.5703125" style="221" customWidth="1"/>
    <col min="5191" max="5191" width="2.140625" style="221" customWidth="1"/>
    <col min="5192" max="5192" width="0.5703125" style="221" customWidth="1"/>
    <col min="5193" max="5193" width="2.140625" style="221" customWidth="1"/>
    <col min="5194" max="5194" width="0.5703125" style="221" customWidth="1"/>
    <col min="5195" max="5195" width="2.140625" style="221" customWidth="1"/>
    <col min="5196" max="5196" width="0.5703125" style="221" customWidth="1"/>
    <col min="5197" max="5197" width="2.140625" style="221" customWidth="1"/>
    <col min="5198" max="5198" width="0.5703125" style="221" customWidth="1"/>
    <col min="5199" max="5199" width="2.140625" style="221" customWidth="1"/>
    <col min="5200" max="5200" width="0.5703125" style="221" customWidth="1"/>
    <col min="5201" max="5201" width="2.140625" style="221" customWidth="1"/>
    <col min="5202" max="5202" width="0.5703125" style="221" customWidth="1"/>
    <col min="5203" max="5203" width="2.140625" style="221" customWidth="1"/>
    <col min="5204" max="5204" width="0.5703125" style="221" customWidth="1"/>
    <col min="5205" max="5205" width="2.140625" style="221" customWidth="1"/>
    <col min="5206" max="5206" width="0.5703125" style="221" customWidth="1"/>
    <col min="5207" max="5208" width="2.5703125" style="221" customWidth="1"/>
    <col min="5209"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7109375" style="221" customWidth="1"/>
    <col min="5382" max="5382" width="1.140625" style="221" customWidth="1"/>
    <col min="5383" max="5387" width="0.7109375" style="221" customWidth="1"/>
    <col min="5388" max="5388" width="0.5703125" style="221" customWidth="1"/>
    <col min="5389" max="5401" width="0.7109375" style="221" customWidth="1"/>
    <col min="5402" max="5402" width="1.4257812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 style="221" customWidth="1"/>
    <col min="5439" max="5440" width="0.5703125" style="221" customWidth="1"/>
    <col min="5441" max="5441" width="2.140625" style="221" customWidth="1"/>
    <col min="5442" max="5442" width="0.5703125" style="221" customWidth="1"/>
    <col min="5443" max="5443" width="2.140625" style="221" customWidth="1"/>
    <col min="5444" max="5444" width="0.5703125" style="221" customWidth="1"/>
    <col min="5445" max="5445" width="2.140625" style="221" customWidth="1"/>
    <col min="5446" max="5446" width="0.5703125" style="221" customWidth="1"/>
    <col min="5447" max="5447" width="2.140625" style="221" customWidth="1"/>
    <col min="5448" max="5448" width="0.5703125" style="221" customWidth="1"/>
    <col min="5449" max="5449" width="2.140625" style="221" customWidth="1"/>
    <col min="5450" max="5450" width="0.5703125" style="221" customWidth="1"/>
    <col min="5451" max="5451" width="2.140625" style="221" customWidth="1"/>
    <col min="5452" max="5452" width="0.5703125" style="221" customWidth="1"/>
    <col min="5453" max="5453" width="2.140625" style="221" customWidth="1"/>
    <col min="5454" max="5454" width="0.5703125" style="221" customWidth="1"/>
    <col min="5455" max="5455" width="2.140625" style="221" customWidth="1"/>
    <col min="5456" max="5456" width="0.5703125" style="221" customWidth="1"/>
    <col min="5457" max="5457" width="2.140625" style="221" customWidth="1"/>
    <col min="5458" max="5458" width="0.5703125" style="221" customWidth="1"/>
    <col min="5459" max="5459" width="2.140625" style="221" customWidth="1"/>
    <col min="5460" max="5460" width="0.5703125" style="221" customWidth="1"/>
    <col min="5461" max="5461" width="2.140625" style="221" customWidth="1"/>
    <col min="5462" max="5462" width="0.5703125" style="221" customWidth="1"/>
    <col min="5463" max="5464" width="2.5703125" style="221" customWidth="1"/>
    <col min="5465"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7109375" style="221" customWidth="1"/>
    <col min="5638" max="5638" width="1.140625" style="221" customWidth="1"/>
    <col min="5639" max="5643" width="0.7109375" style="221" customWidth="1"/>
    <col min="5644" max="5644" width="0.5703125" style="221" customWidth="1"/>
    <col min="5645" max="5657" width="0.7109375" style="221" customWidth="1"/>
    <col min="5658" max="5658" width="1.4257812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 style="221" customWidth="1"/>
    <col min="5695" max="5696" width="0.5703125" style="221" customWidth="1"/>
    <col min="5697" max="5697" width="2.140625" style="221" customWidth="1"/>
    <col min="5698" max="5698" width="0.5703125" style="221" customWidth="1"/>
    <col min="5699" max="5699" width="2.140625" style="221" customWidth="1"/>
    <col min="5700" max="5700" width="0.5703125" style="221" customWidth="1"/>
    <col min="5701" max="5701" width="2.140625" style="221" customWidth="1"/>
    <col min="5702" max="5702" width="0.5703125" style="221" customWidth="1"/>
    <col min="5703" max="5703" width="2.140625" style="221" customWidth="1"/>
    <col min="5704" max="5704" width="0.5703125" style="221" customWidth="1"/>
    <col min="5705" max="5705" width="2.140625" style="221" customWidth="1"/>
    <col min="5706" max="5706" width="0.5703125" style="221" customWidth="1"/>
    <col min="5707" max="5707" width="2.140625" style="221" customWidth="1"/>
    <col min="5708" max="5708" width="0.5703125" style="221" customWidth="1"/>
    <col min="5709" max="5709" width="2.140625" style="221" customWidth="1"/>
    <col min="5710" max="5710" width="0.5703125" style="221" customWidth="1"/>
    <col min="5711" max="5711" width="2.140625" style="221" customWidth="1"/>
    <col min="5712" max="5712" width="0.5703125" style="221" customWidth="1"/>
    <col min="5713" max="5713" width="2.140625" style="221" customWidth="1"/>
    <col min="5714" max="5714" width="0.5703125" style="221" customWidth="1"/>
    <col min="5715" max="5715" width="2.140625" style="221" customWidth="1"/>
    <col min="5716" max="5716" width="0.5703125" style="221" customWidth="1"/>
    <col min="5717" max="5717" width="2.140625" style="221" customWidth="1"/>
    <col min="5718" max="5718" width="0.5703125" style="221" customWidth="1"/>
    <col min="5719" max="5720" width="2.5703125" style="221" customWidth="1"/>
    <col min="5721"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7109375" style="221" customWidth="1"/>
    <col min="5894" max="5894" width="1.140625" style="221" customWidth="1"/>
    <col min="5895" max="5899" width="0.7109375" style="221" customWidth="1"/>
    <col min="5900" max="5900" width="0.5703125" style="221" customWidth="1"/>
    <col min="5901" max="5913" width="0.7109375" style="221" customWidth="1"/>
    <col min="5914" max="5914" width="1.4257812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 style="221" customWidth="1"/>
    <col min="5951" max="5952" width="0.5703125" style="221" customWidth="1"/>
    <col min="5953" max="5953" width="2.140625" style="221" customWidth="1"/>
    <col min="5954" max="5954" width="0.5703125" style="221" customWidth="1"/>
    <col min="5955" max="5955" width="2.140625" style="221" customWidth="1"/>
    <col min="5956" max="5956" width="0.5703125" style="221" customWidth="1"/>
    <col min="5957" max="5957" width="2.140625" style="221" customWidth="1"/>
    <col min="5958" max="5958" width="0.5703125" style="221" customWidth="1"/>
    <col min="5959" max="5959" width="2.140625" style="221" customWidth="1"/>
    <col min="5960" max="5960" width="0.5703125" style="221" customWidth="1"/>
    <col min="5961" max="5961" width="2.140625" style="221" customWidth="1"/>
    <col min="5962" max="5962" width="0.5703125" style="221" customWidth="1"/>
    <col min="5963" max="5963" width="2.140625" style="221" customWidth="1"/>
    <col min="5964" max="5964" width="0.5703125" style="221" customWidth="1"/>
    <col min="5965" max="5965" width="2.140625" style="221" customWidth="1"/>
    <col min="5966" max="5966" width="0.5703125" style="221" customWidth="1"/>
    <col min="5967" max="5967" width="2.140625" style="221" customWidth="1"/>
    <col min="5968" max="5968" width="0.5703125" style="221" customWidth="1"/>
    <col min="5969" max="5969" width="2.140625" style="221" customWidth="1"/>
    <col min="5970" max="5970" width="0.5703125" style="221" customWidth="1"/>
    <col min="5971" max="5971" width="2.140625" style="221" customWidth="1"/>
    <col min="5972" max="5972" width="0.5703125" style="221" customWidth="1"/>
    <col min="5973" max="5973" width="2.140625" style="221" customWidth="1"/>
    <col min="5974" max="5974" width="0.5703125" style="221" customWidth="1"/>
    <col min="5975" max="5976" width="2.5703125" style="221" customWidth="1"/>
    <col min="5977"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7109375" style="221" customWidth="1"/>
    <col min="6150" max="6150" width="1.140625" style="221" customWidth="1"/>
    <col min="6151" max="6155" width="0.7109375" style="221" customWidth="1"/>
    <col min="6156" max="6156" width="0.5703125" style="221" customWidth="1"/>
    <col min="6157" max="6169" width="0.7109375" style="221" customWidth="1"/>
    <col min="6170" max="6170" width="1.4257812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 style="221" customWidth="1"/>
    <col min="6207" max="6208" width="0.5703125" style="221" customWidth="1"/>
    <col min="6209" max="6209" width="2.140625" style="221" customWidth="1"/>
    <col min="6210" max="6210" width="0.5703125" style="221" customWidth="1"/>
    <col min="6211" max="6211" width="2.140625" style="221" customWidth="1"/>
    <col min="6212" max="6212" width="0.5703125" style="221" customWidth="1"/>
    <col min="6213" max="6213" width="2.140625" style="221" customWidth="1"/>
    <col min="6214" max="6214" width="0.5703125" style="221" customWidth="1"/>
    <col min="6215" max="6215" width="2.140625" style="221" customWidth="1"/>
    <col min="6216" max="6216" width="0.5703125" style="221" customWidth="1"/>
    <col min="6217" max="6217" width="2.140625" style="221" customWidth="1"/>
    <col min="6218" max="6218" width="0.5703125" style="221" customWidth="1"/>
    <col min="6219" max="6219" width="2.140625" style="221" customWidth="1"/>
    <col min="6220" max="6220" width="0.5703125" style="221" customWidth="1"/>
    <col min="6221" max="6221" width="2.140625" style="221" customWidth="1"/>
    <col min="6222" max="6222" width="0.5703125" style="221" customWidth="1"/>
    <col min="6223" max="6223" width="2.140625" style="221" customWidth="1"/>
    <col min="6224" max="6224" width="0.5703125" style="221" customWidth="1"/>
    <col min="6225" max="6225" width="2.140625" style="221" customWidth="1"/>
    <col min="6226" max="6226" width="0.5703125" style="221" customWidth="1"/>
    <col min="6227" max="6227" width="2.140625" style="221" customWidth="1"/>
    <col min="6228" max="6228" width="0.5703125" style="221" customWidth="1"/>
    <col min="6229" max="6229" width="2.140625" style="221" customWidth="1"/>
    <col min="6230" max="6230" width="0.5703125" style="221" customWidth="1"/>
    <col min="6231" max="6232" width="2.5703125" style="221" customWidth="1"/>
    <col min="6233"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7109375" style="221" customWidth="1"/>
    <col min="6406" max="6406" width="1.140625" style="221" customWidth="1"/>
    <col min="6407" max="6411" width="0.7109375" style="221" customWidth="1"/>
    <col min="6412" max="6412" width="0.5703125" style="221" customWidth="1"/>
    <col min="6413" max="6425" width="0.7109375" style="221" customWidth="1"/>
    <col min="6426" max="6426" width="1.4257812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 style="221" customWidth="1"/>
    <col min="6463" max="6464" width="0.5703125" style="221" customWidth="1"/>
    <col min="6465" max="6465" width="2.140625" style="221" customWidth="1"/>
    <col min="6466" max="6466" width="0.5703125" style="221" customWidth="1"/>
    <col min="6467" max="6467" width="2.140625" style="221" customWidth="1"/>
    <col min="6468" max="6468" width="0.5703125" style="221" customWidth="1"/>
    <col min="6469" max="6469" width="2.140625" style="221" customWidth="1"/>
    <col min="6470" max="6470" width="0.5703125" style="221" customWidth="1"/>
    <col min="6471" max="6471" width="2.140625" style="221" customWidth="1"/>
    <col min="6472" max="6472" width="0.5703125" style="221" customWidth="1"/>
    <col min="6473" max="6473" width="2.140625" style="221" customWidth="1"/>
    <col min="6474" max="6474" width="0.5703125" style="221" customWidth="1"/>
    <col min="6475" max="6475" width="2.140625" style="221" customWidth="1"/>
    <col min="6476" max="6476" width="0.5703125" style="221" customWidth="1"/>
    <col min="6477" max="6477" width="2.140625" style="221" customWidth="1"/>
    <col min="6478" max="6478" width="0.5703125" style="221" customWidth="1"/>
    <col min="6479" max="6479" width="2.140625" style="221" customWidth="1"/>
    <col min="6480" max="6480" width="0.5703125" style="221" customWidth="1"/>
    <col min="6481" max="6481" width="2.140625" style="221" customWidth="1"/>
    <col min="6482" max="6482" width="0.5703125" style="221" customWidth="1"/>
    <col min="6483" max="6483" width="2.140625" style="221" customWidth="1"/>
    <col min="6484" max="6484" width="0.5703125" style="221" customWidth="1"/>
    <col min="6485" max="6485" width="2.140625" style="221" customWidth="1"/>
    <col min="6486" max="6486" width="0.5703125" style="221" customWidth="1"/>
    <col min="6487" max="6488" width="2.5703125" style="221" customWidth="1"/>
    <col min="6489"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7109375" style="221" customWidth="1"/>
    <col min="6662" max="6662" width="1.140625" style="221" customWidth="1"/>
    <col min="6663" max="6667" width="0.7109375" style="221" customWidth="1"/>
    <col min="6668" max="6668" width="0.5703125" style="221" customWidth="1"/>
    <col min="6669" max="6681" width="0.7109375" style="221" customWidth="1"/>
    <col min="6682" max="6682" width="1.4257812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 style="221" customWidth="1"/>
    <col min="6719" max="6720" width="0.5703125" style="221" customWidth="1"/>
    <col min="6721" max="6721" width="2.140625" style="221" customWidth="1"/>
    <col min="6722" max="6722" width="0.5703125" style="221" customWidth="1"/>
    <col min="6723" max="6723" width="2.140625" style="221" customWidth="1"/>
    <col min="6724" max="6724" width="0.5703125" style="221" customWidth="1"/>
    <col min="6725" max="6725" width="2.140625" style="221" customWidth="1"/>
    <col min="6726" max="6726" width="0.5703125" style="221" customWidth="1"/>
    <col min="6727" max="6727" width="2.140625" style="221" customWidth="1"/>
    <col min="6728" max="6728" width="0.5703125" style="221" customWidth="1"/>
    <col min="6729" max="6729" width="2.140625" style="221" customWidth="1"/>
    <col min="6730" max="6730" width="0.5703125" style="221" customWidth="1"/>
    <col min="6731" max="6731" width="2.140625" style="221" customWidth="1"/>
    <col min="6732" max="6732" width="0.5703125" style="221" customWidth="1"/>
    <col min="6733" max="6733" width="2.140625" style="221" customWidth="1"/>
    <col min="6734" max="6734" width="0.5703125" style="221" customWidth="1"/>
    <col min="6735" max="6735" width="2.140625" style="221" customWidth="1"/>
    <col min="6736" max="6736" width="0.5703125" style="221" customWidth="1"/>
    <col min="6737" max="6737" width="2.140625" style="221" customWidth="1"/>
    <col min="6738" max="6738" width="0.5703125" style="221" customWidth="1"/>
    <col min="6739" max="6739" width="2.140625" style="221" customWidth="1"/>
    <col min="6740" max="6740" width="0.5703125" style="221" customWidth="1"/>
    <col min="6741" max="6741" width="2.140625" style="221" customWidth="1"/>
    <col min="6742" max="6742" width="0.5703125" style="221" customWidth="1"/>
    <col min="6743" max="6744" width="2.5703125" style="221" customWidth="1"/>
    <col min="6745"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7109375" style="221" customWidth="1"/>
    <col min="6918" max="6918" width="1.140625" style="221" customWidth="1"/>
    <col min="6919" max="6923" width="0.7109375" style="221" customWidth="1"/>
    <col min="6924" max="6924" width="0.5703125" style="221" customWidth="1"/>
    <col min="6925" max="6937" width="0.7109375" style="221" customWidth="1"/>
    <col min="6938" max="6938" width="1.4257812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 style="221" customWidth="1"/>
    <col min="6975" max="6976" width="0.5703125" style="221" customWidth="1"/>
    <col min="6977" max="6977" width="2.140625" style="221" customWidth="1"/>
    <col min="6978" max="6978" width="0.5703125" style="221" customWidth="1"/>
    <col min="6979" max="6979" width="2.140625" style="221" customWidth="1"/>
    <col min="6980" max="6980" width="0.5703125" style="221" customWidth="1"/>
    <col min="6981" max="6981" width="2.140625" style="221" customWidth="1"/>
    <col min="6982" max="6982" width="0.5703125" style="221" customWidth="1"/>
    <col min="6983" max="6983" width="2.140625" style="221" customWidth="1"/>
    <col min="6984" max="6984" width="0.5703125" style="221" customWidth="1"/>
    <col min="6985" max="6985" width="2.140625" style="221" customWidth="1"/>
    <col min="6986" max="6986" width="0.5703125" style="221" customWidth="1"/>
    <col min="6987" max="6987" width="2.140625" style="221" customWidth="1"/>
    <col min="6988" max="6988" width="0.5703125" style="221" customWidth="1"/>
    <col min="6989" max="6989" width="2.140625" style="221" customWidth="1"/>
    <col min="6990" max="6990" width="0.5703125" style="221" customWidth="1"/>
    <col min="6991" max="6991" width="2.140625" style="221" customWidth="1"/>
    <col min="6992" max="6992" width="0.5703125" style="221" customWidth="1"/>
    <col min="6993" max="6993" width="2.140625" style="221" customWidth="1"/>
    <col min="6994" max="6994" width="0.5703125" style="221" customWidth="1"/>
    <col min="6995" max="6995" width="2.140625" style="221" customWidth="1"/>
    <col min="6996" max="6996" width="0.5703125" style="221" customWidth="1"/>
    <col min="6997" max="6997" width="2.140625" style="221" customWidth="1"/>
    <col min="6998" max="6998" width="0.5703125" style="221" customWidth="1"/>
    <col min="6999" max="7000" width="2.5703125" style="221" customWidth="1"/>
    <col min="7001"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7109375" style="221" customWidth="1"/>
    <col min="7174" max="7174" width="1.140625" style="221" customWidth="1"/>
    <col min="7175" max="7179" width="0.7109375" style="221" customWidth="1"/>
    <col min="7180" max="7180" width="0.5703125" style="221" customWidth="1"/>
    <col min="7181" max="7193" width="0.7109375" style="221" customWidth="1"/>
    <col min="7194" max="7194" width="1.4257812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 style="221" customWidth="1"/>
    <col min="7231" max="7232" width="0.5703125" style="221" customWidth="1"/>
    <col min="7233" max="7233" width="2.140625" style="221" customWidth="1"/>
    <col min="7234" max="7234" width="0.5703125" style="221" customWidth="1"/>
    <col min="7235" max="7235" width="2.140625" style="221" customWidth="1"/>
    <col min="7236" max="7236" width="0.5703125" style="221" customWidth="1"/>
    <col min="7237" max="7237" width="2.140625" style="221" customWidth="1"/>
    <col min="7238" max="7238" width="0.5703125" style="221" customWidth="1"/>
    <col min="7239" max="7239" width="2.140625" style="221" customWidth="1"/>
    <col min="7240" max="7240" width="0.5703125" style="221" customWidth="1"/>
    <col min="7241" max="7241" width="2.140625" style="221" customWidth="1"/>
    <col min="7242" max="7242" width="0.5703125" style="221" customWidth="1"/>
    <col min="7243" max="7243" width="2.140625" style="221" customWidth="1"/>
    <col min="7244" max="7244" width="0.5703125" style="221" customWidth="1"/>
    <col min="7245" max="7245" width="2.140625" style="221" customWidth="1"/>
    <col min="7246" max="7246" width="0.5703125" style="221" customWidth="1"/>
    <col min="7247" max="7247" width="2.140625" style="221" customWidth="1"/>
    <col min="7248" max="7248" width="0.5703125" style="221" customWidth="1"/>
    <col min="7249" max="7249" width="2.140625" style="221" customWidth="1"/>
    <col min="7250" max="7250" width="0.5703125" style="221" customWidth="1"/>
    <col min="7251" max="7251" width="2.140625" style="221" customWidth="1"/>
    <col min="7252" max="7252" width="0.5703125" style="221" customWidth="1"/>
    <col min="7253" max="7253" width="2.140625" style="221" customWidth="1"/>
    <col min="7254" max="7254" width="0.5703125" style="221" customWidth="1"/>
    <col min="7255" max="7256" width="2.5703125" style="221" customWidth="1"/>
    <col min="7257"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7109375" style="221" customWidth="1"/>
    <col min="7430" max="7430" width="1.140625" style="221" customWidth="1"/>
    <col min="7431" max="7435" width="0.7109375" style="221" customWidth="1"/>
    <col min="7436" max="7436" width="0.5703125" style="221" customWidth="1"/>
    <col min="7437" max="7449" width="0.7109375" style="221" customWidth="1"/>
    <col min="7450" max="7450" width="1.4257812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 style="221" customWidth="1"/>
    <col min="7487" max="7488" width="0.5703125" style="221" customWidth="1"/>
    <col min="7489" max="7489" width="2.140625" style="221" customWidth="1"/>
    <col min="7490" max="7490" width="0.5703125" style="221" customWidth="1"/>
    <col min="7491" max="7491" width="2.140625" style="221" customWidth="1"/>
    <col min="7492" max="7492" width="0.5703125" style="221" customWidth="1"/>
    <col min="7493" max="7493" width="2.140625" style="221" customWidth="1"/>
    <col min="7494" max="7494" width="0.5703125" style="221" customWidth="1"/>
    <col min="7495" max="7495" width="2.140625" style="221" customWidth="1"/>
    <col min="7496" max="7496" width="0.5703125" style="221" customWidth="1"/>
    <col min="7497" max="7497" width="2.140625" style="221" customWidth="1"/>
    <col min="7498" max="7498" width="0.5703125" style="221" customWidth="1"/>
    <col min="7499" max="7499" width="2.140625" style="221" customWidth="1"/>
    <col min="7500" max="7500" width="0.5703125" style="221" customWidth="1"/>
    <col min="7501" max="7501" width="2.140625" style="221" customWidth="1"/>
    <col min="7502" max="7502" width="0.5703125" style="221" customWidth="1"/>
    <col min="7503" max="7503" width="2.140625" style="221" customWidth="1"/>
    <col min="7504" max="7504" width="0.5703125" style="221" customWidth="1"/>
    <col min="7505" max="7505" width="2.140625" style="221" customWidth="1"/>
    <col min="7506" max="7506" width="0.5703125" style="221" customWidth="1"/>
    <col min="7507" max="7507" width="2.140625" style="221" customWidth="1"/>
    <col min="7508" max="7508" width="0.5703125" style="221" customWidth="1"/>
    <col min="7509" max="7509" width="2.140625" style="221" customWidth="1"/>
    <col min="7510" max="7510" width="0.5703125" style="221" customWidth="1"/>
    <col min="7511" max="7512" width="2.5703125" style="221" customWidth="1"/>
    <col min="7513"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7109375" style="221" customWidth="1"/>
    <col min="7686" max="7686" width="1.140625" style="221" customWidth="1"/>
    <col min="7687" max="7691" width="0.7109375" style="221" customWidth="1"/>
    <col min="7692" max="7692" width="0.5703125" style="221" customWidth="1"/>
    <col min="7693" max="7705" width="0.7109375" style="221" customWidth="1"/>
    <col min="7706" max="7706" width="1.4257812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 style="221" customWidth="1"/>
    <col min="7743" max="7744" width="0.5703125" style="221" customWidth="1"/>
    <col min="7745" max="7745" width="2.140625" style="221" customWidth="1"/>
    <col min="7746" max="7746" width="0.5703125" style="221" customWidth="1"/>
    <col min="7747" max="7747" width="2.140625" style="221" customWidth="1"/>
    <col min="7748" max="7748" width="0.5703125" style="221" customWidth="1"/>
    <col min="7749" max="7749" width="2.140625" style="221" customWidth="1"/>
    <col min="7750" max="7750" width="0.5703125" style="221" customWidth="1"/>
    <col min="7751" max="7751" width="2.140625" style="221" customWidth="1"/>
    <col min="7752" max="7752" width="0.5703125" style="221" customWidth="1"/>
    <col min="7753" max="7753" width="2.140625" style="221" customWidth="1"/>
    <col min="7754" max="7754" width="0.5703125" style="221" customWidth="1"/>
    <col min="7755" max="7755" width="2.140625" style="221" customWidth="1"/>
    <col min="7756" max="7756" width="0.5703125" style="221" customWidth="1"/>
    <col min="7757" max="7757" width="2.140625" style="221" customWidth="1"/>
    <col min="7758" max="7758" width="0.5703125" style="221" customWidth="1"/>
    <col min="7759" max="7759" width="2.140625" style="221" customWidth="1"/>
    <col min="7760" max="7760" width="0.5703125" style="221" customWidth="1"/>
    <col min="7761" max="7761" width="2.140625" style="221" customWidth="1"/>
    <col min="7762" max="7762" width="0.5703125" style="221" customWidth="1"/>
    <col min="7763" max="7763" width="2.140625" style="221" customWidth="1"/>
    <col min="7764" max="7764" width="0.5703125" style="221" customWidth="1"/>
    <col min="7765" max="7765" width="2.140625" style="221" customWidth="1"/>
    <col min="7766" max="7766" width="0.5703125" style="221" customWidth="1"/>
    <col min="7767" max="7768" width="2.5703125" style="221" customWidth="1"/>
    <col min="7769"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7109375" style="221" customWidth="1"/>
    <col min="7942" max="7942" width="1.140625" style="221" customWidth="1"/>
    <col min="7943" max="7947" width="0.7109375" style="221" customWidth="1"/>
    <col min="7948" max="7948" width="0.5703125" style="221" customWidth="1"/>
    <col min="7949" max="7961" width="0.7109375" style="221" customWidth="1"/>
    <col min="7962" max="7962" width="1.4257812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 style="221" customWidth="1"/>
    <col min="7999" max="8000" width="0.5703125" style="221" customWidth="1"/>
    <col min="8001" max="8001" width="2.140625" style="221" customWidth="1"/>
    <col min="8002" max="8002" width="0.5703125" style="221" customWidth="1"/>
    <col min="8003" max="8003" width="2.140625" style="221" customWidth="1"/>
    <col min="8004" max="8004" width="0.5703125" style="221" customWidth="1"/>
    <col min="8005" max="8005" width="2.140625" style="221" customWidth="1"/>
    <col min="8006" max="8006" width="0.5703125" style="221" customWidth="1"/>
    <col min="8007" max="8007" width="2.140625" style="221" customWidth="1"/>
    <col min="8008" max="8008" width="0.5703125" style="221" customWidth="1"/>
    <col min="8009" max="8009" width="2.140625" style="221" customWidth="1"/>
    <col min="8010" max="8010" width="0.5703125" style="221" customWidth="1"/>
    <col min="8011" max="8011" width="2.140625" style="221" customWidth="1"/>
    <col min="8012" max="8012" width="0.5703125" style="221" customWidth="1"/>
    <col min="8013" max="8013" width="2.140625" style="221" customWidth="1"/>
    <col min="8014" max="8014" width="0.5703125" style="221" customWidth="1"/>
    <col min="8015" max="8015" width="2.140625" style="221" customWidth="1"/>
    <col min="8016" max="8016" width="0.5703125" style="221" customWidth="1"/>
    <col min="8017" max="8017" width="2.140625" style="221" customWidth="1"/>
    <col min="8018" max="8018" width="0.5703125" style="221" customWidth="1"/>
    <col min="8019" max="8019" width="2.140625" style="221" customWidth="1"/>
    <col min="8020" max="8020" width="0.5703125" style="221" customWidth="1"/>
    <col min="8021" max="8021" width="2.140625" style="221" customWidth="1"/>
    <col min="8022" max="8022" width="0.5703125" style="221" customWidth="1"/>
    <col min="8023" max="8024" width="2.5703125" style="221" customWidth="1"/>
    <col min="8025"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7109375" style="221" customWidth="1"/>
    <col min="8198" max="8198" width="1.140625" style="221" customWidth="1"/>
    <col min="8199" max="8203" width="0.7109375" style="221" customWidth="1"/>
    <col min="8204" max="8204" width="0.5703125" style="221" customWidth="1"/>
    <col min="8205" max="8217" width="0.7109375" style="221" customWidth="1"/>
    <col min="8218" max="8218" width="1.4257812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 style="221" customWidth="1"/>
    <col min="8255" max="8256" width="0.5703125" style="221" customWidth="1"/>
    <col min="8257" max="8257" width="2.140625" style="221" customWidth="1"/>
    <col min="8258" max="8258" width="0.5703125" style="221" customWidth="1"/>
    <col min="8259" max="8259" width="2.140625" style="221" customWidth="1"/>
    <col min="8260" max="8260" width="0.5703125" style="221" customWidth="1"/>
    <col min="8261" max="8261" width="2.140625" style="221" customWidth="1"/>
    <col min="8262" max="8262" width="0.5703125" style="221" customWidth="1"/>
    <col min="8263" max="8263" width="2.140625" style="221" customWidth="1"/>
    <col min="8264" max="8264" width="0.5703125" style="221" customWidth="1"/>
    <col min="8265" max="8265" width="2.140625" style="221" customWidth="1"/>
    <col min="8266" max="8266" width="0.5703125" style="221" customWidth="1"/>
    <col min="8267" max="8267" width="2.140625" style="221" customWidth="1"/>
    <col min="8268" max="8268" width="0.5703125" style="221" customWidth="1"/>
    <col min="8269" max="8269" width="2.140625" style="221" customWidth="1"/>
    <col min="8270" max="8270" width="0.5703125" style="221" customWidth="1"/>
    <col min="8271" max="8271" width="2.140625" style="221" customWidth="1"/>
    <col min="8272" max="8272" width="0.5703125" style="221" customWidth="1"/>
    <col min="8273" max="8273" width="2.140625" style="221" customWidth="1"/>
    <col min="8274" max="8274" width="0.5703125" style="221" customWidth="1"/>
    <col min="8275" max="8275" width="2.140625" style="221" customWidth="1"/>
    <col min="8276" max="8276" width="0.5703125" style="221" customWidth="1"/>
    <col min="8277" max="8277" width="2.140625" style="221" customWidth="1"/>
    <col min="8278" max="8278" width="0.5703125" style="221" customWidth="1"/>
    <col min="8279" max="8280" width="2.5703125" style="221" customWidth="1"/>
    <col min="8281"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7109375" style="221" customWidth="1"/>
    <col min="8454" max="8454" width="1.140625" style="221" customWidth="1"/>
    <col min="8455" max="8459" width="0.7109375" style="221" customWidth="1"/>
    <col min="8460" max="8460" width="0.5703125" style="221" customWidth="1"/>
    <col min="8461" max="8473" width="0.7109375" style="221" customWidth="1"/>
    <col min="8474" max="8474" width="1.4257812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 style="221" customWidth="1"/>
    <col min="8511" max="8512" width="0.5703125" style="221" customWidth="1"/>
    <col min="8513" max="8513" width="2.140625" style="221" customWidth="1"/>
    <col min="8514" max="8514" width="0.5703125" style="221" customWidth="1"/>
    <col min="8515" max="8515" width="2.140625" style="221" customWidth="1"/>
    <col min="8516" max="8516" width="0.5703125" style="221" customWidth="1"/>
    <col min="8517" max="8517" width="2.140625" style="221" customWidth="1"/>
    <col min="8518" max="8518" width="0.5703125" style="221" customWidth="1"/>
    <col min="8519" max="8519" width="2.140625" style="221" customWidth="1"/>
    <col min="8520" max="8520" width="0.5703125" style="221" customWidth="1"/>
    <col min="8521" max="8521" width="2.140625" style="221" customWidth="1"/>
    <col min="8522" max="8522" width="0.5703125" style="221" customWidth="1"/>
    <col min="8523" max="8523" width="2.140625" style="221" customWidth="1"/>
    <col min="8524" max="8524" width="0.5703125" style="221" customWidth="1"/>
    <col min="8525" max="8525" width="2.140625" style="221" customWidth="1"/>
    <col min="8526" max="8526" width="0.5703125" style="221" customWidth="1"/>
    <col min="8527" max="8527" width="2.140625" style="221" customWidth="1"/>
    <col min="8528" max="8528" width="0.5703125" style="221" customWidth="1"/>
    <col min="8529" max="8529" width="2.140625" style="221" customWidth="1"/>
    <col min="8530" max="8530" width="0.5703125" style="221" customWidth="1"/>
    <col min="8531" max="8531" width="2.140625" style="221" customWidth="1"/>
    <col min="8532" max="8532" width="0.5703125" style="221" customWidth="1"/>
    <col min="8533" max="8533" width="2.140625" style="221" customWidth="1"/>
    <col min="8534" max="8534" width="0.5703125" style="221" customWidth="1"/>
    <col min="8535" max="8536" width="2.5703125" style="221" customWidth="1"/>
    <col min="8537"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7109375" style="221" customWidth="1"/>
    <col min="8710" max="8710" width="1.140625" style="221" customWidth="1"/>
    <col min="8711" max="8715" width="0.7109375" style="221" customWidth="1"/>
    <col min="8716" max="8716" width="0.5703125" style="221" customWidth="1"/>
    <col min="8717" max="8729" width="0.7109375" style="221" customWidth="1"/>
    <col min="8730" max="8730" width="1.4257812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 style="221" customWidth="1"/>
    <col min="8767" max="8768" width="0.5703125" style="221" customWidth="1"/>
    <col min="8769" max="8769" width="2.140625" style="221" customWidth="1"/>
    <col min="8770" max="8770" width="0.5703125" style="221" customWidth="1"/>
    <col min="8771" max="8771" width="2.140625" style="221" customWidth="1"/>
    <col min="8772" max="8772" width="0.5703125" style="221" customWidth="1"/>
    <col min="8773" max="8773" width="2.140625" style="221" customWidth="1"/>
    <col min="8774" max="8774" width="0.5703125" style="221" customWidth="1"/>
    <col min="8775" max="8775" width="2.140625" style="221" customWidth="1"/>
    <col min="8776" max="8776" width="0.5703125" style="221" customWidth="1"/>
    <col min="8777" max="8777" width="2.140625" style="221" customWidth="1"/>
    <col min="8778" max="8778" width="0.5703125" style="221" customWidth="1"/>
    <col min="8779" max="8779" width="2.140625" style="221" customWidth="1"/>
    <col min="8780" max="8780" width="0.5703125" style="221" customWidth="1"/>
    <col min="8781" max="8781" width="2.140625" style="221" customWidth="1"/>
    <col min="8782" max="8782" width="0.5703125" style="221" customWidth="1"/>
    <col min="8783" max="8783" width="2.140625" style="221" customWidth="1"/>
    <col min="8784" max="8784" width="0.5703125" style="221" customWidth="1"/>
    <col min="8785" max="8785" width="2.140625" style="221" customWidth="1"/>
    <col min="8786" max="8786" width="0.5703125" style="221" customWidth="1"/>
    <col min="8787" max="8787" width="2.140625" style="221" customWidth="1"/>
    <col min="8788" max="8788" width="0.5703125" style="221" customWidth="1"/>
    <col min="8789" max="8789" width="2.140625" style="221" customWidth="1"/>
    <col min="8790" max="8790" width="0.5703125" style="221" customWidth="1"/>
    <col min="8791" max="8792" width="2.5703125" style="221" customWidth="1"/>
    <col min="8793"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7109375" style="221" customWidth="1"/>
    <col min="8966" max="8966" width="1.140625" style="221" customWidth="1"/>
    <col min="8967" max="8971" width="0.7109375" style="221" customWidth="1"/>
    <col min="8972" max="8972" width="0.5703125" style="221" customWidth="1"/>
    <col min="8973" max="8985" width="0.7109375" style="221" customWidth="1"/>
    <col min="8986" max="8986" width="1.4257812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 style="221" customWidth="1"/>
    <col min="9023" max="9024" width="0.5703125" style="221" customWidth="1"/>
    <col min="9025" max="9025" width="2.140625" style="221" customWidth="1"/>
    <col min="9026" max="9026" width="0.5703125" style="221" customWidth="1"/>
    <col min="9027" max="9027" width="2.140625" style="221" customWidth="1"/>
    <col min="9028" max="9028" width="0.5703125" style="221" customWidth="1"/>
    <col min="9029" max="9029" width="2.140625" style="221" customWidth="1"/>
    <col min="9030" max="9030" width="0.5703125" style="221" customWidth="1"/>
    <col min="9031" max="9031" width="2.140625" style="221" customWidth="1"/>
    <col min="9032" max="9032" width="0.5703125" style="221" customWidth="1"/>
    <col min="9033" max="9033" width="2.140625" style="221" customWidth="1"/>
    <col min="9034" max="9034" width="0.5703125" style="221" customWidth="1"/>
    <col min="9035" max="9035" width="2.140625" style="221" customWidth="1"/>
    <col min="9036" max="9036" width="0.5703125" style="221" customWidth="1"/>
    <col min="9037" max="9037" width="2.140625" style="221" customWidth="1"/>
    <col min="9038" max="9038" width="0.5703125" style="221" customWidth="1"/>
    <col min="9039" max="9039" width="2.140625" style="221" customWidth="1"/>
    <col min="9040" max="9040" width="0.5703125" style="221" customWidth="1"/>
    <col min="9041" max="9041" width="2.140625" style="221" customWidth="1"/>
    <col min="9042" max="9042" width="0.5703125" style="221" customWidth="1"/>
    <col min="9043" max="9043" width="2.140625" style="221" customWidth="1"/>
    <col min="9044" max="9044" width="0.5703125" style="221" customWidth="1"/>
    <col min="9045" max="9045" width="2.140625" style="221" customWidth="1"/>
    <col min="9046" max="9046" width="0.5703125" style="221" customWidth="1"/>
    <col min="9047" max="9048" width="2.5703125" style="221" customWidth="1"/>
    <col min="9049"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7109375" style="221" customWidth="1"/>
    <col min="9222" max="9222" width="1.140625" style="221" customWidth="1"/>
    <col min="9223" max="9227" width="0.7109375" style="221" customWidth="1"/>
    <col min="9228" max="9228" width="0.5703125" style="221" customWidth="1"/>
    <col min="9229" max="9241" width="0.7109375" style="221" customWidth="1"/>
    <col min="9242" max="9242" width="1.4257812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 style="221" customWidth="1"/>
    <col min="9279" max="9280" width="0.5703125" style="221" customWidth="1"/>
    <col min="9281" max="9281" width="2.140625" style="221" customWidth="1"/>
    <col min="9282" max="9282" width="0.5703125" style="221" customWidth="1"/>
    <col min="9283" max="9283" width="2.140625" style="221" customWidth="1"/>
    <col min="9284" max="9284" width="0.5703125" style="221" customWidth="1"/>
    <col min="9285" max="9285" width="2.140625" style="221" customWidth="1"/>
    <col min="9286" max="9286" width="0.5703125" style="221" customWidth="1"/>
    <col min="9287" max="9287" width="2.140625" style="221" customWidth="1"/>
    <col min="9288" max="9288" width="0.5703125" style="221" customWidth="1"/>
    <col min="9289" max="9289" width="2.140625" style="221" customWidth="1"/>
    <col min="9290" max="9290" width="0.5703125" style="221" customWidth="1"/>
    <col min="9291" max="9291" width="2.140625" style="221" customWidth="1"/>
    <col min="9292" max="9292" width="0.5703125" style="221" customWidth="1"/>
    <col min="9293" max="9293" width="2.140625" style="221" customWidth="1"/>
    <col min="9294" max="9294" width="0.5703125" style="221" customWidth="1"/>
    <col min="9295" max="9295" width="2.140625" style="221" customWidth="1"/>
    <col min="9296" max="9296" width="0.5703125" style="221" customWidth="1"/>
    <col min="9297" max="9297" width="2.140625" style="221" customWidth="1"/>
    <col min="9298" max="9298" width="0.5703125" style="221" customWidth="1"/>
    <col min="9299" max="9299" width="2.140625" style="221" customWidth="1"/>
    <col min="9300" max="9300" width="0.5703125" style="221" customWidth="1"/>
    <col min="9301" max="9301" width="2.140625" style="221" customWidth="1"/>
    <col min="9302" max="9302" width="0.5703125" style="221" customWidth="1"/>
    <col min="9303" max="9304" width="2.5703125" style="221" customWidth="1"/>
    <col min="9305"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7109375" style="221" customWidth="1"/>
    <col min="9478" max="9478" width="1.140625" style="221" customWidth="1"/>
    <col min="9479" max="9483" width="0.7109375" style="221" customWidth="1"/>
    <col min="9484" max="9484" width="0.5703125" style="221" customWidth="1"/>
    <col min="9485" max="9497" width="0.7109375" style="221" customWidth="1"/>
    <col min="9498" max="9498" width="1.4257812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 style="221" customWidth="1"/>
    <col min="9535" max="9536" width="0.5703125" style="221" customWidth="1"/>
    <col min="9537" max="9537" width="2.140625" style="221" customWidth="1"/>
    <col min="9538" max="9538" width="0.5703125" style="221" customWidth="1"/>
    <col min="9539" max="9539" width="2.140625" style="221" customWidth="1"/>
    <col min="9540" max="9540" width="0.5703125" style="221" customWidth="1"/>
    <col min="9541" max="9541" width="2.140625" style="221" customWidth="1"/>
    <col min="9542" max="9542" width="0.5703125" style="221" customWidth="1"/>
    <col min="9543" max="9543" width="2.140625" style="221" customWidth="1"/>
    <col min="9544" max="9544" width="0.5703125" style="221" customWidth="1"/>
    <col min="9545" max="9545" width="2.140625" style="221" customWidth="1"/>
    <col min="9546" max="9546" width="0.5703125" style="221" customWidth="1"/>
    <col min="9547" max="9547" width="2.140625" style="221" customWidth="1"/>
    <col min="9548" max="9548" width="0.5703125" style="221" customWidth="1"/>
    <col min="9549" max="9549" width="2.140625" style="221" customWidth="1"/>
    <col min="9550" max="9550" width="0.5703125" style="221" customWidth="1"/>
    <col min="9551" max="9551" width="2.140625" style="221" customWidth="1"/>
    <col min="9552" max="9552" width="0.5703125" style="221" customWidth="1"/>
    <col min="9553" max="9553" width="2.140625" style="221" customWidth="1"/>
    <col min="9554" max="9554" width="0.5703125" style="221" customWidth="1"/>
    <col min="9555" max="9555" width="2.140625" style="221" customWidth="1"/>
    <col min="9556" max="9556" width="0.5703125" style="221" customWidth="1"/>
    <col min="9557" max="9557" width="2.140625" style="221" customWidth="1"/>
    <col min="9558" max="9558" width="0.5703125" style="221" customWidth="1"/>
    <col min="9559" max="9560" width="2.5703125" style="221" customWidth="1"/>
    <col min="9561"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7109375" style="221" customWidth="1"/>
    <col min="9734" max="9734" width="1.140625" style="221" customWidth="1"/>
    <col min="9735" max="9739" width="0.7109375" style="221" customWidth="1"/>
    <col min="9740" max="9740" width="0.5703125" style="221" customWidth="1"/>
    <col min="9741" max="9753" width="0.7109375" style="221" customWidth="1"/>
    <col min="9754" max="9754" width="1.4257812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 style="221" customWidth="1"/>
    <col min="9791" max="9792" width="0.5703125" style="221" customWidth="1"/>
    <col min="9793" max="9793" width="2.140625" style="221" customWidth="1"/>
    <col min="9794" max="9794" width="0.5703125" style="221" customWidth="1"/>
    <col min="9795" max="9795" width="2.140625" style="221" customWidth="1"/>
    <col min="9796" max="9796" width="0.5703125" style="221" customWidth="1"/>
    <col min="9797" max="9797" width="2.140625" style="221" customWidth="1"/>
    <col min="9798" max="9798" width="0.5703125" style="221" customWidth="1"/>
    <col min="9799" max="9799" width="2.140625" style="221" customWidth="1"/>
    <col min="9800" max="9800" width="0.5703125" style="221" customWidth="1"/>
    <col min="9801" max="9801" width="2.140625" style="221" customWidth="1"/>
    <col min="9802" max="9802" width="0.5703125" style="221" customWidth="1"/>
    <col min="9803" max="9803" width="2.140625" style="221" customWidth="1"/>
    <col min="9804" max="9804" width="0.5703125" style="221" customWidth="1"/>
    <col min="9805" max="9805" width="2.140625" style="221" customWidth="1"/>
    <col min="9806" max="9806" width="0.5703125" style="221" customWidth="1"/>
    <col min="9807" max="9807" width="2.140625" style="221" customWidth="1"/>
    <col min="9808" max="9808" width="0.5703125" style="221" customWidth="1"/>
    <col min="9809" max="9809" width="2.140625" style="221" customWidth="1"/>
    <col min="9810" max="9810" width="0.5703125" style="221" customWidth="1"/>
    <col min="9811" max="9811" width="2.140625" style="221" customWidth="1"/>
    <col min="9812" max="9812" width="0.5703125" style="221" customWidth="1"/>
    <col min="9813" max="9813" width="2.140625" style="221" customWidth="1"/>
    <col min="9814" max="9814" width="0.5703125" style="221" customWidth="1"/>
    <col min="9815" max="9816" width="2.5703125" style="221" customWidth="1"/>
    <col min="9817"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7109375" style="221" customWidth="1"/>
    <col min="9990" max="9990" width="1.140625" style="221" customWidth="1"/>
    <col min="9991" max="9995" width="0.7109375" style="221" customWidth="1"/>
    <col min="9996" max="9996" width="0.5703125" style="221" customWidth="1"/>
    <col min="9997" max="10009" width="0.7109375" style="221" customWidth="1"/>
    <col min="10010" max="10010" width="1.4257812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 style="221" customWidth="1"/>
    <col min="10047" max="10048" width="0.5703125" style="221" customWidth="1"/>
    <col min="10049" max="10049" width="2.140625" style="221" customWidth="1"/>
    <col min="10050" max="10050" width="0.5703125" style="221" customWidth="1"/>
    <col min="10051" max="10051" width="2.140625" style="221" customWidth="1"/>
    <col min="10052" max="10052" width="0.5703125" style="221" customWidth="1"/>
    <col min="10053" max="10053" width="2.140625" style="221" customWidth="1"/>
    <col min="10054" max="10054" width="0.5703125" style="221" customWidth="1"/>
    <col min="10055" max="10055" width="2.140625" style="221" customWidth="1"/>
    <col min="10056" max="10056" width="0.5703125" style="221" customWidth="1"/>
    <col min="10057" max="10057" width="2.140625" style="221" customWidth="1"/>
    <col min="10058" max="10058" width="0.5703125" style="221" customWidth="1"/>
    <col min="10059" max="10059" width="2.140625" style="221" customWidth="1"/>
    <col min="10060" max="10060" width="0.5703125" style="221" customWidth="1"/>
    <col min="10061" max="10061" width="2.140625" style="221" customWidth="1"/>
    <col min="10062" max="10062" width="0.5703125" style="221" customWidth="1"/>
    <col min="10063" max="10063" width="2.140625" style="221" customWidth="1"/>
    <col min="10064" max="10064" width="0.5703125" style="221" customWidth="1"/>
    <col min="10065" max="10065" width="2.140625" style="221" customWidth="1"/>
    <col min="10066" max="10066" width="0.5703125" style="221" customWidth="1"/>
    <col min="10067" max="10067" width="2.140625" style="221" customWidth="1"/>
    <col min="10068" max="10068" width="0.5703125" style="221" customWidth="1"/>
    <col min="10069" max="10069" width="2.140625" style="221" customWidth="1"/>
    <col min="10070" max="10070" width="0.5703125" style="221" customWidth="1"/>
    <col min="10071" max="10072" width="2.5703125" style="221" customWidth="1"/>
    <col min="10073"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7109375" style="221" customWidth="1"/>
    <col min="10246" max="10246" width="1.140625" style="221" customWidth="1"/>
    <col min="10247" max="10251" width="0.7109375" style="221" customWidth="1"/>
    <col min="10252" max="10252" width="0.5703125" style="221" customWidth="1"/>
    <col min="10253" max="10265" width="0.7109375" style="221" customWidth="1"/>
    <col min="10266" max="10266" width="1.4257812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 style="221" customWidth="1"/>
    <col min="10303" max="10304" width="0.5703125" style="221" customWidth="1"/>
    <col min="10305" max="10305" width="2.140625" style="221" customWidth="1"/>
    <col min="10306" max="10306" width="0.5703125" style="221" customWidth="1"/>
    <col min="10307" max="10307" width="2.140625" style="221" customWidth="1"/>
    <col min="10308" max="10308" width="0.5703125" style="221" customWidth="1"/>
    <col min="10309" max="10309" width="2.140625" style="221" customWidth="1"/>
    <col min="10310" max="10310" width="0.5703125" style="221" customWidth="1"/>
    <col min="10311" max="10311" width="2.140625" style="221" customWidth="1"/>
    <col min="10312" max="10312" width="0.5703125" style="221" customWidth="1"/>
    <col min="10313" max="10313" width="2.140625" style="221" customWidth="1"/>
    <col min="10314" max="10314" width="0.5703125" style="221" customWidth="1"/>
    <col min="10315" max="10315" width="2.140625" style="221" customWidth="1"/>
    <col min="10316" max="10316" width="0.5703125" style="221" customWidth="1"/>
    <col min="10317" max="10317" width="2.140625" style="221" customWidth="1"/>
    <col min="10318" max="10318" width="0.5703125" style="221" customWidth="1"/>
    <col min="10319" max="10319" width="2.140625" style="221" customWidth="1"/>
    <col min="10320" max="10320" width="0.5703125" style="221" customWidth="1"/>
    <col min="10321" max="10321" width="2.140625" style="221" customWidth="1"/>
    <col min="10322" max="10322" width="0.5703125" style="221" customWidth="1"/>
    <col min="10323" max="10323" width="2.140625" style="221" customWidth="1"/>
    <col min="10324" max="10324" width="0.5703125" style="221" customWidth="1"/>
    <col min="10325" max="10325" width="2.140625" style="221" customWidth="1"/>
    <col min="10326" max="10326" width="0.5703125" style="221" customWidth="1"/>
    <col min="10327" max="10328" width="2.5703125" style="221" customWidth="1"/>
    <col min="10329"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7109375" style="221" customWidth="1"/>
    <col min="10502" max="10502" width="1.140625" style="221" customWidth="1"/>
    <col min="10503" max="10507" width="0.7109375" style="221" customWidth="1"/>
    <col min="10508" max="10508" width="0.5703125" style="221" customWidth="1"/>
    <col min="10509" max="10521" width="0.7109375" style="221" customWidth="1"/>
    <col min="10522" max="10522" width="1.4257812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 style="221" customWidth="1"/>
    <col min="10559" max="10560" width="0.5703125" style="221" customWidth="1"/>
    <col min="10561" max="10561" width="2.140625" style="221" customWidth="1"/>
    <col min="10562" max="10562" width="0.5703125" style="221" customWidth="1"/>
    <col min="10563" max="10563" width="2.140625" style="221" customWidth="1"/>
    <col min="10564" max="10564" width="0.5703125" style="221" customWidth="1"/>
    <col min="10565" max="10565" width="2.140625" style="221" customWidth="1"/>
    <col min="10566" max="10566" width="0.5703125" style="221" customWidth="1"/>
    <col min="10567" max="10567" width="2.140625" style="221" customWidth="1"/>
    <col min="10568" max="10568" width="0.5703125" style="221" customWidth="1"/>
    <col min="10569" max="10569" width="2.140625" style="221" customWidth="1"/>
    <col min="10570" max="10570" width="0.5703125" style="221" customWidth="1"/>
    <col min="10571" max="10571" width="2.140625" style="221" customWidth="1"/>
    <col min="10572" max="10572" width="0.5703125" style="221" customWidth="1"/>
    <col min="10573" max="10573" width="2.140625" style="221" customWidth="1"/>
    <col min="10574" max="10574" width="0.5703125" style="221" customWidth="1"/>
    <col min="10575" max="10575" width="2.140625" style="221" customWidth="1"/>
    <col min="10576" max="10576" width="0.5703125" style="221" customWidth="1"/>
    <col min="10577" max="10577" width="2.140625" style="221" customWidth="1"/>
    <col min="10578" max="10578" width="0.5703125" style="221" customWidth="1"/>
    <col min="10579" max="10579" width="2.140625" style="221" customWidth="1"/>
    <col min="10580" max="10580" width="0.5703125" style="221" customWidth="1"/>
    <col min="10581" max="10581" width="2.140625" style="221" customWidth="1"/>
    <col min="10582" max="10582" width="0.5703125" style="221" customWidth="1"/>
    <col min="10583" max="10584" width="2.5703125" style="221" customWidth="1"/>
    <col min="10585"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7109375" style="221" customWidth="1"/>
    <col min="10758" max="10758" width="1.140625" style="221" customWidth="1"/>
    <col min="10759" max="10763" width="0.7109375" style="221" customWidth="1"/>
    <col min="10764" max="10764" width="0.5703125" style="221" customWidth="1"/>
    <col min="10765" max="10777" width="0.7109375" style="221" customWidth="1"/>
    <col min="10778" max="10778" width="1.4257812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 style="221" customWidth="1"/>
    <col min="10815" max="10816" width="0.5703125" style="221" customWidth="1"/>
    <col min="10817" max="10817" width="2.140625" style="221" customWidth="1"/>
    <col min="10818" max="10818" width="0.5703125" style="221" customWidth="1"/>
    <col min="10819" max="10819" width="2.140625" style="221" customWidth="1"/>
    <col min="10820" max="10820" width="0.5703125" style="221" customWidth="1"/>
    <col min="10821" max="10821" width="2.140625" style="221" customWidth="1"/>
    <col min="10822" max="10822" width="0.5703125" style="221" customWidth="1"/>
    <col min="10823" max="10823" width="2.140625" style="221" customWidth="1"/>
    <col min="10824" max="10824" width="0.5703125" style="221" customWidth="1"/>
    <col min="10825" max="10825" width="2.140625" style="221" customWidth="1"/>
    <col min="10826" max="10826" width="0.5703125" style="221" customWidth="1"/>
    <col min="10827" max="10827" width="2.140625" style="221" customWidth="1"/>
    <col min="10828" max="10828" width="0.5703125" style="221" customWidth="1"/>
    <col min="10829" max="10829" width="2.140625" style="221" customWidth="1"/>
    <col min="10830" max="10830" width="0.5703125" style="221" customWidth="1"/>
    <col min="10831" max="10831" width="2.140625" style="221" customWidth="1"/>
    <col min="10832" max="10832" width="0.5703125" style="221" customWidth="1"/>
    <col min="10833" max="10833" width="2.140625" style="221" customWidth="1"/>
    <col min="10834" max="10834" width="0.5703125" style="221" customWidth="1"/>
    <col min="10835" max="10835" width="2.140625" style="221" customWidth="1"/>
    <col min="10836" max="10836" width="0.5703125" style="221" customWidth="1"/>
    <col min="10837" max="10837" width="2.140625" style="221" customWidth="1"/>
    <col min="10838" max="10838" width="0.5703125" style="221" customWidth="1"/>
    <col min="10839" max="10840" width="2.5703125" style="221" customWidth="1"/>
    <col min="10841"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7109375" style="221" customWidth="1"/>
    <col min="11014" max="11014" width="1.140625" style="221" customWidth="1"/>
    <col min="11015" max="11019" width="0.7109375" style="221" customWidth="1"/>
    <col min="11020" max="11020" width="0.5703125" style="221" customWidth="1"/>
    <col min="11021" max="11033" width="0.7109375" style="221" customWidth="1"/>
    <col min="11034" max="11034" width="1.4257812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 style="221" customWidth="1"/>
    <col min="11071" max="11072" width="0.5703125" style="221" customWidth="1"/>
    <col min="11073" max="11073" width="2.140625" style="221" customWidth="1"/>
    <col min="11074" max="11074" width="0.5703125" style="221" customWidth="1"/>
    <col min="11075" max="11075" width="2.140625" style="221" customWidth="1"/>
    <col min="11076" max="11076" width="0.5703125" style="221" customWidth="1"/>
    <col min="11077" max="11077" width="2.140625" style="221" customWidth="1"/>
    <col min="11078" max="11078" width="0.5703125" style="221" customWidth="1"/>
    <col min="11079" max="11079" width="2.140625" style="221" customWidth="1"/>
    <col min="11080" max="11080" width="0.5703125" style="221" customWidth="1"/>
    <col min="11081" max="11081" width="2.140625" style="221" customWidth="1"/>
    <col min="11082" max="11082" width="0.5703125" style="221" customWidth="1"/>
    <col min="11083" max="11083" width="2.140625" style="221" customWidth="1"/>
    <col min="11084" max="11084" width="0.5703125" style="221" customWidth="1"/>
    <col min="11085" max="11085" width="2.140625" style="221" customWidth="1"/>
    <col min="11086" max="11086" width="0.5703125" style="221" customWidth="1"/>
    <col min="11087" max="11087" width="2.140625" style="221" customWidth="1"/>
    <col min="11088" max="11088" width="0.5703125" style="221" customWidth="1"/>
    <col min="11089" max="11089" width="2.140625" style="221" customWidth="1"/>
    <col min="11090" max="11090" width="0.5703125" style="221" customWidth="1"/>
    <col min="11091" max="11091" width="2.140625" style="221" customWidth="1"/>
    <col min="11092" max="11092" width="0.5703125" style="221" customWidth="1"/>
    <col min="11093" max="11093" width="2.140625" style="221" customWidth="1"/>
    <col min="11094" max="11094" width="0.5703125" style="221" customWidth="1"/>
    <col min="11095" max="11096" width="2.5703125" style="221" customWidth="1"/>
    <col min="11097"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7109375" style="221" customWidth="1"/>
    <col min="11270" max="11270" width="1.140625" style="221" customWidth="1"/>
    <col min="11271" max="11275" width="0.7109375" style="221" customWidth="1"/>
    <col min="11276" max="11276" width="0.5703125" style="221" customWidth="1"/>
    <col min="11277" max="11289" width="0.7109375" style="221" customWidth="1"/>
    <col min="11290" max="11290" width="1.4257812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 style="221" customWidth="1"/>
    <col min="11327" max="11328" width="0.5703125" style="221" customWidth="1"/>
    <col min="11329" max="11329" width="2.140625" style="221" customWidth="1"/>
    <col min="11330" max="11330" width="0.5703125" style="221" customWidth="1"/>
    <col min="11331" max="11331" width="2.140625" style="221" customWidth="1"/>
    <col min="11332" max="11332" width="0.5703125" style="221" customWidth="1"/>
    <col min="11333" max="11333" width="2.140625" style="221" customWidth="1"/>
    <col min="11334" max="11334" width="0.5703125" style="221" customWidth="1"/>
    <col min="11335" max="11335" width="2.140625" style="221" customWidth="1"/>
    <col min="11336" max="11336" width="0.5703125" style="221" customWidth="1"/>
    <col min="11337" max="11337" width="2.140625" style="221" customWidth="1"/>
    <col min="11338" max="11338" width="0.5703125" style="221" customWidth="1"/>
    <col min="11339" max="11339" width="2.140625" style="221" customWidth="1"/>
    <col min="11340" max="11340" width="0.5703125" style="221" customWidth="1"/>
    <col min="11341" max="11341" width="2.140625" style="221" customWidth="1"/>
    <col min="11342" max="11342" width="0.5703125" style="221" customWidth="1"/>
    <col min="11343" max="11343" width="2.140625" style="221" customWidth="1"/>
    <col min="11344" max="11344" width="0.5703125" style="221" customWidth="1"/>
    <col min="11345" max="11345" width="2.140625" style="221" customWidth="1"/>
    <col min="11346" max="11346" width="0.5703125" style="221" customWidth="1"/>
    <col min="11347" max="11347" width="2.140625" style="221" customWidth="1"/>
    <col min="11348" max="11348" width="0.5703125" style="221" customWidth="1"/>
    <col min="11349" max="11349" width="2.140625" style="221" customWidth="1"/>
    <col min="11350" max="11350" width="0.5703125" style="221" customWidth="1"/>
    <col min="11351" max="11352" width="2.5703125" style="221" customWidth="1"/>
    <col min="11353"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7109375" style="221" customWidth="1"/>
    <col min="11526" max="11526" width="1.140625" style="221" customWidth="1"/>
    <col min="11527" max="11531" width="0.7109375" style="221" customWidth="1"/>
    <col min="11532" max="11532" width="0.5703125" style="221" customWidth="1"/>
    <col min="11533" max="11545" width="0.7109375" style="221" customWidth="1"/>
    <col min="11546" max="11546" width="1.4257812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 style="221" customWidth="1"/>
    <col min="11583" max="11584" width="0.5703125" style="221" customWidth="1"/>
    <col min="11585" max="11585" width="2.140625" style="221" customWidth="1"/>
    <col min="11586" max="11586" width="0.5703125" style="221" customWidth="1"/>
    <col min="11587" max="11587" width="2.140625" style="221" customWidth="1"/>
    <col min="11588" max="11588" width="0.5703125" style="221" customWidth="1"/>
    <col min="11589" max="11589" width="2.140625" style="221" customWidth="1"/>
    <col min="11590" max="11590" width="0.5703125" style="221" customWidth="1"/>
    <col min="11591" max="11591" width="2.140625" style="221" customWidth="1"/>
    <col min="11592" max="11592" width="0.5703125" style="221" customWidth="1"/>
    <col min="11593" max="11593" width="2.140625" style="221" customWidth="1"/>
    <col min="11594" max="11594" width="0.5703125" style="221" customWidth="1"/>
    <col min="11595" max="11595" width="2.140625" style="221" customWidth="1"/>
    <col min="11596" max="11596" width="0.5703125" style="221" customWidth="1"/>
    <col min="11597" max="11597" width="2.140625" style="221" customWidth="1"/>
    <col min="11598" max="11598" width="0.5703125" style="221" customWidth="1"/>
    <col min="11599" max="11599" width="2.140625" style="221" customWidth="1"/>
    <col min="11600" max="11600" width="0.5703125" style="221" customWidth="1"/>
    <col min="11601" max="11601" width="2.140625" style="221" customWidth="1"/>
    <col min="11602" max="11602" width="0.5703125" style="221" customWidth="1"/>
    <col min="11603" max="11603" width="2.140625" style="221" customWidth="1"/>
    <col min="11604" max="11604" width="0.5703125" style="221" customWidth="1"/>
    <col min="11605" max="11605" width="2.140625" style="221" customWidth="1"/>
    <col min="11606" max="11606" width="0.5703125" style="221" customWidth="1"/>
    <col min="11607" max="11608" width="2.5703125" style="221" customWidth="1"/>
    <col min="11609"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7109375" style="221" customWidth="1"/>
    <col min="11782" max="11782" width="1.140625" style="221" customWidth="1"/>
    <col min="11783" max="11787" width="0.7109375" style="221" customWidth="1"/>
    <col min="11788" max="11788" width="0.5703125" style="221" customWidth="1"/>
    <col min="11789" max="11801" width="0.7109375" style="221" customWidth="1"/>
    <col min="11802" max="11802" width="1.4257812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 style="221" customWidth="1"/>
    <col min="11839" max="11840" width="0.5703125" style="221" customWidth="1"/>
    <col min="11841" max="11841" width="2.140625" style="221" customWidth="1"/>
    <col min="11842" max="11842" width="0.5703125" style="221" customWidth="1"/>
    <col min="11843" max="11843" width="2.140625" style="221" customWidth="1"/>
    <col min="11844" max="11844" width="0.5703125" style="221" customWidth="1"/>
    <col min="11845" max="11845" width="2.140625" style="221" customWidth="1"/>
    <col min="11846" max="11846" width="0.5703125" style="221" customWidth="1"/>
    <col min="11847" max="11847" width="2.140625" style="221" customWidth="1"/>
    <col min="11848" max="11848" width="0.5703125" style="221" customWidth="1"/>
    <col min="11849" max="11849" width="2.140625" style="221" customWidth="1"/>
    <col min="11850" max="11850" width="0.5703125" style="221" customWidth="1"/>
    <col min="11851" max="11851" width="2.140625" style="221" customWidth="1"/>
    <col min="11852" max="11852" width="0.5703125" style="221" customWidth="1"/>
    <col min="11853" max="11853" width="2.140625" style="221" customWidth="1"/>
    <col min="11854" max="11854" width="0.5703125" style="221" customWidth="1"/>
    <col min="11855" max="11855" width="2.140625" style="221" customWidth="1"/>
    <col min="11856" max="11856" width="0.5703125" style="221" customWidth="1"/>
    <col min="11857" max="11857" width="2.140625" style="221" customWidth="1"/>
    <col min="11858" max="11858" width="0.5703125" style="221" customWidth="1"/>
    <col min="11859" max="11859" width="2.140625" style="221" customWidth="1"/>
    <col min="11860" max="11860" width="0.5703125" style="221" customWidth="1"/>
    <col min="11861" max="11861" width="2.140625" style="221" customWidth="1"/>
    <col min="11862" max="11862" width="0.5703125" style="221" customWidth="1"/>
    <col min="11863" max="11864" width="2.5703125" style="221" customWidth="1"/>
    <col min="11865"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7109375" style="221" customWidth="1"/>
    <col min="12038" max="12038" width="1.140625" style="221" customWidth="1"/>
    <col min="12039" max="12043" width="0.7109375" style="221" customWidth="1"/>
    <col min="12044" max="12044" width="0.5703125" style="221" customWidth="1"/>
    <col min="12045" max="12057" width="0.7109375" style="221" customWidth="1"/>
    <col min="12058" max="12058" width="1.4257812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 style="221" customWidth="1"/>
    <col min="12095" max="12096" width="0.5703125" style="221" customWidth="1"/>
    <col min="12097" max="12097" width="2.140625" style="221" customWidth="1"/>
    <col min="12098" max="12098" width="0.5703125" style="221" customWidth="1"/>
    <col min="12099" max="12099" width="2.140625" style="221" customWidth="1"/>
    <col min="12100" max="12100" width="0.5703125" style="221" customWidth="1"/>
    <col min="12101" max="12101" width="2.140625" style="221" customWidth="1"/>
    <col min="12102" max="12102" width="0.5703125" style="221" customWidth="1"/>
    <col min="12103" max="12103" width="2.140625" style="221" customWidth="1"/>
    <col min="12104" max="12104" width="0.5703125" style="221" customWidth="1"/>
    <col min="12105" max="12105" width="2.140625" style="221" customWidth="1"/>
    <col min="12106" max="12106" width="0.5703125" style="221" customWidth="1"/>
    <col min="12107" max="12107" width="2.140625" style="221" customWidth="1"/>
    <col min="12108" max="12108" width="0.5703125" style="221" customWidth="1"/>
    <col min="12109" max="12109" width="2.140625" style="221" customWidth="1"/>
    <col min="12110" max="12110" width="0.5703125" style="221" customWidth="1"/>
    <col min="12111" max="12111" width="2.140625" style="221" customWidth="1"/>
    <col min="12112" max="12112" width="0.5703125" style="221" customWidth="1"/>
    <col min="12113" max="12113" width="2.140625" style="221" customWidth="1"/>
    <col min="12114" max="12114" width="0.5703125" style="221" customWidth="1"/>
    <col min="12115" max="12115" width="2.140625" style="221" customWidth="1"/>
    <col min="12116" max="12116" width="0.5703125" style="221" customWidth="1"/>
    <col min="12117" max="12117" width="2.140625" style="221" customWidth="1"/>
    <col min="12118" max="12118" width="0.5703125" style="221" customWidth="1"/>
    <col min="12119" max="12120" width="2.5703125" style="221" customWidth="1"/>
    <col min="12121"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7109375" style="221" customWidth="1"/>
    <col min="12294" max="12294" width="1.140625" style="221" customWidth="1"/>
    <col min="12295" max="12299" width="0.7109375" style="221" customWidth="1"/>
    <col min="12300" max="12300" width="0.5703125" style="221" customWidth="1"/>
    <col min="12301" max="12313" width="0.7109375" style="221" customWidth="1"/>
    <col min="12314" max="12314" width="1.4257812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 style="221" customWidth="1"/>
    <col min="12351" max="12352" width="0.5703125" style="221" customWidth="1"/>
    <col min="12353" max="12353" width="2.140625" style="221" customWidth="1"/>
    <col min="12354" max="12354" width="0.5703125" style="221" customWidth="1"/>
    <col min="12355" max="12355" width="2.140625" style="221" customWidth="1"/>
    <col min="12356" max="12356" width="0.5703125" style="221" customWidth="1"/>
    <col min="12357" max="12357" width="2.140625" style="221" customWidth="1"/>
    <col min="12358" max="12358" width="0.5703125" style="221" customWidth="1"/>
    <col min="12359" max="12359" width="2.140625" style="221" customWidth="1"/>
    <col min="12360" max="12360" width="0.5703125" style="221" customWidth="1"/>
    <col min="12361" max="12361" width="2.140625" style="221" customWidth="1"/>
    <col min="12362" max="12362" width="0.5703125" style="221" customWidth="1"/>
    <col min="12363" max="12363" width="2.140625" style="221" customWidth="1"/>
    <col min="12364" max="12364" width="0.5703125" style="221" customWidth="1"/>
    <col min="12365" max="12365" width="2.140625" style="221" customWidth="1"/>
    <col min="12366" max="12366" width="0.5703125" style="221" customWidth="1"/>
    <col min="12367" max="12367" width="2.140625" style="221" customWidth="1"/>
    <col min="12368" max="12368" width="0.5703125" style="221" customWidth="1"/>
    <col min="12369" max="12369" width="2.140625" style="221" customWidth="1"/>
    <col min="12370" max="12370" width="0.5703125" style="221" customWidth="1"/>
    <col min="12371" max="12371" width="2.140625" style="221" customWidth="1"/>
    <col min="12372" max="12372" width="0.5703125" style="221" customWidth="1"/>
    <col min="12373" max="12373" width="2.140625" style="221" customWidth="1"/>
    <col min="12374" max="12374" width="0.5703125" style="221" customWidth="1"/>
    <col min="12375" max="12376" width="2.5703125" style="221" customWidth="1"/>
    <col min="12377"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7109375" style="221" customWidth="1"/>
    <col min="12550" max="12550" width="1.140625" style="221" customWidth="1"/>
    <col min="12551" max="12555" width="0.7109375" style="221" customWidth="1"/>
    <col min="12556" max="12556" width="0.5703125" style="221" customWidth="1"/>
    <col min="12557" max="12569" width="0.7109375" style="221" customWidth="1"/>
    <col min="12570" max="12570" width="1.4257812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 style="221" customWidth="1"/>
    <col min="12607" max="12608" width="0.5703125" style="221" customWidth="1"/>
    <col min="12609" max="12609" width="2.140625" style="221" customWidth="1"/>
    <col min="12610" max="12610" width="0.5703125" style="221" customWidth="1"/>
    <col min="12611" max="12611" width="2.140625" style="221" customWidth="1"/>
    <col min="12612" max="12612" width="0.5703125" style="221" customWidth="1"/>
    <col min="12613" max="12613" width="2.140625" style="221" customWidth="1"/>
    <col min="12614" max="12614" width="0.5703125" style="221" customWidth="1"/>
    <col min="12615" max="12615" width="2.140625" style="221" customWidth="1"/>
    <col min="12616" max="12616" width="0.5703125" style="221" customWidth="1"/>
    <col min="12617" max="12617" width="2.140625" style="221" customWidth="1"/>
    <col min="12618" max="12618" width="0.5703125" style="221" customWidth="1"/>
    <col min="12619" max="12619" width="2.140625" style="221" customWidth="1"/>
    <col min="12620" max="12620" width="0.5703125" style="221" customWidth="1"/>
    <col min="12621" max="12621" width="2.140625" style="221" customWidth="1"/>
    <col min="12622" max="12622" width="0.5703125" style="221" customWidth="1"/>
    <col min="12623" max="12623" width="2.140625" style="221" customWidth="1"/>
    <col min="12624" max="12624" width="0.5703125" style="221" customWidth="1"/>
    <col min="12625" max="12625" width="2.140625" style="221" customWidth="1"/>
    <col min="12626" max="12626" width="0.5703125" style="221" customWidth="1"/>
    <col min="12627" max="12627" width="2.140625" style="221" customWidth="1"/>
    <col min="12628" max="12628" width="0.5703125" style="221" customWidth="1"/>
    <col min="12629" max="12629" width="2.140625" style="221" customWidth="1"/>
    <col min="12630" max="12630" width="0.5703125" style="221" customWidth="1"/>
    <col min="12631" max="12632" width="2.5703125" style="221" customWidth="1"/>
    <col min="12633"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7109375" style="221" customWidth="1"/>
    <col min="12806" max="12806" width="1.140625" style="221" customWidth="1"/>
    <col min="12807" max="12811" width="0.7109375" style="221" customWidth="1"/>
    <col min="12812" max="12812" width="0.5703125" style="221" customWidth="1"/>
    <col min="12813" max="12825" width="0.7109375" style="221" customWidth="1"/>
    <col min="12826" max="12826" width="1.4257812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 style="221" customWidth="1"/>
    <col min="12863" max="12864" width="0.5703125" style="221" customWidth="1"/>
    <col min="12865" max="12865" width="2.140625" style="221" customWidth="1"/>
    <col min="12866" max="12866" width="0.5703125" style="221" customWidth="1"/>
    <col min="12867" max="12867" width="2.140625" style="221" customWidth="1"/>
    <col min="12868" max="12868" width="0.5703125" style="221" customWidth="1"/>
    <col min="12869" max="12869" width="2.140625" style="221" customWidth="1"/>
    <col min="12870" max="12870" width="0.5703125" style="221" customWidth="1"/>
    <col min="12871" max="12871" width="2.140625" style="221" customWidth="1"/>
    <col min="12872" max="12872" width="0.5703125" style="221" customWidth="1"/>
    <col min="12873" max="12873" width="2.140625" style="221" customWidth="1"/>
    <col min="12874" max="12874" width="0.5703125" style="221" customWidth="1"/>
    <col min="12875" max="12875" width="2.140625" style="221" customWidth="1"/>
    <col min="12876" max="12876" width="0.5703125" style="221" customWidth="1"/>
    <col min="12877" max="12877" width="2.140625" style="221" customWidth="1"/>
    <col min="12878" max="12878" width="0.5703125" style="221" customWidth="1"/>
    <col min="12879" max="12879" width="2.140625" style="221" customWidth="1"/>
    <col min="12880" max="12880" width="0.5703125" style="221" customWidth="1"/>
    <col min="12881" max="12881" width="2.140625" style="221" customWidth="1"/>
    <col min="12882" max="12882" width="0.5703125" style="221" customWidth="1"/>
    <col min="12883" max="12883" width="2.140625" style="221" customWidth="1"/>
    <col min="12884" max="12884" width="0.5703125" style="221" customWidth="1"/>
    <col min="12885" max="12885" width="2.140625" style="221" customWidth="1"/>
    <col min="12886" max="12886" width="0.5703125" style="221" customWidth="1"/>
    <col min="12887" max="12888" width="2.5703125" style="221" customWidth="1"/>
    <col min="12889"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7109375" style="221" customWidth="1"/>
    <col min="13062" max="13062" width="1.140625" style="221" customWidth="1"/>
    <col min="13063" max="13067" width="0.7109375" style="221" customWidth="1"/>
    <col min="13068" max="13068" width="0.5703125" style="221" customWidth="1"/>
    <col min="13069" max="13081" width="0.7109375" style="221" customWidth="1"/>
    <col min="13082" max="13082" width="1.4257812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 style="221" customWidth="1"/>
    <col min="13119" max="13120" width="0.5703125" style="221" customWidth="1"/>
    <col min="13121" max="13121" width="2.140625" style="221" customWidth="1"/>
    <col min="13122" max="13122" width="0.5703125" style="221" customWidth="1"/>
    <col min="13123" max="13123" width="2.140625" style="221" customWidth="1"/>
    <col min="13124" max="13124" width="0.5703125" style="221" customWidth="1"/>
    <col min="13125" max="13125" width="2.140625" style="221" customWidth="1"/>
    <col min="13126" max="13126" width="0.5703125" style="221" customWidth="1"/>
    <col min="13127" max="13127" width="2.140625" style="221" customWidth="1"/>
    <col min="13128" max="13128" width="0.5703125" style="221" customWidth="1"/>
    <col min="13129" max="13129" width="2.140625" style="221" customWidth="1"/>
    <col min="13130" max="13130" width="0.5703125" style="221" customWidth="1"/>
    <col min="13131" max="13131" width="2.140625" style="221" customWidth="1"/>
    <col min="13132" max="13132" width="0.5703125" style="221" customWidth="1"/>
    <col min="13133" max="13133" width="2.140625" style="221" customWidth="1"/>
    <col min="13134" max="13134" width="0.5703125" style="221" customWidth="1"/>
    <col min="13135" max="13135" width="2.140625" style="221" customWidth="1"/>
    <col min="13136" max="13136" width="0.5703125" style="221" customWidth="1"/>
    <col min="13137" max="13137" width="2.140625" style="221" customWidth="1"/>
    <col min="13138" max="13138" width="0.5703125" style="221" customWidth="1"/>
    <col min="13139" max="13139" width="2.140625" style="221" customWidth="1"/>
    <col min="13140" max="13140" width="0.5703125" style="221" customWidth="1"/>
    <col min="13141" max="13141" width="2.140625" style="221" customWidth="1"/>
    <col min="13142" max="13142" width="0.5703125" style="221" customWidth="1"/>
    <col min="13143" max="13144" width="2.5703125" style="221" customWidth="1"/>
    <col min="13145"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7109375" style="221" customWidth="1"/>
    <col min="13318" max="13318" width="1.140625" style="221" customWidth="1"/>
    <col min="13319" max="13323" width="0.7109375" style="221" customWidth="1"/>
    <col min="13324" max="13324" width="0.5703125" style="221" customWidth="1"/>
    <col min="13325" max="13337" width="0.7109375" style="221" customWidth="1"/>
    <col min="13338" max="13338" width="1.4257812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 style="221" customWidth="1"/>
    <col min="13375" max="13376" width="0.5703125" style="221" customWidth="1"/>
    <col min="13377" max="13377" width="2.140625" style="221" customWidth="1"/>
    <col min="13378" max="13378" width="0.5703125" style="221" customWidth="1"/>
    <col min="13379" max="13379" width="2.140625" style="221" customWidth="1"/>
    <col min="13380" max="13380" width="0.5703125" style="221" customWidth="1"/>
    <col min="13381" max="13381" width="2.140625" style="221" customWidth="1"/>
    <col min="13382" max="13382" width="0.5703125" style="221" customWidth="1"/>
    <col min="13383" max="13383" width="2.140625" style="221" customWidth="1"/>
    <col min="13384" max="13384" width="0.5703125" style="221" customWidth="1"/>
    <col min="13385" max="13385" width="2.140625" style="221" customWidth="1"/>
    <col min="13386" max="13386" width="0.5703125" style="221" customWidth="1"/>
    <col min="13387" max="13387" width="2.140625" style="221" customWidth="1"/>
    <col min="13388" max="13388" width="0.5703125" style="221" customWidth="1"/>
    <col min="13389" max="13389" width="2.140625" style="221" customWidth="1"/>
    <col min="13390" max="13390" width="0.5703125" style="221" customWidth="1"/>
    <col min="13391" max="13391" width="2.140625" style="221" customWidth="1"/>
    <col min="13392" max="13392" width="0.5703125" style="221" customWidth="1"/>
    <col min="13393" max="13393" width="2.140625" style="221" customWidth="1"/>
    <col min="13394" max="13394" width="0.5703125" style="221" customWidth="1"/>
    <col min="13395" max="13395" width="2.140625" style="221" customWidth="1"/>
    <col min="13396" max="13396" width="0.5703125" style="221" customWidth="1"/>
    <col min="13397" max="13397" width="2.140625" style="221" customWidth="1"/>
    <col min="13398" max="13398" width="0.5703125" style="221" customWidth="1"/>
    <col min="13399" max="13400" width="2.5703125" style="221" customWidth="1"/>
    <col min="13401"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7109375" style="221" customWidth="1"/>
    <col min="13574" max="13574" width="1.140625" style="221" customWidth="1"/>
    <col min="13575" max="13579" width="0.7109375" style="221" customWidth="1"/>
    <col min="13580" max="13580" width="0.5703125" style="221" customWidth="1"/>
    <col min="13581" max="13593" width="0.7109375" style="221" customWidth="1"/>
    <col min="13594" max="13594" width="1.4257812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 style="221" customWidth="1"/>
    <col min="13631" max="13632" width="0.5703125" style="221" customWidth="1"/>
    <col min="13633" max="13633" width="2.140625" style="221" customWidth="1"/>
    <col min="13634" max="13634" width="0.5703125" style="221" customWidth="1"/>
    <col min="13635" max="13635" width="2.140625" style="221" customWidth="1"/>
    <col min="13636" max="13636" width="0.5703125" style="221" customWidth="1"/>
    <col min="13637" max="13637" width="2.140625" style="221" customWidth="1"/>
    <col min="13638" max="13638" width="0.5703125" style="221" customWidth="1"/>
    <col min="13639" max="13639" width="2.140625" style="221" customWidth="1"/>
    <col min="13640" max="13640" width="0.5703125" style="221" customWidth="1"/>
    <col min="13641" max="13641" width="2.140625" style="221" customWidth="1"/>
    <col min="13642" max="13642" width="0.5703125" style="221" customWidth="1"/>
    <col min="13643" max="13643" width="2.140625" style="221" customWidth="1"/>
    <col min="13644" max="13644" width="0.5703125" style="221" customWidth="1"/>
    <col min="13645" max="13645" width="2.140625" style="221" customWidth="1"/>
    <col min="13646" max="13646" width="0.5703125" style="221" customWidth="1"/>
    <col min="13647" max="13647" width="2.140625" style="221" customWidth="1"/>
    <col min="13648" max="13648" width="0.5703125" style="221" customWidth="1"/>
    <col min="13649" max="13649" width="2.140625" style="221" customWidth="1"/>
    <col min="13650" max="13650" width="0.5703125" style="221" customWidth="1"/>
    <col min="13651" max="13651" width="2.140625" style="221" customWidth="1"/>
    <col min="13652" max="13652" width="0.5703125" style="221" customWidth="1"/>
    <col min="13653" max="13653" width="2.140625" style="221" customWidth="1"/>
    <col min="13654" max="13654" width="0.5703125" style="221" customWidth="1"/>
    <col min="13655" max="13656" width="2.5703125" style="221" customWidth="1"/>
    <col min="13657"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7109375" style="221" customWidth="1"/>
    <col min="13830" max="13830" width="1.140625" style="221" customWidth="1"/>
    <col min="13831" max="13835" width="0.7109375" style="221" customWidth="1"/>
    <col min="13836" max="13836" width="0.5703125" style="221" customWidth="1"/>
    <col min="13837" max="13849" width="0.7109375" style="221" customWidth="1"/>
    <col min="13850" max="13850" width="1.4257812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 style="221" customWidth="1"/>
    <col min="13887" max="13888" width="0.5703125" style="221" customWidth="1"/>
    <col min="13889" max="13889" width="2.140625" style="221" customWidth="1"/>
    <col min="13890" max="13890" width="0.5703125" style="221" customWidth="1"/>
    <col min="13891" max="13891" width="2.140625" style="221" customWidth="1"/>
    <col min="13892" max="13892" width="0.5703125" style="221" customWidth="1"/>
    <col min="13893" max="13893" width="2.140625" style="221" customWidth="1"/>
    <col min="13894" max="13894" width="0.5703125" style="221" customWidth="1"/>
    <col min="13895" max="13895" width="2.140625" style="221" customWidth="1"/>
    <col min="13896" max="13896" width="0.5703125" style="221" customWidth="1"/>
    <col min="13897" max="13897" width="2.140625" style="221" customWidth="1"/>
    <col min="13898" max="13898" width="0.5703125" style="221" customWidth="1"/>
    <col min="13899" max="13899" width="2.140625" style="221" customWidth="1"/>
    <col min="13900" max="13900" width="0.5703125" style="221" customWidth="1"/>
    <col min="13901" max="13901" width="2.140625" style="221" customWidth="1"/>
    <col min="13902" max="13902" width="0.5703125" style="221" customWidth="1"/>
    <col min="13903" max="13903" width="2.140625" style="221" customWidth="1"/>
    <col min="13904" max="13904" width="0.5703125" style="221" customWidth="1"/>
    <col min="13905" max="13905" width="2.140625" style="221" customWidth="1"/>
    <col min="13906" max="13906" width="0.5703125" style="221" customWidth="1"/>
    <col min="13907" max="13907" width="2.140625" style="221" customWidth="1"/>
    <col min="13908" max="13908" width="0.5703125" style="221" customWidth="1"/>
    <col min="13909" max="13909" width="2.140625" style="221" customWidth="1"/>
    <col min="13910" max="13910" width="0.5703125" style="221" customWidth="1"/>
    <col min="13911" max="13912" width="2.5703125" style="221" customWidth="1"/>
    <col min="13913"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7109375" style="221" customWidth="1"/>
    <col min="14086" max="14086" width="1.140625" style="221" customWidth="1"/>
    <col min="14087" max="14091" width="0.7109375" style="221" customWidth="1"/>
    <col min="14092" max="14092" width="0.5703125" style="221" customWidth="1"/>
    <col min="14093" max="14105" width="0.7109375" style="221" customWidth="1"/>
    <col min="14106" max="14106" width="1.4257812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 style="221" customWidth="1"/>
    <col min="14143" max="14144" width="0.5703125" style="221" customWidth="1"/>
    <col min="14145" max="14145" width="2.140625" style="221" customWidth="1"/>
    <col min="14146" max="14146" width="0.5703125" style="221" customWidth="1"/>
    <col min="14147" max="14147" width="2.140625" style="221" customWidth="1"/>
    <col min="14148" max="14148" width="0.5703125" style="221" customWidth="1"/>
    <col min="14149" max="14149" width="2.140625" style="221" customWidth="1"/>
    <col min="14150" max="14150" width="0.5703125" style="221" customWidth="1"/>
    <col min="14151" max="14151" width="2.140625" style="221" customWidth="1"/>
    <col min="14152" max="14152" width="0.5703125" style="221" customWidth="1"/>
    <col min="14153" max="14153" width="2.140625" style="221" customWidth="1"/>
    <col min="14154" max="14154" width="0.5703125" style="221" customWidth="1"/>
    <col min="14155" max="14155" width="2.140625" style="221" customWidth="1"/>
    <col min="14156" max="14156" width="0.5703125" style="221" customWidth="1"/>
    <col min="14157" max="14157" width="2.140625" style="221" customWidth="1"/>
    <col min="14158" max="14158" width="0.5703125" style="221" customWidth="1"/>
    <col min="14159" max="14159" width="2.140625" style="221" customWidth="1"/>
    <col min="14160" max="14160" width="0.5703125" style="221" customWidth="1"/>
    <col min="14161" max="14161" width="2.140625" style="221" customWidth="1"/>
    <col min="14162" max="14162" width="0.5703125" style="221" customWidth="1"/>
    <col min="14163" max="14163" width="2.140625" style="221" customWidth="1"/>
    <col min="14164" max="14164" width="0.5703125" style="221" customWidth="1"/>
    <col min="14165" max="14165" width="2.140625" style="221" customWidth="1"/>
    <col min="14166" max="14166" width="0.5703125" style="221" customWidth="1"/>
    <col min="14167" max="14168" width="2.5703125" style="221" customWidth="1"/>
    <col min="14169"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7109375" style="221" customWidth="1"/>
    <col min="14342" max="14342" width="1.140625" style="221" customWidth="1"/>
    <col min="14343" max="14347" width="0.7109375" style="221" customWidth="1"/>
    <col min="14348" max="14348" width="0.5703125" style="221" customWidth="1"/>
    <col min="14349" max="14361" width="0.7109375" style="221" customWidth="1"/>
    <col min="14362" max="14362" width="1.4257812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 style="221" customWidth="1"/>
    <col min="14399" max="14400" width="0.5703125" style="221" customWidth="1"/>
    <col min="14401" max="14401" width="2.140625" style="221" customWidth="1"/>
    <col min="14402" max="14402" width="0.5703125" style="221" customWidth="1"/>
    <col min="14403" max="14403" width="2.140625" style="221" customWidth="1"/>
    <col min="14404" max="14404" width="0.5703125" style="221" customWidth="1"/>
    <col min="14405" max="14405" width="2.140625" style="221" customWidth="1"/>
    <col min="14406" max="14406" width="0.5703125" style="221" customWidth="1"/>
    <col min="14407" max="14407" width="2.140625" style="221" customWidth="1"/>
    <col min="14408" max="14408" width="0.5703125" style="221" customWidth="1"/>
    <col min="14409" max="14409" width="2.140625" style="221" customWidth="1"/>
    <col min="14410" max="14410" width="0.5703125" style="221" customWidth="1"/>
    <col min="14411" max="14411" width="2.140625" style="221" customWidth="1"/>
    <col min="14412" max="14412" width="0.5703125" style="221" customWidth="1"/>
    <col min="14413" max="14413" width="2.140625" style="221" customWidth="1"/>
    <col min="14414" max="14414" width="0.5703125" style="221" customWidth="1"/>
    <col min="14415" max="14415" width="2.140625" style="221" customWidth="1"/>
    <col min="14416" max="14416" width="0.5703125" style="221" customWidth="1"/>
    <col min="14417" max="14417" width="2.140625" style="221" customWidth="1"/>
    <col min="14418" max="14418" width="0.5703125" style="221" customWidth="1"/>
    <col min="14419" max="14419" width="2.140625" style="221" customWidth="1"/>
    <col min="14420" max="14420" width="0.5703125" style="221" customWidth="1"/>
    <col min="14421" max="14421" width="2.140625" style="221" customWidth="1"/>
    <col min="14422" max="14422" width="0.5703125" style="221" customWidth="1"/>
    <col min="14423" max="14424" width="2.5703125" style="221" customWidth="1"/>
    <col min="14425"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7109375" style="221" customWidth="1"/>
    <col min="14598" max="14598" width="1.140625" style="221" customWidth="1"/>
    <col min="14599" max="14603" width="0.7109375" style="221" customWidth="1"/>
    <col min="14604" max="14604" width="0.5703125" style="221" customWidth="1"/>
    <col min="14605" max="14617" width="0.7109375" style="221" customWidth="1"/>
    <col min="14618" max="14618" width="1.4257812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 style="221" customWidth="1"/>
    <col min="14655" max="14656" width="0.5703125" style="221" customWidth="1"/>
    <col min="14657" max="14657" width="2.140625" style="221" customWidth="1"/>
    <col min="14658" max="14658" width="0.5703125" style="221" customWidth="1"/>
    <col min="14659" max="14659" width="2.140625" style="221" customWidth="1"/>
    <col min="14660" max="14660" width="0.5703125" style="221" customWidth="1"/>
    <col min="14661" max="14661" width="2.140625" style="221" customWidth="1"/>
    <col min="14662" max="14662" width="0.5703125" style="221" customWidth="1"/>
    <col min="14663" max="14663" width="2.140625" style="221" customWidth="1"/>
    <col min="14664" max="14664" width="0.5703125" style="221" customWidth="1"/>
    <col min="14665" max="14665" width="2.140625" style="221" customWidth="1"/>
    <col min="14666" max="14666" width="0.5703125" style="221" customWidth="1"/>
    <col min="14667" max="14667" width="2.140625" style="221" customWidth="1"/>
    <col min="14668" max="14668" width="0.5703125" style="221" customWidth="1"/>
    <col min="14669" max="14669" width="2.140625" style="221" customWidth="1"/>
    <col min="14670" max="14670" width="0.5703125" style="221" customWidth="1"/>
    <col min="14671" max="14671" width="2.140625" style="221" customWidth="1"/>
    <col min="14672" max="14672" width="0.5703125" style="221" customWidth="1"/>
    <col min="14673" max="14673" width="2.140625" style="221" customWidth="1"/>
    <col min="14674" max="14674" width="0.5703125" style="221" customWidth="1"/>
    <col min="14675" max="14675" width="2.140625" style="221" customWidth="1"/>
    <col min="14676" max="14676" width="0.5703125" style="221" customWidth="1"/>
    <col min="14677" max="14677" width="2.140625" style="221" customWidth="1"/>
    <col min="14678" max="14678" width="0.5703125" style="221" customWidth="1"/>
    <col min="14679" max="14680" width="2.5703125" style="221" customWidth="1"/>
    <col min="14681"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7109375" style="221" customWidth="1"/>
    <col min="14854" max="14854" width="1.140625" style="221" customWidth="1"/>
    <col min="14855" max="14859" width="0.7109375" style="221" customWidth="1"/>
    <col min="14860" max="14860" width="0.5703125" style="221" customWidth="1"/>
    <col min="14861" max="14873" width="0.7109375" style="221" customWidth="1"/>
    <col min="14874" max="14874" width="1.4257812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 style="221" customWidth="1"/>
    <col min="14911" max="14912" width="0.5703125" style="221" customWidth="1"/>
    <col min="14913" max="14913" width="2.140625" style="221" customWidth="1"/>
    <col min="14914" max="14914" width="0.5703125" style="221" customWidth="1"/>
    <col min="14915" max="14915" width="2.140625" style="221" customWidth="1"/>
    <col min="14916" max="14916" width="0.5703125" style="221" customWidth="1"/>
    <col min="14917" max="14917" width="2.140625" style="221" customWidth="1"/>
    <col min="14918" max="14918" width="0.5703125" style="221" customWidth="1"/>
    <col min="14919" max="14919" width="2.140625" style="221" customWidth="1"/>
    <col min="14920" max="14920" width="0.5703125" style="221" customWidth="1"/>
    <col min="14921" max="14921" width="2.140625" style="221" customWidth="1"/>
    <col min="14922" max="14922" width="0.5703125" style="221" customWidth="1"/>
    <col min="14923" max="14923" width="2.140625" style="221" customWidth="1"/>
    <col min="14924" max="14924" width="0.5703125" style="221" customWidth="1"/>
    <col min="14925" max="14925" width="2.140625" style="221" customWidth="1"/>
    <col min="14926" max="14926" width="0.5703125" style="221" customWidth="1"/>
    <col min="14927" max="14927" width="2.140625" style="221" customWidth="1"/>
    <col min="14928" max="14928" width="0.5703125" style="221" customWidth="1"/>
    <col min="14929" max="14929" width="2.140625" style="221" customWidth="1"/>
    <col min="14930" max="14930" width="0.5703125" style="221" customWidth="1"/>
    <col min="14931" max="14931" width="2.140625" style="221" customWidth="1"/>
    <col min="14932" max="14932" width="0.5703125" style="221" customWidth="1"/>
    <col min="14933" max="14933" width="2.140625" style="221" customWidth="1"/>
    <col min="14934" max="14934" width="0.5703125" style="221" customWidth="1"/>
    <col min="14935" max="14936" width="2.5703125" style="221" customWidth="1"/>
    <col min="14937"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7109375" style="221" customWidth="1"/>
    <col min="15110" max="15110" width="1.140625" style="221" customWidth="1"/>
    <col min="15111" max="15115" width="0.7109375" style="221" customWidth="1"/>
    <col min="15116" max="15116" width="0.5703125" style="221" customWidth="1"/>
    <col min="15117" max="15129" width="0.7109375" style="221" customWidth="1"/>
    <col min="15130" max="15130" width="1.4257812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 style="221" customWidth="1"/>
    <col min="15167" max="15168" width="0.5703125" style="221" customWidth="1"/>
    <col min="15169" max="15169" width="2.140625" style="221" customWidth="1"/>
    <col min="15170" max="15170" width="0.5703125" style="221" customWidth="1"/>
    <col min="15171" max="15171" width="2.140625" style="221" customWidth="1"/>
    <col min="15172" max="15172" width="0.5703125" style="221" customWidth="1"/>
    <col min="15173" max="15173" width="2.140625" style="221" customWidth="1"/>
    <col min="15174" max="15174" width="0.5703125" style="221" customWidth="1"/>
    <col min="15175" max="15175" width="2.140625" style="221" customWidth="1"/>
    <col min="15176" max="15176" width="0.5703125" style="221" customWidth="1"/>
    <col min="15177" max="15177" width="2.140625" style="221" customWidth="1"/>
    <col min="15178" max="15178" width="0.5703125" style="221" customWidth="1"/>
    <col min="15179" max="15179" width="2.140625" style="221" customWidth="1"/>
    <col min="15180" max="15180" width="0.5703125" style="221" customWidth="1"/>
    <col min="15181" max="15181" width="2.140625" style="221" customWidth="1"/>
    <col min="15182" max="15182" width="0.5703125" style="221" customWidth="1"/>
    <col min="15183" max="15183" width="2.140625" style="221" customWidth="1"/>
    <col min="15184" max="15184" width="0.5703125" style="221" customWidth="1"/>
    <col min="15185" max="15185" width="2.140625" style="221" customWidth="1"/>
    <col min="15186" max="15186" width="0.5703125" style="221" customWidth="1"/>
    <col min="15187" max="15187" width="2.140625" style="221" customWidth="1"/>
    <col min="15188" max="15188" width="0.5703125" style="221" customWidth="1"/>
    <col min="15189" max="15189" width="2.140625" style="221" customWidth="1"/>
    <col min="15190" max="15190" width="0.5703125" style="221" customWidth="1"/>
    <col min="15191" max="15192" width="2.5703125" style="221" customWidth="1"/>
    <col min="15193"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7109375" style="221" customWidth="1"/>
    <col min="15366" max="15366" width="1.140625" style="221" customWidth="1"/>
    <col min="15367" max="15371" width="0.7109375" style="221" customWidth="1"/>
    <col min="15372" max="15372" width="0.5703125" style="221" customWidth="1"/>
    <col min="15373" max="15385" width="0.7109375" style="221" customWidth="1"/>
    <col min="15386" max="15386" width="1.4257812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 style="221" customWidth="1"/>
    <col min="15423" max="15424" width="0.5703125" style="221" customWidth="1"/>
    <col min="15425" max="15425" width="2.140625" style="221" customWidth="1"/>
    <col min="15426" max="15426" width="0.5703125" style="221" customWidth="1"/>
    <col min="15427" max="15427" width="2.140625" style="221" customWidth="1"/>
    <col min="15428" max="15428" width="0.5703125" style="221" customWidth="1"/>
    <col min="15429" max="15429" width="2.140625" style="221" customWidth="1"/>
    <col min="15430" max="15430" width="0.5703125" style="221" customWidth="1"/>
    <col min="15431" max="15431" width="2.140625" style="221" customWidth="1"/>
    <col min="15432" max="15432" width="0.5703125" style="221" customWidth="1"/>
    <col min="15433" max="15433" width="2.140625" style="221" customWidth="1"/>
    <col min="15434" max="15434" width="0.5703125" style="221" customWidth="1"/>
    <col min="15435" max="15435" width="2.140625" style="221" customWidth="1"/>
    <col min="15436" max="15436" width="0.5703125" style="221" customWidth="1"/>
    <col min="15437" max="15437" width="2.140625" style="221" customWidth="1"/>
    <col min="15438" max="15438" width="0.5703125" style="221" customWidth="1"/>
    <col min="15439" max="15439" width="2.140625" style="221" customWidth="1"/>
    <col min="15440" max="15440" width="0.5703125" style="221" customWidth="1"/>
    <col min="15441" max="15441" width="2.140625" style="221" customWidth="1"/>
    <col min="15442" max="15442" width="0.5703125" style="221" customWidth="1"/>
    <col min="15443" max="15443" width="2.140625" style="221" customWidth="1"/>
    <col min="15444" max="15444" width="0.5703125" style="221" customWidth="1"/>
    <col min="15445" max="15445" width="2.140625" style="221" customWidth="1"/>
    <col min="15446" max="15446" width="0.5703125" style="221" customWidth="1"/>
    <col min="15447" max="15448" width="2.5703125" style="221" customWidth="1"/>
    <col min="15449"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7109375" style="221" customWidth="1"/>
    <col min="15622" max="15622" width="1.140625" style="221" customWidth="1"/>
    <col min="15623" max="15627" width="0.7109375" style="221" customWidth="1"/>
    <col min="15628" max="15628" width="0.5703125" style="221" customWidth="1"/>
    <col min="15629" max="15641" width="0.7109375" style="221" customWidth="1"/>
    <col min="15642" max="15642" width="1.4257812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 style="221" customWidth="1"/>
    <col min="15679" max="15680" width="0.5703125" style="221" customWidth="1"/>
    <col min="15681" max="15681" width="2.140625" style="221" customWidth="1"/>
    <col min="15682" max="15682" width="0.5703125" style="221" customWidth="1"/>
    <col min="15683" max="15683" width="2.140625" style="221" customWidth="1"/>
    <col min="15684" max="15684" width="0.5703125" style="221" customWidth="1"/>
    <col min="15685" max="15685" width="2.140625" style="221" customWidth="1"/>
    <col min="15686" max="15686" width="0.5703125" style="221" customWidth="1"/>
    <col min="15687" max="15687" width="2.140625" style="221" customWidth="1"/>
    <col min="15688" max="15688" width="0.5703125" style="221" customWidth="1"/>
    <col min="15689" max="15689" width="2.140625" style="221" customWidth="1"/>
    <col min="15690" max="15690" width="0.5703125" style="221" customWidth="1"/>
    <col min="15691" max="15691" width="2.140625" style="221" customWidth="1"/>
    <col min="15692" max="15692" width="0.5703125" style="221" customWidth="1"/>
    <col min="15693" max="15693" width="2.140625" style="221" customWidth="1"/>
    <col min="15694" max="15694" width="0.5703125" style="221" customWidth="1"/>
    <col min="15695" max="15695" width="2.140625" style="221" customWidth="1"/>
    <col min="15696" max="15696" width="0.5703125" style="221" customWidth="1"/>
    <col min="15697" max="15697" width="2.140625" style="221" customWidth="1"/>
    <col min="15698" max="15698" width="0.5703125" style="221" customWidth="1"/>
    <col min="15699" max="15699" width="2.140625" style="221" customWidth="1"/>
    <col min="15700" max="15700" width="0.5703125" style="221" customWidth="1"/>
    <col min="15701" max="15701" width="2.140625" style="221" customWidth="1"/>
    <col min="15702" max="15702" width="0.5703125" style="221" customWidth="1"/>
    <col min="15703" max="15704" width="2.5703125" style="221" customWidth="1"/>
    <col min="15705"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7109375" style="221" customWidth="1"/>
    <col min="15878" max="15878" width="1.140625" style="221" customWidth="1"/>
    <col min="15879" max="15883" width="0.7109375" style="221" customWidth="1"/>
    <col min="15884" max="15884" width="0.5703125" style="221" customWidth="1"/>
    <col min="15885" max="15897" width="0.7109375" style="221" customWidth="1"/>
    <col min="15898" max="15898" width="1.4257812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 style="221" customWidth="1"/>
    <col min="15935" max="15936" width="0.5703125" style="221" customWidth="1"/>
    <col min="15937" max="15937" width="2.140625" style="221" customWidth="1"/>
    <col min="15938" max="15938" width="0.5703125" style="221" customWidth="1"/>
    <col min="15939" max="15939" width="2.140625" style="221" customWidth="1"/>
    <col min="15940" max="15940" width="0.5703125" style="221" customWidth="1"/>
    <col min="15941" max="15941" width="2.140625" style="221" customWidth="1"/>
    <col min="15942" max="15942" width="0.5703125" style="221" customWidth="1"/>
    <col min="15943" max="15943" width="2.140625" style="221" customWidth="1"/>
    <col min="15944" max="15944" width="0.5703125" style="221" customWidth="1"/>
    <col min="15945" max="15945" width="2.140625" style="221" customWidth="1"/>
    <col min="15946" max="15946" width="0.5703125" style="221" customWidth="1"/>
    <col min="15947" max="15947" width="2.140625" style="221" customWidth="1"/>
    <col min="15948" max="15948" width="0.5703125" style="221" customWidth="1"/>
    <col min="15949" max="15949" width="2.140625" style="221" customWidth="1"/>
    <col min="15950" max="15950" width="0.5703125" style="221" customWidth="1"/>
    <col min="15951" max="15951" width="2.140625" style="221" customWidth="1"/>
    <col min="15952" max="15952" width="0.5703125" style="221" customWidth="1"/>
    <col min="15953" max="15953" width="2.140625" style="221" customWidth="1"/>
    <col min="15954" max="15954" width="0.5703125" style="221" customWidth="1"/>
    <col min="15955" max="15955" width="2.140625" style="221" customWidth="1"/>
    <col min="15956" max="15956" width="0.5703125" style="221" customWidth="1"/>
    <col min="15957" max="15957" width="2.140625" style="221" customWidth="1"/>
    <col min="15958" max="15958" width="0.5703125" style="221" customWidth="1"/>
    <col min="15959" max="15960" width="2.5703125" style="221" customWidth="1"/>
    <col min="15961"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7109375" style="221" customWidth="1"/>
    <col min="16134" max="16134" width="1.140625" style="221" customWidth="1"/>
    <col min="16135" max="16139" width="0.7109375" style="221" customWidth="1"/>
    <col min="16140" max="16140" width="0.5703125" style="221" customWidth="1"/>
    <col min="16141" max="16153" width="0.7109375" style="221" customWidth="1"/>
    <col min="16154" max="16154" width="1.4257812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 style="221" customWidth="1"/>
    <col min="16191" max="16192" width="0.5703125" style="221" customWidth="1"/>
    <col min="16193" max="16193" width="2.140625" style="221" customWidth="1"/>
    <col min="16194" max="16194" width="0.5703125" style="221" customWidth="1"/>
    <col min="16195" max="16195" width="2.140625" style="221" customWidth="1"/>
    <col min="16196" max="16196" width="0.5703125" style="221" customWidth="1"/>
    <col min="16197" max="16197" width="2.140625" style="221" customWidth="1"/>
    <col min="16198" max="16198" width="0.5703125" style="221" customWidth="1"/>
    <col min="16199" max="16199" width="2.140625" style="221" customWidth="1"/>
    <col min="16200" max="16200" width="0.5703125" style="221" customWidth="1"/>
    <col min="16201" max="16201" width="2.140625" style="221" customWidth="1"/>
    <col min="16202" max="16202" width="0.5703125" style="221" customWidth="1"/>
    <col min="16203" max="16203" width="2.140625" style="221" customWidth="1"/>
    <col min="16204" max="16204" width="0.5703125" style="221" customWidth="1"/>
    <col min="16205" max="16205" width="2.140625" style="221" customWidth="1"/>
    <col min="16206" max="16206" width="0.5703125" style="221" customWidth="1"/>
    <col min="16207" max="16207" width="2.140625" style="221" customWidth="1"/>
    <col min="16208" max="16208" width="0.5703125" style="221" customWidth="1"/>
    <col min="16209" max="16209" width="2.140625" style="221" customWidth="1"/>
    <col min="16210" max="16210" width="0.5703125" style="221" customWidth="1"/>
    <col min="16211" max="16211" width="2.140625" style="221" customWidth="1"/>
    <col min="16212" max="16212" width="0.5703125" style="221" customWidth="1"/>
    <col min="16213" max="16213" width="2.140625" style="221" customWidth="1"/>
    <col min="16214" max="16214" width="0.5703125" style="221" customWidth="1"/>
    <col min="16215" max="16216" width="2.5703125" style="221" customWidth="1"/>
    <col min="16217" max="16384" width="9.140625" style="221"/>
  </cols>
  <sheetData>
    <row r="1" spans="1:89" s="97" customFormat="1" ht="14.25" customHeight="1" thickBot="1">
      <c r="F1" s="98" t="s">
        <v>1724</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CK1" s="221"/>
    </row>
    <row r="2" spans="1:89" ht="7.5" customHeight="1" thickTop="1">
      <c r="C2" s="221"/>
      <c r="D2" s="220"/>
      <c r="E2" s="222"/>
      <c r="F2" s="220"/>
      <c r="G2" s="223"/>
      <c r="H2" s="1093" t="str">
        <f>Index!C431</f>
        <v>Výkaz ziskov a strát Úč POD 
2 - 01</v>
      </c>
      <c r="I2" s="1094"/>
      <c r="J2" s="1094"/>
      <c r="K2" s="1094"/>
      <c r="L2" s="1094"/>
      <c r="M2" s="1094"/>
      <c r="N2" s="1094"/>
      <c r="O2" s="1094"/>
      <c r="P2" s="1094"/>
      <c r="Q2" s="1094"/>
      <c r="R2" s="1094"/>
      <c r="S2" s="1094"/>
      <c r="T2" s="1094"/>
      <c r="U2" s="1094"/>
      <c r="V2" s="1094"/>
      <c r="W2" s="1094"/>
      <c r="X2" s="1095"/>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6"/>
      <c r="BT2" s="927"/>
      <c r="BU2" s="928"/>
      <c r="BV2" s="928"/>
      <c r="BW2" s="928"/>
      <c r="BX2" s="928"/>
      <c r="BY2" s="928"/>
      <c r="BZ2" s="928"/>
      <c r="CA2" s="928"/>
      <c r="CB2" s="928"/>
      <c r="CC2" s="928"/>
      <c r="CD2" s="928"/>
      <c r="CE2" s="928"/>
      <c r="CF2" s="220"/>
      <c r="CG2" s="220"/>
      <c r="CH2" s="220"/>
      <c r="CI2" s="220"/>
      <c r="CJ2" s="220"/>
    </row>
    <row r="3" spans="1:89" ht="3.75" customHeight="1" thickBot="1">
      <c r="C3" s="224"/>
      <c r="D3" s="224"/>
      <c r="E3" s="225"/>
      <c r="F3" s="220"/>
      <c r="G3" s="223"/>
      <c r="H3" s="1096"/>
      <c r="I3" s="1097"/>
      <c r="J3" s="1097"/>
      <c r="K3" s="1097"/>
      <c r="L3" s="1097"/>
      <c r="M3" s="1097"/>
      <c r="N3" s="1097"/>
      <c r="O3" s="1097"/>
      <c r="P3" s="1097"/>
      <c r="Q3" s="1097"/>
      <c r="R3" s="1097"/>
      <c r="S3" s="1097"/>
      <c r="T3" s="1097"/>
      <c r="U3" s="1097"/>
      <c r="V3" s="1097"/>
      <c r="W3" s="1097"/>
      <c r="X3" s="1098"/>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928"/>
      <c r="BT3" s="227"/>
      <c r="BU3" s="928"/>
      <c r="BV3" s="928"/>
      <c r="BW3" s="928"/>
      <c r="BX3" s="928"/>
      <c r="BY3" s="928"/>
      <c r="BZ3" s="928"/>
      <c r="CA3" s="928"/>
      <c r="CB3" s="928"/>
      <c r="CC3" s="928"/>
      <c r="CD3" s="928"/>
      <c r="CE3" s="928"/>
      <c r="CF3" s="220"/>
      <c r="CG3" s="220"/>
      <c r="CH3" s="220"/>
      <c r="CI3" s="220"/>
      <c r="CJ3" s="220"/>
    </row>
    <row r="4" spans="1:89" ht="16.5" customHeight="1" thickTop="1">
      <c r="C4" s="224"/>
      <c r="D4" s="224"/>
      <c r="E4" s="228"/>
      <c r="F4" s="220"/>
      <c r="G4" s="223"/>
      <c r="H4" s="1099"/>
      <c r="I4" s="1100"/>
      <c r="J4" s="1100"/>
      <c r="K4" s="1100"/>
      <c r="L4" s="1100"/>
      <c r="M4" s="1100"/>
      <c r="N4" s="1100"/>
      <c r="O4" s="1100"/>
      <c r="P4" s="1100"/>
      <c r="Q4" s="1100"/>
      <c r="R4" s="1100"/>
      <c r="S4" s="1100"/>
      <c r="T4" s="1100"/>
      <c r="U4" s="1100"/>
      <c r="V4" s="1100"/>
      <c r="W4" s="1100"/>
      <c r="X4" s="1101"/>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231"/>
      <c r="BM4" s="139" t="str">
        <f>'Závierka titulka'!K27</f>
        <v>2</v>
      </c>
      <c r="BN4" s="231"/>
      <c r="BO4" s="139" t="str">
        <f>'Závierka titulka'!M27</f>
        <v>9</v>
      </c>
      <c r="BP4" s="136"/>
      <c r="BQ4" s="139" t="str">
        <f>'Závierka titulka'!O27</f>
        <v>9</v>
      </c>
      <c r="BR4" s="136"/>
      <c r="BS4" s="139" t="str">
        <f>'Závierka titulka'!Q27</f>
        <v>1</v>
      </c>
      <c r="BT4" s="230"/>
      <c r="BU4" s="928"/>
      <c r="BV4" s="928"/>
      <c r="BW4" s="928"/>
      <c r="BX4" s="928"/>
      <c r="BY4" s="928"/>
      <c r="BZ4" s="928"/>
      <c r="CA4" s="928"/>
      <c r="CB4" s="928"/>
      <c r="CC4" s="928"/>
      <c r="CD4" s="928"/>
      <c r="CE4" s="928"/>
      <c r="CF4" s="220"/>
      <c r="CG4" s="232"/>
      <c r="CH4" s="233"/>
      <c r="CI4" s="220"/>
      <c r="CJ4" s="220"/>
    </row>
    <row r="5" spans="1:89" ht="3" customHeight="1">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7"/>
      <c r="BM5" s="234"/>
      <c r="BN5" s="237"/>
      <c r="BO5" s="234"/>
      <c r="BP5" s="234"/>
      <c r="BQ5" s="234"/>
      <c r="BR5" s="234"/>
      <c r="BS5" s="234"/>
      <c r="BT5" s="235"/>
      <c r="BU5" s="928"/>
      <c r="BV5" s="928"/>
      <c r="BW5" s="928"/>
      <c r="BX5" s="928"/>
      <c r="BY5" s="928"/>
      <c r="BZ5" s="928"/>
      <c r="CA5" s="928"/>
      <c r="CB5" s="928"/>
      <c r="CC5" s="928"/>
      <c r="CD5" s="928"/>
      <c r="CE5" s="928"/>
      <c r="CF5" s="220"/>
      <c r="CG5" s="220"/>
      <c r="CH5" s="238"/>
      <c r="CI5" s="220"/>
      <c r="CJ5" s="220"/>
    </row>
    <row r="6" spans="1:89" ht="4.5" customHeight="1" thickBot="1">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2"/>
      <c r="BY6" s="242"/>
      <c r="BZ6" s="242"/>
      <c r="CA6" s="242"/>
      <c r="CB6" s="242"/>
      <c r="CC6" s="242"/>
      <c r="CD6" s="242"/>
      <c r="CE6" s="242"/>
      <c r="CF6" s="242"/>
      <c r="CG6" s="242"/>
      <c r="CH6" s="242"/>
      <c r="CI6" s="220"/>
      <c r="CJ6" s="220"/>
    </row>
    <row r="7" spans="1:89" ht="12" customHeight="1">
      <c r="C7" s="224"/>
      <c r="D7" s="224"/>
      <c r="E7" s="1102" t="str">
        <f>Index!C410</f>
        <v>Ozna-čenie</v>
      </c>
      <c r="F7" s="1103"/>
      <c r="G7" s="1106" t="str">
        <f>Index!C435</f>
        <v>Text</v>
      </c>
      <c r="H7" s="1106"/>
      <c r="I7" s="1106"/>
      <c r="J7" s="1106"/>
      <c r="K7" s="1106"/>
      <c r="L7" s="1106"/>
      <c r="M7" s="1106"/>
      <c r="N7" s="1106"/>
      <c r="O7" s="1106"/>
      <c r="P7" s="1106"/>
      <c r="Q7" s="1106"/>
      <c r="R7" s="1106"/>
      <c r="S7" s="1106"/>
      <c r="T7" s="1106"/>
      <c r="U7" s="1106"/>
      <c r="V7" s="1106"/>
      <c r="W7" s="1106"/>
      <c r="X7" s="1106"/>
      <c r="Y7" s="1106"/>
      <c r="Z7" s="1106"/>
      <c r="AA7" s="1106"/>
      <c r="AB7" s="1106"/>
      <c r="AC7" s="1106"/>
      <c r="AD7" s="1106"/>
      <c r="AE7" s="1106"/>
      <c r="AF7" s="1106"/>
      <c r="AG7" s="1106"/>
      <c r="AH7" s="1106"/>
      <c r="AI7" s="1106"/>
      <c r="AJ7" s="1106"/>
      <c r="AK7" s="1108" t="str">
        <f>Index!C433</f>
        <v>Číslo riadku</v>
      </c>
      <c r="AL7" s="1109"/>
      <c r="AM7" s="1110"/>
      <c r="AN7" s="1117" t="str">
        <f>Index!C434</f>
        <v>Skutočnosť</v>
      </c>
      <c r="AO7" s="1118"/>
      <c r="AP7" s="1118"/>
      <c r="AQ7" s="1118"/>
      <c r="AR7" s="1118"/>
      <c r="AS7" s="1118"/>
      <c r="AT7" s="1118"/>
      <c r="AU7" s="1118"/>
      <c r="AV7" s="1118"/>
      <c r="AW7" s="1118"/>
      <c r="AX7" s="1118"/>
      <c r="AY7" s="1118"/>
      <c r="AZ7" s="1118"/>
      <c r="BA7" s="1118"/>
      <c r="BB7" s="1118"/>
      <c r="BC7" s="1118"/>
      <c r="BD7" s="1118"/>
      <c r="BE7" s="1118"/>
      <c r="BF7" s="1118"/>
      <c r="BG7" s="1118"/>
      <c r="BH7" s="1118"/>
      <c r="BI7" s="1118"/>
      <c r="BJ7" s="1118"/>
      <c r="BK7" s="1118"/>
      <c r="BL7" s="1118"/>
      <c r="BM7" s="1118"/>
      <c r="BN7" s="1118"/>
      <c r="BO7" s="1118"/>
      <c r="BP7" s="1118"/>
      <c r="BQ7" s="1118"/>
      <c r="BR7" s="1118"/>
      <c r="BS7" s="1118"/>
      <c r="BT7" s="1118"/>
      <c r="BU7" s="1118"/>
      <c r="BV7" s="1118"/>
      <c r="BW7" s="1118"/>
      <c r="BX7" s="1118"/>
      <c r="BY7" s="1118"/>
      <c r="BZ7" s="1118"/>
      <c r="CA7" s="1118"/>
      <c r="CB7" s="1118"/>
      <c r="CC7" s="1118"/>
      <c r="CD7" s="1118"/>
      <c r="CE7" s="1118"/>
      <c r="CF7" s="1118"/>
      <c r="CG7" s="1118"/>
      <c r="CH7" s="1119"/>
      <c r="CI7" s="220"/>
      <c r="CJ7" s="220"/>
    </row>
    <row r="8" spans="1:89" ht="12.75" customHeight="1" thickBot="1">
      <c r="C8" s="224"/>
      <c r="D8" s="224"/>
      <c r="E8" s="1104"/>
      <c r="F8" s="1105"/>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107"/>
      <c r="AE8" s="1107"/>
      <c r="AF8" s="1107"/>
      <c r="AG8" s="1107"/>
      <c r="AH8" s="1107"/>
      <c r="AI8" s="1107"/>
      <c r="AJ8" s="1107"/>
      <c r="AK8" s="1111"/>
      <c r="AL8" s="1112"/>
      <c r="AM8" s="1113"/>
      <c r="AN8" s="1120" t="str">
        <f>Index!C414</f>
        <v>Bežné účtovné obdobie</v>
      </c>
      <c r="AO8" s="1121"/>
      <c r="AP8" s="1121"/>
      <c r="AQ8" s="1121"/>
      <c r="AR8" s="1121"/>
      <c r="AS8" s="1121"/>
      <c r="AT8" s="1121"/>
      <c r="AU8" s="1121"/>
      <c r="AV8" s="1121"/>
      <c r="AW8" s="1121"/>
      <c r="AX8" s="1121"/>
      <c r="AY8" s="1121"/>
      <c r="AZ8" s="1121"/>
      <c r="BA8" s="1121"/>
      <c r="BB8" s="1121"/>
      <c r="BC8" s="1121"/>
      <c r="BD8" s="1121"/>
      <c r="BE8" s="1121"/>
      <c r="BF8" s="1121"/>
      <c r="BG8" s="1121"/>
      <c r="BH8" s="1121"/>
      <c r="BI8" s="1121"/>
      <c r="BJ8" s="1122"/>
      <c r="BK8" s="314"/>
      <c r="BL8" s="1124" t="str">
        <f>Index!C415</f>
        <v>Bezprostredne predchádzajúce účtovné obdobie</v>
      </c>
      <c r="BM8" s="1124"/>
      <c r="BN8" s="1124"/>
      <c r="BO8" s="1124"/>
      <c r="BP8" s="1124"/>
      <c r="BQ8" s="1124"/>
      <c r="BR8" s="1124"/>
      <c r="BS8" s="1124"/>
      <c r="BT8" s="1124"/>
      <c r="BU8" s="1124"/>
      <c r="BV8" s="1124"/>
      <c r="BW8" s="1124"/>
      <c r="BX8" s="1124"/>
      <c r="BY8" s="1124"/>
      <c r="BZ8" s="1124"/>
      <c r="CA8" s="1124"/>
      <c r="CB8" s="1124"/>
      <c r="CC8" s="1124"/>
      <c r="CD8" s="1124"/>
      <c r="CE8" s="1124"/>
      <c r="CF8" s="1124"/>
      <c r="CG8" s="1124"/>
      <c r="CH8" s="1124"/>
      <c r="CI8" s="220"/>
      <c r="CJ8" s="220"/>
    </row>
    <row r="9" spans="1:89" ht="11.25" customHeight="1">
      <c r="B9" s="878"/>
      <c r="C9" s="878"/>
      <c r="D9" s="878"/>
      <c r="E9" s="1104"/>
      <c r="F9" s="1105"/>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107"/>
      <c r="AE9" s="1107"/>
      <c r="AF9" s="1107"/>
      <c r="AG9" s="1107"/>
      <c r="AH9" s="1107"/>
      <c r="AI9" s="1107"/>
      <c r="AJ9" s="1107"/>
      <c r="AK9" s="1114"/>
      <c r="AL9" s="1115"/>
      <c r="AM9" s="1116"/>
      <c r="AN9" s="1123"/>
      <c r="AO9" s="1001"/>
      <c r="AP9" s="1001"/>
      <c r="AQ9" s="1001"/>
      <c r="AR9" s="1001"/>
      <c r="AS9" s="1001"/>
      <c r="AT9" s="1001"/>
      <c r="AU9" s="1001"/>
      <c r="AV9" s="1001"/>
      <c r="AW9" s="1001"/>
      <c r="AX9" s="1001"/>
      <c r="AY9" s="1001"/>
      <c r="AZ9" s="1001"/>
      <c r="BA9" s="1001"/>
      <c r="BB9" s="1001"/>
      <c r="BC9" s="1001"/>
      <c r="BD9" s="1001"/>
      <c r="BE9" s="1001"/>
      <c r="BF9" s="1001"/>
      <c r="BG9" s="1001"/>
      <c r="BH9" s="1001"/>
      <c r="BI9" s="1001"/>
      <c r="BJ9" s="1003"/>
      <c r="BK9" s="297"/>
      <c r="BL9" s="1004"/>
      <c r="BM9" s="1004"/>
      <c r="BN9" s="1004"/>
      <c r="BO9" s="1004"/>
      <c r="BP9" s="1004"/>
      <c r="BQ9" s="1004"/>
      <c r="BR9" s="1004"/>
      <c r="BS9" s="1004"/>
      <c r="BT9" s="1004"/>
      <c r="BU9" s="1004"/>
      <c r="BV9" s="1004"/>
      <c r="BW9" s="1004"/>
      <c r="BX9" s="1004"/>
      <c r="BY9" s="1004"/>
      <c r="BZ9" s="1004"/>
      <c r="CA9" s="1004"/>
      <c r="CB9" s="1004"/>
      <c r="CC9" s="1004"/>
      <c r="CD9" s="1004"/>
      <c r="CE9" s="1004"/>
      <c r="CF9" s="1004"/>
      <c r="CG9" s="1004"/>
      <c r="CH9" s="1004"/>
      <c r="CI9" s="220"/>
      <c r="CJ9" s="220"/>
    </row>
    <row r="10" spans="1:89" s="301" customFormat="1" ht="9" customHeight="1">
      <c r="A10" s="298"/>
      <c r="B10" s="996"/>
      <c r="C10" s="996"/>
      <c r="D10" s="298"/>
      <c r="E10" s="997" t="s">
        <v>491</v>
      </c>
      <c r="F10" s="997"/>
      <c r="G10" s="998" t="s">
        <v>492</v>
      </c>
      <c r="H10" s="998"/>
      <c r="I10" s="998"/>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t="s">
        <v>493</v>
      </c>
      <c r="AL10" s="998"/>
      <c r="AM10" s="998"/>
      <c r="AN10" s="998">
        <v>1</v>
      </c>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9"/>
      <c r="BK10" s="299"/>
      <c r="BL10" s="994">
        <v>2</v>
      </c>
      <c r="BM10" s="994"/>
      <c r="BN10" s="994"/>
      <c r="BO10" s="994"/>
      <c r="BP10" s="994"/>
      <c r="BQ10" s="994"/>
      <c r="BR10" s="994"/>
      <c r="BS10" s="994"/>
      <c r="BT10" s="994"/>
      <c r="BU10" s="994"/>
      <c r="BV10" s="994"/>
      <c r="BW10" s="994"/>
      <c r="BX10" s="994"/>
      <c r="BY10" s="994"/>
      <c r="BZ10" s="994"/>
      <c r="CA10" s="994"/>
      <c r="CB10" s="994"/>
      <c r="CC10" s="994"/>
      <c r="CD10" s="994"/>
      <c r="CE10" s="994"/>
      <c r="CF10" s="994"/>
      <c r="CG10" s="994"/>
      <c r="CH10" s="994"/>
      <c r="CI10" s="300"/>
      <c r="CJ10" s="300"/>
    </row>
    <row r="11" spans="1:89" s="307" customFormat="1" ht="3" customHeight="1">
      <c r="A11" s="302"/>
      <c r="B11" s="302"/>
      <c r="C11" s="303"/>
      <c r="D11" s="303"/>
      <c r="E11" s="995" t="s">
        <v>680</v>
      </c>
      <c r="F11" s="995"/>
      <c r="G11" s="992" t="str">
        <f>Index!C205</f>
        <v>Čistý obrat (časť účt. tr. 6 podľa zákona)</v>
      </c>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1092" t="s">
        <v>651</v>
      </c>
      <c r="AL11" s="993"/>
      <c r="AM11" s="993"/>
      <c r="AN11" s="364"/>
      <c r="AO11" s="366"/>
      <c r="AP11" s="366"/>
      <c r="AQ11" s="366"/>
      <c r="AR11" s="366"/>
      <c r="AS11" s="366"/>
      <c r="AT11" s="366"/>
      <c r="AU11" s="366"/>
      <c r="AV11" s="366"/>
      <c r="AW11" s="366"/>
      <c r="AX11" s="366"/>
      <c r="AY11" s="366"/>
      <c r="AZ11" s="366"/>
      <c r="BA11" s="366"/>
      <c r="BB11" s="366"/>
      <c r="BC11" s="366"/>
      <c r="BD11" s="366"/>
      <c r="BE11" s="304"/>
      <c r="BF11" s="304"/>
      <c r="BG11" s="304"/>
      <c r="BH11" s="304"/>
      <c r="BI11" s="304"/>
      <c r="BJ11" s="304"/>
      <c r="BK11" s="304"/>
      <c r="BL11" s="867"/>
      <c r="BM11" s="867"/>
      <c r="BN11" s="867"/>
      <c r="BO11" s="867"/>
      <c r="BP11" s="867"/>
      <c r="BQ11" s="867"/>
      <c r="BR11" s="867"/>
      <c r="BS11" s="867"/>
      <c r="BT11" s="867"/>
      <c r="BU11" s="867"/>
      <c r="BV11" s="867"/>
      <c r="BW11" s="867"/>
      <c r="BX11" s="867"/>
      <c r="BY11" s="867"/>
      <c r="BZ11" s="867"/>
      <c r="CA11" s="867"/>
      <c r="CB11" s="867"/>
      <c r="CC11" s="304"/>
      <c r="CD11" s="304"/>
      <c r="CE11" s="304"/>
      <c r="CF11" s="304"/>
      <c r="CG11" s="304"/>
      <c r="CH11" s="305"/>
      <c r="CI11" s="306"/>
      <c r="CJ11" s="306"/>
    </row>
    <row r="12" spans="1:89" s="307" customFormat="1" ht="3" customHeight="1">
      <c r="A12" s="302"/>
      <c r="B12" s="302"/>
      <c r="C12" s="302"/>
      <c r="D12" s="302"/>
      <c r="E12" s="995"/>
      <c r="F12" s="995"/>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93"/>
      <c r="AL12" s="993"/>
      <c r="AM12" s="993"/>
      <c r="AN12" s="367"/>
      <c r="AO12" s="436"/>
      <c r="AP12" s="436"/>
      <c r="AQ12" s="436"/>
      <c r="AR12" s="435"/>
      <c r="AS12" s="433"/>
      <c r="AT12" s="433"/>
      <c r="AU12" s="433"/>
      <c r="AV12" s="433"/>
      <c r="AW12" s="433"/>
      <c r="AX12" s="434"/>
      <c r="AY12" s="1007"/>
      <c r="AZ12" s="1007"/>
      <c r="BA12" s="1007"/>
      <c r="BB12" s="1007"/>
      <c r="BC12" s="1007"/>
      <c r="BD12" s="1007"/>
      <c r="BE12" s="434"/>
      <c r="BF12" s="968"/>
      <c r="BG12" s="968"/>
      <c r="BH12" s="968"/>
      <c r="BI12" s="968"/>
      <c r="BJ12" s="968"/>
      <c r="BK12" s="851"/>
      <c r="BL12" s="826"/>
      <c r="BM12" s="820"/>
      <c r="BN12" s="820"/>
      <c r="BO12" s="820"/>
      <c r="BP12" s="435"/>
      <c r="BQ12" s="1007"/>
      <c r="BR12" s="1007"/>
      <c r="BS12" s="1007"/>
      <c r="BT12" s="1007"/>
      <c r="BU12" s="1007"/>
      <c r="BV12" s="1008"/>
      <c r="BW12" s="968"/>
      <c r="BX12" s="968"/>
      <c r="BY12" s="968"/>
      <c r="BZ12" s="968"/>
      <c r="CA12" s="968"/>
      <c r="CB12" s="1009"/>
      <c r="CC12" s="968"/>
      <c r="CD12" s="968"/>
      <c r="CE12" s="968"/>
      <c r="CF12" s="968"/>
      <c r="CG12" s="968"/>
      <c r="CH12" s="308"/>
      <c r="CI12" s="306"/>
      <c r="CJ12" s="306"/>
    </row>
    <row r="13" spans="1:89" s="309" customFormat="1" ht="15" customHeight="1">
      <c r="A13" s="302"/>
      <c r="B13" s="302"/>
      <c r="C13" s="302"/>
      <c r="E13" s="995"/>
      <c r="F13" s="995"/>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93"/>
      <c r="AL13" s="993"/>
      <c r="AM13" s="993"/>
      <c r="AN13" s="367"/>
      <c r="AO13" s="432" t="str">
        <f>IF(LEN(VLOOKUP(AK11,vysledovka!$D$8:$F$68,2,FALSE))&lt;11,"",LEFT(RIGHT(VLOOKUP(AK11,vysledovka!$D$8:$F$68,2,FALSE),11),1))</f>
        <v/>
      </c>
      <c r="AP13" s="255"/>
      <c r="AQ13" s="432" t="str">
        <f>IF(LEN(VLOOKUP(AK11,vysledovka!$D$8:$F$68,2,FALSE))&lt;10,"",LEFT(RIGHT(VLOOKUP(AK11,vysledovka!$D$8:$F$68,2,FALSE),10),1))</f>
        <v/>
      </c>
      <c r="AR13" s="434"/>
      <c r="AS13" s="432" t="str">
        <f>IF(LEN(VLOOKUP(AK11,vysledovka!$D$8:$F$68,2,FALSE))&lt;9,"",LEFT(RIGHT(VLOOKUP(AK11,vysledovka!$D$8:$F$68,2,FALSE),9),1))</f>
        <v/>
      </c>
      <c r="AT13" s="255"/>
      <c r="AU13" s="432" t="str">
        <f>IF(LEN(VLOOKUP(AK11,vysledovka!$D$8:$F$68,2,FALSE))&lt;8,"",LEFT(RIGHT(VLOOKUP(AK11,vysledovka!$D$8:$F$68,2,FALSE),8),1))</f>
        <v>2</v>
      </c>
      <c r="AV13" s="434"/>
      <c r="AW13" s="432" t="str">
        <f>IF(LEN(VLOOKUP(AK11,vysledovka!$D$8:$F$68,2,FALSE))&lt;7,"",LEFT(RIGHT(VLOOKUP(AK11,vysledovka!$D$8:$F$68,2,FALSE),7),1))</f>
        <v>4</v>
      </c>
      <c r="AX13" s="434"/>
      <c r="AY13" s="432" t="str">
        <f>IF(LEN(VLOOKUP(AK11,vysledovka!$D$8:$F$68,2,FALSE))&lt;6,"",LEFT(RIGHT(VLOOKUP(AK11,vysledovka!$D$8:$F$68,2,FALSE),6),1))</f>
        <v>0</v>
      </c>
      <c r="AZ13" s="255"/>
      <c r="BA13" s="961" t="str">
        <f>IF(LEN(VLOOKUP(AK11,vysledovka!$D$8:$F$68,2,FALSE))&lt;5,"",LEFT(RIGHT(VLOOKUP(AK11,vysledovka!$D$8:$F$68,2,FALSE),5),1))</f>
        <v>4</v>
      </c>
      <c r="BB13" s="961"/>
      <c r="BC13" s="434"/>
      <c r="BD13" s="432" t="str">
        <f>IF(LEN(VLOOKUP(AK11,vysledovka!$D$8:$F$68,2,FALSE))&lt;4,"",LEFT(RIGHT(VLOOKUP(AK11,vysledovka!$D$8:$F$68,2,FALSE),4),1))</f>
        <v>1</v>
      </c>
      <c r="BE13" s="434"/>
      <c r="BF13" s="432" t="str">
        <f>IF(LEN(VLOOKUP(AK11,vysledovka!$D$8:$F$68,2,FALSE))&lt;3,"",LEFT(RIGHT(VLOOKUP(AK11,vysledovka!$D$8:$F$68,2,FALSE),3),1))</f>
        <v>6</v>
      </c>
      <c r="BG13" s="434"/>
      <c r="BH13" s="432" t="str">
        <f>IF(LEN(VLOOKUP(AK11,vysledovka!$D$8:$F$68,2,FALSE))&lt;2,"",LEFT(RIGHT(VLOOKUP(AK11,vysledovka!$D$8:$F$68,2,FALSE),2),1))</f>
        <v>4</v>
      </c>
      <c r="BI13" s="434"/>
      <c r="BJ13" s="432" t="str">
        <f>IF(VLOOKUP(AK11,vysledovka!$D$8:$F$68,2,FALSE)=0,"",IF(LEN(VLOOKUP(AK11,vysledovka!$D$8:$F$68,2,FALSE))&lt;1,"",LEFT(RIGHT(VLOOKUP(AK11,vysledovka!$D$8:$F$68,2,FALSE),1),1)))</f>
        <v>1</v>
      </c>
      <c r="BK13" s="851"/>
      <c r="BL13" s="826"/>
      <c r="BM13" s="432" t="str">
        <f>IF(LEN(VLOOKUP(AK11,vysledovka!$D$8:$F$68,3,FALSE))&lt;11,"",LEFT(RIGHT(VLOOKUP(AK11,vysledovka!$D$8:$F$68,3,FALSE),11),1))</f>
        <v/>
      </c>
      <c r="BN13" s="255"/>
      <c r="BO13" s="432" t="str">
        <f>IF(LEN(VLOOKUP(AK11,vysledovka!$D$8:$F$68,3,FALSE))&lt;10,"",LEFT(RIGHT(VLOOKUP(AK11,vysledovka!$D$8:$F$68,3,FALSE),10),1))</f>
        <v/>
      </c>
      <c r="BP13" s="434"/>
      <c r="BQ13" s="432" t="str">
        <f>IF(LEN(VLOOKUP(AK11,vysledovka!$D$8:$F$68,3,FALSE))&lt;9,"",LEFT(RIGHT(VLOOKUP(AK11,vysledovka!$D$8:$F$68,3,FALSE),9),1))</f>
        <v/>
      </c>
      <c r="BR13" s="255"/>
      <c r="BS13" s="432" t="str">
        <f>IF(LEN(VLOOKUP(AK11,vysledovka!$D$8:$F$68,3,FALSE))&lt;8,"",LEFT(RIGHT(VLOOKUP(AK11,vysledovka!$D$8:$F$68,3,FALSE),8),1))</f>
        <v>4</v>
      </c>
      <c r="BT13" s="434"/>
      <c r="BU13" s="432" t="str">
        <f>IF(LEN(VLOOKUP(AK11,vysledovka!$D$8:$F$68,3,FALSE))&lt;7,"",LEFT(RIGHT(VLOOKUP(AK11,vysledovka!$D$8:$F$68,3,FALSE),7),1))</f>
        <v>8</v>
      </c>
      <c r="BV13" s="1008"/>
      <c r="BW13" s="432" t="str">
        <f>IF(LEN(VLOOKUP(AK11,vysledovka!$D$8:$F$68,3,FALSE))&lt;6,"",LEFT(RIGHT(VLOOKUP(AK11,vysledovka!$D$8:$F$68,3,FALSE),6),1))</f>
        <v>2</v>
      </c>
      <c r="BX13" s="434"/>
      <c r="BY13" s="432" t="str">
        <f>IF(LEN(VLOOKUP(AK11,vysledovka!$D$8:$F$68,3,FALSE))&lt;5,"",LEFT(RIGHT(VLOOKUP(AK11,vysledovka!$D$8:$F$68,3,FALSE),5),1))</f>
        <v>0</v>
      </c>
      <c r="BZ13" s="434"/>
      <c r="CA13" s="432" t="str">
        <f>IF(LEN(VLOOKUP(AK11,vysledovka!$D$8:$F$68,3,FALSE))&lt;4,"",LEFT(RIGHT(VLOOKUP(AK11,vysledovka!$D$8:$F$68,3,FALSE),4),1))</f>
        <v>0</v>
      </c>
      <c r="CB13" s="1009"/>
      <c r="CC13" s="432" t="str">
        <f>IF(LEN(VLOOKUP(AK11,vysledovka!$D$8:$F$68,3,FALSE))&lt;3,"",LEFT(RIGHT(VLOOKUP(AK11,vysledovka!$D$8:$F$68,3,FALSE),3),1))</f>
        <v>5</v>
      </c>
      <c r="CD13" s="434"/>
      <c r="CE13" s="432" t="str">
        <f>IF(LEN(VLOOKUP(AK11,vysledovka!$D$8:$F$68,3,FALSE))&lt;2,"",LEFT(RIGHT(VLOOKUP(AK11,vysledovka!$D$8:$F$68,3,FALSE),2),1))</f>
        <v>3</v>
      </c>
      <c r="CF13" s="434"/>
      <c r="CG13" s="432" t="str">
        <f>IF(VLOOKUP(AK11,vysledovka!$D$8:$F$68,3,FALSE)=0,"",IF(LEN(VLOOKUP(AK11,vysledovka!$D$8:$F$68,3,FALSE))&lt;1,"",LEFT(RIGHT(VLOOKUP(AK11,vysledovka!$D$8:$F$68,3,FALSE),1),1)))</f>
        <v>7</v>
      </c>
      <c r="CH13" s="308"/>
      <c r="CI13" s="302"/>
      <c r="CJ13" s="302"/>
    </row>
    <row r="14" spans="1:89" s="309" customFormat="1" ht="3" customHeight="1">
      <c r="A14" s="302"/>
      <c r="B14" s="302"/>
      <c r="C14" s="302"/>
      <c r="E14" s="995"/>
      <c r="F14" s="995"/>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992"/>
      <c r="AF14" s="992"/>
      <c r="AG14" s="992"/>
      <c r="AH14" s="992"/>
      <c r="AI14" s="992"/>
      <c r="AJ14" s="992"/>
      <c r="AK14" s="993"/>
      <c r="AL14" s="993"/>
      <c r="AM14" s="993"/>
      <c r="AN14" s="363"/>
      <c r="AO14" s="365"/>
      <c r="AP14" s="365"/>
      <c r="AQ14" s="365"/>
      <c r="AR14" s="365"/>
      <c r="AS14" s="365"/>
      <c r="AT14" s="365"/>
      <c r="AU14" s="365"/>
      <c r="AV14" s="365"/>
      <c r="AW14" s="365"/>
      <c r="AX14" s="365"/>
      <c r="AY14" s="365"/>
      <c r="AZ14" s="365"/>
      <c r="BA14" s="365"/>
      <c r="BB14" s="365"/>
      <c r="BC14" s="365"/>
      <c r="BD14" s="365"/>
      <c r="BE14" s="310"/>
      <c r="BF14" s="310"/>
      <c r="BG14" s="310"/>
      <c r="BH14" s="310"/>
      <c r="BI14" s="310"/>
      <c r="BJ14" s="310"/>
      <c r="BK14" s="310"/>
      <c r="BL14" s="846"/>
      <c r="BM14" s="846"/>
      <c r="BN14" s="846"/>
      <c r="BO14" s="846"/>
      <c r="BP14" s="846"/>
      <c r="BQ14" s="846"/>
      <c r="BR14" s="846"/>
      <c r="BS14" s="846"/>
      <c r="BT14" s="846"/>
      <c r="BU14" s="846"/>
      <c r="BV14" s="846"/>
      <c r="BW14" s="846"/>
      <c r="BX14" s="846"/>
      <c r="BY14" s="846"/>
      <c r="BZ14" s="846"/>
      <c r="CA14" s="846"/>
      <c r="CB14" s="846"/>
      <c r="CC14" s="310"/>
      <c r="CD14" s="310"/>
      <c r="CE14" s="310"/>
      <c r="CF14" s="310"/>
      <c r="CG14" s="310"/>
      <c r="CH14" s="311"/>
      <c r="CI14" s="302"/>
      <c r="CJ14" s="302"/>
    </row>
    <row r="15" spans="1:89" s="307" customFormat="1" ht="3" customHeight="1">
      <c r="A15" s="302"/>
      <c r="B15" s="302"/>
      <c r="C15" s="303"/>
      <c r="D15" s="303"/>
      <c r="E15" s="1068" t="s">
        <v>706</v>
      </c>
      <c r="F15" s="1068"/>
      <c r="G15" s="992" t="str">
        <f>Index!C206</f>
        <v>Výnosy z hospodárskej činnosti spolu súčet (r. 03 až r. 09)</v>
      </c>
      <c r="H15" s="992"/>
      <c r="I15" s="992"/>
      <c r="J15" s="992"/>
      <c r="K15" s="992"/>
      <c r="L15" s="992"/>
      <c r="M15" s="992"/>
      <c r="N15" s="992"/>
      <c r="O15" s="992"/>
      <c r="P15" s="992"/>
      <c r="Q15" s="992"/>
      <c r="R15" s="992"/>
      <c r="S15" s="992"/>
      <c r="T15" s="992"/>
      <c r="U15" s="992"/>
      <c r="V15" s="992"/>
      <c r="W15" s="992"/>
      <c r="X15" s="992"/>
      <c r="Y15" s="992"/>
      <c r="Z15" s="992"/>
      <c r="AA15" s="992"/>
      <c r="AB15" s="992"/>
      <c r="AC15" s="992"/>
      <c r="AD15" s="992"/>
      <c r="AE15" s="992"/>
      <c r="AF15" s="992"/>
      <c r="AG15" s="992"/>
      <c r="AH15" s="992"/>
      <c r="AI15" s="992"/>
      <c r="AJ15" s="992"/>
      <c r="AK15" s="1069" t="s">
        <v>652</v>
      </c>
      <c r="AL15" s="977"/>
      <c r="AM15" s="977"/>
      <c r="AN15" s="364"/>
      <c r="AO15" s="366"/>
      <c r="AP15" s="366"/>
      <c r="AQ15" s="366"/>
      <c r="AR15" s="366"/>
      <c r="AS15" s="366"/>
      <c r="AT15" s="366"/>
      <c r="AU15" s="366"/>
      <c r="AV15" s="366"/>
      <c r="AW15" s="366"/>
      <c r="AX15" s="366"/>
      <c r="AY15" s="366"/>
      <c r="AZ15" s="366"/>
      <c r="BA15" s="366"/>
      <c r="BB15" s="366"/>
      <c r="BC15" s="366"/>
      <c r="BD15" s="366"/>
      <c r="BE15" s="304"/>
      <c r="BF15" s="304"/>
      <c r="BG15" s="304"/>
      <c r="BH15" s="304"/>
      <c r="BI15" s="304"/>
      <c r="BJ15" s="304"/>
      <c r="BK15" s="304"/>
      <c r="BL15" s="867"/>
      <c r="BM15" s="867"/>
      <c r="BN15" s="867"/>
      <c r="BO15" s="867"/>
      <c r="BP15" s="867"/>
      <c r="BQ15" s="867"/>
      <c r="BR15" s="867"/>
      <c r="BS15" s="867"/>
      <c r="BT15" s="867"/>
      <c r="BU15" s="867"/>
      <c r="BV15" s="867"/>
      <c r="BW15" s="867"/>
      <c r="BX15" s="867"/>
      <c r="BY15" s="867"/>
      <c r="BZ15" s="867"/>
      <c r="CA15" s="867"/>
      <c r="CB15" s="867"/>
      <c r="CC15" s="304"/>
      <c r="CD15" s="304"/>
      <c r="CE15" s="304"/>
      <c r="CF15" s="304"/>
      <c r="CG15" s="304"/>
      <c r="CH15" s="305"/>
      <c r="CI15" s="306"/>
      <c r="CJ15" s="306"/>
    </row>
    <row r="16" spans="1:89" s="307" customFormat="1" ht="3" customHeight="1">
      <c r="A16" s="302"/>
      <c r="B16" s="302"/>
      <c r="C16" s="302"/>
      <c r="D16" s="302"/>
      <c r="E16" s="1068"/>
      <c r="F16" s="1068"/>
      <c r="G16" s="992"/>
      <c r="H16" s="992"/>
      <c r="I16" s="992"/>
      <c r="J16" s="992"/>
      <c r="K16" s="992"/>
      <c r="L16" s="992"/>
      <c r="M16" s="992"/>
      <c r="N16" s="992"/>
      <c r="O16" s="992"/>
      <c r="P16" s="992"/>
      <c r="Q16" s="992"/>
      <c r="R16" s="992"/>
      <c r="S16" s="992"/>
      <c r="T16" s="992"/>
      <c r="U16" s="992"/>
      <c r="V16" s="992"/>
      <c r="W16" s="992"/>
      <c r="X16" s="992"/>
      <c r="Y16" s="992"/>
      <c r="Z16" s="992"/>
      <c r="AA16" s="992"/>
      <c r="AB16" s="992"/>
      <c r="AC16" s="992"/>
      <c r="AD16" s="992"/>
      <c r="AE16" s="992"/>
      <c r="AF16" s="992"/>
      <c r="AG16" s="992"/>
      <c r="AH16" s="992"/>
      <c r="AI16" s="992"/>
      <c r="AJ16" s="992"/>
      <c r="AK16" s="977"/>
      <c r="AL16" s="977"/>
      <c r="AM16" s="977"/>
      <c r="AN16" s="367"/>
      <c r="AO16" s="436"/>
      <c r="AP16" s="436"/>
      <c r="AQ16" s="436"/>
      <c r="AR16" s="435"/>
      <c r="AS16" s="433"/>
      <c r="AT16" s="433"/>
      <c r="AU16" s="433"/>
      <c r="AV16" s="433"/>
      <c r="AW16" s="433"/>
      <c r="AX16" s="434"/>
      <c r="AY16" s="1007"/>
      <c r="AZ16" s="1007"/>
      <c r="BA16" s="1007"/>
      <c r="BB16" s="1007"/>
      <c r="BC16" s="1007"/>
      <c r="BD16" s="1007"/>
      <c r="BE16" s="434"/>
      <c r="BF16" s="968"/>
      <c r="BG16" s="968"/>
      <c r="BH16" s="968"/>
      <c r="BI16" s="968"/>
      <c r="BJ16" s="968"/>
      <c r="BK16" s="851"/>
      <c r="BL16" s="826"/>
      <c r="BM16" s="820"/>
      <c r="BN16" s="820"/>
      <c r="BO16" s="820"/>
      <c r="BP16" s="435"/>
      <c r="BQ16" s="1007"/>
      <c r="BR16" s="1007"/>
      <c r="BS16" s="1007"/>
      <c r="BT16" s="1007"/>
      <c r="BU16" s="1007"/>
      <c r="BV16" s="1008"/>
      <c r="BW16" s="968"/>
      <c r="BX16" s="968"/>
      <c r="BY16" s="968"/>
      <c r="BZ16" s="968"/>
      <c r="CA16" s="968"/>
      <c r="CB16" s="1009"/>
      <c r="CC16" s="968"/>
      <c r="CD16" s="968"/>
      <c r="CE16" s="968"/>
      <c r="CF16" s="968"/>
      <c r="CG16" s="968"/>
      <c r="CH16" s="308"/>
      <c r="CI16" s="306"/>
      <c r="CJ16" s="306"/>
    </row>
    <row r="17" spans="1:88" s="309" customFormat="1" ht="15" customHeight="1">
      <c r="A17" s="302"/>
      <c r="B17" s="302"/>
      <c r="C17" s="302"/>
      <c r="E17" s="1068"/>
      <c r="F17" s="1068"/>
      <c r="G17" s="992"/>
      <c r="H17" s="992"/>
      <c r="I17" s="992"/>
      <c r="J17" s="992"/>
      <c r="K17" s="992"/>
      <c r="L17" s="992"/>
      <c r="M17" s="992"/>
      <c r="N17" s="992"/>
      <c r="O17" s="992"/>
      <c r="P17" s="992"/>
      <c r="Q17" s="992"/>
      <c r="R17" s="992"/>
      <c r="S17" s="992"/>
      <c r="T17" s="992"/>
      <c r="U17" s="992"/>
      <c r="V17" s="992"/>
      <c r="W17" s="992"/>
      <c r="X17" s="992"/>
      <c r="Y17" s="992"/>
      <c r="Z17" s="992"/>
      <c r="AA17" s="992"/>
      <c r="AB17" s="992"/>
      <c r="AC17" s="992"/>
      <c r="AD17" s="992"/>
      <c r="AE17" s="992"/>
      <c r="AF17" s="992"/>
      <c r="AG17" s="992"/>
      <c r="AH17" s="992"/>
      <c r="AI17" s="992"/>
      <c r="AJ17" s="992"/>
      <c r="AK17" s="977"/>
      <c r="AL17" s="977"/>
      <c r="AM17" s="977"/>
      <c r="AN17" s="367"/>
      <c r="AO17" s="432" t="str">
        <f>IF(LEN(VLOOKUP(AK15,vysledovka!$D$8:$F$68,2,FALSE))&lt;11,"",LEFT(RIGHT(VLOOKUP(AK15,vysledovka!$D$8:$F$68,2,FALSE),11),1))</f>
        <v/>
      </c>
      <c r="AP17" s="255"/>
      <c r="AQ17" s="432" t="str">
        <f>IF(LEN(VLOOKUP(AK15,vysledovka!$D$8:$F$68,2,FALSE))&lt;10,"",LEFT(RIGHT(VLOOKUP(AK15,vysledovka!$D$8:$F$68,2,FALSE),10),1))</f>
        <v/>
      </c>
      <c r="AR17" s="434"/>
      <c r="AS17" s="432" t="str">
        <f>IF(LEN(VLOOKUP(AK15,vysledovka!$D$8:$F$68,2,FALSE))&lt;9,"",LEFT(RIGHT(VLOOKUP(AK15,vysledovka!$D$8:$F$68,2,FALSE),9),1))</f>
        <v/>
      </c>
      <c r="AT17" s="255"/>
      <c r="AU17" s="432" t="str">
        <f>IF(LEN(VLOOKUP(AK15,vysledovka!$D$8:$F$68,2,FALSE))&lt;8,"",LEFT(RIGHT(VLOOKUP(AK15,vysledovka!$D$8:$F$68,2,FALSE),8),1))</f>
        <v>2</v>
      </c>
      <c r="AV17" s="434"/>
      <c r="AW17" s="432" t="str">
        <f>IF(LEN(VLOOKUP(AK15,vysledovka!$D$8:$F$68,2,FALSE))&lt;7,"",LEFT(RIGHT(VLOOKUP(AK15,vysledovka!$D$8:$F$68,2,FALSE),7),1))</f>
        <v>4</v>
      </c>
      <c r="AX17" s="434"/>
      <c r="AY17" s="432" t="str">
        <f>IF(LEN(VLOOKUP(AK15,vysledovka!$D$8:$F$68,2,FALSE))&lt;6,"",LEFT(RIGHT(VLOOKUP(AK15,vysledovka!$D$8:$F$68,2,FALSE),6),1))</f>
        <v>7</v>
      </c>
      <c r="AZ17" s="255"/>
      <c r="BA17" s="961" t="str">
        <f>IF(LEN(VLOOKUP(AK15,vysledovka!$D$8:$F$68,2,FALSE))&lt;5,"",LEFT(RIGHT(VLOOKUP(AK15,vysledovka!$D$8:$F$68,2,FALSE),5),1))</f>
        <v>6</v>
      </c>
      <c r="BB17" s="961"/>
      <c r="BC17" s="434"/>
      <c r="BD17" s="432" t="str">
        <f>IF(LEN(VLOOKUP(AK15,vysledovka!$D$8:$F$68,2,FALSE))&lt;4,"",LEFT(RIGHT(VLOOKUP(AK15,vysledovka!$D$8:$F$68,2,FALSE),4),1))</f>
        <v>8</v>
      </c>
      <c r="BE17" s="434"/>
      <c r="BF17" s="432" t="str">
        <f>IF(LEN(VLOOKUP(AK15,vysledovka!$D$8:$F$68,2,FALSE))&lt;3,"",LEFT(RIGHT(VLOOKUP(AK15,vysledovka!$D$8:$F$68,2,FALSE),3),1))</f>
        <v>5</v>
      </c>
      <c r="BG17" s="434"/>
      <c r="BH17" s="432" t="str">
        <f>IF(LEN(VLOOKUP(AK15,vysledovka!$D$8:$F$68,2,FALSE))&lt;2,"",LEFT(RIGHT(VLOOKUP(AK15,vysledovka!$D$8:$F$68,2,FALSE),2),1))</f>
        <v>7</v>
      </c>
      <c r="BI17" s="434"/>
      <c r="BJ17" s="432" t="str">
        <f>IF(VLOOKUP(AK15,vysledovka!$D$8:$F$68,2,FALSE)=0,"",IF(LEN(VLOOKUP(AK15,vysledovka!$D$8:$F$68,2,FALSE))&lt;1,"",LEFT(RIGHT(VLOOKUP(AK15,vysledovka!$D$8:$F$68,2,FALSE),1),1)))</f>
        <v>5</v>
      </c>
      <c r="BK17" s="851"/>
      <c r="BL17" s="826"/>
      <c r="BM17" s="432" t="str">
        <f>IF(LEN(VLOOKUP(AK15,vysledovka!$D$8:$F$68,3,FALSE))&lt;11,"",LEFT(RIGHT(VLOOKUP(AK15,vysledovka!$D$8:$F$68,3,FALSE),11),1))</f>
        <v/>
      </c>
      <c r="BN17" s="255"/>
      <c r="BO17" s="432" t="str">
        <f>IF(LEN(VLOOKUP(AK15,vysledovka!$D$8:$F$68,3,FALSE))&lt;10,"",LEFT(RIGHT(VLOOKUP(AK15,vysledovka!$D$8:$F$68,3,FALSE),10),1))</f>
        <v/>
      </c>
      <c r="BP17" s="434"/>
      <c r="BQ17" s="432" t="str">
        <f>IF(LEN(VLOOKUP(AK15,vysledovka!$D$8:$F$68,3,FALSE))&lt;9,"",LEFT(RIGHT(VLOOKUP(AK15,vysledovka!$D$8:$F$68,3,FALSE),9),1))</f>
        <v/>
      </c>
      <c r="BR17" s="255"/>
      <c r="BS17" s="432" t="str">
        <f>IF(LEN(VLOOKUP(AK15,vysledovka!$D$8:$F$68,3,FALSE))&lt;8,"",LEFT(RIGHT(VLOOKUP(AK15,vysledovka!$D$8:$F$68,3,FALSE),8),1))</f>
        <v>5</v>
      </c>
      <c r="BT17" s="434"/>
      <c r="BU17" s="432" t="str">
        <f>IF(LEN(VLOOKUP(AK15,vysledovka!$D$8:$F$68,3,FALSE))&lt;7,"",LEFT(RIGHT(VLOOKUP(AK15,vysledovka!$D$8:$F$68,3,FALSE),7),1))</f>
        <v>1</v>
      </c>
      <c r="BV17" s="1008"/>
      <c r="BW17" s="432" t="str">
        <f>IF(LEN(VLOOKUP(AK15,vysledovka!$D$8:$F$68,3,FALSE))&lt;6,"",LEFT(RIGHT(VLOOKUP(AK15,vysledovka!$D$8:$F$68,3,FALSE),6),1))</f>
        <v>3</v>
      </c>
      <c r="BX17" s="434"/>
      <c r="BY17" s="432" t="str">
        <f>IF(LEN(VLOOKUP(AK15,vysledovka!$D$8:$F$68,3,FALSE))&lt;5,"",LEFT(RIGHT(VLOOKUP(AK15,vysledovka!$D$8:$F$68,3,FALSE),5),1))</f>
        <v>8</v>
      </c>
      <c r="BZ17" s="434"/>
      <c r="CA17" s="432" t="str">
        <f>IF(LEN(VLOOKUP(AK15,vysledovka!$D$8:$F$68,3,FALSE))&lt;4,"",LEFT(RIGHT(VLOOKUP(AK15,vysledovka!$D$8:$F$68,3,FALSE),4),1))</f>
        <v>1</v>
      </c>
      <c r="CB17" s="1009"/>
      <c r="CC17" s="432" t="str">
        <f>IF(LEN(VLOOKUP(AK15,vysledovka!$D$8:$F$68,3,FALSE))&lt;3,"",LEFT(RIGHT(VLOOKUP(AK15,vysledovka!$D$8:$F$68,3,FALSE),3),1))</f>
        <v>7</v>
      </c>
      <c r="CD17" s="434"/>
      <c r="CE17" s="432" t="str">
        <f>IF(LEN(VLOOKUP(AK15,vysledovka!$D$8:$F$68,3,FALSE))&lt;2,"",LEFT(RIGHT(VLOOKUP(AK15,vysledovka!$D$8:$F$68,3,FALSE),2),1))</f>
        <v>1</v>
      </c>
      <c r="CF17" s="434"/>
      <c r="CG17" s="432" t="str">
        <f>IF(VLOOKUP(AK15,vysledovka!$D$8:$F$68,3,FALSE)=0,"",IF(LEN(VLOOKUP(AK15,vysledovka!$D$8:$F$68,3,FALSE))&lt;1,"",LEFT(RIGHT(VLOOKUP(AK15,vysledovka!$D$8:$F$68,3,FALSE),1),1)))</f>
        <v>9</v>
      </c>
      <c r="CH17" s="308"/>
      <c r="CI17" s="302"/>
      <c r="CJ17" s="302"/>
    </row>
    <row r="18" spans="1:88" s="309" customFormat="1" ht="3" customHeight="1">
      <c r="A18" s="302"/>
      <c r="B18" s="302"/>
      <c r="C18" s="302"/>
      <c r="E18" s="1068"/>
      <c r="F18" s="1068"/>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77"/>
      <c r="AL18" s="977"/>
      <c r="AM18" s="977"/>
      <c r="AN18" s="363"/>
      <c r="AO18" s="365"/>
      <c r="AP18" s="365"/>
      <c r="AQ18" s="365"/>
      <c r="AR18" s="365"/>
      <c r="AS18" s="365"/>
      <c r="AT18" s="365"/>
      <c r="AU18" s="365"/>
      <c r="AV18" s="365"/>
      <c r="AW18" s="365"/>
      <c r="AX18" s="365"/>
      <c r="AY18" s="365"/>
      <c r="AZ18" s="365"/>
      <c r="BA18" s="365"/>
      <c r="BB18" s="365"/>
      <c r="BC18" s="365"/>
      <c r="BD18" s="365"/>
      <c r="BE18" s="310"/>
      <c r="BF18" s="310"/>
      <c r="BG18" s="310"/>
      <c r="BH18" s="310"/>
      <c r="BI18" s="310"/>
      <c r="BJ18" s="310"/>
      <c r="BK18" s="310"/>
      <c r="BL18" s="846"/>
      <c r="BM18" s="846"/>
      <c r="BN18" s="846"/>
      <c r="BO18" s="846"/>
      <c r="BP18" s="846"/>
      <c r="BQ18" s="846"/>
      <c r="BR18" s="846"/>
      <c r="BS18" s="846"/>
      <c r="BT18" s="846"/>
      <c r="BU18" s="846"/>
      <c r="BV18" s="846"/>
      <c r="BW18" s="846"/>
      <c r="BX18" s="846"/>
      <c r="BY18" s="846"/>
      <c r="BZ18" s="846"/>
      <c r="CA18" s="846"/>
      <c r="CB18" s="846"/>
      <c r="CC18" s="310"/>
      <c r="CD18" s="310"/>
      <c r="CE18" s="310"/>
      <c r="CF18" s="310"/>
      <c r="CG18" s="310"/>
      <c r="CH18" s="311"/>
      <c r="CI18" s="302"/>
      <c r="CJ18" s="302"/>
    </row>
    <row r="19" spans="1:88" s="250" customFormat="1" ht="3" customHeight="1">
      <c r="A19" s="312"/>
      <c r="B19" s="312"/>
      <c r="C19" s="224"/>
      <c r="D19" s="224"/>
      <c r="E19" s="1070" t="s">
        <v>649</v>
      </c>
      <c r="F19" s="1071"/>
      <c r="G19" s="972" t="str">
        <f>Index!C207</f>
        <v>Tržby z predaja tovaru (604, 607)</v>
      </c>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1056" t="s">
        <v>653</v>
      </c>
      <c r="AL19" s="1014"/>
      <c r="AM19" s="1014"/>
      <c r="AN19" s="357"/>
      <c r="AO19" s="366"/>
      <c r="AP19" s="366"/>
      <c r="AQ19" s="366"/>
      <c r="AR19" s="366"/>
      <c r="AS19" s="366"/>
      <c r="AT19" s="366"/>
      <c r="AU19" s="366"/>
      <c r="AV19" s="366"/>
      <c r="AW19" s="366"/>
      <c r="AX19" s="366"/>
      <c r="AY19" s="366"/>
      <c r="AZ19" s="366"/>
      <c r="BA19" s="366"/>
      <c r="BB19" s="366"/>
      <c r="BC19" s="366"/>
      <c r="BD19" s="366"/>
      <c r="BE19" s="304"/>
      <c r="BF19" s="304"/>
      <c r="BG19" s="304"/>
      <c r="BH19" s="304"/>
      <c r="BI19" s="304"/>
      <c r="BJ19" s="304"/>
      <c r="BK19" s="304"/>
      <c r="BL19" s="867"/>
      <c r="BM19" s="867"/>
      <c r="BN19" s="867"/>
      <c r="BO19" s="867"/>
      <c r="BP19" s="867"/>
      <c r="BQ19" s="867"/>
      <c r="BR19" s="867"/>
      <c r="BS19" s="867"/>
      <c r="BT19" s="867"/>
      <c r="BU19" s="867"/>
      <c r="BV19" s="867"/>
      <c r="BW19" s="867"/>
      <c r="BX19" s="867"/>
      <c r="BY19" s="867"/>
      <c r="BZ19" s="867"/>
      <c r="CA19" s="867"/>
      <c r="CB19" s="867"/>
      <c r="CC19" s="304"/>
      <c r="CD19" s="304"/>
      <c r="CE19" s="304"/>
      <c r="CF19" s="304"/>
      <c r="CG19" s="304"/>
      <c r="CH19" s="284"/>
      <c r="CI19" s="288"/>
      <c r="CJ19" s="288"/>
    </row>
    <row r="20" spans="1:88" s="250" customFormat="1" ht="3" customHeight="1">
      <c r="A20" s="312"/>
      <c r="B20" s="312"/>
      <c r="C20" s="312"/>
      <c r="D20" s="312"/>
      <c r="E20" s="1072"/>
      <c r="F20" s="1073"/>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1014"/>
      <c r="AL20" s="1014"/>
      <c r="AM20" s="1014"/>
      <c r="AN20" s="355"/>
      <c r="AO20" s="436"/>
      <c r="AP20" s="436"/>
      <c r="AQ20" s="436"/>
      <c r="AR20" s="435"/>
      <c r="AS20" s="433"/>
      <c r="AT20" s="433"/>
      <c r="AU20" s="433"/>
      <c r="AV20" s="433"/>
      <c r="AW20" s="433"/>
      <c r="AX20" s="434"/>
      <c r="AY20" s="1007"/>
      <c r="AZ20" s="1007"/>
      <c r="BA20" s="1007"/>
      <c r="BB20" s="1007"/>
      <c r="BC20" s="1007"/>
      <c r="BD20" s="1007"/>
      <c r="BE20" s="434"/>
      <c r="BF20" s="968"/>
      <c r="BG20" s="968"/>
      <c r="BH20" s="968"/>
      <c r="BI20" s="968"/>
      <c r="BJ20" s="968"/>
      <c r="BK20" s="851"/>
      <c r="BL20" s="826"/>
      <c r="BM20" s="820"/>
      <c r="BN20" s="820"/>
      <c r="BO20" s="820"/>
      <c r="BP20" s="435"/>
      <c r="BQ20" s="1007"/>
      <c r="BR20" s="1007"/>
      <c r="BS20" s="1007"/>
      <c r="BT20" s="1007"/>
      <c r="BU20" s="1007"/>
      <c r="BV20" s="1008"/>
      <c r="BW20" s="968"/>
      <c r="BX20" s="968"/>
      <c r="BY20" s="968"/>
      <c r="BZ20" s="968"/>
      <c r="CA20" s="968"/>
      <c r="CB20" s="1009"/>
      <c r="CC20" s="968"/>
      <c r="CD20" s="968"/>
      <c r="CE20" s="968"/>
      <c r="CF20" s="968"/>
      <c r="CG20" s="968"/>
      <c r="CH20" s="285"/>
      <c r="CI20" s="288"/>
      <c r="CJ20" s="288"/>
    </row>
    <row r="21" spans="1:88" s="313" customFormat="1" ht="15" customHeight="1">
      <c r="A21" s="312"/>
      <c r="B21" s="312"/>
      <c r="C21" s="312"/>
      <c r="E21" s="1072"/>
      <c r="F21" s="1073"/>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1014"/>
      <c r="AL21" s="1014"/>
      <c r="AM21" s="1014"/>
      <c r="AN21" s="355"/>
      <c r="AO21" s="432" t="str">
        <f>IF(LEN(VLOOKUP(AK19,vysledovka!$D$8:$F$68,2,FALSE))&lt;11,"",LEFT(RIGHT(VLOOKUP(AK19,vysledovka!$D$8:$F$68,2,FALSE),11),1))</f>
        <v/>
      </c>
      <c r="AP21" s="255"/>
      <c r="AQ21" s="432" t="str">
        <f>IF(LEN(VLOOKUP(AK19,vysledovka!$D$8:$F$68,2,FALSE))&lt;10,"",LEFT(RIGHT(VLOOKUP(AK19,vysledovka!$D$8:$F$68,2,FALSE),10),1))</f>
        <v/>
      </c>
      <c r="AR21" s="434"/>
      <c r="AS21" s="432" t="str">
        <f>IF(LEN(VLOOKUP(AK19,vysledovka!$D$8:$F$68,2,FALSE))&lt;9,"",LEFT(RIGHT(VLOOKUP(AK19,vysledovka!$D$8:$F$68,2,FALSE),9),1))</f>
        <v/>
      </c>
      <c r="AT21" s="255"/>
      <c r="AU21" s="432" t="str">
        <f>IF(LEN(VLOOKUP(AK19,vysledovka!$D$8:$F$68,2,FALSE))&lt;8,"",LEFT(RIGHT(VLOOKUP(AK19,vysledovka!$D$8:$F$68,2,FALSE),8),1))</f>
        <v>2</v>
      </c>
      <c r="AV21" s="434"/>
      <c r="AW21" s="432" t="str">
        <f>IF(LEN(VLOOKUP(AK19,vysledovka!$D$8:$F$68,2,FALSE))&lt;7,"",LEFT(RIGHT(VLOOKUP(AK19,vysledovka!$D$8:$F$68,2,FALSE),7),1))</f>
        <v>1</v>
      </c>
      <c r="AX21" s="434"/>
      <c r="AY21" s="432" t="str">
        <f>IF(LEN(VLOOKUP(AK19,vysledovka!$D$8:$F$68,2,FALSE))&lt;6,"",LEFT(RIGHT(VLOOKUP(AK19,vysledovka!$D$8:$F$68,2,FALSE),6),1))</f>
        <v>9</v>
      </c>
      <c r="AZ21" s="255"/>
      <c r="BA21" s="961" t="str">
        <f>IF(LEN(VLOOKUP(AK19,vysledovka!$D$8:$F$68,2,FALSE))&lt;5,"",LEFT(RIGHT(VLOOKUP(AK19,vysledovka!$D$8:$F$68,2,FALSE),5),1))</f>
        <v>2</v>
      </c>
      <c r="BB21" s="961"/>
      <c r="BC21" s="434"/>
      <c r="BD21" s="432" t="str">
        <f>IF(LEN(VLOOKUP(AK19,vysledovka!$D$8:$F$68,2,FALSE))&lt;4,"",LEFT(RIGHT(VLOOKUP(AK19,vysledovka!$D$8:$F$68,2,FALSE),4),1))</f>
        <v>7</v>
      </c>
      <c r="BE21" s="434"/>
      <c r="BF21" s="432" t="str">
        <f>IF(LEN(VLOOKUP(AK19,vysledovka!$D$8:$F$68,2,FALSE))&lt;3,"",LEFT(RIGHT(VLOOKUP(AK19,vysledovka!$D$8:$F$68,2,FALSE),3),1))</f>
        <v>0</v>
      </c>
      <c r="BG21" s="434"/>
      <c r="BH21" s="432" t="str">
        <f>IF(LEN(VLOOKUP(AK19,vysledovka!$D$8:$F$68,2,FALSE))&lt;2,"",LEFT(RIGHT(VLOOKUP(AK19,vysledovka!$D$8:$F$68,2,FALSE),2),1))</f>
        <v>8</v>
      </c>
      <c r="BI21" s="434"/>
      <c r="BJ21" s="432" t="str">
        <f>IF(VLOOKUP(AK19,vysledovka!$D$8:$F$68,2,FALSE)=0,"",IF(LEN(VLOOKUP(AK19,vysledovka!$D$8:$F$68,2,FALSE))&lt;1,"",LEFT(RIGHT(VLOOKUP(AK19,vysledovka!$D$8:$F$68,2,FALSE),1),1)))</f>
        <v>1</v>
      </c>
      <c r="BK21" s="851"/>
      <c r="BL21" s="826"/>
      <c r="BM21" s="432" t="str">
        <f>IF(LEN(VLOOKUP(AK19,vysledovka!$D$8:$F$68,3,FALSE))&lt;11,"",LEFT(RIGHT(VLOOKUP(AK19,vysledovka!$D$8:$F$68,3,FALSE),11),1))</f>
        <v/>
      </c>
      <c r="BN21" s="255"/>
      <c r="BO21" s="432" t="str">
        <f>IF(LEN(VLOOKUP(AK19,vysledovka!$D$8:$F$68,3,FALSE))&lt;10,"",LEFT(RIGHT(VLOOKUP(AK19,vysledovka!$D$8:$F$68,3,FALSE),10),1))</f>
        <v/>
      </c>
      <c r="BP21" s="434"/>
      <c r="BQ21" s="432" t="str">
        <f>IF(LEN(VLOOKUP(AK19,vysledovka!$D$8:$F$68,3,FALSE))&lt;9,"",LEFT(RIGHT(VLOOKUP(AK19,vysledovka!$D$8:$F$68,3,FALSE),9),1))</f>
        <v/>
      </c>
      <c r="BR21" s="255"/>
      <c r="BS21" s="432" t="str">
        <f>IF(LEN(VLOOKUP(AK19,vysledovka!$D$8:$F$68,3,FALSE))&lt;8,"",LEFT(RIGHT(VLOOKUP(AK19,vysledovka!$D$8:$F$68,3,FALSE),8),1))</f>
        <v>4</v>
      </c>
      <c r="BT21" s="434"/>
      <c r="BU21" s="432" t="str">
        <f>IF(LEN(VLOOKUP(AK19,vysledovka!$D$8:$F$68,3,FALSE))&lt;7,"",LEFT(RIGHT(VLOOKUP(AK19,vysledovka!$D$8:$F$68,3,FALSE),7),1))</f>
        <v>1</v>
      </c>
      <c r="BV21" s="1008"/>
      <c r="BW21" s="432" t="str">
        <f>IF(LEN(VLOOKUP(AK19,vysledovka!$D$8:$F$68,3,FALSE))&lt;6,"",LEFT(RIGHT(VLOOKUP(AK19,vysledovka!$D$8:$F$68,3,FALSE),6),1))</f>
        <v>2</v>
      </c>
      <c r="BX21" s="434"/>
      <c r="BY21" s="432" t="str">
        <f>IF(LEN(VLOOKUP(AK19,vysledovka!$D$8:$F$68,3,FALSE))&lt;5,"",LEFT(RIGHT(VLOOKUP(AK19,vysledovka!$D$8:$F$68,3,FALSE),5),1))</f>
        <v>7</v>
      </c>
      <c r="BZ21" s="434"/>
      <c r="CA21" s="432" t="str">
        <f>IF(LEN(VLOOKUP(AK19,vysledovka!$D$8:$F$68,3,FALSE))&lt;4,"",LEFT(RIGHT(VLOOKUP(AK19,vysledovka!$D$8:$F$68,3,FALSE),4),1))</f>
        <v>3</v>
      </c>
      <c r="CB21" s="1009"/>
      <c r="CC21" s="432" t="str">
        <f>IF(LEN(VLOOKUP(AK19,vysledovka!$D$8:$F$68,3,FALSE))&lt;3,"",LEFT(RIGHT(VLOOKUP(AK19,vysledovka!$D$8:$F$68,3,FALSE),3),1))</f>
        <v>2</v>
      </c>
      <c r="CD21" s="434"/>
      <c r="CE21" s="432" t="str">
        <f>IF(LEN(VLOOKUP(AK19,vysledovka!$D$8:$F$68,3,FALSE))&lt;2,"",LEFT(RIGHT(VLOOKUP(AK19,vysledovka!$D$8:$F$68,3,FALSE),2),1))</f>
        <v>5</v>
      </c>
      <c r="CF21" s="434"/>
      <c r="CG21" s="432" t="str">
        <f>IF(VLOOKUP(AK19,vysledovka!$D$8:$F$68,3,FALSE)=0,"",IF(LEN(VLOOKUP(AK19,vysledovka!$D$8:$F$68,3,FALSE))&lt;1,"",LEFT(RIGHT(VLOOKUP(AK19,vysledovka!$D$8:$F$68,3,FALSE),1),1)))</f>
        <v>8</v>
      </c>
      <c r="CH21" s="285"/>
      <c r="CI21" s="312"/>
      <c r="CJ21" s="312"/>
    </row>
    <row r="22" spans="1:88" s="313" customFormat="1" ht="3" customHeight="1">
      <c r="A22" s="312"/>
      <c r="B22" s="312"/>
      <c r="C22" s="312"/>
      <c r="E22" s="1074"/>
      <c r="F22" s="1075"/>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1014"/>
      <c r="AL22" s="1014"/>
      <c r="AM22" s="1014"/>
      <c r="AN22" s="358"/>
      <c r="AO22" s="365"/>
      <c r="AP22" s="365"/>
      <c r="AQ22" s="365"/>
      <c r="AR22" s="365"/>
      <c r="AS22" s="365"/>
      <c r="AT22" s="365"/>
      <c r="AU22" s="365"/>
      <c r="AV22" s="365"/>
      <c r="AW22" s="365"/>
      <c r="AX22" s="365"/>
      <c r="AY22" s="365"/>
      <c r="AZ22" s="365"/>
      <c r="BA22" s="365"/>
      <c r="BB22" s="365"/>
      <c r="BC22" s="365"/>
      <c r="BD22" s="365"/>
      <c r="BE22" s="310"/>
      <c r="BF22" s="310"/>
      <c r="BG22" s="310"/>
      <c r="BH22" s="310"/>
      <c r="BI22" s="310"/>
      <c r="BJ22" s="310"/>
      <c r="BK22" s="310"/>
      <c r="BL22" s="846"/>
      <c r="BM22" s="846"/>
      <c r="BN22" s="846"/>
      <c r="BO22" s="846"/>
      <c r="BP22" s="846"/>
      <c r="BQ22" s="846"/>
      <c r="BR22" s="846"/>
      <c r="BS22" s="846"/>
      <c r="BT22" s="846"/>
      <c r="BU22" s="846"/>
      <c r="BV22" s="846"/>
      <c r="BW22" s="846"/>
      <c r="BX22" s="846"/>
      <c r="BY22" s="846"/>
      <c r="BZ22" s="846"/>
      <c r="CA22" s="846"/>
      <c r="CB22" s="846"/>
      <c r="CC22" s="310"/>
      <c r="CD22" s="310"/>
      <c r="CE22" s="310"/>
      <c r="CF22" s="310"/>
      <c r="CG22" s="310"/>
      <c r="CH22" s="286"/>
      <c r="CI22" s="312"/>
      <c r="CJ22" s="312"/>
    </row>
    <row r="23" spans="1:88" s="250" customFormat="1" ht="3" customHeight="1">
      <c r="A23" s="312"/>
      <c r="B23" s="312"/>
      <c r="C23" s="224"/>
      <c r="D23" s="224"/>
      <c r="E23" s="1076" t="s">
        <v>654</v>
      </c>
      <c r="F23" s="1077"/>
      <c r="G23" s="1083" t="str">
        <f>Index!C208</f>
        <v>Tržby z predaja vlastných výrobkov (601)</v>
      </c>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84"/>
      <c r="AE23" s="1084"/>
      <c r="AF23" s="1084"/>
      <c r="AG23" s="1084"/>
      <c r="AH23" s="1084"/>
      <c r="AI23" s="1084"/>
      <c r="AJ23" s="1085"/>
      <c r="AK23" s="1056" t="s">
        <v>655</v>
      </c>
      <c r="AL23" s="1014"/>
      <c r="AM23" s="1014"/>
      <c r="AN23" s="357"/>
      <c r="AO23" s="366"/>
      <c r="AP23" s="366"/>
      <c r="AQ23" s="366"/>
      <c r="AR23" s="366"/>
      <c r="AS23" s="366"/>
      <c r="AT23" s="366"/>
      <c r="AU23" s="366"/>
      <c r="AV23" s="366"/>
      <c r="AW23" s="366"/>
      <c r="AX23" s="366"/>
      <c r="AY23" s="366"/>
      <c r="AZ23" s="366"/>
      <c r="BA23" s="366"/>
      <c r="BB23" s="366"/>
      <c r="BC23" s="366"/>
      <c r="BD23" s="366"/>
      <c r="BE23" s="304"/>
      <c r="BF23" s="304"/>
      <c r="BG23" s="304"/>
      <c r="BH23" s="304"/>
      <c r="BI23" s="304"/>
      <c r="BJ23" s="304"/>
      <c r="BK23" s="304"/>
      <c r="BL23" s="867"/>
      <c r="BM23" s="867"/>
      <c r="BN23" s="867"/>
      <c r="BO23" s="867"/>
      <c r="BP23" s="867"/>
      <c r="BQ23" s="867"/>
      <c r="BR23" s="867"/>
      <c r="BS23" s="867"/>
      <c r="BT23" s="867"/>
      <c r="BU23" s="867"/>
      <c r="BV23" s="867"/>
      <c r="BW23" s="867"/>
      <c r="BX23" s="867"/>
      <c r="BY23" s="867"/>
      <c r="BZ23" s="867"/>
      <c r="CA23" s="867"/>
      <c r="CB23" s="867"/>
      <c r="CC23" s="304"/>
      <c r="CD23" s="304"/>
      <c r="CE23" s="304"/>
      <c r="CF23" s="304"/>
      <c r="CG23" s="304"/>
      <c r="CH23" s="284"/>
      <c r="CI23" s="288"/>
      <c r="CJ23" s="288"/>
    </row>
    <row r="24" spans="1:88" s="250" customFormat="1" ht="3" customHeight="1">
      <c r="A24" s="312"/>
      <c r="B24" s="312"/>
      <c r="C24" s="312"/>
      <c r="D24" s="312"/>
      <c r="E24" s="1078"/>
      <c r="F24" s="1079"/>
      <c r="G24" s="1086"/>
      <c r="H24" s="1087"/>
      <c r="I24" s="1087"/>
      <c r="J24" s="1087"/>
      <c r="K24" s="1087"/>
      <c r="L24" s="1087"/>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8"/>
      <c r="AK24" s="1014"/>
      <c r="AL24" s="1014"/>
      <c r="AM24" s="1014"/>
      <c r="AN24" s="355"/>
      <c r="AO24" s="436"/>
      <c r="AP24" s="436"/>
      <c r="AQ24" s="436"/>
      <c r="AR24" s="435"/>
      <c r="AS24" s="433"/>
      <c r="AT24" s="433"/>
      <c r="AU24" s="433"/>
      <c r="AV24" s="433"/>
      <c r="AW24" s="433"/>
      <c r="AX24" s="434"/>
      <c r="AY24" s="1007"/>
      <c r="AZ24" s="1007"/>
      <c r="BA24" s="1007"/>
      <c r="BB24" s="1007"/>
      <c r="BC24" s="1007"/>
      <c r="BD24" s="1007"/>
      <c r="BE24" s="434"/>
      <c r="BF24" s="968"/>
      <c r="BG24" s="968"/>
      <c r="BH24" s="968"/>
      <c r="BI24" s="968"/>
      <c r="BJ24" s="968"/>
      <c r="BK24" s="851"/>
      <c r="BL24" s="826"/>
      <c r="BM24" s="820"/>
      <c r="BN24" s="820"/>
      <c r="BO24" s="820"/>
      <c r="BP24" s="435"/>
      <c r="BQ24" s="1007"/>
      <c r="BR24" s="1007"/>
      <c r="BS24" s="1007"/>
      <c r="BT24" s="1007"/>
      <c r="BU24" s="1007"/>
      <c r="BV24" s="1008"/>
      <c r="BW24" s="968"/>
      <c r="BX24" s="968"/>
      <c r="BY24" s="968"/>
      <c r="BZ24" s="968"/>
      <c r="CA24" s="968"/>
      <c r="CB24" s="1009"/>
      <c r="CC24" s="968"/>
      <c r="CD24" s="968"/>
      <c r="CE24" s="968"/>
      <c r="CF24" s="968"/>
      <c r="CG24" s="968"/>
      <c r="CH24" s="285"/>
      <c r="CI24" s="288"/>
      <c r="CJ24" s="288"/>
    </row>
    <row r="25" spans="1:88" s="313" customFormat="1" ht="15" customHeight="1">
      <c r="A25" s="312"/>
      <c r="B25" s="312"/>
      <c r="C25" s="312"/>
      <c r="E25" s="1078"/>
      <c r="F25" s="1079"/>
      <c r="G25" s="1086"/>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8"/>
      <c r="AK25" s="1014"/>
      <c r="AL25" s="1014"/>
      <c r="AM25" s="1014"/>
      <c r="AN25" s="355"/>
      <c r="AO25" s="432" t="str">
        <f>IF(LEN(VLOOKUP(AK23,vysledovka!$D$8:$F$68,2,FALSE))&lt;11,"",LEFT(RIGHT(VLOOKUP(AK23,vysledovka!$D$8:$F$68,2,FALSE),11),1))</f>
        <v/>
      </c>
      <c r="AP25" s="255"/>
      <c r="AQ25" s="432" t="str">
        <f>IF(LEN(VLOOKUP(AK23,vysledovka!$D$8:$F$68,2,FALSE))&lt;10,"",LEFT(RIGHT(VLOOKUP(AK23,vysledovka!$D$8:$F$68,2,FALSE),10),1))</f>
        <v/>
      </c>
      <c r="AR25" s="434"/>
      <c r="AS25" s="432" t="str">
        <f>IF(LEN(VLOOKUP(AK23,vysledovka!$D$8:$F$68,2,FALSE))&lt;9,"",LEFT(RIGHT(VLOOKUP(AK23,vysledovka!$D$8:$F$68,2,FALSE),9),1))</f>
        <v/>
      </c>
      <c r="AT25" s="255"/>
      <c r="AU25" s="432" t="str">
        <f>IF(LEN(VLOOKUP(AK23,vysledovka!$D$8:$F$68,2,FALSE))&lt;8,"",LEFT(RIGHT(VLOOKUP(AK23,vysledovka!$D$8:$F$68,2,FALSE),8),1))</f>
        <v/>
      </c>
      <c r="AV25" s="434"/>
      <c r="AW25" s="432" t="str">
        <f>IF(LEN(VLOOKUP(AK23,vysledovka!$D$8:$F$68,2,FALSE))&lt;7,"",LEFT(RIGHT(VLOOKUP(AK23,vysledovka!$D$8:$F$68,2,FALSE),7),1))</f>
        <v>1</v>
      </c>
      <c r="AX25" s="434"/>
      <c r="AY25" s="432" t="str">
        <f>IF(LEN(VLOOKUP(AK23,vysledovka!$D$8:$F$68,2,FALSE))&lt;6,"",LEFT(RIGHT(VLOOKUP(AK23,vysledovka!$D$8:$F$68,2,FALSE),6),1))</f>
        <v>8</v>
      </c>
      <c r="AZ25" s="255"/>
      <c r="BA25" s="961" t="str">
        <f>IF(LEN(VLOOKUP(AK23,vysledovka!$D$8:$F$68,2,FALSE))&lt;5,"",LEFT(RIGHT(VLOOKUP(AK23,vysledovka!$D$8:$F$68,2,FALSE),5),1))</f>
        <v>1</v>
      </c>
      <c r="BB25" s="961"/>
      <c r="BC25" s="434"/>
      <c r="BD25" s="432" t="str">
        <f>IF(LEN(VLOOKUP(AK23,vysledovka!$D$8:$F$68,2,FALSE))&lt;4,"",LEFT(RIGHT(VLOOKUP(AK23,vysledovka!$D$8:$F$68,2,FALSE),4),1))</f>
        <v>9</v>
      </c>
      <c r="BE25" s="434"/>
      <c r="BF25" s="432" t="str">
        <f>IF(LEN(VLOOKUP(AK23,vysledovka!$D$8:$F$68,2,FALSE))&lt;3,"",LEFT(RIGHT(VLOOKUP(AK23,vysledovka!$D$8:$F$68,2,FALSE),3),1))</f>
        <v>9</v>
      </c>
      <c r="BG25" s="434"/>
      <c r="BH25" s="432" t="str">
        <f>IF(LEN(VLOOKUP(AK23,vysledovka!$D$8:$F$68,2,FALSE))&lt;2,"",LEFT(RIGHT(VLOOKUP(AK23,vysledovka!$D$8:$F$68,2,FALSE),2),1))</f>
        <v>9</v>
      </c>
      <c r="BI25" s="434"/>
      <c r="BJ25" s="432" t="str">
        <f>IF(VLOOKUP(AK23,vysledovka!$D$8:$F$68,2,FALSE)=0,"",IF(LEN(VLOOKUP(AK23,vysledovka!$D$8:$F$68,2,FALSE))&lt;1,"",LEFT(RIGHT(VLOOKUP(AK23,vysledovka!$D$8:$F$68,2,FALSE),1),1)))</f>
        <v>8</v>
      </c>
      <c r="BK25" s="851"/>
      <c r="BL25" s="826"/>
      <c r="BM25" s="432" t="str">
        <f>IF(LEN(VLOOKUP(AK23,vysledovka!$D$8:$F$68,3,FALSE))&lt;11,"",LEFT(RIGHT(VLOOKUP(AK23,vysledovka!$D$8:$F$68,3,FALSE),11),1))</f>
        <v/>
      </c>
      <c r="BN25" s="255"/>
      <c r="BO25" s="432" t="str">
        <f>IF(LEN(VLOOKUP(AK23,vysledovka!$D$8:$F$68,3,FALSE))&lt;10,"",LEFT(RIGHT(VLOOKUP(AK23,vysledovka!$D$8:$F$68,3,FALSE),10),1))</f>
        <v/>
      </c>
      <c r="BP25" s="434"/>
      <c r="BQ25" s="432" t="str">
        <f>IF(LEN(VLOOKUP(AK23,vysledovka!$D$8:$F$68,3,FALSE))&lt;9,"",LEFT(RIGHT(VLOOKUP(AK23,vysledovka!$D$8:$F$68,3,FALSE),9),1))</f>
        <v/>
      </c>
      <c r="BR25" s="255"/>
      <c r="BS25" s="432" t="str">
        <f>IF(LEN(VLOOKUP(AK23,vysledovka!$D$8:$F$68,3,FALSE))&lt;8,"",LEFT(RIGHT(VLOOKUP(AK23,vysledovka!$D$8:$F$68,3,FALSE),8),1))</f>
        <v/>
      </c>
      <c r="BT25" s="434"/>
      <c r="BU25" s="432" t="str">
        <f>IF(LEN(VLOOKUP(AK23,vysledovka!$D$8:$F$68,3,FALSE))&lt;7,"",LEFT(RIGHT(VLOOKUP(AK23,vysledovka!$D$8:$F$68,3,FALSE),7),1))</f>
        <v>6</v>
      </c>
      <c r="BV25" s="1008"/>
      <c r="BW25" s="432" t="str">
        <f>IF(LEN(VLOOKUP(AK23,vysledovka!$D$8:$F$68,3,FALSE))&lt;6,"",LEFT(RIGHT(VLOOKUP(AK23,vysledovka!$D$8:$F$68,3,FALSE),6),1))</f>
        <v>3</v>
      </c>
      <c r="BX25" s="434"/>
      <c r="BY25" s="432" t="str">
        <f>IF(LEN(VLOOKUP(AK23,vysledovka!$D$8:$F$68,3,FALSE))&lt;5,"",LEFT(RIGHT(VLOOKUP(AK23,vysledovka!$D$8:$F$68,3,FALSE),5),1))</f>
        <v>8</v>
      </c>
      <c r="BZ25" s="434"/>
      <c r="CA25" s="432" t="str">
        <f>IF(LEN(VLOOKUP(AK23,vysledovka!$D$8:$F$68,3,FALSE))&lt;4,"",LEFT(RIGHT(VLOOKUP(AK23,vysledovka!$D$8:$F$68,3,FALSE),4),1))</f>
        <v>9</v>
      </c>
      <c r="CB25" s="1009"/>
      <c r="CC25" s="432" t="str">
        <f>IF(LEN(VLOOKUP(AK23,vysledovka!$D$8:$F$68,3,FALSE))&lt;3,"",LEFT(RIGHT(VLOOKUP(AK23,vysledovka!$D$8:$F$68,3,FALSE),3),1))</f>
        <v>6</v>
      </c>
      <c r="CD25" s="434"/>
      <c r="CE25" s="432" t="str">
        <f>IF(LEN(VLOOKUP(AK23,vysledovka!$D$8:$F$68,3,FALSE))&lt;2,"",LEFT(RIGHT(VLOOKUP(AK23,vysledovka!$D$8:$F$68,3,FALSE),2),1))</f>
        <v>6</v>
      </c>
      <c r="CF25" s="434"/>
      <c r="CG25" s="432" t="str">
        <f>IF(VLOOKUP(AK23,vysledovka!$D$8:$F$68,3,FALSE)=0,"",IF(LEN(VLOOKUP(AK23,vysledovka!$D$8:$F$68,3,FALSE))&lt;1,"",LEFT(RIGHT(VLOOKUP(AK23,vysledovka!$D$8:$F$68,3,FALSE),1),1)))</f>
        <v>3</v>
      </c>
      <c r="CH25" s="285"/>
      <c r="CI25" s="312"/>
      <c r="CJ25" s="312"/>
    </row>
    <row r="26" spans="1:88" s="313" customFormat="1" ht="3" customHeight="1">
      <c r="A26" s="312"/>
      <c r="B26" s="312"/>
      <c r="C26" s="312"/>
      <c r="E26" s="1080"/>
      <c r="F26" s="1081"/>
      <c r="G26" s="1089"/>
      <c r="H26" s="1090"/>
      <c r="I26" s="1090"/>
      <c r="J26" s="1090"/>
      <c r="K26" s="1090"/>
      <c r="L26" s="1090"/>
      <c r="M26" s="1090"/>
      <c r="N26" s="1090"/>
      <c r="O26" s="1090"/>
      <c r="P26" s="1090"/>
      <c r="Q26" s="1090"/>
      <c r="R26" s="1090"/>
      <c r="S26" s="1090"/>
      <c r="T26" s="1090"/>
      <c r="U26" s="1090"/>
      <c r="V26" s="1090"/>
      <c r="W26" s="1090"/>
      <c r="X26" s="1090"/>
      <c r="Y26" s="1090"/>
      <c r="Z26" s="1090"/>
      <c r="AA26" s="1090"/>
      <c r="AB26" s="1090"/>
      <c r="AC26" s="1090"/>
      <c r="AD26" s="1090"/>
      <c r="AE26" s="1090"/>
      <c r="AF26" s="1090"/>
      <c r="AG26" s="1090"/>
      <c r="AH26" s="1090"/>
      <c r="AI26" s="1090"/>
      <c r="AJ26" s="1091"/>
      <c r="AK26" s="1014"/>
      <c r="AL26" s="1014"/>
      <c r="AM26" s="1014"/>
      <c r="AN26" s="358"/>
      <c r="AO26" s="365"/>
      <c r="AP26" s="365"/>
      <c r="AQ26" s="365"/>
      <c r="AR26" s="365"/>
      <c r="AS26" s="365"/>
      <c r="AT26" s="365"/>
      <c r="AU26" s="365"/>
      <c r="AV26" s="365"/>
      <c r="AW26" s="365"/>
      <c r="AX26" s="365"/>
      <c r="AY26" s="365"/>
      <c r="AZ26" s="365"/>
      <c r="BA26" s="365"/>
      <c r="BB26" s="365"/>
      <c r="BC26" s="365"/>
      <c r="BD26" s="365"/>
      <c r="BE26" s="310"/>
      <c r="BF26" s="310"/>
      <c r="BG26" s="310"/>
      <c r="BH26" s="310"/>
      <c r="BI26" s="310"/>
      <c r="BJ26" s="310"/>
      <c r="BK26" s="310"/>
      <c r="BL26" s="846"/>
      <c r="BM26" s="846"/>
      <c r="BN26" s="846"/>
      <c r="BO26" s="846"/>
      <c r="BP26" s="846"/>
      <c r="BQ26" s="846"/>
      <c r="BR26" s="846"/>
      <c r="BS26" s="846"/>
      <c r="BT26" s="846"/>
      <c r="BU26" s="846"/>
      <c r="BV26" s="846"/>
      <c r="BW26" s="846"/>
      <c r="BX26" s="846"/>
      <c r="BY26" s="846"/>
      <c r="BZ26" s="846"/>
      <c r="CA26" s="846"/>
      <c r="CB26" s="846"/>
      <c r="CC26" s="310"/>
      <c r="CD26" s="310"/>
      <c r="CE26" s="310"/>
      <c r="CF26" s="310"/>
      <c r="CG26" s="310"/>
      <c r="CH26" s="286"/>
      <c r="CI26" s="312"/>
      <c r="CJ26" s="312"/>
    </row>
    <row r="27" spans="1:88" s="250" customFormat="1" ht="3" customHeight="1">
      <c r="A27" s="312"/>
      <c r="B27" s="312"/>
      <c r="C27" s="224"/>
      <c r="D27" s="224"/>
      <c r="E27" s="1070" t="s">
        <v>671</v>
      </c>
      <c r="F27" s="1071"/>
      <c r="G27" s="972" t="str">
        <f>Index!C209</f>
        <v>Tržby z predaja služieb (602, 606)</v>
      </c>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1056" t="s">
        <v>656</v>
      </c>
      <c r="AL27" s="1014"/>
      <c r="AM27" s="1014"/>
      <c r="AN27" s="357"/>
      <c r="AO27" s="366"/>
      <c r="AP27" s="366"/>
      <c r="AQ27" s="366"/>
      <c r="AR27" s="366"/>
      <c r="AS27" s="366"/>
      <c r="AT27" s="366"/>
      <c r="AU27" s="366"/>
      <c r="AV27" s="366"/>
      <c r="AW27" s="366"/>
      <c r="AX27" s="366"/>
      <c r="AY27" s="366"/>
      <c r="AZ27" s="366"/>
      <c r="BA27" s="366"/>
      <c r="BB27" s="366"/>
      <c r="BC27" s="366"/>
      <c r="BD27" s="366"/>
      <c r="BE27" s="304"/>
      <c r="BF27" s="304"/>
      <c r="BG27" s="304"/>
      <c r="BH27" s="304"/>
      <c r="BI27" s="304"/>
      <c r="BJ27" s="304"/>
      <c r="BK27" s="304"/>
      <c r="BL27" s="867"/>
      <c r="BM27" s="867"/>
      <c r="BN27" s="867"/>
      <c r="BO27" s="867"/>
      <c r="BP27" s="867"/>
      <c r="BQ27" s="867"/>
      <c r="BR27" s="867"/>
      <c r="BS27" s="867"/>
      <c r="BT27" s="867"/>
      <c r="BU27" s="867"/>
      <c r="BV27" s="867"/>
      <c r="BW27" s="867"/>
      <c r="BX27" s="867"/>
      <c r="BY27" s="867"/>
      <c r="BZ27" s="867"/>
      <c r="CA27" s="867"/>
      <c r="CB27" s="867"/>
      <c r="CC27" s="304"/>
      <c r="CD27" s="304"/>
      <c r="CE27" s="304"/>
      <c r="CF27" s="304"/>
      <c r="CG27" s="304"/>
      <c r="CH27" s="284"/>
      <c r="CI27" s="288"/>
      <c r="CJ27" s="288"/>
    </row>
    <row r="28" spans="1:88" s="250" customFormat="1" ht="3" customHeight="1">
      <c r="A28" s="312"/>
      <c r="B28" s="312"/>
      <c r="C28" s="312"/>
      <c r="D28" s="312"/>
      <c r="E28" s="1072"/>
      <c r="F28" s="1073"/>
      <c r="G28" s="972"/>
      <c r="H28" s="972"/>
      <c r="I28" s="972"/>
      <c r="J28" s="972"/>
      <c r="K28" s="972"/>
      <c r="L28" s="972"/>
      <c r="M28" s="972"/>
      <c r="N28" s="972"/>
      <c r="O28" s="972"/>
      <c r="P28" s="972"/>
      <c r="Q28" s="972"/>
      <c r="R28" s="972"/>
      <c r="S28" s="972"/>
      <c r="T28" s="972"/>
      <c r="U28" s="972"/>
      <c r="V28" s="972"/>
      <c r="W28" s="972"/>
      <c r="X28" s="972"/>
      <c r="Y28" s="972"/>
      <c r="Z28" s="972"/>
      <c r="AA28" s="972"/>
      <c r="AB28" s="972"/>
      <c r="AC28" s="972"/>
      <c r="AD28" s="972"/>
      <c r="AE28" s="972"/>
      <c r="AF28" s="972"/>
      <c r="AG28" s="972"/>
      <c r="AH28" s="972"/>
      <c r="AI28" s="972"/>
      <c r="AJ28" s="972"/>
      <c r="AK28" s="1014"/>
      <c r="AL28" s="1014"/>
      <c r="AM28" s="1014"/>
      <c r="AN28" s="355"/>
      <c r="AO28" s="436"/>
      <c r="AP28" s="436"/>
      <c r="AQ28" s="436"/>
      <c r="AR28" s="435"/>
      <c r="AS28" s="433"/>
      <c r="AT28" s="433"/>
      <c r="AU28" s="433"/>
      <c r="AV28" s="433"/>
      <c r="AW28" s="433"/>
      <c r="AX28" s="434"/>
      <c r="AY28" s="1007"/>
      <c r="AZ28" s="1007"/>
      <c r="BA28" s="1007"/>
      <c r="BB28" s="1007"/>
      <c r="BC28" s="1007"/>
      <c r="BD28" s="1007"/>
      <c r="BE28" s="434"/>
      <c r="BF28" s="968"/>
      <c r="BG28" s="968"/>
      <c r="BH28" s="968"/>
      <c r="BI28" s="968"/>
      <c r="BJ28" s="968"/>
      <c r="BK28" s="851"/>
      <c r="BL28" s="826"/>
      <c r="BM28" s="820"/>
      <c r="BN28" s="820"/>
      <c r="BO28" s="820"/>
      <c r="BP28" s="435"/>
      <c r="BQ28" s="1007"/>
      <c r="BR28" s="1007"/>
      <c r="BS28" s="1007"/>
      <c r="BT28" s="1007"/>
      <c r="BU28" s="1007"/>
      <c r="BV28" s="1008"/>
      <c r="BW28" s="968"/>
      <c r="BX28" s="968"/>
      <c r="BY28" s="968"/>
      <c r="BZ28" s="968"/>
      <c r="CA28" s="968"/>
      <c r="CB28" s="1009"/>
      <c r="CC28" s="968"/>
      <c r="CD28" s="968"/>
      <c r="CE28" s="968"/>
      <c r="CF28" s="968"/>
      <c r="CG28" s="968"/>
      <c r="CH28" s="285"/>
      <c r="CI28" s="288"/>
      <c r="CJ28" s="288"/>
    </row>
    <row r="29" spans="1:88" s="313" customFormat="1" ht="15" customHeight="1">
      <c r="A29" s="312"/>
      <c r="B29" s="312"/>
      <c r="C29" s="312"/>
      <c r="E29" s="1072"/>
      <c r="F29" s="1073"/>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1014"/>
      <c r="AL29" s="1014"/>
      <c r="AM29" s="1014"/>
      <c r="AN29" s="355"/>
      <c r="AO29" s="432" t="str">
        <f>IF(LEN(VLOOKUP(AK27,vysledovka!$D$8:$F$68,2,FALSE))&lt;11,"",LEFT(RIGHT(VLOOKUP(AK27,vysledovka!$D$8:$F$68,2,FALSE),11),1))</f>
        <v/>
      </c>
      <c r="AP29" s="255"/>
      <c r="AQ29" s="432" t="str">
        <f>IF(LEN(VLOOKUP(AK27,vysledovka!$D$8:$F$68,2,FALSE))&lt;10,"",LEFT(RIGHT(VLOOKUP(AK27,vysledovka!$D$8:$F$68,2,FALSE),10),1))</f>
        <v/>
      </c>
      <c r="AR29" s="434"/>
      <c r="AS29" s="432" t="str">
        <f>IF(LEN(VLOOKUP(AK27,vysledovka!$D$8:$F$68,2,FALSE))&lt;9,"",LEFT(RIGHT(VLOOKUP(AK27,vysledovka!$D$8:$F$68,2,FALSE),9),1))</f>
        <v/>
      </c>
      <c r="AT29" s="255"/>
      <c r="AU29" s="432" t="str">
        <f>IF(LEN(VLOOKUP(AK27,vysledovka!$D$8:$F$68,2,FALSE))&lt;8,"",LEFT(RIGHT(VLOOKUP(AK27,vysledovka!$D$8:$F$68,2,FALSE),8),1))</f>
        <v/>
      </c>
      <c r="AV29" s="434"/>
      <c r="AW29" s="432" t="str">
        <f>IF(LEN(VLOOKUP(AK27,vysledovka!$D$8:$F$68,2,FALSE))&lt;7,"",LEFT(RIGHT(VLOOKUP(AK27,vysledovka!$D$8:$F$68,2,FALSE),7),1))</f>
        <v/>
      </c>
      <c r="AX29" s="434"/>
      <c r="AY29" s="432" t="str">
        <f>IF(LEN(VLOOKUP(AK27,vysledovka!$D$8:$F$68,2,FALSE))&lt;6,"",LEFT(RIGHT(VLOOKUP(AK27,vysledovka!$D$8:$F$68,2,FALSE),6),1))</f>
        <v>2</v>
      </c>
      <c r="AZ29" s="255"/>
      <c r="BA29" s="961" t="str">
        <f>IF(LEN(VLOOKUP(AK27,vysledovka!$D$8:$F$68,2,FALSE))&lt;5,"",LEFT(RIGHT(VLOOKUP(AK27,vysledovka!$D$8:$F$68,2,FALSE),5),1))</f>
        <v>9</v>
      </c>
      <c r="BB29" s="961"/>
      <c r="BC29" s="434"/>
      <c r="BD29" s="432" t="str">
        <f>IF(LEN(VLOOKUP(AK27,vysledovka!$D$8:$F$68,2,FALSE))&lt;4,"",LEFT(RIGHT(VLOOKUP(AK27,vysledovka!$D$8:$F$68,2,FALSE),4),1))</f>
        <v>4</v>
      </c>
      <c r="BE29" s="434"/>
      <c r="BF29" s="432" t="str">
        <f>IF(LEN(VLOOKUP(AK27,vysledovka!$D$8:$F$68,2,FALSE))&lt;3,"",LEFT(RIGHT(VLOOKUP(AK27,vysledovka!$D$8:$F$68,2,FALSE),3),1))</f>
        <v>5</v>
      </c>
      <c r="BG29" s="434"/>
      <c r="BH29" s="432" t="str">
        <f>IF(LEN(VLOOKUP(AK27,vysledovka!$D$8:$F$68,2,FALSE))&lt;2,"",LEFT(RIGHT(VLOOKUP(AK27,vysledovka!$D$8:$F$68,2,FALSE),2),1))</f>
        <v>6</v>
      </c>
      <c r="BI29" s="434"/>
      <c r="BJ29" s="432" t="str">
        <f>IF(VLOOKUP(AK27,vysledovka!$D$8:$F$68,2,FALSE)=0,"",IF(LEN(VLOOKUP(AK27,vysledovka!$D$8:$F$68,2,FALSE))&lt;1,"",LEFT(RIGHT(VLOOKUP(AK27,vysledovka!$D$8:$F$68,2,FALSE),1),1)))</f>
        <v>2</v>
      </c>
      <c r="BK29" s="851"/>
      <c r="BL29" s="826"/>
      <c r="BM29" s="432" t="str">
        <f>IF(LEN(VLOOKUP(AK27,vysledovka!$D$8:$F$68,3,FALSE))&lt;11,"",LEFT(RIGHT(VLOOKUP(AK27,vysledovka!$D$8:$F$68,3,FALSE),11),1))</f>
        <v/>
      </c>
      <c r="BN29" s="255"/>
      <c r="BO29" s="432" t="str">
        <f>IF(LEN(VLOOKUP(AK27,vysledovka!$D$8:$F$68,3,FALSE))&lt;10,"",LEFT(RIGHT(VLOOKUP(AK27,vysledovka!$D$8:$F$68,3,FALSE),10),1))</f>
        <v/>
      </c>
      <c r="BP29" s="434"/>
      <c r="BQ29" s="432" t="str">
        <f>IF(LEN(VLOOKUP(AK27,vysledovka!$D$8:$F$68,3,FALSE))&lt;9,"",LEFT(RIGHT(VLOOKUP(AK27,vysledovka!$D$8:$F$68,3,FALSE),9),1))</f>
        <v/>
      </c>
      <c r="BR29" s="255"/>
      <c r="BS29" s="432" t="str">
        <f>IF(LEN(VLOOKUP(AK27,vysledovka!$D$8:$F$68,3,FALSE))&lt;8,"",LEFT(RIGHT(VLOOKUP(AK27,vysledovka!$D$8:$F$68,3,FALSE),8),1))</f>
        <v/>
      </c>
      <c r="BT29" s="434"/>
      <c r="BU29" s="432" t="str">
        <f>IF(LEN(VLOOKUP(AK27,vysledovka!$D$8:$F$68,3,FALSE))&lt;7,"",LEFT(RIGHT(VLOOKUP(AK27,vysledovka!$D$8:$F$68,3,FALSE),7),1))</f>
        <v/>
      </c>
      <c r="BV29" s="1008"/>
      <c r="BW29" s="432" t="str">
        <f>IF(LEN(VLOOKUP(AK27,vysledovka!$D$8:$F$68,3,FALSE))&lt;6,"",LEFT(RIGHT(VLOOKUP(AK27,vysledovka!$D$8:$F$68,3,FALSE),6),1))</f>
        <v>5</v>
      </c>
      <c r="BX29" s="434"/>
      <c r="BY29" s="432" t="str">
        <f>IF(LEN(VLOOKUP(AK27,vysledovka!$D$8:$F$68,3,FALSE))&lt;5,"",LEFT(RIGHT(VLOOKUP(AK27,vysledovka!$D$8:$F$68,3,FALSE),5),1))</f>
        <v>3</v>
      </c>
      <c r="BZ29" s="434"/>
      <c r="CA29" s="432" t="str">
        <f>IF(LEN(VLOOKUP(AK27,vysledovka!$D$8:$F$68,3,FALSE))&lt;4,"",LEFT(RIGHT(VLOOKUP(AK27,vysledovka!$D$8:$F$68,3,FALSE),4),1))</f>
        <v>7</v>
      </c>
      <c r="CB29" s="1009"/>
      <c r="CC29" s="432" t="str">
        <f>IF(LEN(VLOOKUP(AK27,vysledovka!$D$8:$F$68,3,FALSE))&lt;3,"",LEFT(RIGHT(VLOOKUP(AK27,vysledovka!$D$8:$F$68,3,FALSE),3),1))</f>
        <v>6</v>
      </c>
      <c r="CD29" s="434"/>
      <c r="CE29" s="432" t="str">
        <f>IF(LEN(VLOOKUP(AK27,vysledovka!$D$8:$F$68,3,FALSE))&lt;2,"",LEFT(RIGHT(VLOOKUP(AK27,vysledovka!$D$8:$F$68,3,FALSE),2),1))</f>
        <v>1</v>
      </c>
      <c r="CF29" s="434"/>
      <c r="CG29" s="432" t="str">
        <f>IF(VLOOKUP(AK27,vysledovka!$D$8:$F$68,3,FALSE)=0,"",IF(LEN(VLOOKUP(AK27,vysledovka!$D$8:$F$68,3,FALSE))&lt;1,"",LEFT(RIGHT(VLOOKUP(AK27,vysledovka!$D$8:$F$68,3,FALSE),1),1)))</f>
        <v>6</v>
      </c>
      <c r="CH29" s="285"/>
      <c r="CI29" s="312"/>
      <c r="CJ29" s="312"/>
    </row>
    <row r="30" spans="1:88" s="313" customFormat="1" ht="3" customHeight="1">
      <c r="A30" s="312"/>
      <c r="B30" s="312"/>
      <c r="C30" s="312"/>
      <c r="E30" s="1074"/>
      <c r="F30" s="1075"/>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1014"/>
      <c r="AL30" s="1014"/>
      <c r="AM30" s="1014"/>
      <c r="AN30" s="358"/>
      <c r="AO30" s="365"/>
      <c r="AP30" s="365"/>
      <c r="AQ30" s="365"/>
      <c r="AR30" s="365"/>
      <c r="AS30" s="365"/>
      <c r="AT30" s="365"/>
      <c r="AU30" s="365"/>
      <c r="AV30" s="365"/>
      <c r="AW30" s="365"/>
      <c r="AX30" s="365"/>
      <c r="AY30" s="365"/>
      <c r="AZ30" s="365"/>
      <c r="BA30" s="365"/>
      <c r="BB30" s="365"/>
      <c r="BC30" s="365"/>
      <c r="BD30" s="365"/>
      <c r="BE30" s="310"/>
      <c r="BF30" s="310"/>
      <c r="BG30" s="310"/>
      <c r="BH30" s="310"/>
      <c r="BI30" s="310"/>
      <c r="BJ30" s="310"/>
      <c r="BK30" s="310"/>
      <c r="BL30" s="846"/>
      <c r="BM30" s="846"/>
      <c r="BN30" s="846"/>
      <c r="BO30" s="846"/>
      <c r="BP30" s="846"/>
      <c r="BQ30" s="846"/>
      <c r="BR30" s="846"/>
      <c r="BS30" s="846"/>
      <c r="BT30" s="846"/>
      <c r="BU30" s="846"/>
      <c r="BV30" s="846"/>
      <c r="BW30" s="846"/>
      <c r="BX30" s="846"/>
      <c r="BY30" s="846"/>
      <c r="BZ30" s="846"/>
      <c r="CA30" s="846"/>
      <c r="CB30" s="846"/>
      <c r="CC30" s="310"/>
      <c r="CD30" s="310"/>
      <c r="CE30" s="310"/>
      <c r="CF30" s="310"/>
      <c r="CG30" s="310"/>
      <c r="CH30" s="286"/>
      <c r="CI30" s="312"/>
      <c r="CJ30" s="312"/>
    </row>
    <row r="31" spans="1:88" s="250" customFormat="1" ht="3" customHeight="1">
      <c r="A31" s="312"/>
      <c r="B31" s="312"/>
      <c r="C31" s="224"/>
      <c r="D31" s="224"/>
      <c r="E31" s="1076" t="s">
        <v>675</v>
      </c>
      <c r="F31" s="1077"/>
      <c r="G31" s="972" t="str">
        <f>Index!C210</f>
        <v>Zmeny stavu vnútroorganizačných zásob (+/- účtová skupina 61)</v>
      </c>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1056" t="s">
        <v>658</v>
      </c>
      <c r="AL31" s="1014"/>
      <c r="AM31" s="1014"/>
      <c r="AN31" s="357"/>
      <c r="AO31" s="366"/>
      <c r="AP31" s="366"/>
      <c r="AQ31" s="366"/>
      <c r="AR31" s="366"/>
      <c r="AS31" s="366"/>
      <c r="AT31" s="366"/>
      <c r="AU31" s="366"/>
      <c r="AV31" s="366"/>
      <c r="AW31" s="366"/>
      <c r="AX31" s="366"/>
      <c r="AY31" s="366"/>
      <c r="AZ31" s="366"/>
      <c r="BA31" s="366"/>
      <c r="BB31" s="366"/>
      <c r="BC31" s="366"/>
      <c r="BD31" s="366"/>
      <c r="BE31" s="304"/>
      <c r="BF31" s="304"/>
      <c r="BG31" s="304"/>
      <c r="BH31" s="304"/>
      <c r="BI31" s="304"/>
      <c r="BJ31" s="304"/>
      <c r="BK31" s="304"/>
      <c r="BL31" s="867"/>
      <c r="BM31" s="867"/>
      <c r="BN31" s="867"/>
      <c r="BO31" s="867"/>
      <c r="BP31" s="867"/>
      <c r="BQ31" s="867"/>
      <c r="BR31" s="867"/>
      <c r="BS31" s="867"/>
      <c r="BT31" s="867"/>
      <c r="BU31" s="867"/>
      <c r="BV31" s="867"/>
      <c r="BW31" s="867"/>
      <c r="BX31" s="867"/>
      <c r="BY31" s="867"/>
      <c r="BZ31" s="867"/>
      <c r="CA31" s="867"/>
      <c r="CB31" s="867"/>
      <c r="CC31" s="304"/>
      <c r="CD31" s="304"/>
      <c r="CE31" s="304"/>
      <c r="CF31" s="304"/>
      <c r="CG31" s="304"/>
      <c r="CH31" s="284"/>
      <c r="CI31" s="288"/>
      <c r="CJ31" s="288"/>
    </row>
    <row r="32" spans="1:88" s="250" customFormat="1" ht="3" customHeight="1">
      <c r="A32" s="312"/>
      <c r="B32" s="312"/>
      <c r="C32" s="312"/>
      <c r="D32" s="312"/>
      <c r="E32" s="1078"/>
      <c r="F32" s="1079"/>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1014"/>
      <c r="AL32" s="1014"/>
      <c r="AM32" s="1014"/>
      <c r="AN32" s="355"/>
      <c r="AO32" s="436"/>
      <c r="AP32" s="436"/>
      <c r="AQ32" s="436"/>
      <c r="AR32" s="435"/>
      <c r="AS32" s="433"/>
      <c r="AT32" s="433"/>
      <c r="AU32" s="433"/>
      <c r="AV32" s="433"/>
      <c r="AW32" s="433"/>
      <c r="AX32" s="434"/>
      <c r="AY32" s="1007"/>
      <c r="AZ32" s="1007"/>
      <c r="BA32" s="1007"/>
      <c r="BB32" s="1007"/>
      <c r="BC32" s="1007"/>
      <c r="BD32" s="1007"/>
      <c r="BE32" s="434"/>
      <c r="BF32" s="968"/>
      <c r="BG32" s="968"/>
      <c r="BH32" s="968"/>
      <c r="BI32" s="968"/>
      <c r="BJ32" s="968"/>
      <c r="BK32" s="851"/>
      <c r="BL32" s="826"/>
      <c r="BM32" s="820"/>
      <c r="BN32" s="820"/>
      <c r="BO32" s="820"/>
      <c r="BP32" s="435"/>
      <c r="BQ32" s="1007"/>
      <c r="BR32" s="1007"/>
      <c r="BS32" s="1007"/>
      <c r="BT32" s="1007"/>
      <c r="BU32" s="1007"/>
      <c r="BV32" s="1008"/>
      <c r="BW32" s="968"/>
      <c r="BX32" s="968"/>
      <c r="BY32" s="968"/>
      <c r="BZ32" s="968"/>
      <c r="CA32" s="968"/>
      <c r="CB32" s="1009"/>
      <c r="CC32" s="968"/>
      <c r="CD32" s="968"/>
      <c r="CE32" s="968"/>
      <c r="CF32" s="968"/>
      <c r="CG32" s="968"/>
      <c r="CH32" s="285"/>
      <c r="CI32" s="288"/>
      <c r="CJ32" s="288"/>
    </row>
    <row r="33" spans="1:88" s="313" customFormat="1" ht="15" customHeight="1">
      <c r="A33" s="312"/>
      <c r="B33" s="312"/>
      <c r="C33" s="312"/>
      <c r="E33" s="1078"/>
      <c r="F33" s="1079"/>
      <c r="G33" s="984"/>
      <c r="H33" s="984"/>
      <c r="I33" s="984"/>
      <c r="J33" s="984"/>
      <c r="K33" s="984"/>
      <c r="L33" s="984"/>
      <c r="M33" s="984"/>
      <c r="N33" s="984"/>
      <c r="O33" s="984"/>
      <c r="P33" s="984"/>
      <c r="Q33" s="984"/>
      <c r="R33" s="984"/>
      <c r="S33" s="984"/>
      <c r="T33" s="984"/>
      <c r="U33" s="984"/>
      <c r="V33" s="984"/>
      <c r="W33" s="984"/>
      <c r="X33" s="984"/>
      <c r="Y33" s="984"/>
      <c r="Z33" s="984"/>
      <c r="AA33" s="984"/>
      <c r="AB33" s="984"/>
      <c r="AC33" s="984"/>
      <c r="AD33" s="984"/>
      <c r="AE33" s="984"/>
      <c r="AF33" s="984"/>
      <c r="AG33" s="984"/>
      <c r="AH33" s="984"/>
      <c r="AI33" s="984"/>
      <c r="AJ33" s="984"/>
      <c r="AK33" s="1014"/>
      <c r="AL33" s="1014"/>
      <c r="AM33" s="1014"/>
      <c r="AN33" s="355"/>
      <c r="AO33" s="432" t="str">
        <f>IF(LEN(VLOOKUP(AK31,vysledovka!$D$8:$F$68,2,FALSE))&lt;11,"",LEFT(RIGHT(VLOOKUP(AK31,vysledovka!$D$8:$F$68,2,FALSE),11),1))</f>
        <v/>
      </c>
      <c r="AP33" s="255"/>
      <c r="AQ33" s="432" t="str">
        <f>IF(LEN(VLOOKUP(AK31,vysledovka!$D$8:$F$68,2,FALSE))&lt;10,"",LEFT(RIGHT(VLOOKUP(AK31,vysledovka!$D$8:$F$68,2,FALSE),10),1))</f>
        <v/>
      </c>
      <c r="AR33" s="434"/>
      <c r="AS33" s="432" t="str">
        <f>IF(LEN(VLOOKUP(AK31,vysledovka!$D$8:$F$68,2,FALSE))&lt;9,"",LEFT(RIGHT(VLOOKUP(AK31,vysledovka!$D$8:$F$68,2,FALSE),9),1))</f>
        <v/>
      </c>
      <c r="AT33" s="255"/>
      <c r="AU33" s="432" t="str">
        <f>IF(LEN(VLOOKUP(AK31,vysledovka!$D$8:$F$68,2,FALSE))&lt;8,"",LEFT(RIGHT(VLOOKUP(AK31,vysledovka!$D$8:$F$68,2,FALSE),8),1))</f>
        <v/>
      </c>
      <c r="AV33" s="434"/>
      <c r="AW33" s="432" t="str">
        <f>IF(LEN(VLOOKUP(AK31,vysledovka!$D$8:$F$68,2,FALSE))&lt;7,"",LEFT(RIGHT(VLOOKUP(AK31,vysledovka!$D$8:$F$68,2,FALSE),7),1))</f>
        <v/>
      </c>
      <c r="AX33" s="434"/>
      <c r="AY33" s="432" t="str">
        <f>IF(LEN(VLOOKUP(AK31,vysledovka!$D$8:$F$68,2,FALSE))&lt;6,"",LEFT(RIGHT(VLOOKUP(AK31,vysledovka!$D$8:$F$68,2,FALSE),6),1))</f>
        <v/>
      </c>
      <c r="AZ33" s="255"/>
      <c r="BA33" s="961" t="str">
        <f>IF(LEN(VLOOKUP(AK31,vysledovka!$D$8:$F$68,2,FALSE))&lt;5,"",LEFT(RIGHT(VLOOKUP(AK31,vysledovka!$D$8:$F$68,2,FALSE),5),1))</f>
        <v/>
      </c>
      <c r="BB33" s="961"/>
      <c r="BC33" s="434"/>
      <c r="BD33" s="432" t="str">
        <f>IF(LEN(VLOOKUP(AK31,vysledovka!$D$8:$F$68,2,FALSE))&lt;4,"",LEFT(RIGHT(VLOOKUP(AK31,vysledovka!$D$8:$F$68,2,FALSE),4),1))</f>
        <v/>
      </c>
      <c r="BE33" s="434"/>
      <c r="BF33" s="432" t="str">
        <f>IF(LEN(VLOOKUP(AK31,vysledovka!$D$8:$F$68,2,FALSE))&lt;3,"",LEFT(RIGHT(VLOOKUP(AK31,vysledovka!$D$8:$F$68,2,FALSE),3),1))</f>
        <v/>
      </c>
      <c r="BG33" s="434"/>
      <c r="BH33" s="432" t="str">
        <f>IF(LEN(VLOOKUP(AK31,vysledovka!$D$8:$F$68,2,FALSE))&lt;2,"",LEFT(RIGHT(VLOOKUP(AK31,vysledovka!$D$8:$F$68,2,FALSE),2),1))</f>
        <v/>
      </c>
      <c r="BI33" s="434"/>
      <c r="BJ33" s="432" t="str">
        <f>IF(VLOOKUP(AK31,vysledovka!$D$8:$F$68,2,FALSE)=0,"",IF(LEN(VLOOKUP(AK31,vysledovka!$D$8:$F$68,2,FALSE))&lt;1,"",LEFT(RIGHT(VLOOKUP(AK31,vysledovka!$D$8:$F$68,2,FALSE),1),1)))</f>
        <v/>
      </c>
      <c r="BK33" s="851"/>
      <c r="BL33" s="826"/>
      <c r="BM33" s="432" t="str">
        <f>IF(LEN(VLOOKUP(AK31,vysledovka!$D$8:$F$68,3,FALSE))&lt;11,"",LEFT(RIGHT(VLOOKUP(AK31,vysledovka!$D$8:$F$68,3,FALSE),11),1))</f>
        <v/>
      </c>
      <c r="BN33" s="255"/>
      <c r="BO33" s="432" t="str">
        <f>IF(LEN(VLOOKUP(AK31,vysledovka!$D$8:$F$68,3,FALSE))&lt;10,"",LEFT(RIGHT(VLOOKUP(AK31,vysledovka!$D$8:$F$68,3,FALSE),10),1))</f>
        <v/>
      </c>
      <c r="BP33" s="434"/>
      <c r="BQ33" s="432" t="str">
        <f>IF(LEN(VLOOKUP(AK31,vysledovka!$D$8:$F$68,3,FALSE))&lt;9,"",LEFT(RIGHT(VLOOKUP(AK31,vysledovka!$D$8:$F$68,3,FALSE),9),1))</f>
        <v/>
      </c>
      <c r="BR33" s="255"/>
      <c r="BS33" s="432" t="str">
        <f>IF(LEN(VLOOKUP(AK31,vysledovka!$D$8:$F$68,3,FALSE))&lt;8,"",LEFT(RIGHT(VLOOKUP(AK31,vysledovka!$D$8:$F$68,3,FALSE),8),1))</f>
        <v/>
      </c>
      <c r="BT33" s="434"/>
      <c r="BU33" s="432" t="str">
        <f>IF(LEN(VLOOKUP(AK31,vysledovka!$D$8:$F$68,3,FALSE))&lt;7,"",LEFT(RIGHT(VLOOKUP(AK31,vysledovka!$D$8:$F$68,3,FALSE),7),1))</f>
        <v/>
      </c>
      <c r="BV33" s="1008"/>
      <c r="BW33" s="432" t="str">
        <f>IF(LEN(VLOOKUP(AK31,vysledovka!$D$8:$F$68,3,FALSE))&lt;6,"",LEFT(RIGHT(VLOOKUP(AK31,vysledovka!$D$8:$F$68,3,FALSE),6),1))</f>
        <v/>
      </c>
      <c r="BX33" s="434"/>
      <c r="BY33" s="432" t="str">
        <f>IF(LEN(VLOOKUP(AK31,vysledovka!$D$8:$F$68,3,FALSE))&lt;5,"",LEFT(RIGHT(VLOOKUP(AK31,vysledovka!$D$8:$F$68,3,FALSE),5),1))</f>
        <v/>
      </c>
      <c r="BZ33" s="434"/>
      <c r="CA33" s="432" t="str">
        <f>IF(LEN(VLOOKUP(AK31,vysledovka!$D$8:$F$68,3,FALSE))&lt;4,"",LEFT(RIGHT(VLOOKUP(AK31,vysledovka!$D$8:$F$68,3,FALSE),4),1))</f>
        <v/>
      </c>
      <c r="CB33" s="1009"/>
      <c r="CC33" s="432" t="str">
        <f>IF(LEN(VLOOKUP(AK31,vysledovka!$D$8:$F$68,3,FALSE))&lt;3,"",LEFT(RIGHT(VLOOKUP(AK31,vysledovka!$D$8:$F$68,3,FALSE),3),1))</f>
        <v/>
      </c>
      <c r="CD33" s="434"/>
      <c r="CE33" s="432" t="str">
        <f>IF(LEN(VLOOKUP(AK31,vysledovka!$D$8:$F$68,3,FALSE))&lt;2,"",LEFT(RIGHT(VLOOKUP(AK31,vysledovka!$D$8:$F$68,3,FALSE),2),1))</f>
        <v/>
      </c>
      <c r="CF33" s="434"/>
      <c r="CG33" s="432" t="str">
        <f>IF(VLOOKUP(AK31,vysledovka!$D$8:$F$68,3,FALSE)=0,"",IF(LEN(VLOOKUP(AK31,vysledovka!$D$8:$F$68,3,FALSE))&lt;1,"",LEFT(RIGHT(VLOOKUP(AK31,vysledovka!$D$8:$F$68,3,FALSE),1),1)))</f>
        <v/>
      </c>
      <c r="CH33" s="285"/>
      <c r="CI33" s="312"/>
      <c r="CJ33" s="312"/>
    </row>
    <row r="34" spans="1:88" s="313" customFormat="1" ht="3" customHeight="1">
      <c r="A34" s="312"/>
      <c r="B34" s="312"/>
      <c r="C34" s="312"/>
      <c r="E34" s="1080"/>
      <c r="F34" s="1081"/>
      <c r="G34" s="984"/>
      <c r="H34" s="984"/>
      <c r="I34" s="984"/>
      <c r="J34" s="984"/>
      <c r="K34" s="984"/>
      <c r="L34" s="984"/>
      <c r="M34" s="984"/>
      <c r="N34" s="984"/>
      <c r="O34" s="984"/>
      <c r="P34" s="984"/>
      <c r="Q34" s="984"/>
      <c r="R34" s="984"/>
      <c r="S34" s="984"/>
      <c r="T34" s="984"/>
      <c r="U34" s="984"/>
      <c r="V34" s="984"/>
      <c r="W34" s="984"/>
      <c r="X34" s="984"/>
      <c r="Y34" s="984"/>
      <c r="Z34" s="984"/>
      <c r="AA34" s="984"/>
      <c r="AB34" s="984"/>
      <c r="AC34" s="984"/>
      <c r="AD34" s="984"/>
      <c r="AE34" s="984"/>
      <c r="AF34" s="984"/>
      <c r="AG34" s="984"/>
      <c r="AH34" s="984"/>
      <c r="AI34" s="984"/>
      <c r="AJ34" s="984"/>
      <c r="AK34" s="1014"/>
      <c r="AL34" s="1014"/>
      <c r="AM34" s="1014"/>
      <c r="AN34" s="358"/>
      <c r="AO34" s="365"/>
      <c r="AP34" s="365"/>
      <c r="AQ34" s="365"/>
      <c r="AR34" s="365"/>
      <c r="AS34" s="365"/>
      <c r="AT34" s="365"/>
      <c r="AU34" s="365"/>
      <c r="AV34" s="365"/>
      <c r="AW34" s="365"/>
      <c r="AX34" s="365"/>
      <c r="AY34" s="365"/>
      <c r="AZ34" s="365"/>
      <c r="BA34" s="365"/>
      <c r="BB34" s="365"/>
      <c r="BC34" s="365"/>
      <c r="BD34" s="365"/>
      <c r="BE34" s="310"/>
      <c r="BF34" s="310"/>
      <c r="BG34" s="310"/>
      <c r="BH34" s="310"/>
      <c r="BI34" s="310"/>
      <c r="BJ34" s="310"/>
      <c r="BK34" s="310"/>
      <c r="BL34" s="846"/>
      <c r="BM34" s="846"/>
      <c r="BN34" s="846"/>
      <c r="BO34" s="846"/>
      <c r="BP34" s="846"/>
      <c r="BQ34" s="846"/>
      <c r="BR34" s="846"/>
      <c r="BS34" s="846"/>
      <c r="BT34" s="846"/>
      <c r="BU34" s="846"/>
      <c r="BV34" s="846"/>
      <c r="BW34" s="846"/>
      <c r="BX34" s="846"/>
      <c r="BY34" s="846"/>
      <c r="BZ34" s="846"/>
      <c r="CA34" s="846"/>
      <c r="CB34" s="846"/>
      <c r="CC34" s="310"/>
      <c r="CD34" s="310"/>
      <c r="CE34" s="310"/>
      <c r="CF34" s="310"/>
      <c r="CG34" s="310"/>
      <c r="CH34" s="286"/>
      <c r="CI34" s="312"/>
      <c r="CJ34" s="312"/>
    </row>
    <row r="35" spans="1:88" s="250" customFormat="1" ht="3" customHeight="1">
      <c r="A35" s="220"/>
      <c r="B35" s="220"/>
      <c r="C35" s="224"/>
      <c r="D35" s="224"/>
      <c r="E35" s="1070" t="s">
        <v>679</v>
      </c>
      <c r="F35" s="1071"/>
      <c r="G35" s="972" t="str">
        <f>Index!C211</f>
        <v>Aktivácia (účtová skupina 62)</v>
      </c>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984"/>
      <c r="AK35" s="1056" t="s">
        <v>660</v>
      </c>
      <c r="AL35" s="1014"/>
      <c r="AM35" s="1014"/>
      <c r="AN35" s="357"/>
      <c r="AO35" s="366"/>
      <c r="AP35" s="366"/>
      <c r="AQ35" s="366"/>
      <c r="AR35" s="366"/>
      <c r="AS35" s="366"/>
      <c r="AT35" s="366"/>
      <c r="AU35" s="366"/>
      <c r="AV35" s="366"/>
      <c r="AW35" s="366"/>
      <c r="AX35" s="366"/>
      <c r="AY35" s="366"/>
      <c r="AZ35" s="366"/>
      <c r="BA35" s="366"/>
      <c r="BB35" s="366"/>
      <c r="BC35" s="366"/>
      <c r="BD35" s="366"/>
      <c r="BE35" s="304"/>
      <c r="BF35" s="304"/>
      <c r="BG35" s="304"/>
      <c r="BH35" s="304"/>
      <c r="BI35" s="304"/>
      <c r="BJ35" s="304"/>
      <c r="BK35" s="304"/>
      <c r="BL35" s="867"/>
      <c r="BM35" s="867"/>
      <c r="BN35" s="867"/>
      <c r="BO35" s="867"/>
      <c r="BP35" s="867"/>
      <c r="BQ35" s="867"/>
      <c r="BR35" s="867"/>
      <c r="BS35" s="867"/>
      <c r="BT35" s="867"/>
      <c r="BU35" s="867"/>
      <c r="BV35" s="867"/>
      <c r="BW35" s="867"/>
      <c r="BX35" s="867"/>
      <c r="BY35" s="867"/>
      <c r="BZ35" s="867"/>
      <c r="CA35" s="867"/>
      <c r="CB35" s="867"/>
      <c r="CC35" s="304"/>
      <c r="CD35" s="304"/>
      <c r="CE35" s="304"/>
      <c r="CF35" s="304"/>
      <c r="CG35" s="304"/>
      <c r="CH35" s="284"/>
      <c r="CI35" s="288"/>
      <c r="CJ35" s="288"/>
    </row>
    <row r="36" spans="1:88" s="250" customFormat="1" ht="3" customHeight="1">
      <c r="A36" s="220"/>
      <c r="B36" s="220"/>
      <c r="C36" s="220"/>
      <c r="D36" s="220"/>
      <c r="E36" s="1072"/>
      <c r="F36" s="1073"/>
      <c r="G36" s="984"/>
      <c r="H36" s="984"/>
      <c r="I36" s="984"/>
      <c r="J36" s="984"/>
      <c r="K36" s="984"/>
      <c r="L36" s="984"/>
      <c r="M36" s="984"/>
      <c r="N36" s="984"/>
      <c r="O36" s="984"/>
      <c r="P36" s="984"/>
      <c r="Q36" s="984"/>
      <c r="R36" s="984"/>
      <c r="S36" s="984"/>
      <c r="T36" s="984"/>
      <c r="U36" s="984"/>
      <c r="V36" s="984"/>
      <c r="W36" s="984"/>
      <c r="X36" s="984"/>
      <c r="Y36" s="984"/>
      <c r="Z36" s="984"/>
      <c r="AA36" s="984"/>
      <c r="AB36" s="984"/>
      <c r="AC36" s="984"/>
      <c r="AD36" s="984"/>
      <c r="AE36" s="984"/>
      <c r="AF36" s="984"/>
      <c r="AG36" s="984"/>
      <c r="AH36" s="984"/>
      <c r="AI36" s="984"/>
      <c r="AJ36" s="984"/>
      <c r="AK36" s="1014"/>
      <c r="AL36" s="1014"/>
      <c r="AM36" s="1014"/>
      <c r="AN36" s="355"/>
      <c r="AO36" s="436"/>
      <c r="AP36" s="436"/>
      <c r="AQ36" s="436"/>
      <c r="AR36" s="435"/>
      <c r="AS36" s="439"/>
      <c r="AT36" s="439"/>
      <c r="AU36" s="439"/>
      <c r="AV36" s="439"/>
      <c r="AW36" s="439"/>
      <c r="AX36" s="440"/>
      <c r="AY36" s="821"/>
      <c r="AZ36" s="821"/>
      <c r="BA36" s="821"/>
      <c r="BB36" s="821"/>
      <c r="BC36" s="821"/>
      <c r="BD36" s="821"/>
      <c r="BE36" s="434"/>
      <c r="BF36" s="968"/>
      <c r="BG36" s="968"/>
      <c r="BH36" s="968"/>
      <c r="BI36" s="968"/>
      <c r="BJ36" s="968"/>
      <c r="BK36" s="851"/>
      <c r="BL36" s="826"/>
      <c r="BM36" s="820"/>
      <c r="BN36" s="820"/>
      <c r="BO36" s="820"/>
      <c r="BP36" s="435"/>
      <c r="BQ36" s="821"/>
      <c r="BR36" s="821"/>
      <c r="BS36" s="821"/>
      <c r="BT36" s="821"/>
      <c r="BU36" s="821"/>
      <c r="BV36" s="818"/>
      <c r="BW36" s="822"/>
      <c r="BX36" s="822"/>
      <c r="BY36" s="822"/>
      <c r="BZ36" s="822"/>
      <c r="CA36" s="822"/>
      <c r="CB36" s="819"/>
      <c r="CC36" s="822"/>
      <c r="CD36" s="822"/>
      <c r="CE36" s="822"/>
      <c r="CF36" s="822"/>
      <c r="CG36" s="822"/>
      <c r="CH36" s="285"/>
      <c r="CI36" s="288"/>
      <c r="CJ36" s="288"/>
    </row>
    <row r="37" spans="1:88" ht="15" customHeight="1">
      <c r="E37" s="1072"/>
      <c r="F37" s="1073"/>
      <c r="G37" s="984"/>
      <c r="H37" s="984"/>
      <c r="I37" s="984"/>
      <c r="J37" s="984"/>
      <c r="K37" s="984"/>
      <c r="L37" s="984"/>
      <c r="M37" s="984"/>
      <c r="N37" s="984"/>
      <c r="O37" s="984"/>
      <c r="P37" s="984"/>
      <c r="Q37" s="984"/>
      <c r="R37" s="984"/>
      <c r="S37" s="984"/>
      <c r="T37" s="984"/>
      <c r="U37" s="984"/>
      <c r="V37" s="984"/>
      <c r="W37" s="984"/>
      <c r="X37" s="984"/>
      <c r="Y37" s="984"/>
      <c r="Z37" s="984"/>
      <c r="AA37" s="984"/>
      <c r="AB37" s="984"/>
      <c r="AC37" s="984"/>
      <c r="AD37" s="984"/>
      <c r="AE37" s="984"/>
      <c r="AF37" s="984"/>
      <c r="AG37" s="984"/>
      <c r="AH37" s="984"/>
      <c r="AI37" s="984"/>
      <c r="AJ37" s="984"/>
      <c r="AK37" s="1014"/>
      <c r="AL37" s="1014"/>
      <c r="AM37" s="1014"/>
      <c r="AN37" s="355"/>
      <c r="AO37" s="432" t="str">
        <f>IF(LEN(VLOOKUP(AK35,vysledovka!$D$8:$F$68,2,FALSE))&lt;11,"",LEFT(RIGHT(VLOOKUP(AK35,vysledovka!$D$8:$F$68,2,FALSE),11),1))</f>
        <v/>
      </c>
      <c r="AP37" s="255"/>
      <c r="AQ37" s="432" t="str">
        <f>IF(LEN(VLOOKUP(AK35,vysledovka!$D$8:$F$68,2,FALSE))&lt;10,"",LEFT(RIGHT(VLOOKUP(AK35,vysledovka!$D$8:$F$68,2,FALSE),10),1))</f>
        <v/>
      </c>
      <c r="AR37" s="434"/>
      <c r="AS37" s="432" t="str">
        <f>IF(LEN(VLOOKUP(AK35,vysledovka!$D$8:$F$68,2,FALSE))&lt;9,"",LEFT(RIGHT(VLOOKUP(AK35,vysledovka!$D$8:$F$68,2,FALSE),9),1))</f>
        <v/>
      </c>
      <c r="AT37" s="255"/>
      <c r="AU37" s="432" t="str">
        <f>IF(LEN(VLOOKUP(AK35,vysledovka!$D$8:$F$68,2,FALSE))&lt;8,"",LEFT(RIGHT(VLOOKUP(AK35,vysledovka!$D$8:$F$68,2,FALSE),8),1))</f>
        <v/>
      </c>
      <c r="AV37" s="434"/>
      <c r="AW37" s="432" t="str">
        <f>IF(LEN(VLOOKUP(AK35,vysledovka!$D$8:$F$68,2,FALSE))&lt;7,"",LEFT(RIGHT(VLOOKUP(AK35,vysledovka!$D$8:$F$68,2,FALSE),7),1))</f>
        <v/>
      </c>
      <c r="AX37" s="440"/>
      <c r="AY37" s="432" t="str">
        <f>IF(LEN(VLOOKUP(AK35,vysledovka!$D$8:$F$68,2,FALSE))&lt;6,"",LEFT(RIGHT(VLOOKUP(AK35,vysledovka!$D$8:$F$68,2,FALSE),6),1))</f>
        <v>6</v>
      </c>
      <c r="AZ37" s="255"/>
      <c r="BA37" s="961" t="str">
        <f>IF(LEN(VLOOKUP(AK35,vysledovka!$D$8:$F$68,2,FALSE))&lt;5,"",LEFT(RIGHT(VLOOKUP(AK35,vysledovka!$D$8:$F$68,2,FALSE),5),1))</f>
        <v>8</v>
      </c>
      <c r="BB37" s="961"/>
      <c r="BC37" s="434"/>
      <c r="BD37" s="432" t="str">
        <f>IF(LEN(VLOOKUP(AK35,vysledovka!$D$8:$F$68,2,FALSE))&lt;4,"",LEFT(RIGHT(VLOOKUP(AK35,vysledovka!$D$8:$F$68,2,FALSE),4),1))</f>
        <v>1</v>
      </c>
      <c r="BE37" s="434"/>
      <c r="BF37" s="432" t="str">
        <f>IF(LEN(VLOOKUP(AK35,vysledovka!$D$8:$F$68,2,FALSE))&lt;3,"",LEFT(RIGHT(VLOOKUP(AK35,vysledovka!$D$8:$F$68,2,FALSE),3),1))</f>
        <v>0</v>
      </c>
      <c r="BG37" s="434"/>
      <c r="BH37" s="432" t="str">
        <f>IF(LEN(VLOOKUP(AK35,vysledovka!$D$8:$F$68,2,FALSE))&lt;2,"",LEFT(RIGHT(VLOOKUP(AK35,vysledovka!$D$8:$F$68,2,FALSE),2),1))</f>
        <v>0</v>
      </c>
      <c r="BI37" s="434"/>
      <c r="BJ37" s="432" t="str">
        <f>IF(VLOOKUP(AK35,vysledovka!$D$8:$F$68,2,FALSE)=0,"",IF(LEN(VLOOKUP(AK35,vysledovka!$D$8:$F$68,2,FALSE))&lt;1,"",LEFT(RIGHT(VLOOKUP(AK35,vysledovka!$D$8:$F$68,2,FALSE),1),1)))</f>
        <v>3</v>
      </c>
      <c r="BK37" s="851"/>
      <c r="BL37" s="826"/>
      <c r="BM37" s="432" t="str">
        <f>IF(LEN(VLOOKUP(AK35,vysledovka!$D$8:$F$68,3,FALSE))&lt;11,"",LEFT(RIGHT(VLOOKUP(AK35,vysledovka!$D$8:$F$68,3,FALSE),11),1))</f>
        <v/>
      </c>
      <c r="BN37" s="255"/>
      <c r="BO37" s="432" t="str">
        <f>IF(LEN(VLOOKUP(AK35,vysledovka!$D$8:$F$68,3,FALSE))&lt;10,"",LEFT(RIGHT(VLOOKUP(AK35,vysledovka!$D$8:$F$68,3,FALSE),10),1))</f>
        <v/>
      </c>
      <c r="BP37" s="434"/>
      <c r="BQ37" s="432" t="str">
        <f>IF(LEN(VLOOKUP(AK35,vysledovka!$D$8:$F$68,3,FALSE))&lt;9,"",LEFT(RIGHT(VLOOKUP(AK35,vysledovka!$D$8:$F$68,3,FALSE),9),1))</f>
        <v/>
      </c>
      <c r="BR37" s="255"/>
      <c r="BS37" s="432" t="str">
        <f>IF(LEN(VLOOKUP(AK35,vysledovka!$D$8:$F$68,3,FALSE))&lt;8,"",LEFT(RIGHT(VLOOKUP(AK35,vysledovka!$D$8:$F$68,3,FALSE),8),1))</f>
        <v/>
      </c>
      <c r="BT37" s="434"/>
      <c r="BU37" s="432" t="str">
        <f>IF(LEN(VLOOKUP(AK35,vysledovka!$D$8:$F$68,3,FALSE))&lt;7,"",LEFT(RIGHT(VLOOKUP(AK35,vysledovka!$D$8:$F$68,3,FALSE),7),1))</f>
        <v/>
      </c>
      <c r="BV37" s="818"/>
      <c r="BW37" s="432" t="str">
        <f>IF(LEN(VLOOKUP(AK35,vysledovka!$D$8:$F$68,3,FALSE))&lt;6,"",LEFT(RIGHT(VLOOKUP(AK35,vysledovka!$D$8:$F$68,3,FALSE),6),1))</f>
        <v>2</v>
      </c>
      <c r="BX37" s="434"/>
      <c r="BY37" s="432" t="str">
        <f>IF(LEN(VLOOKUP(AK35,vysledovka!$D$8:$F$68,3,FALSE))&lt;5,"",LEFT(RIGHT(VLOOKUP(AK35,vysledovka!$D$8:$F$68,3,FALSE),5),1))</f>
        <v>5</v>
      </c>
      <c r="BZ37" s="434"/>
      <c r="CA37" s="432" t="str">
        <f>IF(LEN(VLOOKUP(AK35,vysledovka!$D$8:$F$68,3,FALSE))&lt;4,"",LEFT(RIGHT(VLOOKUP(AK35,vysledovka!$D$8:$F$68,3,FALSE),4),1))</f>
        <v>6</v>
      </c>
      <c r="CB37" s="819"/>
      <c r="CC37" s="432" t="str">
        <f>IF(LEN(VLOOKUP(AK35,vysledovka!$D$8:$F$68,3,FALSE))&lt;3,"",LEFT(RIGHT(VLOOKUP(AK35,vysledovka!$D$8:$F$68,3,FALSE),3),1))</f>
        <v>7</v>
      </c>
      <c r="CD37" s="434"/>
      <c r="CE37" s="432" t="str">
        <f>IF(LEN(VLOOKUP(AK35,vysledovka!$D$8:$F$68,3,FALSE))&lt;2,"",LEFT(RIGHT(VLOOKUP(AK35,vysledovka!$D$8:$F$68,3,FALSE),2),1))</f>
        <v>8</v>
      </c>
      <c r="CF37" s="434"/>
      <c r="CG37" s="432" t="str">
        <f>IF(VLOOKUP(AK35,vysledovka!$D$8:$F$68,3,FALSE)=0,"",IF(LEN(VLOOKUP(AK35,vysledovka!$D$8:$F$68,3,FALSE))&lt;1,"",LEFT(RIGHT(VLOOKUP(AK35,vysledovka!$D$8:$F$68,3,FALSE),1),1)))</f>
        <v>9</v>
      </c>
      <c r="CH37" s="285"/>
      <c r="CI37" s="220"/>
      <c r="CJ37" s="220"/>
    </row>
    <row r="38" spans="1:88" ht="3" customHeight="1">
      <c r="E38" s="1074"/>
      <c r="F38" s="1075"/>
      <c r="G38" s="984"/>
      <c r="H38" s="984"/>
      <c r="I38" s="984"/>
      <c r="J38" s="984"/>
      <c r="K38" s="984"/>
      <c r="L38" s="984"/>
      <c r="M38" s="984"/>
      <c r="N38" s="984"/>
      <c r="O38" s="984"/>
      <c r="P38" s="984"/>
      <c r="Q38" s="984"/>
      <c r="R38" s="984"/>
      <c r="S38" s="984"/>
      <c r="T38" s="984"/>
      <c r="U38" s="984"/>
      <c r="V38" s="984"/>
      <c r="W38" s="984"/>
      <c r="X38" s="984"/>
      <c r="Y38" s="984"/>
      <c r="Z38" s="984"/>
      <c r="AA38" s="984"/>
      <c r="AB38" s="984"/>
      <c r="AC38" s="984"/>
      <c r="AD38" s="984"/>
      <c r="AE38" s="984"/>
      <c r="AF38" s="984"/>
      <c r="AG38" s="984"/>
      <c r="AH38" s="984"/>
      <c r="AI38" s="984"/>
      <c r="AJ38" s="984"/>
      <c r="AK38" s="1014"/>
      <c r="AL38" s="1014"/>
      <c r="AM38" s="1014"/>
      <c r="AN38" s="358"/>
      <c r="AO38" s="365"/>
      <c r="AP38" s="365"/>
      <c r="AQ38" s="365"/>
      <c r="AR38" s="365"/>
      <c r="AS38" s="365"/>
      <c r="AT38" s="365"/>
      <c r="AU38" s="365"/>
      <c r="AV38" s="365"/>
      <c r="AW38" s="365"/>
      <c r="AX38" s="365"/>
      <c r="AY38" s="365"/>
      <c r="AZ38" s="365"/>
      <c r="BA38" s="365"/>
      <c r="BB38" s="365"/>
      <c r="BC38" s="365"/>
      <c r="BD38" s="365"/>
      <c r="BE38" s="310"/>
      <c r="BF38" s="310"/>
      <c r="BG38" s="310"/>
      <c r="BH38" s="310"/>
      <c r="BI38" s="310"/>
      <c r="BJ38" s="310"/>
      <c r="BK38" s="310"/>
      <c r="BL38" s="846"/>
      <c r="BM38" s="846"/>
      <c r="BN38" s="846"/>
      <c r="BO38" s="846"/>
      <c r="BP38" s="846"/>
      <c r="BQ38" s="846"/>
      <c r="BR38" s="846"/>
      <c r="BS38" s="846"/>
      <c r="BT38" s="846"/>
      <c r="BU38" s="846"/>
      <c r="BV38" s="846"/>
      <c r="BW38" s="846"/>
      <c r="BX38" s="846"/>
      <c r="BY38" s="846"/>
      <c r="BZ38" s="846"/>
      <c r="CA38" s="846"/>
      <c r="CB38" s="846"/>
      <c r="CC38" s="310"/>
      <c r="CD38" s="310"/>
      <c r="CE38" s="310"/>
      <c r="CF38" s="310"/>
      <c r="CG38" s="310"/>
      <c r="CH38" s="286"/>
      <c r="CI38" s="220"/>
      <c r="CJ38" s="220"/>
    </row>
    <row r="39" spans="1:88" s="250" customFormat="1" ht="3" customHeight="1">
      <c r="A39" s="312"/>
      <c r="B39" s="312"/>
      <c r="C39" s="224"/>
      <c r="D39" s="224"/>
      <c r="E39" s="1076" t="s">
        <v>681</v>
      </c>
      <c r="F39" s="1077"/>
      <c r="G39" s="1061" t="str">
        <f>Index!C212</f>
        <v>Tržby z predaja dlhodobého nehmotného majetku, dlhodobého hmotného majetku a materiálu (641, 642)</v>
      </c>
      <c r="H39" s="1082"/>
      <c r="I39" s="1082"/>
      <c r="J39" s="1082"/>
      <c r="K39" s="1082"/>
      <c r="L39" s="1082"/>
      <c r="M39" s="1082"/>
      <c r="N39" s="1082"/>
      <c r="O39" s="1082"/>
      <c r="P39" s="1082"/>
      <c r="Q39" s="1082"/>
      <c r="R39" s="1082"/>
      <c r="S39" s="1082"/>
      <c r="T39" s="1082"/>
      <c r="U39" s="1082"/>
      <c r="V39" s="1082"/>
      <c r="W39" s="1082"/>
      <c r="X39" s="1082"/>
      <c r="Y39" s="1082"/>
      <c r="Z39" s="1082"/>
      <c r="AA39" s="1082"/>
      <c r="AB39" s="1082"/>
      <c r="AC39" s="1082"/>
      <c r="AD39" s="1082"/>
      <c r="AE39" s="1082"/>
      <c r="AF39" s="1082"/>
      <c r="AG39" s="1082"/>
      <c r="AH39" s="1082"/>
      <c r="AI39" s="1082"/>
      <c r="AJ39" s="1082"/>
      <c r="AK39" s="1056" t="s">
        <v>661</v>
      </c>
      <c r="AL39" s="1014"/>
      <c r="AM39" s="1014"/>
      <c r="AN39" s="357"/>
      <c r="AO39" s="366"/>
      <c r="AP39" s="366"/>
      <c r="AQ39" s="366"/>
      <c r="AR39" s="366"/>
      <c r="AS39" s="366"/>
      <c r="AT39" s="366"/>
      <c r="AU39" s="366"/>
      <c r="AV39" s="366"/>
      <c r="AW39" s="366"/>
      <c r="AX39" s="366"/>
      <c r="AY39" s="366"/>
      <c r="AZ39" s="366"/>
      <c r="BA39" s="366"/>
      <c r="BB39" s="366"/>
      <c r="BC39" s="366"/>
      <c r="BD39" s="366"/>
      <c r="BE39" s="304"/>
      <c r="BF39" s="304"/>
      <c r="BG39" s="304"/>
      <c r="BH39" s="304"/>
      <c r="BI39" s="304"/>
      <c r="BJ39" s="304"/>
      <c r="BK39" s="304"/>
      <c r="BL39" s="867"/>
      <c r="BM39" s="867"/>
      <c r="BN39" s="867"/>
      <c r="BO39" s="867"/>
      <c r="BP39" s="867"/>
      <c r="BQ39" s="867"/>
      <c r="BR39" s="867"/>
      <c r="BS39" s="867"/>
      <c r="BT39" s="867"/>
      <c r="BU39" s="867"/>
      <c r="BV39" s="867"/>
      <c r="BW39" s="867"/>
      <c r="BX39" s="867"/>
      <c r="BY39" s="867"/>
      <c r="BZ39" s="867"/>
      <c r="CA39" s="867"/>
      <c r="CB39" s="867"/>
      <c r="CC39" s="304"/>
      <c r="CD39" s="304"/>
      <c r="CE39" s="304"/>
      <c r="CF39" s="304"/>
      <c r="CG39" s="304"/>
      <c r="CH39" s="284"/>
      <c r="CI39" s="288"/>
      <c r="CJ39" s="288"/>
    </row>
    <row r="40" spans="1:88" s="250" customFormat="1" ht="3" customHeight="1">
      <c r="A40" s="312"/>
      <c r="B40" s="312"/>
      <c r="C40" s="312"/>
      <c r="D40" s="312"/>
      <c r="E40" s="1078"/>
      <c r="F40" s="1079"/>
      <c r="G40" s="1082"/>
      <c r="H40" s="1082"/>
      <c r="I40" s="1082"/>
      <c r="J40" s="1082"/>
      <c r="K40" s="1082"/>
      <c r="L40" s="1082"/>
      <c r="M40" s="1082"/>
      <c r="N40" s="1082"/>
      <c r="O40" s="1082"/>
      <c r="P40" s="1082"/>
      <c r="Q40" s="1082"/>
      <c r="R40" s="1082"/>
      <c r="S40" s="1082"/>
      <c r="T40" s="1082"/>
      <c r="U40" s="1082"/>
      <c r="V40" s="1082"/>
      <c r="W40" s="1082"/>
      <c r="X40" s="1082"/>
      <c r="Y40" s="1082"/>
      <c r="Z40" s="1082"/>
      <c r="AA40" s="1082"/>
      <c r="AB40" s="1082"/>
      <c r="AC40" s="1082"/>
      <c r="AD40" s="1082"/>
      <c r="AE40" s="1082"/>
      <c r="AF40" s="1082"/>
      <c r="AG40" s="1082"/>
      <c r="AH40" s="1082"/>
      <c r="AI40" s="1082"/>
      <c r="AJ40" s="1082"/>
      <c r="AK40" s="1014"/>
      <c r="AL40" s="1014"/>
      <c r="AM40" s="1014"/>
      <c r="AN40" s="355"/>
      <c r="AO40" s="436"/>
      <c r="AP40" s="436"/>
      <c r="AQ40" s="436"/>
      <c r="AR40" s="435"/>
      <c r="AS40" s="433"/>
      <c r="AT40" s="433"/>
      <c r="AU40" s="433"/>
      <c r="AV40" s="433"/>
      <c r="AW40" s="433"/>
      <c r="AX40" s="434"/>
      <c r="AY40" s="1007"/>
      <c r="AZ40" s="1007"/>
      <c r="BA40" s="1007"/>
      <c r="BB40" s="1007"/>
      <c r="BC40" s="1007"/>
      <c r="BD40" s="1007"/>
      <c r="BE40" s="434"/>
      <c r="BF40" s="968"/>
      <c r="BG40" s="968"/>
      <c r="BH40" s="968"/>
      <c r="BI40" s="968"/>
      <c r="BJ40" s="968"/>
      <c r="BK40" s="851"/>
      <c r="BL40" s="826"/>
      <c r="BM40" s="820"/>
      <c r="BN40" s="820"/>
      <c r="BO40" s="820"/>
      <c r="BP40" s="435"/>
      <c r="BQ40" s="1007"/>
      <c r="BR40" s="1007"/>
      <c r="BS40" s="1007"/>
      <c r="BT40" s="1007"/>
      <c r="BU40" s="1007"/>
      <c r="BV40" s="1008"/>
      <c r="BW40" s="968"/>
      <c r="BX40" s="968"/>
      <c r="BY40" s="968"/>
      <c r="BZ40" s="968"/>
      <c r="CA40" s="968"/>
      <c r="CB40" s="1009"/>
      <c r="CC40" s="968"/>
      <c r="CD40" s="968"/>
      <c r="CE40" s="968"/>
      <c r="CF40" s="968"/>
      <c r="CG40" s="968"/>
      <c r="CH40" s="285"/>
      <c r="CI40" s="288"/>
      <c r="CJ40" s="288"/>
    </row>
    <row r="41" spans="1:88" s="313" customFormat="1" ht="15" customHeight="1">
      <c r="A41" s="312"/>
      <c r="B41" s="312"/>
      <c r="C41" s="312"/>
      <c r="E41" s="1078"/>
      <c r="F41" s="1079"/>
      <c r="G41" s="1082"/>
      <c r="H41" s="1082"/>
      <c r="I41" s="1082"/>
      <c r="J41" s="1082"/>
      <c r="K41" s="1082"/>
      <c r="L41" s="1082"/>
      <c r="M41" s="1082"/>
      <c r="N41" s="1082"/>
      <c r="O41" s="1082"/>
      <c r="P41" s="1082"/>
      <c r="Q41" s="1082"/>
      <c r="R41" s="1082"/>
      <c r="S41" s="1082"/>
      <c r="T41" s="1082"/>
      <c r="U41" s="1082"/>
      <c r="V41" s="1082"/>
      <c r="W41" s="1082"/>
      <c r="X41" s="1082"/>
      <c r="Y41" s="1082"/>
      <c r="Z41" s="1082"/>
      <c r="AA41" s="1082"/>
      <c r="AB41" s="1082"/>
      <c r="AC41" s="1082"/>
      <c r="AD41" s="1082"/>
      <c r="AE41" s="1082"/>
      <c r="AF41" s="1082"/>
      <c r="AG41" s="1082"/>
      <c r="AH41" s="1082"/>
      <c r="AI41" s="1082"/>
      <c r="AJ41" s="1082"/>
      <c r="AK41" s="1014"/>
      <c r="AL41" s="1014"/>
      <c r="AM41" s="1014"/>
      <c r="AN41" s="355"/>
      <c r="AO41" s="432" t="str">
        <f>IF(LEN(VLOOKUP(AK39,vysledovka!$D$8:$F$68,2,FALSE))&lt;11,"",LEFT(RIGHT(VLOOKUP(AK39,vysledovka!$D$8:$F$68,2,FALSE),11),1))</f>
        <v/>
      </c>
      <c r="AP41" s="255"/>
      <c r="AQ41" s="432" t="str">
        <f>IF(LEN(VLOOKUP(AK39,vysledovka!$D$8:$F$68,2,FALSE))&lt;10,"",LEFT(RIGHT(VLOOKUP(AK39,vysledovka!$D$8:$F$68,2,FALSE),10),1))</f>
        <v/>
      </c>
      <c r="AR41" s="434"/>
      <c r="AS41" s="432" t="str">
        <f>IF(LEN(VLOOKUP(AK39,vysledovka!$D$8:$F$68,2,FALSE))&lt;9,"",LEFT(RIGHT(VLOOKUP(AK39,vysledovka!$D$8:$F$68,2,FALSE),9),1))</f>
        <v/>
      </c>
      <c r="AT41" s="255"/>
      <c r="AU41" s="432" t="str">
        <f>IF(LEN(VLOOKUP(AK39,vysledovka!$D$8:$F$68,2,FALSE))&lt;8,"",LEFT(RIGHT(VLOOKUP(AK39,vysledovka!$D$8:$F$68,2,FALSE),8),1))</f>
        <v/>
      </c>
      <c r="AV41" s="434"/>
      <c r="AW41" s="432" t="str">
        <f>IF(LEN(VLOOKUP(AK39,vysledovka!$D$8:$F$68,2,FALSE))&lt;7,"",LEFT(RIGHT(VLOOKUP(AK39,vysledovka!$D$8:$F$68,2,FALSE),7),1))</f>
        <v/>
      </c>
      <c r="AX41" s="434"/>
      <c r="AY41" s="432" t="str">
        <f>IF(LEN(VLOOKUP(AK39,vysledovka!$D$8:$F$68,2,FALSE))&lt;6,"",LEFT(RIGHT(VLOOKUP(AK39,vysledovka!$D$8:$F$68,2,FALSE),6),1))</f>
        <v/>
      </c>
      <c r="AZ41" s="255"/>
      <c r="BA41" s="961" t="str">
        <f>IF(LEN(VLOOKUP(AK39,vysledovka!$D$8:$F$68,2,FALSE))&lt;5,"",LEFT(RIGHT(VLOOKUP(AK39,vysledovka!$D$8:$F$68,2,FALSE),5),1))</f>
        <v>4</v>
      </c>
      <c r="BB41" s="961"/>
      <c r="BC41" s="434"/>
      <c r="BD41" s="432" t="str">
        <f>IF(LEN(VLOOKUP(AK39,vysledovka!$D$8:$F$68,2,FALSE))&lt;4,"",LEFT(RIGHT(VLOOKUP(AK39,vysledovka!$D$8:$F$68,2,FALSE),4),1))</f>
        <v>3</v>
      </c>
      <c r="BE41" s="434"/>
      <c r="BF41" s="432" t="str">
        <f>IF(LEN(VLOOKUP(AK39,vysledovka!$D$8:$F$68,2,FALSE))&lt;3,"",LEFT(RIGHT(VLOOKUP(AK39,vysledovka!$D$8:$F$68,2,FALSE),3),1))</f>
        <v>2</v>
      </c>
      <c r="BG41" s="434"/>
      <c r="BH41" s="432" t="str">
        <f>IF(LEN(VLOOKUP(AK39,vysledovka!$D$8:$F$68,2,FALSE))&lt;2,"",LEFT(RIGHT(VLOOKUP(AK39,vysledovka!$D$8:$F$68,2,FALSE),2),1))</f>
        <v>1</v>
      </c>
      <c r="BI41" s="434"/>
      <c r="BJ41" s="432" t="str">
        <f>IF(VLOOKUP(AK39,vysledovka!$D$8:$F$68,2,FALSE)=0,"",IF(LEN(VLOOKUP(AK39,vysledovka!$D$8:$F$68,2,FALSE))&lt;1,"",LEFT(RIGHT(VLOOKUP(AK39,vysledovka!$D$8:$F$68,2,FALSE),1),1)))</f>
        <v>4</v>
      </c>
      <c r="BK41" s="851"/>
      <c r="BL41" s="826"/>
      <c r="BM41" s="432" t="str">
        <f>IF(LEN(VLOOKUP(AK39,vysledovka!$D$8:$F$68,3,FALSE))&lt;11,"",LEFT(RIGHT(VLOOKUP(AK39,vysledovka!$D$8:$F$68,3,FALSE),11),1))</f>
        <v/>
      </c>
      <c r="BN41" s="255"/>
      <c r="BO41" s="432" t="str">
        <f>IF(LEN(VLOOKUP(AK39,vysledovka!$D$8:$F$68,3,FALSE))&lt;10,"",LEFT(RIGHT(VLOOKUP(AK39,vysledovka!$D$8:$F$68,3,FALSE),10),1))</f>
        <v/>
      </c>
      <c r="BP41" s="434"/>
      <c r="BQ41" s="432" t="str">
        <f>IF(LEN(VLOOKUP(AK39,vysledovka!$D$8:$F$68,3,FALSE))&lt;9,"",LEFT(RIGHT(VLOOKUP(AK39,vysledovka!$D$8:$F$68,3,FALSE),9),1))</f>
        <v/>
      </c>
      <c r="BR41" s="255"/>
      <c r="BS41" s="432" t="str">
        <f>IF(LEN(VLOOKUP(AK39,vysledovka!$D$8:$F$68,3,FALSE))&lt;8,"",LEFT(RIGHT(VLOOKUP(AK39,vysledovka!$D$8:$F$68,3,FALSE),8),1))</f>
        <v/>
      </c>
      <c r="BT41" s="434"/>
      <c r="BU41" s="432" t="str">
        <f>IF(LEN(VLOOKUP(AK39,vysledovka!$D$8:$F$68,3,FALSE))&lt;7,"",LEFT(RIGHT(VLOOKUP(AK39,vysledovka!$D$8:$F$68,3,FALSE),7),1))</f>
        <v/>
      </c>
      <c r="BV41" s="1008"/>
      <c r="BW41" s="432" t="str">
        <f>IF(LEN(VLOOKUP(AK39,vysledovka!$D$8:$F$68,3,FALSE))&lt;6,"",LEFT(RIGHT(VLOOKUP(AK39,vysledovka!$D$8:$F$68,3,FALSE),6),1))</f>
        <v/>
      </c>
      <c r="BX41" s="434"/>
      <c r="BY41" s="432" t="str">
        <f>IF(LEN(VLOOKUP(AK39,vysledovka!$D$8:$F$68,3,FALSE))&lt;5,"",LEFT(RIGHT(VLOOKUP(AK39,vysledovka!$D$8:$F$68,3,FALSE),5),1))</f>
        <v/>
      </c>
      <c r="BZ41" s="434"/>
      <c r="CA41" s="432" t="str">
        <f>IF(LEN(VLOOKUP(AK39,vysledovka!$D$8:$F$68,3,FALSE))&lt;4,"",LEFT(RIGHT(VLOOKUP(AK39,vysledovka!$D$8:$F$68,3,FALSE),4),1))</f>
        <v/>
      </c>
      <c r="CB41" s="1009"/>
      <c r="CC41" s="432" t="str">
        <f>IF(LEN(VLOOKUP(AK39,vysledovka!$D$8:$F$68,3,FALSE))&lt;3,"",LEFT(RIGHT(VLOOKUP(AK39,vysledovka!$D$8:$F$68,3,FALSE),3),1))</f>
        <v/>
      </c>
      <c r="CD41" s="434"/>
      <c r="CE41" s="432" t="str">
        <f>IF(LEN(VLOOKUP(AK39,vysledovka!$D$8:$F$68,3,FALSE))&lt;2,"",LEFT(RIGHT(VLOOKUP(AK39,vysledovka!$D$8:$F$68,3,FALSE),2),1))</f>
        <v/>
      </c>
      <c r="CF41" s="434"/>
      <c r="CG41" s="432" t="str">
        <f>IF(VLOOKUP(AK39,vysledovka!$D$8:$F$68,3,FALSE)=0,"",IF(LEN(VLOOKUP(AK39,vysledovka!$D$8:$F$68,3,FALSE))&lt;1,"",LEFT(RIGHT(VLOOKUP(AK39,vysledovka!$D$8:$F$68,3,FALSE),1),1)))</f>
        <v/>
      </c>
      <c r="CH41" s="285"/>
      <c r="CI41" s="312"/>
      <c r="CJ41" s="312"/>
    </row>
    <row r="42" spans="1:88" s="313" customFormat="1">
      <c r="A42" s="312"/>
      <c r="B42" s="312"/>
      <c r="C42" s="312"/>
      <c r="E42" s="1080"/>
      <c r="F42" s="1081"/>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c r="AD42" s="1082"/>
      <c r="AE42" s="1082"/>
      <c r="AF42" s="1082"/>
      <c r="AG42" s="1082"/>
      <c r="AH42" s="1082"/>
      <c r="AI42" s="1082"/>
      <c r="AJ42" s="1082"/>
      <c r="AK42" s="1014"/>
      <c r="AL42" s="1014"/>
      <c r="AM42" s="1014"/>
      <c r="AN42" s="358"/>
      <c r="AO42" s="365"/>
      <c r="AP42" s="365"/>
      <c r="AQ42" s="365"/>
      <c r="AR42" s="365"/>
      <c r="AS42" s="365"/>
      <c r="AT42" s="365"/>
      <c r="AU42" s="365"/>
      <c r="AV42" s="365"/>
      <c r="AW42" s="365"/>
      <c r="AX42" s="365"/>
      <c r="AY42" s="365"/>
      <c r="AZ42" s="365"/>
      <c r="BA42" s="365"/>
      <c r="BB42" s="365"/>
      <c r="BC42" s="365"/>
      <c r="BD42" s="365"/>
      <c r="BE42" s="310"/>
      <c r="BF42" s="310"/>
      <c r="BG42" s="310"/>
      <c r="BH42" s="310"/>
      <c r="BI42" s="310"/>
      <c r="BJ42" s="310"/>
      <c r="BK42" s="310"/>
      <c r="BL42" s="846"/>
      <c r="BM42" s="846"/>
      <c r="BN42" s="846"/>
      <c r="BO42" s="846"/>
      <c r="BP42" s="846"/>
      <c r="BQ42" s="846"/>
      <c r="BR42" s="846"/>
      <c r="BS42" s="846"/>
      <c r="BT42" s="846"/>
      <c r="BU42" s="846"/>
      <c r="BV42" s="846"/>
      <c r="BW42" s="846"/>
      <c r="BX42" s="846"/>
      <c r="BY42" s="846"/>
      <c r="BZ42" s="846"/>
      <c r="CA42" s="846"/>
      <c r="CB42" s="846"/>
      <c r="CC42" s="310"/>
      <c r="CD42" s="310"/>
      <c r="CE42" s="310"/>
      <c r="CF42" s="310"/>
      <c r="CG42" s="310"/>
      <c r="CH42" s="286"/>
      <c r="CI42" s="312"/>
      <c r="CJ42" s="312"/>
    </row>
    <row r="43" spans="1:88" s="250" customFormat="1" ht="3" customHeight="1">
      <c r="A43" s="312"/>
      <c r="B43" s="312"/>
      <c r="C43" s="224"/>
      <c r="D43" s="224"/>
      <c r="E43" s="1070" t="s">
        <v>685</v>
      </c>
      <c r="F43" s="1071"/>
      <c r="G43" s="1042" t="str">
        <f>Index!C213</f>
        <v>Ostatné  výnosy z hospodárskej činnosti (644, 645, 646, 648, 655, 657)</v>
      </c>
      <c r="H43" s="1044"/>
      <c r="I43" s="1044"/>
      <c r="J43" s="1044"/>
      <c r="K43" s="1044"/>
      <c r="L43" s="1044"/>
      <c r="M43" s="1044"/>
      <c r="N43" s="1044"/>
      <c r="O43" s="1044"/>
      <c r="P43" s="1044"/>
      <c r="Q43" s="1044"/>
      <c r="R43" s="1044"/>
      <c r="S43" s="1044"/>
      <c r="T43" s="1044"/>
      <c r="U43" s="1044"/>
      <c r="V43" s="1044"/>
      <c r="W43" s="1044"/>
      <c r="X43" s="1044"/>
      <c r="Y43" s="1044"/>
      <c r="Z43" s="1044"/>
      <c r="AA43" s="1044"/>
      <c r="AB43" s="1044"/>
      <c r="AC43" s="1044"/>
      <c r="AD43" s="1044"/>
      <c r="AE43" s="1044"/>
      <c r="AF43" s="1044"/>
      <c r="AG43" s="1044"/>
      <c r="AH43" s="1044"/>
      <c r="AI43" s="1044"/>
      <c r="AJ43" s="1044"/>
      <c r="AK43" s="1056" t="s">
        <v>662</v>
      </c>
      <c r="AL43" s="1014"/>
      <c r="AM43" s="1014"/>
      <c r="AN43" s="357"/>
      <c r="AO43" s="366"/>
      <c r="AP43" s="366"/>
      <c r="AQ43" s="366"/>
      <c r="AR43" s="366"/>
      <c r="AS43" s="366"/>
      <c r="AT43" s="366"/>
      <c r="AU43" s="366"/>
      <c r="AV43" s="366"/>
      <c r="AW43" s="366"/>
      <c r="AX43" s="366"/>
      <c r="AY43" s="366"/>
      <c r="AZ43" s="366"/>
      <c r="BA43" s="366"/>
      <c r="BB43" s="366"/>
      <c r="BC43" s="366"/>
      <c r="BD43" s="366"/>
      <c r="BE43" s="304"/>
      <c r="BF43" s="304"/>
      <c r="BG43" s="304"/>
      <c r="BH43" s="304"/>
      <c r="BI43" s="304"/>
      <c r="BJ43" s="304"/>
      <c r="BK43" s="304"/>
      <c r="BL43" s="867"/>
      <c r="BM43" s="867"/>
      <c r="BN43" s="867"/>
      <c r="BO43" s="867"/>
      <c r="BP43" s="867"/>
      <c r="BQ43" s="867"/>
      <c r="BR43" s="867"/>
      <c r="BS43" s="867"/>
      <c r="BT43" s="867"/>
      <c r="BU43" s="867"/>
      <c r="BV43" s="867"/>
      <c r="BW43" s="867"/>
      <c r="BX43" s="867"/>
      <c r="BY43" s="867"/>
      <c r="BZ43" s="867"/>
      <c r="CA43" s="867"/>
      <c r="CB43" s="867"/>
      <c r="CC43" s="304"/>
      <c r="CD43" s="304"/>
      <c r="CE43" s="304"/>
      <c r="CF43" s="304"/>
      <c r="CG43" s="304"/>
      <c r="CH43" s="284"/>
      <c r="CI43" s="288"/>
      <c r="CJ43" s="288"/>
    </row>
    <row r="44" spans="1:88" s="250" customFormat="1" ht="3" customHeight="1">
      <c r="A44" s="312"/>
      <c r="B44" s="312"/>
      <c r="C44" s="312"/>
      <c r="D44" s="312"/>
      <c r="E44" s="1072"/>
      <c r="F44" s="1073"/>
      <c r="G44" s="1044"/>
      <c r="H44" s="1044"/>
      <c r="I44" s="1044"/>
      <c r="J44" s="1044"/>
      <c r="K44" s="1044"/>
      <c r="L44" s="1044"/>
      <c r="M44" s="1044"/>
      <c r="N44" s="1044"/>
      <c r="O44" s="1044"/>
      <c r="P44" s="1044"/>
      <c r="Q44" s="1044"/>
      <c r="R44" s="1044"/>
      <c r="S44" s="1044"/>
      <c r="T44" s="1044"/>
      <c r="U44" s="1044"/>
      <c r="V44" s="1044"/>
      <c r="W44" s="1044"/>
      <c r="X44" s="1044"/>
      <c r="Y44" s="1044"/>
      <c r="Z44" s="1044"/>
      <c r="AA44" s="1044"/>
      <c r="AB44" s="1044"/>
      <c r="AC44" s="1044"/>
      <c r="AD44" s="1044"/>
      <c r="AE44" s="1044"/>
      <c r="AF44" s="1044"/>
      <c r="AG44" s="1044"/>
      <c r="AH44" s="1044"/>
      <c r="AI44" s="1044"/>
      <c r="AJ44" s="1044"/>
      <c r="AK44" s="1014"/>
      <c r="AL44" s="1014"/>
      <c r="AM44" s="1014"/>
      <c r="AN44" s="355"/>
      <c r="AO44" s="436"/>
      <c r="AP44" s="436"/>
      <c r="AQ44" s="436"/>
      <c r="AR44" s="435"/>
      <c r="AS44" s="433"/>
      <c r="AT44" s="433"/>
      <c r="AU44" s="433"/>
      <c r="AV44" s="433"/>
      <c r="AW44" s="433"/>
      <c r="AX44" s="434"/>
      <c r="AY44" s="1007"/>
      <c r="AZ44" s="1007"/>
      <c r="BA44" s="1007"/>
      <c r="BB44" s="1007"/>
      <c r="BC44" s="1007"/>
      <c r="BD44" s="1007"/>
      <c r="BE44" s="434"/>
      <c r="BF44" s="968"/>
      <c r="BG44" s="968"/>
      <c r="BH44" s="968"/>
      <c r="BI44" s="968"/>
      <c r="BJ44" s="968"/>
      <c r="BK44" s="851"/>
      <c r="BL44" s="826"/>
      <c r="BM44" s="820"/>
      <c r="BN44" s="820"/>
      <c r="BO44" s="820"/>
      <c r="BP44" s="435"/>
      <c r="BQ44" s="1007"/>
      <c r="BR44" s="1007"/>
      <c r="BS44" s="1007"/>
      <c r="BT44" s="1007"/>
      <c r="BU44" s="1007"/>
      <c r="BV44" s="1008"/>
      <c r="BW44" s="968"/>
      <c r="BX44" s="968"/>
      <c r="BY44" s="968"/>
      <c r="BZ44" s="968"/>
      <c r="CA44" s="968"/>
      <c r="CB44" s="1009"/>
      <c r="CC44" s="968"/>
      <c r="CD44" s="968"/>
      <c r="CE44" s="968"/>
      <c r="CF44" s="968"/>
      <c r="CG44" s="968"/>
      <c r="CH44" s="285"/>
      <c r="CI44" s="288"/>
      <c r="CJ44" s="288"/>
    </row>
    <row r="45" spans="1:88" s="313" customFormat="1" ht="15" customHeight="1">
      <c r="A45" s="312"/>
      <c r="B45" s="312"/>
      <c r="C45" s="312"/>
      <c r="E45" s="1072"/>
      <c r="F45" s="1073"/>
      <c r="G45" s="1044"/>
      <c r="H45" s="1044"/>
      <c r="I45" s="1044"/>
      <c r="J45" s="1044"/>
      <c r="K45" s="1044"/>
      <c r="L45" s="1044"/>
      <c r="M45" s="1044"/>
      <c r="N45" s="1044"/>
      <c r="O45" s="1044"/>
      <c r="P45" s="1044"/>
      <c r="Q45" s="1044"/>
      <c r="R45" s="1044"/>
      <c r="S45" s="1044"/>
      <c r="T45" s="1044"/>
      <c r="U45" s="1044"/>
      <c r="V45" s="1044"/>
      <c r="W45" s="1044"/>
      <c r="X45" s="1044"/>
      <c r="Y45" s="1044"/>
      <c r="Z45" s="1044"/>
      <c r="AA45" s="1044"/>
      <c r="AB45" s="1044"/>
      <c r="AC45" s="1044"/>
      <c r="AD45" s="1044"/>
      <c r="AE45" s="1044"/>
      <c r="AF45" s="1044"/>
      <c r="AG45" s="1044"/>
      <c r="AH45" s="1044"/>
      <c r="AI45" s="1044"/>
      <c r="AJ45" s="1044"/>
      <c r="AK45" s="1014"/>
      <c r="AL45" s="1014"/>
      <c r="AM45" s="1014"/>
      <c r="AN45" s="355"/>
      <c r="AO45" s="432" t="str">
        <f>IF(LEN(VLOOKUP(AK43,vysledovka!$D$8:$F$68,2,FALSE))&lt;11,"",LEFT(RIGHT(VLOOKUP(AK43,vysledovka!$D$8:$F$68,2,FALSE),11),1))</f>
        <v/>
      </c>
      <c r="AP45" s="255"/>
      <c r="AQ45" s="432" t="str">
        <f>IF(LEN(VLOOKUP(AK43,vysledovka!$D$8:$F$68,2,FALSE))&lt;10,"",LEFT(RIGHT(VLOOKUP(AK43,vysledovka!$D$8:$F$68,2,FALSE),10),1))</f>
        <v/>
      </c>
      <c r="AR45" s="434"/>
      <c r="AS45" s="432" t="str">
        <f>IF(LEN(VLOOKUP(AK43,vysledovka!$D$8:$F$68,2,FALSE))&lt;9,"",LEFT(RIGHT(VLOOKUP(AK43,vysledovka!$D$8:$F$68,2,FALSE),9),1))</f>
        <v/>
      </c>
      <c r="AT45" s="255"/>
      <c r="AU45" s="432" t="str">
        <f>IF(LEN(VLOOKUP(AK43,vysledovka!$D$8:$F$68,2,FALSE))&lt;8,"",LEFT(RIGHT(VLOOKUP(AK43,vysledovka!$D$8:$F$68,2,FALSE),8),1))</f>
        <v/>
      </c>
      <c r="AV45" s="434"/>
      <c r="AW45" s="432" t="str">
        <f>IF(LEN(VLOOKUP(AK43,vysledovka!$D$8:$F$68,2,FALSE))&lt;7,"",LEFT(RIGHT(VLOOKUP(AK43,vysledovka!$D$8:$F$68,2,FALSE),7),1))</f>
        <v/>
      </c>
      <c r="AX45" s="434"/>
      <c r="AY45" s="432" t="str">
        <f>IF(LEN(VLOOKUP(AK43,vysledovka!$D$8:$F$68,2,FALSE))&lt;6,"",LEFT(RIGHT(VLOOKUP(AK43,vysledovka!$D$8:$F$68,2,FALSE),6),1))</f>
        <v/>
      </c>
      <c r="AZ45" s="255"/>
      <c r="BA45" s="961" t="str">
        <f>IF(LEN(VLOOKUP(AK43,vysledovka!$D$8:$F$68,2,FALSE))&lt;5,"",LEFT(RIGHT(VLOOKUP(AK43,vysledovka!$D$8:$F$68,2,FALSE),5),1))</f>
        <v/>
      </c>
      <c r="BB45" s="961"/>
      <c r="BC45" s="434"/>
      <c r="BD45" s="432" t="str">
        <f>IF(LEN(VLOOKUP(AK43,vysledovka!$D$8:$F$68,2,FALSE))&lt;4,"",LEFT(RIGHT(VLOOKUP(AK43,vysledovka!$D$8:$F$68,2,FALSE),4),1))</f>
        <v>2</v>
      </c>
      <c r="BE45" s="434"/>
      <c r="BF45" s="432" t="str">
        <f>IF(LEN(VLOOKUP(AK43,vysledovka!$D$8:$F$68,2,FALSE))&lt;3,"",LEFT(RIGHT(VLOOKUP(AK43,vysledovka!$D$8:$F$68,2,FALSE),3),1))</f>
        <v>7</v>
      </c>
      <c r="BG45" s="434"/>
      <c r="BH45" s="432" t="str">
        <f>IF(LEN(VLOOKUP(AK43,vysledovka!$D$8:$F$68,2,FALSE))&lt;2,"",LEFT(RIGHT(VLOOKUP(AK43,vysledovka!$D$8:$F$68,2,FALSE),2),1))</f>
        <v>1</v>
      </c>
      <c r="BI45" s="434"/>
      <c r="BJ45" s="432" t="str">
        <f>IF(VLOOKUP(AK43,vysledovka!$D$8:$F$68,2,FALSE)=0,"",IF(LEN(VLOOKUP(AK43,vysledovka!$D$8:$F$68,2,FALSE))&lt;1,"",LEFT(RIGHT(VLOOKUP(AK43,vysledovka!$D$8:$F$68,2,FALSE),1),1)))</f>
        <v>7</v>
      </c>
      <c r="BK45" s="851"/>
      <c r="BL45" s="826"/>
      <c r="BM45" s="432" t="str">
        <f>IF(LEN(VLOOKUP(AK43,vysledovka!$D$8:$F$68,3,FALSE))&lt;11,"",LEFT(RIGHT(VLOOKUP(AK43,vysledovka!$D$8:$F$68,3,FALSE),11),1))</f>
        <v/>
      </c>
      <c r="BN45" s="255"/>
      <c r="BO45" s="432" t="str">
        <f>IF(LEN(VLOOKUP(AK43,vysledovka!$D$8:$F$68,3,FALSE))&lt;10,"",LEFT(RIGHT(VLOOKUP(AK43,vysledovka!$D$8:$F$68,3,FALSE),10),1))</f>
        <v/>
      </c>
      <c r="BP45" s="434"/>
      <c r="BQ45" s="432" t="str">
        <f>IF(LEN(VLOOKUP(AK43,vysledovka!$D$8:$F$68,3,FALSE))&lt;9,"",LEFT(RIGHT(VLOOKUP(AK43,vysledovka!$D$8:$F$68,3,FALSE),9),1))</f>
        <v/>
      </c>
      <c r="BR45" s="255"/>
      <c r="BS45" s="432" t="str">
        <f>IF(LEN(VLOOKUP(AK43,vysledovka!$D$8:$F$68,3,FALSE))&lt;8,"",LEFT(RIGHT(VLOOKUP(AK43,vysledovka!$D$8:$F$68,3,FALSE),8),1))</f>
        <v/>
      </c>
      <c r="BT45" s="434"/>
      <c r="BU45" s="432" t="str">
        <f>IF(LEN(VLOOKUP(AK43,vysledovka!$D$8:$F$68,3,FALSE))&lt;7,"",LEFT(RIGHT(VLOOKUP(AK43,vysledovka!$D$8:$F$68,3,FALSE),7),1))</f>
        <v>2</v>
      </c>
      <c r="BV45" s="1008"/>
      <c r="BW45" s="432" t="str">
        <f>IF(LEN(VLOOKUP(AK43,vysledovka!$D$8:$F$68,3,FALSE))&lt;6,"",LEFT(RIGHT(VLOOKUP(AK43,vysledovka!$D$8:$F$68,3,FALSE),6),1))</f>
        <v>9</v>
      </c>
      <c r="BX45" s="434"/>
      <c r="BY45" s="432" t="str">
        <f>IF(LEN(VLOOKUP(AK43,vysledovka!$D$8:$F$68,3,FALSE))&lt;5,"",LEFT(RIGHT(VLOOKUP(AK43,vysledovka!$D$8:$F$68,3,FALSE),5),1))</f>
        <v>2</v>
      </c>
      <c r="BZ45" s="434"/>
      <c r="CA45" s="432" t="str">
        <f>IF(LEN(VLOOKUP(AK43,vysledovka!$D$8:$F$68,3,FALSE))&lt;4,"",LEFT(RIGHT(VLOOKUP(AK43,vysledovka!$D$8:$F$68,3,FALSE),4),1))</f>
        <v>4</v>
      </c>
      <c r="CB45" s="1009"/>
      <c r="CC45" s="432" t="str">
        <f>IF(LEN(VLOOKUP(AK43,vysledovka!$D$8:$F$68,3,FALSE))&lt;3,"",LEFT(RIGHT(VLOOKUP(AK43,vysledovka!$D$8:$F$68,3,FALSE),3),1))</f>
        <v>3</v>
      </c>
      <c r="CD45" s="434"/>
      <c r="CE45" s="432" t="str">
        <f>IF(LEN(VLOOKUP(AK43,vysledovka!$D$8:$F$68,3,FALSE))&lt;2,"",LEFT(RIGHT(VLOOKUP(AK43,vysledovka!$D$8:$F$68,3,FALSE),2),1))</f>
        <v>9</v>
      </c>
      <c r="CF45" s="434"/>
      <c r="CG45" s="432" t="str">
        <f>IF(VLOOKUP(AK43,vysledovka!$D$8:$F$68,3,FALSE)=0,"",IF(LEN(VLOOKUP(AK43,vysledovka!$D$8:$F$68,3,FALSE))&lt;1,"",LEFT(RIGHT(VLOOKUP(AK43,vysledovka!$D$8:$F$68,3,FALSE),1),1)))</f>
        <v>3</v>
      </c>
      <c r="CH45" s="285"/>
      <c r="CI45" s="312"/>
      <c r="CJ45" s="312"/>
    </row>
    <row r="46" spans="1:88" s="313" customFormat="1">
      <c r="A46" s="312"/>
      <c r="B46" s="312"/>
      <c r="C46" s="312"/>
      <c r="E46" s="1074"/>
      <c r="F46" s="1075"/>
      <c r="G46" s="1044"/>
      <c r="H46" s="1044"/>
      <c r="I46" s="1044"/>
      <c r="J46" s="1044"/>
      <c r="K46" s="1044"/>
      <c r="L46" s="1044"/>
      <c r="M46" s="1044"/>
      <c r="N46" s="1044"/>
      <c r="O46" s="1044"/>
      <c r="P46" s="1044"/>
      <c r="Q46" s="1044"/>
      <c r="R46" s="1044"/>
      <c r="S46" s="1044"/>
      <c r="T46" s="1044"/>
      <c r="U46" s="1044"/>
      <c r="V46" s="1044"/>
      <c r="W46" s="1044"/>
      <c r="X46" s="1044"/>
      <c r="Y46" s="1044"/>
      <c r="Z46" s="1044"/>
      <c r="AA46" s="1044"/>
      <c r="AB46" s="1044"/>
      <c r="AC46" s="1044"/>
      <c r="AD46" s="1044"/>
      <c r="AE46" s="1044"/>
      <c r="AF46" s="1044"/>
      <c r="AG46" s="1044"/>
      <c r="AH46" s="1044"/>
      <c r="AI46" s="1044"/>
      <c r="AJ46" s="1044"/>
      <c r="AK46" s="1014"/>
      <c r="AL46" s="1014"/>
      <c r="AM46" s="1014"/>
      <c r="AN46" s="358"/>
      <c r="AO46" s="365"/>
      <c r="AP46" s="365"/>
      <c r="AQ46" s="365"/>
      <c r="AR46" s="365"/>
      <c r="AS46" s="365"/>
      <c r="AT46" s="365"/>
      <c r="AU46" s="365"/>
      <c r="AV46" s="365"/>
      <c r="AW46" s="365"/>
      <c r="AX46" s="365"/>
      <c r="AY46" s="365"/>
      <c r="AZ46" s="365"/>
      <c r="BA46" s="365"/>
      <c r="BB46" s="365"/>
      <c r="BC46" s="365"/>
      <c r="BD46" s="365"/>
      <c r="BE46" s="310"/>
      <c r="BF46" s="310"/>
      <c r="BG46" s="310"/>
      <c r="BH46" s="310"/>
      <c r="BI46" s="310"/>
      <c r="BJ46" s="310"/>
      <c r="BK46" s="310"/>
      <c r="BL46" s="846"/>
      <c r="BM46" s="846"/>
      <c r="BN46" s="846"/>
      <c r="BO46" s="846"/>
      <c r="BP46" s="846"/>
      <c r="BQ46" s="846"/>
      <c r="BR46" s="846"/>
      <c r="BS46" s="846"/>
      <c r="BT46" s="846"/>
      <c r="BU46" s="846"/>
      <c r="BV46" s="846"/>
      <c r="BW46" s="846"/>
      <c r="BX46" s="846"/>
      <c r="BY46" s="846"/>
      <c r="BZ46" s="846"/>
      <c r="CA46" s="846"/>
      <c r="CB46" s="846"/>
      <c r="CC46" s="310"/>
      <c r="CD46" s="310"/>
      <c r="CE46" s="310"/>
      <c r="CF46" s="310"/>
      <c r="CG46" s="310"/>
      <c r="CH46" s="286"/>
      <c r="CI46" s="312"/>
      <c r="CJ46" s="312"/>
    </row>
    <row r="47" spans="1:88" s="307" customFormat="1" ht="3" customHeight="1">
      <c r="A47" s="302"/>
      <c r="B47" s="302"/>
      <c r="C47" s="303"/>
      <c r="D47" s="303"/>
      <c r="E47" s="1068" t="s">
        <v>706</v>
      </c>
      <c r="F47" s="1068"/>
      <c r="G47" s="1010" t="str">
        <f>Index!C214</f>
        <v>Náklady na hospodársku činnosť spolu (r. 11 + r. 12 + r. 13 + r.14 + r. 15 + r. 20 + r. 21 + r. 24 + r. 25 + r. 26)</v>
      </c>
      <c r="H47" s="1010"/>
      <c r="I47" s="1010"/>
      <c r="J47" s="1010"/>
      <c r="K47" s="1010"/>
      <c r="L47" s="1010"/>
      <c r="M47" s="1010"/>
      <c r="N47" s="1010"/>
      <c r="O47" s="1010"/>
      <c r="P47" s="1010"/>
      <c r="Q47" s="1010"/>
      <c r="R47" s="1010"/>
      <c r="S47" s="1010"/>
      <c r="T47" s="1010"/>
      <c r="U47" s="1010"/>
      <c r="V47" s="1010"/>
      <c r="W47" s="1010"/>
      <c r="X47" s="1010"/>
      <c r="Y47" s="1010"/>
      <c r="Z47" s="1010"/>
      <c r="AA47" s="1010"/>
      <c r="AB47" s="1010"/>
      <c r="AC47" s="1010"/>
      <c r="AD47" s="1010"/>
      <c r="AE47" s="1010"/>
      <c r="AF47" s="1010"/>
      <c r="AG47" s="1010"/>
      <c r="AH47" s="1010"/>
      <c r="AI47" s="1010"/>
      <c r="AJ47" s="1010"/>
      <c r="AK47" s="1069" t="s">
        <v>1548</v>
      </c>
      <c r="AL47" s="977"/>
      <c r="AM47" s="977"/>
      <c r="AN47" s="364"/>
      <c r="AO47" s="366"/>
      <c r="AP47" s="366"/>
      <c r="AQ47" s="366"/>
      <c r="AR47" s="366"/>
      <c r="AS47" s="366"/>
      <c r="AT47" s="366"/>
      <c r="AU47" s="366"/>
      <c r="AV47" s="366"/>
      <c r="AW47" s="366"/>
      <c r="AX47" s="366"/>
      <c r="AY47" s="366"/>
      <c r="AZ47" s="366"/>
      <c r="BA47" s="366"/>
      <c r="BB47" s="366"/>
      <c r="BC47" s="366"/>
      <c r="BD47" s="366"/>
      <c r="BE47" s="304"/>
      <c r="BF47" s="304"/>
      <c r="BG47" s="304"/>
      <c r="BH47" s="304"/>
      <c r="BI47" s="304"/>
      <c r="BJ47" s="304"/>
      <c r="BK47" s="304"/>
      <c r="BL47" s="867"/>
      <c r="BM47" s="867"/>
      <c r="BN47" s="867"/>
      <c r="BO47" s="867"/>
      <c r="BP47" s="867"/>
      <c r="BQ47" s="867"/>
      <c r="BR47" s="867"/>
      <c r="BS47" s="867"/>
      <c r="BT47" s="867"/>
      <c r="BU47" s="867"/>
      <c r="BV47" s="867"/>
      <c r="BW47" s="867"/>
      <c r="BX47" s="867"/>
      <c r="BY47" s="867"/>
      <c r="BZ47" s="867"/>
      <c r="CA47" s="867"/>
      <c r="CB47" s="867"/>
      <c r="CC47" s="304"/>
      <c r="CD47" s="304"/>
      <c r="CE47" s="304"/>
      <c r="CF47" s="304"/>
      <c r="CG47" s="304"/>
      <c r="CH47" s="305"/>
      <c r="CI47" s="306"/>
      <c r="CJ47" s="306"/>
    </row>
    <row r="48" spans="1:88" s="307" customFormat="1" ht="3" customHeight="1">
      <c r="A48" s="302"/>
      <c r="B48" s="302"/>
      <c r="C48" s="302"/>
      <c r="D48" s="302"/>
      <c r="E48" s="1068"/>
      <c r="F48" s="1068"/>
      <c r="G48" s="1010"/>
      <c r="H48" s="1010"/>
      <c r="I48" s="1010"/>
      <c r="J48" s="1010"/>
      <c r="K48" s="1010"/>
      <c r="L48" s="1010"/>
      <c r="M48" s="1010"/>
      <c r="N48" s="1010"/>
      <c r="O48" s="1010"/>
      <c r="P48" s="1010"/>
      <c r="Q48" s="1010"/>
      <c r="R48" s="1010"/>
      <c r="S48" s="1010"/>
      <c r="T48" s="1010"/>
      <c r="U48" s="1010"/>
      <c r="V48" s="1010"/>
      <c r="W48" s="1010"/>
      <c r="X48" s="1010"/>
      <c r="Y48" s="1010"/>
      <c r="Z48" s="1010"/>
      <c r="AA48" s="1010"/>
      <c r="AB48" s="1010"/>
      <c r="AC48" s="1010"/>
      <c r="AD48" s="1010"/>
      <c r="AE48" s="1010"/>
      <c r="AF48" s="1010"/>
      <c r="AG48" s="1010"/>
      <c r="AH48" s="1010"/>
      <c r="AI48" s="1010"/>
      <c r="AJ48" s="1010"/>
      <c r="AK48" s="977"/>
      <c r="AL48" s="977"/>
      <c r="AM48" s="977"/>
      <c r="AN48" s="367"/>
      <c r="AO48" s="436"/>
      <c r="AP48" s="436"/>
      <c r="AQ48" s="436"/>
      <c r="AR48" s="435"/>
      <c r="AS48" s="433"/>
      <c r="AT48" s="433"/>
      <c r="AU48" s="433"/>
      <c r="AV48" s="433"/>
      <c r="AW48" s="433"/>
      <c r="AX48" s="434"/>
      <c r="AY48" s="1007"/>
      <c r="AZ48" s="1007"/>
      <c r="BA48" s="1007"/>
      <c r="BB48" s="1007"/>
      <c r="BC48" s="1007"/>
      <c r="BD48" s="1007"/>
      <c r="BE48" s="434"/>
      <c r="BF48" s="968"/>
      <c r="BG48" s="968"/>
      <c r="BH48" s="968"/>
      <c r="BI48" s="968"/>
      <c r="BJ48" s="968"/>
      <c r="BK48" s="851"/>
      <c r="BL48" s="826"/>
      <c r="BM48" s="820"/>
      <c r="BN48" s="820"/>
      <c r="BO48" s="820"/>
      <c r="BP48" s="435"/>
      <c r="BQ48" s="1007"/>
      <c r="BR48" s="1007"/>
      <c r="BS48" s="1007"/>
      <c r="BT48" s="1007"/>
      <c r="BU48" s="1007"/>
      <c r="BV48" s="1008"/>
      <c r="BW48" s="968"/>
      <c r="BX48" s="968"/>
      <c r="BY48" s="968"/>
      <c r="BZ48" s="968"/>
      <c r="CA48" s="968"/>
      <c r="CB48" s="1009"/>
      <c r="CC48" s="968"/>
      <c r="CD48" s="968"/>
      <c r="CE48" s="968"/>
      <c r="CF48" s="968"/>
      <c r="CG48" s="968"/>
      <c r="CH48" s="308"/>
      <c r="CI48" s="306"/>
      <c r="CJ48" s="306"/>
    </row>
    <row r="49" spans="1:88" s="309" customFormat="1" ht="15" customHeight="1">
      <c r="A49" s="302"/>
      <c r="B49" s="302"/>
      <c r="C49" s="302"/>
      <c r="E49" s="1068"/>
      <c r="F49" s="1068"/>
      <c r="G49" s="1010"/>
      <c r="H49" s="1010"/>
      <c r="I49" s="1010"/>
      <c r="J49" s="1010"/>
      <c r="K49" s="1010"/>
      <c r="L49" s="1010"/>
      <c r="M49" s="1010"/>
      <c r="N49" s="1010"/>
      <c r="O49" s="1010"/>
      <c r="P49" s="1010"/>
      <c r="Q49" s="1010"/>
      <c r="R49" s="1010"/>
      <c r="S49" s="1010"/>
      <c r="T49" s="1010"/>
      <c r="U49" s="1010"/>
      <c r="V49" s="1010"/>
      <c r="W49" s="1010"/>
      <c r="X49" s="1010"/>
      <c r="Y49" s="1010"/>
      <c r="Z49" s="1010"/>
      <c r="AA49" s="1010"/>
      <c r="AB49" s="1010"/>
      <c r="AC49" s="1010"/>
      <c r="AD49" s="1010"/>
      <c r="AE49" s="1010"/>
      <c r="AF49" s="1010"/>
      <c r="AG49" s="1010"/>
      <c r="AH49" s="1010"/>
      <c r="AI49" s="1010"/>
      <c r="AJ49" s="1010"/>
      <c r="AK49" s="977"/>
      <c r="AL49" s="977"/>
      <c r="AM49" s="977"/>
      <c r="AN49" s="367"/>
      <c r="AO49" s="432" t="str">
        <f>IF(LEN(VLOOKUP(AK47,vysledovka!$D$8:$F$68,2,FALSE))&lt;11,"",LEFT(RIGHT(VLOOKUP(AK47,vysledovka!$D$8:$F$68,2,FALSE),11),1))</f>
        <v/>
      </c>
      <c r="AP49" s="255"/>
      <c r="AQ49" s="432" t="str">
        <f>IF(LEN(VLOOKUP(AK47,vysledovka!$D$8:$F$68,2,FALSE))&lt;10,"",LEFT(RIGHT(VLOOKUP(AK47,vysledovka!$D$8:$F$68,2,FALSE),10),1))</f>
        <v/>
      </c>
      <c r="AR49" s="434"/>
      <c r="AS49" s="432" t="str">
        <f>IF(LEN(VLOOKUP(AK47,vysledovka!$D$8:$F$68,2,FALSE))&lt;9,"",LEFT(RIGHT(VLOOKUP(AK47,vysledovka!$D$8:$F$68,2,FALSE),9),1))</f>
        <v/>
      </c>
      <c r="AT49" s="255"/>
      <c r="AU49" s="432" t="str">
        <f>IF(LEN(VLOOKUP(AK47,vysledovka!$D$8:$F$68,2,FALSE))&lt;8,"",LEFT(RIGHT(VLOOKUP(AK47,vysledovka!$D$8:$F$68,2,FALSE),8),1))</f>
        <v>2</v>
      </c>
      <c r="AV49" s="434"/>
      <c r="AW49" s="432" t="str">
        <f>IF(LEN(VLOOKUP(AK47,vysledovka!$D$8:$F$68,2,FALSE))&lt;7,"",LEFT(RIGHT(VLOOKUP(AK47,vysledovka!$D$8:$F$68,2,FALSE),7),1))</f>
        <v>4</v>
      </c>
      <c r="AX49" s="434"/>
      <c r="AY49" s="432" t="str">
        <f>IF(LEN(VLOOKUP(AK47,vysledovka!$D$8:$F$68,2,FALSE))&lt;6,"",LEFT(RIGHT(VLOOKUP(AK47,vysledovka!$D$8:$F$68,2,FALSE),6),1))</f>
        <v>2</v>
      </c>
      <c r="AZ49" s="255"/>
      <c r="BA49" s="961" t="str">
        <f>IF(LEN(VLOOKUP(AK47,vysledovka!$D$8:$F$68,2,FALSE))&lt;5,"",LEFT(RIGHT(VLOOKUP(AK47,vysledovka!$D$8:$F$68,2,FALSE),5),1))</f>
        <v>9</v>
      </c>
      <c r="BB49" s="961"/>
      <c r="BC49" s="434"/>
      <c r="BD49" s="432" t="str">
        <f>IF(LEN(VLOOKUP(AK47,vysledovka!$D$8:$F$68,2,FALSE))&lt;4,"",LEFT(RIGHT(VLOOKUP(AK47,vysledovka!$D$8:$F$68,2,FALSE),4),1))</f>
        <v>6</v>
      </c>
      <c r="BE49" s="434"/>
      <c r="BF49" s="432" t="str">
        <f>IF(LEN(VLOOKUP(AK47,vysledovka!$D$8:$F$68,2,FALSE))&lt;3,"",LEFT(RIGHT(VLOOKUP(AK47,vysledovka!$D$8:$F$68,2,FALSE),3),1))</f>
        <v>5</v>
      </c>
      <c r="BG49" s="434"/>
      <c r="BH49" s="432" t="str">
        <f>IF(LEN(VLOOKUP(AK47,vysledovka!$D$8:$F$68,2,FALSE))&lt;2,"",LEFT(RIGHT(VLOOKUP(AK47,vysledovka!$D$8:$F$68,2,FALSE),2),1))</f>
        <v>5</v>
      </c>
      <c r="BI49" s="434"/>
      <c r="BJ49" s="432" t="str">
        <f>IF(VLOOKUP(AK47,vysledovka!$D$8:$F$68,2,FALSE)=0,"",IF(LEN(VLOOKUP(AK47,vysledovka!$D$8:$F$68,2,FALSE))&lt;1,"",LEFT(RIGHT(VLOOKUP(AK47,vysledovka!$D$8:$F$68,2,FALSE),1),1)))</f>
        <v>9</v>
      </c>
      <c r="BK49" s="851"/>
      <c r="BL49" s="826"/>
      <c r="BM49" s="432" t="str">
        <f>IF(LEN(VLOOKUP(AK47,vysledovka!$D$8:$F$68,3,FALSE))&lt;11,"",LEFT(RIGHT(VLOOKUP(AK47,vysledovka!$D$8:$F$68,3,FALSE),11),1))</f>
        <v/>
      </c>
      <c r="BN49" s="255"/>
      <c r="BO49" s="432" t="str">
        <f>IF(LEN(VLOOKUP(AK47,vysledovka!$D$8:$F$68,3,FALSE))&lt;10,"",LEFT(RIGHT(VLOOKUP(AK47,vysledovka!$D$8:$F$68,3,FALSE),10),1))</f>
        <v/>
      </c>
      <c r="BP49" s="434"/>
      <c r="BQ49" s="432" t="str">
        <f>IF(LEN(VLOOKUP(AK47,vysledovka!$D$8:$F$68,3,FALSE))&lt;9,"",LEFT(RIGHT(VLOOKUP(AK47,vysledovka!$D$8:$F$68,3,FALSE),9),1))</f>
        <v/>
      </c>
      <c r="BR49" s="255"/>
      <c r="BS49" s="432" t="str">
        <f>IF(LEN(VLOOKUP(AK47,vysledovka!$D$8:$F$68,3,FALSE))&lt;8,"",LEFT(RIGHT(VLOOKUP(AK47,vysledovka!$D$8:$F$68,3,FALSE),8),1))</f>
        <v>4</v>
      </c>
      <c r="BT49" s="434"/>
      <c r="BU49" s="432" t="str">
        <f>IF(LEN(VLOOKUP(AK47,vysledovka!$D$8:$F$68,3,FALSE))&lt;7,"",LEFT(RIGHT(VLOOKUP(AK47,vysledovka!$D$8:$F$68,3,FALSE),7),1))</f>
        <v>9</v>
      </c>
      <c r="BV49" s="1008"/>
      <c r="BW49" s="432" t="str">
        <f>IF(LEN(VLOOKUP(AK47,vysledovka!$D$8:$F$68,3,FALSE))&lt;6,"",LEFT(RIGHT(VLOOKUP(AK47,vysledovka!$D$8:$F$68,3,FALSE),6),1))</f>
        <v>7</v>
      </c>
      <c r="BX49" s="434"/>
      <c r="BY49" s="432" t="str">
        <f>IF(LEN(VLOOKUP(AK47,vysledovka!$D$8:$F$68,3,FALSE))&lt;5,"",LEFT(RIGHT(VLOOKUP(AK47,vysledovka!$D$8:$F$68,3,FALSE),5),1))</f>
        <v>8</v>
      </c>
      <c r="BZ49" s="434"/>
      <c r="CA49" s="432" t="str">
        <f>IF(LEN(VLOOKUP(AK47,vysledovka!$D$8:$F$68,3,FALSE))&lt;4,"",LEFT(RIGHT(VLOOKUP(AK47,vysledovka!$D$8:$F$68,3,FALSE),4),1))</f>
        <v>4</v>
      </c>
      <c r="CB49" s="1009"/>
      <c r="CC49" s="432" t="str">
        <f>IF(LEN(VLOOKUP(AK47,vysledovka!$D$8:$F$68,3,FALSE))&lt;3,"",LEFT(RIGHT(VLOOKUP(AK47,vysledovka!$D$8:$F$68,3,FALSE),3),1))</f>
        <v>5</v>
      </c>
      <c r="CD49" s="434"/>
      <c r="CE49" s="432" t="str">
        <f>IF(LEN(VLOOKUP(AK47,vysledovka!$D$8:$F$68,3,FALSE))&lt;2,"",LEFT(RIGHT(VLOOKUP(AK47,vysledovka!$D$8:$F$68,3,FALSE),2),1))</f>
        <v>4</v>
      </c>
      <c r="CF49" s="434"/>
      <c r="CG49" s="432" t="str">
        <f>IF(VLOOKUP(AK47,vysledovka!$D$8:$F$68,3,FALSE)=0,"",IF(LEN(VLOOKUP(AK47,vysledovka!$D$8:$F$68,3,FALSE))&lt;1,"",LEFT(RIGHT(VLOOKUP(AK47,vysledovka!$D$8:$F$68,3,FALSE),1),1)))</f>
        <v>1</v>
      </c>
      <c r="CH49" s="308"/>
      <c r="CI49" s="302"/>
      <c r="CJ49" s="302"/>
    </row>
    <row r="50" spans="1:88" s="309" customFormat="1">
      <c r="A50" s="302"/>
      <c r="B50" s="302"/>
      <c r="C50" s="302"/>
      <c r="E50" s="1068"/>
      <c r="F50" s="1068"/>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c r="AH50" s="1010"/>
      <c r="AI50" s="1010"/>
      <c r="AJ50" s="1010"/>
      <c r="AK50" s="977"/>
      <c r="AL50" s="977"/>
      <c r="AM50" s="977"/>
      <c r="AN50" s="363"/>
      <c r="AO50" s="365"/>
      <c r="AP50" s="365"/>
      <c r="AQ50" s="365"/>
      <c r="AR50" s="365"/>
      <c r="AS50" s="365"/>
      <c r="AT50" s="365"/>
      <c r="AU50" s="365"/>
      <c r="AV50" s="365"/>
      <c r="AW50" s="365"/>
      <c r="AX50" s="365"/>
      <c r="AY50" s="365"/>
      <c r="AZ50" s="365"/>
      <c r="BA50" s="365"/>
      <c r="BB50" s="365"/>
      <c r="BC50" s="365"/>
      <c r="BD50" s="365"/>
      <c r="BE50" s="310"/>
      <c r="BF50" s="310"/>
      <c r="BG50" s="310"/>
      <c r="BH50" s="310"/>
      <c r="BI50" s="310"/>
      <c r="BJ50" s="310"/>
      <c r="BK50" s="310"/>
      <c r="BL50" s="846"/>
      <c r="BM50" s="846"/>
      <c r="BN50" s="846"/>
      <c r="BO50" s="846"/>
      <c r="BP50" s="846"/>
      <c r="BQ50" s="846"/>
      <c r="BR50" s="846"/>
      <c r="BS50" s="846"/>
      <c r="BT50" s="846"/>
      <c r="BU50" s="846"/>
      <c r="BV50" s="846"/>
      <c r="BW50" s="846"/>
      <c r="BX50" s="846"/>
      <c r="BY50" s="846"/>
      <c r="BZ50" s="846"/>
      <c r="CA50" s="846"/>
      <c r="CB50" s="846"/>
      <c r="CC50" s="310"/>
      <c r="CD50" s="310"/>
      <c r="CE50" s="310"/>
      <c r="CF50" s="310"/>
      <c r="CG50" s="310"/>
      <c r="CH50" s="311"/>
      <c r="CI50" s="302"/>
      <c r="CJ50" s="302"/>
    </row>
    <row r="51" spans="1:88" s="250" customFormat="1" ht="3" customHeight="1">
      <c r="A51" s="312"/>
      <c r="B51" s="312"/>
      <c r="C51" s="224"/>
      <c r="D51" s="224"/>
      <c r="E51" s="1055" t="s">
        <v>495</v>
      </c>
      <c r="F51" s="1055"/>
      <c r="G51" s="1062" t="str">
        <f>Index!C215</f>
        <v>Náklady vynaložené na obstaranie predaného tovaru (504, 507)</v>
      </c>
      <c r="H51" s="1063"/>
      <c r="I51" s="1063"/>
      <c r="J51" s="1063"/>
      <c r="K51" s="1063"/>
      <c r="L51" s="1063"/>
      <c r="M51" s="1063"/>
      <c r="N51" s="1063"/>
      <c r="O51" s="1063"/>
      <c r="P51" s="1063"/>
      <c r="Q51" s="1063"/>
      <c r="R51" s="1063"/>
      <c r="S51" s="1063"/>
      <c r="T51" s="1063"/>
      <c r="U51" s="1063"/>
      <c r="V51" s="1063"/>
      <c r="W51" s="1063"/>
      <c r="X51" s="1063"/>
      <c r="Y51" s="1063"/>
      <c r="Z51" s="1063"/>
      <c r="AA51" s="1063"/>
      <c r="AB51" s="1063"/>
      <c r="AC51" s="1063"/>
      <c r="AD51" s="1063"/>
      <c r="AE51" s="1063"/>
      <c r="AF51" s="1063"/>
      <c r="AG51" s="1063"/>
      <c r="AH51" s="1063"/>
      <c r="AI51" s="1063"/>
      <c r="AJ51" s="1064"/>
      <c r="AK51" s="1056" t="s">
        <v>1549</v>
      </c>
      <c r="AL51" s="1014"/>
      <c r="AM51" s="1014"/>
      <c r="AN51" s="357"/>
      <c r="AO51" s="366"/>
      <c r="AP51" s="366"/>
      <c r="AQ51" s="366"/>
      <c r="AR51" s="366"/>
      <c r="AS51" s="366"/>
      <c r="AT51" s="366"/>
      <c r="AU51" s="366"/>
      <c r="AV51" s="366"/>
      <c r="AW51" s="366"/>
      <c r="AX51" s="366"/>
      <c r="AY51" s="366"/>
      <c r="AZ51" s="366"/>
      <c r="BA51" s="366"/>
      <c r="BB51" s="366"/>
      <c r="BC51" s="366"/>
      <c r="BD51" s="366"/>
      <c r="BE51" s="304"/>
      <c r="BF51" s="304"/>
      <c r="BG51" s="304"/>
      <c r="BH51" s="304"/>
      <c r="BI51" s="304"/>
      <c r="BJ51" s="304"/>
      <c r="BK51" s="304"/>
      <c r="BL51" s="867"/>
      <c r="BM51" s="867"/>
      <c r="BN51" s="867"/>
      <c r="BO51" s="867"/>
      <c r="BP51" s="867"/>
      <c r="BQ51" s="867"/>
      <c r="BR51" s="867"/>
      <c r="BS51" s="867"/>
      <c r="BT51" s="867"/>
      <c r="BU51" s="867"/>
      <c r="BV51" s="867"/>
      <c r="BW51" s="867"/>
      <c r="BX51" s="867"/>
      <c r="BY51" s="867"/>
      <c r="BZ51" s="867"/>
      <c r="CA51" s="867"/>
      <c r="CB51" s="867"/>
      <c r="CC51" s="304"/>
      <c r="CD51" s="304"/>
      <c r="CE51" s="304"/>
      <c r="CF51" s="304"/>
      <c r="CG51" s="304"/>
      <c r="CH51" s="284"/>
      <c r="CI51" s="288"/>
      <c r="CJ51" s="288"/>
    </row>
    <row r="52" spans="1:88" s="250" customFormat="1" ht="3" customHeight="1">
      <c r="A52" s="312"/>
      <c r="B52" s="312"/>
      <c r="C52" s="312"/>
      <c r="D52" s="312"/>
      <c r="E52" s="1055"/>
      <c r="F52" s="1055"/>
      <c r="G52" s="1062"/>
      <c r="H52" s="1063"/>
      <c r="I52" s="1063"/>
      <c r="J52" s="1063"/>
      <c r="K52" s="1063"/>
      <c r="L52" s="1063"/>
      <c r="M52" s="1063"/>
      <c r="N52" s="1063"/>
      <c r="O52" s="1063"/>
      <c r="P52" s="1063"/>
      <c r="Q52" s="1063"/>
      <c r="R52" s="1063"/>
      <c r="S52" s="1063"/>
      <c r="T52" s="1063"/>
      <c r="U52" s="1063"/>
      <c r="V52" s="1063"/>
      <c r="W52" s="1063"/>
      <c r="X52" s="1063"/>
      <c r="Y52" s="1063"/>
      <c r="Z52" s="1063"/>
      <c r="AA52" s="1063"/>
      <c r="AB52" s="1063"/>
      <c r="AC52" s="1063"/>
      <c r="AD52" s="1063"/>
      <c r="AE52" s="1063"/>
      <c r="AF52" s="1063"/>
      <c r="AG52" s="1063"/>
      <c r="AH52" s="1063"/>
      <c r="AI52" s="1063"/>
      <c r="AJ52" s="1064"/>
      <c r="AK52" s="1014"/>
      <c r="AL52" s="1014"/>
      <c r="AM52" s="1014"/>
      <c r="AN52" s="355"/>
      <c r="AO52" s="436"/>
      <c r="AP52" s="436"/>
      <c r="AQ52" s="436"/>
      <c r="AR52" s="435"/>
      <c r="AS52" s="433"/>
      <c r="AT52" s="433"/>
      <c r="AU52" s="433"/>
      <c r="AV52" s="433"/>
      <c r="AW52" s="433"/>
      <c r="AX52" s="434"/>
      <c r="AY52" s="1007"/>
      <c r="AZ52" s="1007"/>
      <c r="BA52" s="1007"/>
      <c r="BB52" s="1007"/>
      <c r="BC52" s="1007"/>
      <c r="BD52" s="1007"/>
      <c r="BE52" s="434"/>
      <c r="BF52" s="968"/>
      <c r="BG52" s="968"/>
      <c r="BH52" s="968"/>
      <c r="BI52" s="968"/>
      <c r="BJ52" s="968"/>
      <c r="BK52" s="851"/>
      <c r="BL52" s="826"/>
      <c r="BM52" s="820"/>
      <c r="BN52" s="820"/>
      <c r="BO52" s="820"/>
      <c r="BP52" s="435"/>
      <c r="BQ52" s="1007"/>
      <c r="BR52" s="1007"/>
      <c r="BS52" s="1007"/>
      <c r="BT52" s="1007"/>
      <c r="BU52" s="1007"/>
      <c r="BV52" s="1008"/>
      <c r="BW52" s="968"/>
      <c r="BX52" s="968"/>
      <c r="BY52" s="968"/>
      <c r="BZ52" s="968"/>
      <c r="CA52" s="968"/>
      <c r="CB52" s="1009"/>
      <c r="CC52" s="968"/>
      <c r="CD52" s="968"/>
      <c r="CE52" s="968"/>
      <c r="CF52" s="968"/>
      <c r="CG52" s="968"/>
      <c r="CH52" s="285"/>
      <c r="CI52" s="288"/>
      <c r="CJ52" s="288"/>
    </row>
    <row r="53" spans="1:88" s="313" customFormat="1" ht="15" customHeight="1">
      <c r="A53" s="312"/>
      <c r="B53" s="312"/>
      <c r="C53" s="312"/>
      <c r="E53" s="1055"/>
      <c r="F53" s="1055"/>
      <c r="G53" s="1062"/>
      <c r="H53" s="1063"/>
      <c r="I53" s="1063"/>
      <c r="J53" s="1063"/>
      <c r="K53" s="1063"/>
      <c r="L53" s="1063"/>
      <c r="M53" s="1063"/>
      <c r="N53" s="1063"/>
      <c r="O53" s="1063"/>
      <c r="P53" s="1063"/>
      <c r="Q53" s="1063"/>
      <c r="R53" s="1063"/>
      <c r="S53" s="1063"/>
      <c r="T53" s="1063"/>
      <c r="U53" s="1063"/>
      <c r="V53" s="1063"/>
      <c r="W53" s="1063"/>
      <c r="X53" s="1063"/>
      <c r="Y53" s="1063"/>
      <c r="Z53" s="1063"/>
      <c r="AA53" s="1063"/>
      <c r="AB53" s="1063"/>
      <c r="AC53" s="1063"/>
      <c r="AD53" s="1063"/>
      <c r="AE53" s="1063"/>
      <c r="AF53" s="1063"/>
      <c r="AG53" s="1063"/>
      <c r="AH53" s="1063"/>
      <c r="AI53" s="1063"/>
      <c r="AJ53" s="1064"/>
      <c r="AK53" s="1014"/>
      <c r="AL53" s="1014"/>
      <c r="AM53" s="1014"/>
      <c r="AN53" s="355"/>
      <c r="AO53" s="432" t="str">
        <f>IF(LEN(VLOOKUP(AK51,vysledovka!$D$8:$F$68,2,FALSE))&lt;11,"",LEFT(RIGHT(VLOOKUP(AK51,vysledovka!$D$8:$F$68,2,FALSE),11),1))</f>
        <v/>
      </c>
      <c r="AP53" s="255"/>
      <c r="AQ53" s="432" t="str">
        <f>IF(LEN(VLOOKUP(AK51,vysledovka!$D$8:$F$68,2,FALSE))&lt;10,"",LEFT(RIGHT(VLOOKUP(AK51,vysledovka!$D$8:$F$68,2,FALSE),10),1))</f>
        <v/>
      </c>
      <c r="AR53" s="434"/>
      <c r="AS53" s="432" t="str">
        <f>IF(LEN(VLOOKUP(AK51,vysledovka!$D$8:$F$68,2,FALSE))&lt;9,"",LEFT(RIGHT(VLOOKUP(AK51,vysledovka!$D$8:$F$68,2,FALSE),9),1))</f>
        <v/>
      </c>
      <c r="AT53" s="255"/>
      <c r="AU53" s="432" t="str">
        <f>IF(LEN(VLOOKUP(AK51,vysledovka!$D$8:$F$68,2,FALSE))&lt;8,"",LEFT(RIGHT(VLOOKUP(AK51,vysledovka!$D$8:$F$68,2,FALSE),8),1))</f>
        <v>1</v>
      </c>
      <c r="AV53" s="434"/>
      <c r="AW53" s="432" t="str">
        <f>IF(LEN(VLOOKUP(AK51,vysledovka!$D$8:$F$68,2,FALSE))&lt;7,"",LEFT(RIGHT(VLOOKUP(AK51,vysledovka!$D$8:$F$68,2,FALSE),7),1))</f>
        <v>7</v>
      </c>
      <c r="AX53" s="434"/>
      <c r="AY53" s="432" t="str">
        <f>IF(LEN(VLOOKUP(AK51,vysledovka!$D$8:$F$68,2,FALSE))&lt;6,"",LEFT(RIGHT(VLOOKUP(AK51,vysledovka!$D$8:$F$68,2,FALSE),6),1))</f>
        <v>2</v>
      </c>
      <c r="AZ53" s="255"/>
      <c r="BA53" s="961" t="str">
        <f>IF(LEN(VLOOKUP(AK51,vysledovka!$D$8:$F$68,2,FALSE))&lt;5,"",LEFT(RIGHT(VLOOKUP(AK51,vysledovka!$D$8:$F$68,2,FALSE),5),1))</f>
        <v>5</v>
      </c>
      <c r="BB53" s="961"/>
      <c r="BC53" s="434"/>
      <c r="BD53" s="432" t="str">
        <f>IF(LEN(VLOOKUP(AK51,vysledovka!$D$8:$F$68,2,FALSE))&lt;4,"",LEFT(RIGHT(VLOOKUP(AK51,vysledovka!$D$8:$F$68,2,FALSE),4),1))</f>
        <v>4</v>
      </c>
      <c r="BE53" s="434"/>
      <c r="BF53" s="432" t="str">
        <f>IF(LEN(VLOOKUP(AK51,vysledovka!$D$8:$F$68,2,FALSE))&lt;3,"",LEFT(RIGHT(VLOOKUP(AK51,vysledovka!$D$8:$F$68,2,FALSE),3),1))</f>
        <v>5</v>
      </c>
      <c r="BG53" s="434"/>
      <c r="BH53" s="432" t="str">
        <f>IF(LEN(VLOOKUP(AK51,vysledovka!$D$8:$F$68,2,FALSE))&lt;2,"",LEFT(RIGHT(VLOOKUP(AK51,vysledovka!$D$8:$F$68,2,FALSE),2),1))</f>
        <v>1</v>
      </c>
      <c r="BI53" s="434"/>
      <c r="BJ53" s="432" t="str">
        <f>IF(VLOOKUP(AK51,vysledovka!$D$8:$F$68,2,FALSE)=0,"",IF(LEN(VLOOKUP(AK51,vysledovka!$D$8:$F$68,2,FALSE))&lt;1,"",LEFT(RIGHT(VLOOKUP(AK51,vysledovka!$D$8:$F$68,2,FALSE),1),1)))</f>
        <v>1</v>
      </c>
      <c r="BK53" s="851"/>
      <c r="BL53" s="826"/>
      <c r="BM53" s="432" t="str">
        <f>IF(LEN(VLOOKUP(AK51,vysledovka!$D$8:$F$68,3,FALSE))&lt;11,"",LEFT(RIGHT(VLOOKUP(AK51,vysledovka!$D$8:$F$68,3,FALSE),11),1))</f>
        <v/>
      </c>
      <c r="BN53" s="255"/>
      <c r="BO53" s="432" t="str">
        <f>IF(LEN(VLOOKUP(AK51,vysledovka!$D$8:$F$68,3,FALSE))&lt;10,"",LEFT(RIGHT(VLOOKUP(AK51,vysledovka!$D$8:$F$68,3,FALSE),10),1))</f>
        <v/>
      </c>
      <c r="BP53" s="434"/>
      <c r="BQ53" s="432" t="str">
        <f>IF(LEN(VLOOKUP(AK51,vysledovka!$D$8:$F$68,3,FALSE))&lt;9,"",LEFT(RIGHT(VLOOKUP(AK51,vysledovka!$D$8:$F$68,3,FALSE),9),1))</f>
        <v/>
      </c>
      <c r="BR53" s="255"/>
      <c r="BS53" s="432" t="str">
        <f>IF(LEN(VLOOKUP(AK51,vysledovka!$D$8:$F$68,3,FALSE))&lt;8,"",LEFT(RIGHT(VLOOKUP(AK51,vysledovka!$D$8:$F$68,3,FALSE),8),1))</f>
        <v>3</v>
      </c>
      <c r="BT53" s="434"/>
      <c r="BU53" s="432" t="str">
        <f>IF(LEN(VLOOKUP(AK51,vysledovka!$D$8:$F$68,3,FALSE))&lt;7,"",LEFT(RIGHT(VLOOKUP(AK51,vysledovka!$D$8:$F$68,3,FALSE),7),1))</f>
        <v>2</v>
      </c>
      <c r="BV53" s="1008"/>
      <c r="BW53" s="432" t="str">
        <f>IF(LEN(VLOOKUP(AK51,vysledovka!$D$8:$F$68,3,FALSE))&lt;6,"",LEFT(RIGHT(VLOOKUP(AK51,vysledovka!$D$8:$F$68,3,FALSE),6),1))</f>
        <v>3</v>
      </c>
      <c r="BX53" s="434"/>
      <c r="BY53" s="432" t="str">
        <f>IF(LEN(VLOOKUP(AK51,vysledovka!$D$8:$F$68,3,FALSE))&lt;5,"",LEFT(RIGHT(VLOOKUP(AK51,vysledovka!$D$8:$F$68,3,FALSE),5),1))</f>
        <v>8</v>
      </c>
      <c r="BZ53" s="434"/>
      <c r="CA53" s="432" t="str">
        <f>IF(LEN(VLOOKUP(AK51,vysledovka!$D$8:$F$68,3,FALSE))&lt;4,"",LEFT(RIGHT(VLOOKUP(AK51,vysledovka!$D$8:$F$68,3,FALSE),4),1))</f>
        <v>0</v>
      </c>
      <c r="CB53" s="1009"/>
      <c r="CC53" s="432" t="str">
        <f>IF(LEN(VLOOKUP(AK51,vysledovka!$D$8:$F$68,3,FALSE))&lt;3,"",LEFT(RIGHT(VLOOKUP(AK51,vysledovka!$D$8:$F$68,3,FALSE),3),1))</f>
        <v>9</v>
      </c>
      <c r="CD53" s="434"/>
      <c r="CE53" s="432" t="str">
        <f>IF(LEN(VLOOKUP(AK51,vysledovka!$D$8:$F$68,3,FALSE))&lt;2,"",LEFT(RIGHT(VLOOKUP(AK51,vysledovka!$D$8:$F$68,3,FALSE),2),1))</f>
        <v>4</v>
      </c>
      <c r="CF53" s="434"/>
      <c r="CG53" s="432" t="str">
        <f>IF(VLOOKUP(AK51,vysledovka!$D$8:$F$68,3,FALSE)=0,"",IF(LEN(VLOOKUP(AK51,vysledovka!$D$8:$F$68,3,FALSE))&lt;1,"",LEFT(RIGHT(VLOOKUP(AK51,vysledovka!$D$8:$F$68,3,FALSE),1),1)))</f>
        <v>1</v>
      </c>
      <c r="CH53" s="285"/>
      <c r="CI53" s="312"/>
      <c r="CJ53" s="312"/>
    </row>
    <row r="54" spans="1:88" s="313" customFormat="1" ht="3" customHeight="1">
      <c r="A54" s="312"/>
      <c r="B54" s="312"/>
      <c r="C54" s="312"/>
      <c r="E54" s="1055"/>
      <c r="F54" s="1055"/>
      <c r="G54" s="1062"/>
      <c r="H54" s="1063"/>
      <c r="I54" s="1063"/>
      <c r="J54" s="1063"/>
      <c r="K54" s="1063"/>
      <c r="L54" s="1063"/>
      <c r="M54" s="1063"/>
      <c r="N54" s="1063"/>
      <c r="O54" s="1063"/>
      <c r="P54" s="1063"/>
      <c r="Q54" s="1063"/>
      <c r="R54" s="1063"/>
      <c r="S54" s="1063"/>
      <c r="T54" s="1063"/>
      <c r="U54" s="1063"/>
      <c r="V54" s="1063"/>
      <c r="W54" s="1063"/>
      <c r="X54" s="1063"/>
      <c r="Y54" s="1063"/>
      <c r="Z54" s="1063"/>
      <c r="AA54" s="1063"/>
      <c r="AB54" s="1063"/>
      <c r="AC54" s="1063"/>
      <c r="AD54" s="1063"/>
      <c r="AE54" s="1063"/>
      <c r="AF54" s="1063"/>
      <c r="AG54" s="1063"/>
      <c r="AH54" s="1063"/>
      <c r="AI54" s="1063"/>
      <c r="AJ54" s="1064"/>
      <c r="AK54" s="1014"/>
      <c r="AL54" s="1014"/>
      <c r="AM54" s="1014"/>
      <c r="AN54" s="358"/>
      <c r="AO54" s="365"/>
      <c r="AP54" s="365"/>
      <c r="AQ54" s="365"/>
      <c r="AR54" s="365"/>
      <c r="AS54" s="365"/>
      <c r="AT54" s="365"/>
      <c r="AU54" s="365"/>
      <c r="AV54" s="365"/>
      <c r="AW54" s="365"/>
      <c r="AX54" s="365"/>
      <c r="AY54" s="365"/>
      <c r="AZ54" s="365"/>
      <c r="BA54" s="365"/>
      <c r="BB54" s="365"/>
      <c r="BC54" s="365"/>
      <c r="BD54" s="365"/>
      <c r="BE54" s="310"/>
      <c r="BF54" s="310"/>
      <c r="BG54" s="310"/>
      <c r="BH54" s="310"/>
      <c r="BI54" s="310"/>
      <c r="BJ54" s="310"/>
      <c r="BK54" s="310"/>
      <c r="BL54" s="846"/>
      <c r="BM54" s="846"/>
      <c r="BN54" s="846"/>
      <c r="BO54" s="846"/>
      <c r="BP54" s="846"/>
      <c r="BQ54" s="846"/>
      <c r="BR54" s="846"/>
      <c r="BS54" s="846"/>
      <c r="BT54" s="846"/>
      <c r="BU54" s="846"/>
      <c r="BV54" s="846"/>
      <c r="BW54" s="846"/>
      <c r="BX54" s="846"/>
      <c r="BY54" s="846"/>
      <c r="BZ54" s="846"/>
      <c r="CA54" s="846"/>
      <c r="CB54" s="846"/>
      <c r="CC54" s="310"/>
      <c r="CD54" s="310"/>
      <c r="CE54" s="310"/>
      <c r="CF54" s="310"/>
      <c r="CG54" s="310"/>
      <c r="CH54" s="286"/>
      <c r="CI54" s="312"/>
      <c r="CJ54" s="312"/>
    </row>
    <row r="55" spans="1:88" s="250" customFormat="1" ht="3" customHeight="1">
      <c r="A55" s="312"/>
      <c r="B55" s="312"/>
      <c r="C55" s="224"/>
      <c r="D55" s="224"/>
      <c r="E55" s="1055" t="s">
        <v>536</v>
      </c>
      <c r="F55" s="1055"/>
      <c r="G55" s="1065" t="str">
        <f>Index!C216</f>
        <v>Spotreba materiálu, energie a ostatných neskladovateľných dodávok (501, 502, 503)</v>
      </c>
      <c r="H55" s="1066"/>
      <c r="I55" s="1066"/>
      <c r="J55" s="1066"/>
      <c r="K55" s="1066"/>
      <c r="L55" s="1066"/>
      <c r="M55" s="1066"/>
      <c r="N55" s="1066"/>
      <c r="O55" s="1066"/>
      <c r="P55" s="1066"/>
      <c r="Q55" s="1066"/>
      <c r="R55" s="1066"/>
      <c r="S55" s="1066"/>
      <c r="T55" s="1066"/>
      <c r="U55" s="1066"/>
      <c r="V55" s="1066"/>
      <c r="W55" s="1066"/>
      <c r="X55" s="1066"/>
      <c r="Y55" s="1066"/>
      <c r="Z55" s="1066"/>
      <c r="AA55" s="1066"/>
      <c r="AB55" s="1066"/>
      <c r="AC55" s="1066"/>
      <c r="AD55" s="1066"/>
      <c r="AE55" s="1066"/>
      <c r="AF55" s="1066"/>
      <c r="AG55" s="1066"/>
      <c r="AH55" s="1066"/>
      <c r="AI55" s="1066"/>
      <c r="AJ55" s="1067"/>
      <c r="AK55" s="1056" t="s">
        <v>1550</v>
      </c>
      <c r="AL55" s="1014"/>
      <c r="AM55" s="1014"/>
      <c r="AN55" s="357"/>
      <c r="AO55" s="366"/>
      <c r="AP55" s="366"/>
      <c r="AQ55" s="366"/>
      <c r="AR55" s="366"/>
      <c r="AS55" s="366"/>
      <c r="AT55" s="366"/>
      <c r="AU55" s="366"/>
      <c r="AV55" s="366"/>
      <c r="AW55" s="366"/>
      <c r="AX55" s="366"/>
      <c r="AY55" s="366"/>
      <c r="AZ55" s="366"/>
      <c r="BA55" s="366"/>
      <c r="BB55" s="366"/>
      <c r="BC55" s="366"/>
      <c r="BD55" s="366"/>
      <c r="BE55" s="304"/>
      <c r="BF55" s="304"/>
      <c r="BG55" s="304"/>
      <c r="BH55" s="304"/>
      <c r="BI55" s="304"/>
      <c r="BJ55" s="304"/>
      <c r="BK55" s="304"/>
      <c r="BL55" s="867"/>
      <c r="BM55" s="867"/>
      <c r="BN55" s="867"/>
      <c r="BO55" s="867"/>
      <c r="BP55" s="867"/>
      <c r="BQ55" s="867"/>
      <c r="BR55" s="867"/>
      <c r="BS55" s="867"/>
      <c r="BT55" s="867"/>
      <c r="BU55" s="867"/>
      <c r="BV55" s="867"/>
      <c r="BW55" s="867"/>
      <c r="BX55" s="867"/>
      <c r="BY55" s="867"/>
      <c r="BZ55" s="867"/>
      <c r="CA55" s="867"/>
      <c r="CB55" s="867"/>
      <c r="CC55" s="304"/>
      <c r="CD55" s="304"/>
      <c r="CE55" s="304"/>
      <c r="CF55" s="304"/>
      <c r="CG55" s="304"/>
      <c r="CH55" s="284"/>
      <c r="CI55" s="288"/>
      <c r="CJ55" s="288"/>
    </row>
    <row r="56" spans="1:88" s="250" customFormat="1" ht="3" customHeight="1">
      <c r="A56" s="312"/>
      <c r="B56" s="312"/>
      <c r="C56" s="312"/>
      <c r="D56" s="312"/>
      <c r="E56" s="1055"/>
      <c r="F56" s="1055"/>
      <c r="G56" s="1065"/>
      <c r="H56" s="1066"/>
      <c r="I56" s="1066"/>
      <c r="J56" s="1066"/>
      <c r="K56" s="1066"/>
      <c r="L56" s="1066"/>
      <c r="M56" s="1066"/>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7"/>
      <c r="AK56" s="1014"/>
      <c r="AL56" s="1014"/>
      <c r="AM56" s="1014"/>
      <c r="AN56" s="355"/>
      <c r="AO56" s="436"/>
      <c r="AP56" s="436"/>
      <c r="AQ56" s="436"/>
      <c r="AR56" s="435"/>
      <c r="AS56" s="433"/>
      <c r="AT56" s="433"/>
      <c r="AU56" s="433"/>
      <c r="AV56" s="433"/>
      <c r="AW56" s="433"/>
      <c r="AX56" s="434"/>
      <c r="AY56" s="1007"/>
      <c r="AZ56" s="1007"/>
      <c r="BA56" s="1007"/>
      <c r="BB56" s="1007"/>
      <c r="BC56" s="1007"/>
      <c r="BD56" s="1007"/>
      <c r="BE56" s="434"/>
      <c r="BF56" s="968"/>
      <c r="BG56" s="968"/>
      <c r="BH56" s="968"/>
      <c r="BI56" s="968"/>
      <c r="BJ56" s="968"/>
      <c r="BK56" s="851"/>
      <c r="BL56" s="826"/>
      <c r="BM56" s="820"/>
      <c r="BN56" s="820"/>
      <c r="BO56" s="820"/>
      <c r="BP56" s="435"/>
      <c r="BQ56" s="1007"/>
      <c r="BR56" s="1007"/>
      <c r="BS56" s="1007"/>
      <c r="BT56" s="1007"/>
      <c r="BU56" s="1007"/>
      <c r="BV56" s="1008"/>
      <c r="BW56" s="968"/>
      <c r="BX56" s="968"/>
      <c r="BY56" s="968"/>
      <c r="BZ56" s="968"/>
      <c r="CA56" s="968"/>
      <c r="CB56" s="1009"/>
      <c r="CC56" s="968"/>
      <c r="CD56" s="968"/>
      <c r="CE56" s="968"/>
      <c r="CF56" s="968"/>
      <c r="CG56" s="968"/>
      <c r="CH56" s="285"/>
      <c r="CI56" s="288"/>
      <c r="CJ56" s="288"/>
    </row>
    <row r="57" spans="1:88" s="313" customFormat="1" ht="15" customHeight="1">
      <c r="A57" s="312"/>
      <c r="B57" s="312"/>
      <c r="C57" s="312"/>
      <c r="E57" s="1055"/>
      <c r="F57" s="1055"/>
      <c r="G57" s="1065"/>
      <c r="H57" s="1066"/>
      <c r="I57" s="1066"/>
      <c r="J57" s="1066"/>
      <c r="K57" s="1066"/>
      <c r="L57" s="1066"/>
      <c r="M57" s="1066"/>
      <c r="N57" s="1066"/>
      <c r="O57" s="1066"/>
      <c r="P57" s="1066"/>
      <c r="Q57" s="1066"/>
      <c r="R57" s="1066"/>
      <c r="S57" s="1066"/>
      <c r="T57" s="1066"/>
      <c r="U57" s="1066"/>
      <c r="V57" s="1066"/>
      <c r="W57" s="1066"/>
      <c r="X57" s="1066"/>
      <c r="Y57" s="1066"/>
      <c r="Z57" s="1066"/>
      <c r="AA57" s="1066"/>
      <c r="AB57" s="1066"/>
      <c r="AC57" s="1066"/>
      <c r="AD57" s="1066"/>
      <c r="AE57" s="1066"/>
      <c r="AF57" s="1066"/>
      <c r="AG57" s="1066"/>
      <c r="AH57" s="1066"/>
      <c r="AI57" s="1066"/>
      <c r="AJ57" s="1067"/>
      <c r="AK57" s="1014"/>
      <c r="AL57" s="1014"/>
      <c r="AM57" s="1014"/>
      <c r="AN57" s="355"/>
      <c r="AO57" s="432" t="str">
        <f>IF(LEN(VLOOKUP(AK55,vysledovka!$D$8:$F$68,2,FALSE))&lt;11,"",LEFT(RIGHT(VLOOKUP(AK55,vysledovka!$D$8:$F$68,2,FALSE),11),1))</f>
        <v/>
      </c>
      <c r="AP57" s="255"/>
      <c r="AQ57" s="432" t="str">
        <f>IF(LEN(VLOOKUP(AK55,vysledovka!$D$8:$F$68,2,FALSE))&lt;10,"",LEFT(RIGHT(VLOOKUP(AK55,vysledovka!$D$8:$F$68,2,FALSE),10),1))</f>
        <v/>
      </c>
      <c r="AR57" s="434"/>
      <c r="AS57" s="432" t="str">
        <f>IF(LEN(VLOOKUP(AK55,vysledovka!$D$8:$F$68,2,FALSE))&lt;9,"",LEFT(RIGHT(VLOOKUP(AK55,vysledovka!$D$8:$F$68,2,FALSE),9),1))</f>
        <v/>
      </c>
      <c r="AT57" s="255"/>
      <c r="AU57" s="432" t="str">
        <f>IF(LEN(VLOOKUP(AK55,vysledovka!$D$8:$F$68,2,FALSE))&lt;8,"",LEFT(RIGHT(VLOOKUP(AK55,vysledovka!$D$8:$F$68,2,FALSE),8),1))</f>
        <v/>
      </c>
      <c r="AV57" s="434"/>
      <c r="AW57" s="432" t="str">
        <f>IF(LEN(VLOOKUP(AK55,vysledovka!$D$8:$F$68,2,FALSE))&lt;7,"",LEFT(RIGHT(VLOOKUP(AK55,vysledovka!$D$8:$F$68,2,FALSE),7),1))</f>
        <v>1</v>
      </c>
      <c r="AX57" s="434"/>
      <c r="AY57" s="432" t="str">
        <f>IF(LEN(VLOOKUP(AK55,vysledovka!$D$8:$F$68,2,FALSE))&lt;6,"",LEFT(RIGHT(VLOOKUP(AK55,vysledovka!$D$8:$F$68,2,FALSE),6),1))</f>
        <v>0</v>
      </c>
      <c r="AZ57" s="255"/>
      <c r="BA57" s="961" t="str">
        <f>IF(LEN(VLOOKUP(AK55,vysledovka!$D$8:$F$68,2,FALSE))&lt;5,"",LEFT(RIGHT(VLOOKUP(AK55,vysledovka!$D$8:$F$68,2,FALSE),5),1))</f>
        <v>7</v>
      </c>
      <c r="BB57" s="961"/>
      <c r="BC57" s="434"/>
      <c r="BD57" s="432" t="str">
        <f>IF(LEN(VLOOKUP(AK55,vysledovka!$D$8:$F$68,2,FALSE))&lt;4,"",LEFT(RIGHT(VLOOKUP(AK55,vysledovka!$D$8:$F$68,2,FALSE),4),1))</f>
        <v>9</v>
      </c>
      <c r="BE57" s="434"/>
      <c r="BF57" s="432" t="str">
        <f>IF(LEN(VLOOKUP(AK55,vysledovka!$D$8:$F$68,2,FALSE))&lt;3,"",LEFT(RIGHT(VLOOKUP(AK55,vysledovka!$D$8:$F$68,2,FALSE),3),1))</f>
        <v>1</v>
      </c>
      <c r="BG57" s="434"/>
      <c r="BH57" s="432" t="str">
        <f>IF(LEN(VLOOKUP(AK55,vysledovka!$D$8:$F$68,2,FALSE))&lt;2,"",LEFT(RIGHT(VLOOKUP(AK55,vysledovka!$D$8:$F$68,2,FALSE),2),1))</f>
        <v>3</v>
      </c>
      <c r="BI57" s="434"/>
      <c r="BJ57" s="432" t="str">
        <f>IF(VLOOKUP(AK55,vysledovka!$D$8:$F$68,2,FALSE)=0,"",IF(LEN(VLOOKUP(AK55,vysledovka!$D$8:$F$68,2,FALSE))&lt;1,"",LEFT(RIGHT(VLOOKUP(AK55,vysledovka!$D$8:$F$68,2,FALSE),1),1)))</f>
        <v>6</v>
      </c>
      <c r="BK57" s="851"/>
      <c r="BL57" s="826"/>
      <c r="BM57" s="432" t="str">
        <f>IF(LEN(VLOOKUP(AK55,vysledovka!$D$8:$F$68,3,FALSE))&lt;11,"",LEFT(RIGHT(VLOOKUP(AK55,vysledovka!$D$8:$F$68,3,FALSE),11),1))</f>
        <v/>
      </c>
      <c r="BN57" s="255"/>
      <c r="BO57" s="432" t="str">
        <f>IF(LEN(VLOOKUP(AK55,vysledovka!$D$8:$F$68,3,FALSE))&lt;10,"",LEFT(RIGHT(VLOOKUP(AK55,vysledovka!$D$8:$F$68,3,FALSE),10),1))</f>
        <v/>
      </c>
      <c r="BP57" s="434"/>
      <c r="BQ57" s="432" t="str">
        <f>IF(LEN(VLOOKUP(AK55,vysledovka!$D$8:$F$68,3,FALSE))&lt;9,"",LEFT(RIGHT(VLOOKUP(AK55,vysledovka!$D$8:$F$68,3,FALSE),9),1))</f>
        <v/>
      </c>
      <c r="BR57" s="255"/>
      <c r="BS57" s="432" t="str">
        <f>IF(LEN(VLOOKUP(AK55,vysledovka!$D$8:$F$68,3,FALSE))&lt;8,"",LEFT(RIGHT(VLOOKUP(AK55,vysledovka!$D$8:$F$68,3,FALSE),8),1))</f>
        <v/>
      </c>
      <c r="BT57" s="434"/>
      <c r="BU57" s="432" t="str">
        <f>IF(LEN(VLOOKUP(AK55,vysledovka!$D$8:$F$68,3,FALSE))&lt;7,"",LEFT(RIGHT(VLOOKUP(AK55,vysledovka!$D$8:$F$68,3,FALSE),7),1))</f>
        <v>2</v>
      </c>
      <c r="BV57" s="1008"/>
      <c r="BW57" s="432" t="str">
        <f>IF(LEN(VLOOKUP(AK55,vysledovka!$D$8:$F$68,3,FALSE))&lt;6,"",LEFT(RIGHT(VLOOKUP(AK55,vysledovka!$D$8:$F$68,3,FALSE),6),1))</f>
        <v>6</v>
      </c>
      <c r="BX57" s="434"/>
      <c r="BY57" s="432" t="str">
        <f>IF(LEN(VLOOKUP(AK55,vysledovka!$D$8:$F$68,3,FALSE))&lt;5,"",LEFT(RIGHT(VLOOKUP(AK55,vysledovka!$D$8:$F$68,3,FALSE),5),1))</f>
        <v>6</v>
      </c>
      <c r="BZ57" s="434"/>
      <c r="CA57" s="432" t="str">
        <f>IF(LEN(VLOOKUP(AK55,vysledovka!$D$8:$F$68,3,FALSE))&lt;4,"",LEFT(RIGHT(VLOOKUP(AK55,vysledovka!$D$8:$F$68,3,FALSE),4),1))</f>
        <v>4</v>
      </c>
      <c r="CB57" s="1009"/>
      <c r="CC57" s="432" t="str">
        <f>IF(LEN(VLOOKUP(AK55,vysledovka!$D$8:$F$68,3,FALSE))&lt;3,"",LEFT(RIGHT(VLOOKUP(AK55,vysledovka!$D$8:$F$68,3,FALSE),3),1))</f>
        <v>5</v>
      </c>
      <c r="CD57" s="434"/>
      <c r="CE57" s="432" t="str">
        <f>IF(LEN(VLOOKUP(AK55,vysledovka!$D$8:$F$68,3,FALSE))&lt;2,"",LEFT(RIGHT(VLOOKUP(AK55,vysledovka!$D$8:$F$68,3,FALSE),2),1))</f>
        <v>5</v>
      </c>
      <c r="CF57" s="434"/>
      <c r="CG57" s="432" t="str">
        <f>IF(VLOOKUP(AK55,vysledovka!$D$8:$F$68,3,FALSE)=0,"",IF(LEN(VLOOKUP(AK55,vysledovka!$D$8:$F$68,3,FALSE))&lt;1,"",LEFT(RIGHT(VLOOKUP(AK55,vysledovka!$D$8:$F$68,3,FALSE),1),1)))</f>
        <v>5</v>
      </c>
      <c r="CH57" s="285"/>
      <c r="CI57" s="312"/>
      <c r="CJ57" s="312"/>
    </row>
    <row r="58" spans="1:88" s="313" customFormat="1" ht="3" customHeight="1">
      <c r="A58" s="312"/>
      <c r="B58" s="312"/>
      <c r="C58" s="312"/>
      <c r="E58" s="1055"/>
      <c r="F58" s="1055"/>
      <c r="G58" s="1065"/>
      <c r="H58" s="1066"/>
      <c r="I58" s="1066"/>
      <c r="J58" s="1066"/>
      <c r="K58" s="1066"/>
      <c r="L58" s="1066"/>
      <c r="M58" s="1066"/>
      <c r="N58" s="1066"/>
      <c r="O58" s="1066"/>
      <c r="P58" s="1066"/>
      <c r="Q58" s="1066"/>
      <c r="R58" s="1066"/>
      <c r="S58" s="1066"/>
      <c r="T58" s="1066"/>
      <c r="U58" s="1066"/>
      <c r="V58" s="1066"/>
      <c r="W58" s="1066"/>
      <c r="X58" s="1066"/>
      <c r="Y58" s="1066"/>
      <c r="Z58" s="1066"/>
      <c r="AA58" s="1066"/>
      <c r="AB58" s="1066"/>
      <c r="AC58" s="1066"/>
      <c r="AD58" s="1066"/>
      <c r="AE58" s="1066"/>
      <c r="AF58" s="1066"/>
      <c r="AG58" s="1066"/>
      <c r="AH58" s="1066"/>
      <c r="AI58" s="1066"/>
      <c r="AJ58" s="1067"/>
      <c r="AK58" s="1014"/>
      <c r="AL58" s="1014"/>
      <c r="AM58" s="1014"/>
      <c r="AN58" s="358"/>
      <c r="AO58" s="365"/>
      <c r="AP58" s="365"/>
      <c r="AQ58" s="365"/>
      <c r="AR58" s="365"/>
      <c r="AS58" s="365"/>
      <c r="AT58" s="365"/>
      <c r="AU58" s="365"/>
      <c r="AV58" s="365"/>
      <c r="AW58" s="365"/>
      <c r="AX58" s="365"/>
      <c r="AY58" s="365"/>
      <c r="AZ58" s="365"/>
      <c r="BA58" s="365"/>
      <c r="BB58" s="365"/>
      <c r="BC58" s="365"/>
      <c r="BD58" s="365"/>
      <c r="BE58" s="310"/>
      <c r="BF58" s="310"/>
      <c r="BG58" s="310"/>
      <c r="BH58" s="310"/>
      <c r="BI58" s="310"/>
      <c r="BJ58" s="310"/>
      <c r="BK58" s="310"/>
      <c r="BL58" s="846"/>
      <c r="BM58" s="846"/>
      <c r="BN58" s="846"/>
      <c r="BO58" s="846"/>
      <c r="BP58" s="846"/>
      <c r="BQ58" s="846"/>
      <c r="BR58" s="846"/>
      <c r="BS58" s="846"/>
      <c r="BT58" s="846"/>
      <c r="BU58" s="846"/>
      <c r="BV58" s="846"/>
      <c r="BW58" s="846"/>
      <c r="BX58" s="846"/>
      <c r="BY58" s="846"/>
      <c r="BZ58" s="846"/>
      <c r="CA58" s="846"/>
      <c r="CB58" s="846"/>
      <c r="CC58" s="310"/>
      <c r="CD58" s="310"/>
      <c r="CE58" s="310"/>
      <c r="CF58" s="310"/>
      <c r="CG58" s="310"/>
      <c r="CH58" s="286"/>
      <c r="CI58" s="312"/>
      <c r="CJ58" s="312"/>
    </row>
    <row r="59" spans="1:88" s="250" customFormat="1" ht="3" customHeight="1">
      <c r="A59" s="312"/>
      <c r="B59" s="312"/>
      <c r="C59" s="224"/>
      <c r="D59" s="224"/>
      <c r="E59" s="1055" t="s">
        <v>576</v>
      </c>
      <c r="F59" s="1055"/>
      <c r="G59" s="1062" t="str">
        <f>Index!C217</f>
        <v>Opravné položky k zásobám (+/-) (505)</v>
      </c>
      <c r="H59" s="1063"/>
      <c r="I59" s="1063"/>
      <c r="J59" s="1063"/>
      <c r="K59" s="1063"/>
      <c r="L59" s="1063"/>
      <c r="M59" s="1063"/>
      <c r="N59" s="1063"/>
      <c r="O59" s="1063"/>
      <c r="P59" s="1063"/>
      <c r="Q59" s="1063"/>
      <c r="R59" s="1063"/>
      <c r="S59" s="1063"/>
      <c r="T59" s="1063"/>
      <c r="U59" s="1063"/>
      <c r="V59" s="1063"/>
      <c r="W59" s="1063"/>
      <c r="X59" s="1063"/>
      <c r="Y59" s="1063"/>
      <c r="Z59" s="1063"/>
      <c r="AA59" s="1063"/>
      <c r="AB59" s="1063"/>
      <c r="AC59" s="1063"/>
      <c r="AD59" s="1063"/>
      <c r="AE59" s="1063"/>
      <c r="AF59" s="1063"/>
      <c r="AG59" s="1063"/>
      <c r="AH59" s="1063"/>
      <c r="AI59" s="1063"/>
      <c r="AJ59" s="1064"/>
      <c r="AK59" s="1056" t="s">
        <v>1551</v>
      </c>
      <c r="AL59" s="1014"/>
      <c r="AM59" s="1014"/>
      <c r="AN59" s="357"/>
      <c r="AO59" s="366"/>
      <c r="AP59" s="366"/>
      <c r="AQ59" s="366"/>
      <c r="AR59" s="366"/>
      <c r="AS59" s="366"/>
      <c r="AT59" s="366"/>
      <c r="AU59" s="366"/>
      <c r="AV59" s="366"/>
      <c r="AW59" s="366"/>
      <c r="AX59" s="366"/>
      <c r="AY59" s="366"/>
      <c r="AZ59" s="366"/>
      <c r="BA59" s="366"/>
      <c r="BB59" s="366"/>
      <c r="BC59" s="366"/>
      <c r="BD59" s="366"/>
      <c r="BE59" s="304"/>
      <c r="BF59" s="304"/>
      <c r="BG59" s="304"/>
      <c r="BH59" s="304"/>
      <c r="BI59" s="304"/>
      <c r="BJ59" s="304"/>
      <c r="BK59" s="304"/>
      <c r="BL59" s="867"/>
      <c r="BM59" s="867"/>
      <c r="BN59" s="867"/>
      <c r="BO59" s="867"/>
      <c r="BP59" s="867"/>
      <c r="BQ59" s="867"/>
      <c r="BR59" s="867"/>
      <c r="BS59" s="867"/>
      <c r="BT59" s="867"/>
      <c r="BU59" s="867"/>
      <c r="BV59" s="867"/>
      <c r="BW59" s="867"/>
      <c r="BX59" s="867"/>
      <c r="BY59" s="867"/>
      <c r="BZ59" s="867"/>
      <c r="CA59" s="867"/>
      <c r="CB59" s="867"/>
      <c r="CC59" s="304"/>
      <c r="CD59" s="304"/>
      <c r="CE59" s="304"/>
      <c r="CF59" s="304"/>
      <c r="CG59" s="304"/>
      <c r="CH59" s="284"/>
      <c r="CI59" s="288"/>
      <c r="CJ59" s="288"/>
    </row>
    <row r="60" spans="1:88" s="250" customFormat="1" ht="3" customHeight="1">
      <c r="A60" s="312"/>
      <c r="B60" s="312"/>
      <c r="C60" s="312"/>
      <c r="D60" s="312"/>
      <c r="E60" s="1055"/>
      <c r="F60" s="1055"/>
      <c r="G60" s="1062"/>
      <c r="H60" s="1063"/>
      <c r="I60" s="1063"/>
      <c r="J60" s="1063"/>
      <c r="K60" s="1063"/>
      <c r="L60" s="1063"/>
      <c r="M60" s="1063"/>
      <c r="N60" s="1063"/>
      <c r="O60" s="1063"/>
      <c r="P60" s="1063"/>
      <c r="Q60" s="1063"/>
      <c r="R60" s="1063"/>
      <c r="S60" s="1063"/>
      <c r="T60" s="1063"/>
      <c r="U60" s="1063"/>
      <c r="V60" s="1063"/>
      <c r="W60" s="1063"/>
      <c r="X60" s="1063"/>
      <c r="Y60" s="1063"/>
      <c r="Z60" s="1063"/>
      <c r="AA60" s="1063"/>
      <c r="AB60" s="1063"/>
      <c r="AC60" s="1063"/>
      <c r="AD60" s="1063"/>
      <c r="AE60" s="1063"/>
      <c r="AF60" s="1063"/>
      <c r="AG60" s="1063"/>
      <c r="AH60" s="1063"/>
      <c r="AI60" s="1063"/>
      <c r="AJ60" s="1064"/>
      <c r="AK60" s="1014"/>
      <c r="AL60" s="1014"/>
      <c r="AM60" s="1014"/>
      <c r="AN60" s="355"/>
      <c r="AO60" s="436"/>
      <c r="AP60" s="436"/>
      <c r="AQ60" s="436"/>
      <c r="AR60" s="435"/>
      <c r="AS60" s="433"/>
      <c r="AT60" s="433"/>
      <c r="AU60" s="433"/>
      <c r="AV60" s="433"/>
      <c r="AW60" s="433"/>
      <c r="AX60" s="434"/>
      <c r="AY60" s="1007"/>
      <c r="AZ60" s="1007"/>
      <c r="BA60" s="1007"/>
      <c r="BB60" s="1007"/>
      <c r="BC60" s="1007"/>
      <c r="BD60" s="1007"/>
      <c r="BE60" s="434"/>
      <c r="BF60" s="968"/>
      <c r="BG60" s="968"/>
      <c r="BH60" s="968"/>
      <c r="BI60" s="968"/>
      <c r="BJ60" s="968"/>
      <c r="BK60" s="851"/>
      <c r="BL60" s="826"/>
      <c r="BM60" s="820"/>
      <c r="BN60" s="820"/>
      <c r="BO60" s="820"/>
      <c r="BP60" s="435"/>
      <c r="BQ60" s="1007"/>
      <c r="BR60" s="1007"/>
      <c r="BS60" s="1007"/>
      <c r="BT60" s="1007"/>
      <c r="BU60" s="1007"/>
      <c r="BV60" s="1008"/>
      <c r="BW60" s="968"/>
      <c r="BX60" s="968"/>
      <c r="BY60" s="968"/>
      <c r="BZ60" s="968"/>
      <c r="CA60" s="968"/>
      <c r="CB60" s="1009"/>
      <c r="CC60" s="968"/>
      <c r="CD60" s="968"/>
      <c r="CE60" s="968"/>
      <c r="CF60" s="968"/>
      <c r="CG60" s="968"/>
      <c r="CH60" s="285"/>
      <c r="CI60" s="288"/>
      <c r="CJ60" s="288"/>
    </row>
    <row r="61" spans="1:88" s="313" customFormat="1" ht="15" customHeight="1">
      <c r="A61" s="312"/>
      <c r="B61" s="312"/>
      <c r="C61" s="312"/>
      <c r="E61" s="1055"/>
      <c r="F61" s="1055"/>
      <c r="G61" s="1062"/>
      <c r="H61" s="1063"/>
      <c r="I61" s="1063"/>
      <c r="J61" s="1063"/>
      <c r="K61" s="1063"/>
      <c r="L61" s="1063"/>
      <c r="M61" s="1063"/>
      <c r="N61" s="1063"/>
      <c r="O61" s="1063"/>
      <c r="P61" s="1063"/>
      <c r="Q61" s="1063"/>
      <c r="R61" s="1063"/>
      <c r="S61" s="1063"/>
      <c r="T61" s="1063"/>
      <c r="U61" s="1063"/>
      <c r="V61" s="1063"/>
      <c r="W61" s="1063"/>
      <c r="X61" s="1063"/>
      <c r="Y61" s="1063"/>
      <c r="Z61" s="1063"/>
      <c r="AA61" s="1063"/>
      <c r="AB61" s="1063"/>
      <c r="AC61" s="1063"/>
      <c r="AD61" s="1063"/>
      <c r="AE61" s="1063"/>
      <c r="AF61" s="1063"/>
      <c r="AG61" s="1063"/>
      <c r="AH61" s="1063"/>
      <c r="AI61" s="1063"/>
      <c r="AJ61" s="1064"/>
      <c r="AK61" s="1014"/>
      <c r="AL61" s="1014"/>
      <c r="AM61" s="1014"/>
      <c r="AN61" s="355"/>
      <c r="AO61" s="432" t="str">
        <f>IF(LEN(VLOOKUP(AK59,vysledovka!$D$8:$F$68,2,FALSE))&lt;11,"",LEFT(RIGHT(VLOOKUP(AK59,vysledovka!$D$8:$F$68,2,FALSE),11),1))</f>
        <v/>
      </c>
      <c r="AP61" s="255"/>
      <c r="AQ61" s="432" t="str">
        <f>IF(LEN(VLOOKUP(AK59,vysledovka!$D$8:$F$68,2,FALSE))&lt;10,"",LEFT(RIGHT(VLOOKUP(AK59,vysledovka!$D$8:$F$68,2,FALSE),10),1))</f>
        <v/>
      </c>
      <c r="AR61" s="434"/>
      <c r="AS61" s="432" t="str">
        <f>IF(LEN(VLOOKUP(AK59,vysledovka!$D$8:$F$68,2,FALSE))&lt;9,"",LEFT(RIGHT(VLOOKUP(AK59,vysledovka!$D$8:$F$68,2,FALSE),9),1))</f>
        <v/>
      </c>
      <c r="AT61" s="255"/>
      <c r="AU61" s="432" t="str">
        <f>IF(LEN(VLOOKUP(AK59,vysledovka!$D$8:$F$68,2,FALSE))&lt;8,"",LEFT(RIGHT(VLOOKUP(AK59,vysledovka!$D$8:$F$68,2,FALSE),8),1))</f>
        <v/>
      </c>
      <c r="AV61" s="434"/>
      <c r="AW61" s="432" t="str">
        <f>IF(LEN(VLOOKUP(AK59,vysledovka!$D$8:$F$68,2,FALSE))&lt;7,"",LEFT(RIGHT(VLOOKUP(AK59,vysledovka!$D$8:$F$68,2,FALSE),7),1))</f>
        <v/>
      </c>
      <c r="AX61" s="434"/>
      <c r="AY61" s="432" t="str">
        <f>IF(LEN(VLOOKUP(AK59,vysledovka!$D$8:$F$68,2,FALSE))&lt;6,"",LEFT(RIGHT(VLOOKUP(AK59,vysledovka!$D$8:$F$68,2,FALSE),6),1))</f>
        <v/>
      </c>
      <c r="AZ61" s="255"/>
      <c r="BA61" s="961" t="str">
        <f>IF(LEN(VLOOKUP(AK59,vysledovka!$D$8:$F$68,2,FALSE))&lt;5,"",LEFT(RIGHT(VLOOKUP(AK59,vysledovka!$D$8:$F$68,2,FALSE),5),1))</f>
        <v/>
      </c>
      <c r="BB61" s="961"/>
      <c r="BC61" s="434"/>
      <c r="BD61" s="432" t="str">
        <f>IF(LEN(VLOOKUP(AK59,vysledovka!$D$8:$F$68,2,FALSE))&lt;4,"",LEFT(RIGHT(VLOOKUP(AK59,vysledovka!$D$8:$F$68,2,FALSE),4),1))</f>
        <v/>
      </c>
      <c r="BE61" s="434"/>
      <c r="BF61" s="432" t="str">
        <f>IF(LEN(VLOOKUP(AK59,vysledovka!$D$8:$F$68,2,FALSE))&lt;3,"",LEFT(RIGHT(VLOOKUP(AK59,vysledovka!$D$8:$F$68,2,FALSE),3),1))</f>
        <v/>
      </c>
      <c r="BG61" s="434"/>
      <c r="BH61" s="432" t="str">
        <f>IF(LEN(VLOOKUP(AK59,vysledovka!$D$8:$F$68,2,FALSE))&lt;2,"",LEFT(RIGHT(VLOOKUP(AK59,vysledovka!$D$8:$F$68,2,FALSE),2),1))</f>
        <v/>
      </c>
      <c r="BI61" s="434"/>
      <c r="BJ61" s="432" t="str">
        <f>IF(VLOOKUP(AK59,vysledovka!$D$8:$F$68,2,FALSE)=0,"",IF(LEN(VLOOKUP(AK59,vysledovka!$D$8:$F$68,2,FALSE))&lt;1,"",LEFT(RIGHT(VLOOKUP(AK59,vysledovka!$D$8:$F$68,2,FALSE),1),1)))</f>
        <v/>
      </c>
      <c r="BK61" s="851"/>
      <c r="BL61" s="826"/>
      <c r="BM61" s="432" t="str">
        <f>IF(LEN(VLOOKUP(AK59,vysledovka!$D$8:$F$68,3,FALSE))&lt;11,"",LEFT(RIGHT(VLOOKUP(AK59,vysledovka!$D$8:$F$68,3,FALSE),11),1))</f>
        <v/>
      </c>
      <c r="BN61" s="255"/>
      <c r="BO61" s="432" t="str">
        <f>IF(LEN(VLOOKUP(AK59,vysledovka!$D$8:$F$68,3,FALSE))&lt;10,"",LEFT(RIGHT(VLOOKUP(AK59,vysledovka!$D$8:$F$68,3,FALSE),10),1))</f>
        <v/>
      </c>
      <c r="BP61" s="434"/>
      <c r="BQ61" s="432" t="str">
        <f>IF(LEN(VLOOKUP(AK59,vysledovka!$D$8:$F$68,3,FALSE))&lt;9,"",LEFT(RIGHT(VLOOKUP(AK59,vysledovka!$D$8:$F$68,3,FALSE),9),1))</f>
        <v/>
      </c>
      <c r="BR61" s="255"/>
      <c r="BS61" s="432" t="str">
        <f>IF(LEN(VLOOKUP(AK59,vysledovka!$D$8:$F$68,3,FALSE))&lt;8,"",LEFT(RIGHT(VLOOKUP(AK59,vysledovka!$D$8:$F$68,3,FALSE),8),1))</f>
        <v/>
      </c>
      <c r="BT61" s="434"/>
      <c r="BU61" s="432" t="str">
        <f>IF(LEN(VLOOKUP(AK59,vysledovka!$D$8:$F$68,3,FALSE))&lt;7,"",LEFT(RIGHT(VLOOKUP(AK59,vysledovka!$D$8:$F$68,3,FALSE),7),1))</f>
        <v/>
      </c>
      <c r="BV61" s="1008"/>
      <c r="BW61" s="432" t="str">
        <f>IF(LEN(VLOOKUP(AK59,vysledovka!$D$8:$F$68,3,FALSE))&lt;6,"",LEFT(RIGHT(VLOOKUP(AK59,vysledovka!$D$8:$F$68,3,FALSE),6),1))</f>
        <v/>
      </c>
      <c r="BX61" s="434"/>
      <c r="BY61" s="432" t="str">
        <f>IF(LEN(VLOOKUP(AK59,vysledovka!$D$8:$F$68,3,FALSE))&lt;5,"",LEFT(RIGHT(VLOOKUP(AK59,vysledovka!$D$8:$F$68,3,FALSE),5),1))</f>
        <v/>
      </c>
      <c r="BZ61" s="434"/>
      <c r="CA61" s="432" t="str">
        <f>IF(LEN(VLOOKUP(AK59,vysledovka!$D$8:$F$68,3,FALSE))&lt;4,"",LEFT(RIGHT(VLOOKUP(AK59,vysledovka!$D$8:$F$68,3,FALSE),4),1))</f>
        <v/>
      </c>
      <c r="CB61" s="1009"/>
      <c r="CC61" s="432" t="str">
        <f>IF(LEN(VLOOKUP(AK59,vysledovka!$D$8:$F$68,3,FALSE))&lt;3,"",LEFT(RIGHT(VLOOKUP(AK59,vysledovka!$D$8:$F$68,3,FALSE),3),1))</f>
        <v/>
      </c>
      <c r="CD61" s="434"/>
      <c r="CE61" s="432" t="str">
        <f>IF(LEN(VLOOKUP(AK59,vysledovka!$D$8:$F$68,3,FALSE))&lt;2,"",LEFT(RIGHT(VLOOKUP(AK59,vysledovka!$D$8:$F$68,3,FALSE),2),1))</f>
        <v/>
      </c>
      <c r="CF61" s="434"/>
      <c r="CG61" s="432" t="str">
        <f>IF(VLOOKUP(AK59,vysledovka!$D$8:$F$68,3,FALSE)=0,"",IF(LEN(VLOOKUP(AK59,vysledovka!$D$8:$F$68,3,FALSE))&lt;1,"",LEFT(RIGHT(VLOOKUP(AK59,vysledovka!$D$8:$F$68,3,FALSE),1),1)))</f>
        <v/>
      </c>
      <c r="CH61" s="285"/>
      <c r="CI61" s="312"/>
      <c r="CJ61" s="312"/>
    </row>
    <row r="62" spans="1:88" s="313" customFormat="1" ht="3" customHeight="1">
      <c r="A62" s="312"/>
      <c r="B62" s="312"/>
      <c r="C62" s="312"/>
      <c r="E62" s="1055"/>
      <c r="F62" s="1055"/>
      <c r="G62" s="1062"/>
      <c r="H62" s="1063"/>
      <c r="I62" s="1063"/>
      <c r="J62" s="1063"/>
      <c r="K62" s="1063"/>
      <c r="L62" s="1063"/>
      <c r="M62" s="1063"/>
      <c r="N62" s="1063"/>
      <c r="O62" s="1063"/>
      <c r="P62" s="1063"/>
      <c r="Q62" s="1063"/>
      <c r="R62" s="1063"/>
      <c r="S62" s="1063"/>
      <c r="T62" s="1063"/>
      <c r="U62" s="1063"/>
      <c r="V62" s="1063"/>
      <c r="W62" s="1063"/>
      <c r="X62" s="1063"/>
      <c r="Y62" s="1063"/>
      <c r="Z62" s="1063"/>
      <c r="AA62" s="1063"/>
      <c r="AB62" s="1063"/>
      <c r="AC62" s="1063"/>
      <c r="AD62" s="1063"/>
      <c r="AE62" s="1063"/>
      <c r="AF62" s="1063"/>
      <c r="AG62" s="1063"/>
      <c r="AH62" s="1063"/>
      <c r="AI62" s="1063"/>
      <c r="AJ62" s="1064"/>
      <c r="AK62" s="1014"/>
      <c r="AL62" s="1014"/>
      <c r="AM62" s="1014"/>
      <c r="AN62" s="358"/>
      <c r="AO62" s="365"/>
      <c r="AP62" s="365"/>
      <c r="AQ62" s="365"/>
      <c r="AR62" s="365"/>
      <c r="AS62" s="365"/>
      <c r="AT62" s="365"/>
      <c r="AU62" s="365"/>
      <c r="AV62" s="365"/>
      <c r="AW62" s="365"/>
      <c r="AX62" s="365"/>
      <c r="AY62" s="365"/>
      <c r="AZ62" s="365"/>
      <c r="BA62" s="365"/>
      <c r="BB62" s="365"/>
      <c r="BC62" s="365"/>
      <c r="BD62" s="365"/>
      <c r="BE62" s="310"/>
      <c r="BF62" s="310"/>
      <c r="BG62" s="310"/>
      <c r="BH62" s="310"/>
      <c r="BI62" s="310"/>
      <c r="BJ62" s="310"/>
      <c r="BK62" s="310"/>
      <c r="BL62" s="846"/>
      <c r="BM62" s="846"/>
      <c r="BN62" s="846"/>
      <c r="BO62" s="846"/>
      <c r="BP62" s="846"/>
      <c r="BQ62" s="846"/>
      <c r="BR62" s="846"/>
      <c r="BS62" s="846"/>
      <c r="BT62" s="846"/>
      <c r="BU62" s="846"/>
      <c r="BV62" s="846"/>
      <c r="BW62" s="846"/>
      <c r="BX62" s="846"/>
      <c r="BY62" s="846"/>
      <c r="BZ62" s="846"/>
      <c r="CA62" s="846"/>
      <c r="CB62" s="846"/>
      <c r="CC62" s="310"/>
      <c r="CD62" s="310"/>
      <c r="CE62" s="310"/>
      <c r="CF62" s="310"/>
      <c r="CG62" s="310"/>
      <c r="CH62" s="286"/>
      <c r="CI62" s="312"/>
      <c r="CJ62" s="312"/>
    </row>
    <row r="63" spans="1:88" s="250" customFormat="1" ht="3" customHeight="1">
      <c r="A63" s="312"/>
      <c r="B63" s="312"/>
      <c r="C63" s="224"/>
      <c r="D63" s="224"/>
      <c r="E63" s="1055" t="s">
        <v>668</v>
      </c>
      <c r="F63" s="1055"/>
      <c r="G63" s="1062" t="str">
        <f>Index!C218</f>
        <v>Služby (účtová skupina 51)</v>
      </c>
      <c r="H63" s="1063"/>
      <c r="I63" s="1063"/>
      <c r="J63" s="1063"/>
      <c r="K63" s="1063"/>
      <c r="L63" s="1063"/>
      <c r="M63" s="1063"/>
      <c r="N63" s="1063"/>
      <c r="O63" s="1063"/>
      <c r="P63" s="1063"/>
      <c r="Q63" s="1063"/>
      <c r="R63" s="1063"/>
      <c r="S63" s="1063"/>
      <c r="T63" s="1063"/>
      <c r="U63" s="1063"/>
      <c r="V63" s="1063"/>
      <c r="W63" s="1063"/>
      <c r="X63" s="1063"/>
      <c r="Y63" s="1063"/>
      <c r="Z63" s="1063"/>
      <c r="AA63" s="1063"/>
      <c r="AB63" s="1063"/>
      <c r="AC63" s="1063"/>
      <c r="AD63" s="1063"/>
      <c r="AE63" s="1063"/>
      <c r="AF63" s="1063"/>
      <c r="AG63" s="1063"/>
      <c r="AH63" s="1063"/>
      <c r="AI63" s="1063"/>
      <c r="AJ63" s="1064"/>
      <c r="AK63" s="1056" t="s">
        <v>1552</v>
      </c>
      <c r="AL63" s="1014"/>
      <c r="AM63" s="1014"/>
      <c r="AN63" s="357"/>
      <c r="AO63" s="366"/>
      <c r="AP63" s="366"/>
      <c r="AQ63" s="366"/>
      <c r="AR63" s="366"/>
      <c r="AS63" s="366"/>
      <c r="AT63" s="366"/>
      <c r="AU63" s="366"/>
      <c r="AV63" s="366"/>
      <c r="AW63" s="366"/>
      <c r="AX63" s="366"/>
      <c r="AY63" s="366"/>
      <c r="AZ63" s="366"/>
      <c r="BA63" s="366"/>
      <c r="BB63" s="366"/>
      <c r="BC63" s="366"/>
      <c r="BD63" s="366"/>
      <c r="BE63" s="304"/>
      <c r="BF63" s="304"/>
      <c r="BG63" s="304"/>
      <c r="BH63" s="304"/>
      <c r="BI63" s="304"/>
      <c r="BJ63" s="304"/>
      <c r="BK63" s="304"/>
      <c r="BL63" s="867"/>
      <c r="BM63" s="867"/>
      <c r="BN63" s="867"/>
      <c r="BO63" s="867"/>
      <c r="BP63" s="867"/>
      <c r="BQ63" s="867"/>
      <c r="BR63" s="867"/>
      <c r="BS63" s="867"/>
      <c r="BT63" s="867"/>
      <c r="BU63" s="867"/>
      <c r="BV63" s="867"/>
      <c r="BW63" s="867"/>
      <c r="BX63" s="867"/>
      <c r="BY63" s="867"/>
      <c r="BZ63" s="867"/>
      <c r="CA63" s="867"/>
      <c r="CB63" s="867"/>
      <c r="CC63" s="304"/>
      <c r="CD63" s="304"/>
      <c r="CE63" s="304"/>
      <c r="CF63" s="304"/>
      <c r="CG63" s="304"/>
      <c r="CH63" s="284"/>
      <c r="CI63" s="288"/>
      <c r="CJ63" s="288"/>
    </row>
    <row r="64" spans="1:88" s="250" customFormat="1" ht="3" customHeight="1">
      <c r="A64" s="312"/>
      <c r="B64" s="312"/>
      <c r="C64" s="312"/>
      <c r="D64" s="312"/>
      <c r="E64" s="1055"/>
      <c r="F64" s="1055"/>
      <c r="G64" s="1062"/>
      <c r="H64" s="1063"/>
      <c r="I64" s="1063"/>
      <c r="J64" s="1063"/>
      <c r="K64" s="1063"/>
      <c r="L64" s="1063"/>
      <c r="M64" s="1063"/>
      <c r="N64" s="1063"/>
      <c r="O64" s="1063"/>
      <c r="P64" s="1063"/>
      <c r="Q64" s="1063"/>
      <c r="R64" s="1063"/>
      <c r="S64" s="1063"/>
      <c r="T64" s="1063"/>
      <c r="U64" s="1063"/>
      <c r="V64" s="1063"/>
      <c r="W64" s="1063"/>
      <c r="X64" s="1063"/>
      <c r="Y64" s="1063"/>
      <c r="Z64" s="1063"/>
      <c r="AA64" s="1063"/>
      <c r="AB64" s="1063"/>
      <c r="AC64" s="1063"/>
      <c r="AD64" s="1063"/>
      <c r="AE64" s="1063"/>
      <c r="AF64" s="1063"/>
      <c r="AG64" s="1063"/>
      <c r="AH64" s="1063"/>
      <c r="AI64" s="1063"/>
      <c r="AJ64" s="1064"/>
      <c r="AK64" s="1014"/>
      <c r="AL64" s="1014"/>
      <c r="AM64" s="1014"/>
      <c r="AN64" s="355"/>
      <c r="AO64" s="436"/>
      <c r="AP64" s="436"/>
      <c r="AQ64" s="436"/>
      <c r="AR64" s="435"/>
      <c r="AS64" s="433"/>
      <c r="AT64" s="433"/>
      <c r="AU64" s="433"/>
      <c r="AV64" s="433"/>
      <c r="AW64" s="433"/>
      <c r="AX64" s="434"/>
      <c r="AY64" s="1007"/>
      <c r="AZ64" s="1007"/>
      <c r="BA64" s="1007"/>
      <c r="BB64" s="1007"/>
      <c r="BC64" s="1007"/>
      <c r="BD64" s="1007"/>
      <c r="BE64" s="434"/>
      <c r="BF64" s="968"/>
      <c r="BG64" s="968"/>
      <c r="BH64" s="968"/>
      <c r="BI64" s="968"/>
      <c r="BJ64" s="968"/>
      <c r="BK64" s="851"/>
      <c r="BL64" s="826"/>
      <c r="BM64" s="820"/>
      <c r="BN64" s="820"/>
      <c r="BO64" s="820"/>
      <c r="BP64" s="435"/>
      <c r="BQ64" s="1007"/>
      <c r="BR64" s="1007"/>
      <c r="BS64" s="1007"/>
      <c r="BT64" s="1007"/>
      <c r="BU64" s="1007"/>
      <c r="BV64" s="1008"/>
      <c r="BW64" s="968"/>
      <c r="BX64" s="968"/>
      <c r="BY64" s="968"/>
      <c r="BZ64" s="968"/>
      <c r="CA64" s="968"/>
      <c r="CB64" s="1009"/>
      <c r="CC64" s="968"/>
      <c r="CD64" s="968"/>
      <c r="CE64" s="968"/>
      <c r="CF64" s="968"/>
      <c r="CG64" s="968"/>
      <c r="CH64" s="285"/>
      <c r="CI64" s="288"/>
      <c r="CJ64" s="288"/>
    </row>
    <row r="65" spans="1:88" s="313" customFormat="1" ht="15" customHeight="1">
      <c r="A65" s="312"/>
      <c r="B65" s="312"/>
      <c r="C65" s="312"/>
      <c r="E65" s="1055"/>
      <c r="F65" s="1055"/>
      <c r="G65" s="1062"/>
      <c r="H65" s="1063"/>
      <c r="I65" s="1063"/>
      <c r="J65" s="1063"/>
      <c r="K65" s="1063"/>
      <c r="L65" s="1063"/>
      <c r="M65" s="1063"/>
      <c r="N65" s="1063"/>
      <c r="O65" s="1063"/>
      <c r="P65" s="1063"/>
      <c r="Q65" s="1063"/>
      <c r="R65" s="1063"/>
      <c r="S65" s="1063"/>
      <c r="T65" s="1063"/>
      <c r="U65" s="1063"/>
      <c r="V65" s="1063"/>
      <c r="W65" s="1063"/>
      <c r="X65" s="1063"/>
      <c r="Y65" s="1063"/>
      <c r="Z65" s="1063"/>
      <c r="AA65" s="1063"/>
      <c r="AB65" s="1063"/>
      <c r="AC65" s="1063"/>
      <c r="AD65" s="1063"/>
      <c r="AE65" s="1063"/>
      <c r="AF65" s="1063"/>
      <c r="AG65" s="1063"/>
      <c r="AH65" s="1063"/>
      <c r="AI65" s="1063"/>
      <c r="AJ65" s="1064"/>
      <c r="AK65" s="1014"/>
      <c r="AL65" s="1014"/>
      <c r="AM65" s="1014"/>
      <c r="AN65" s="355"/>
      <c r="AO65" s="432" t="str">
        <f>IF(LEN(VLOOKUP(AK63,vysledovka!$D$8:$F$68,2,FALSE))&lt;11,"",LEFT(RIGHT(VLOOKUP(AK63,vysledovka!$D$8:$F$68,2,FALSE),11),1))</f>
        <v/>
      </c>
      <c r="AP65" s="255"/>
      <c r="AQ65" s="432" t="str">
        <f>IF(LEN(VLOOKUP(AK63,vysledovka!$D$8:$F$68,2,FALSE))&lt;10,"",LEFT(RIGHT(VLOOKUP(AK63,vysledovka!$D$8:$F$68,2,FALSE),10),1))</f>
        <v/>
      </c>
      <c r="AR65" s="434"/>
      <c r="AS65" s="432" t="str">
        <f>IF(LEN(VLOOKUP(AK63,vysledovka!$D$8:$F$68,2,FALSE))&lt;9,"",LEFT(RIGHT(VLOOKUP(AK63,vysledovka!$D$8:$F$68,2,FALSE),9),1))</f>
        <v/>
      </c>
      <c r="AT65" s="255"/>
      <c r="AU65" s="432" t="str">
        <f>IF(LEN(VLOOKUP(AK63,vysledovka!$D$8:$F$68,2,FALSE))&lt;8,"",LEFT(RIGHT(VLOOKUP(AK63,vysledovka!$D$8:$F$68,2,FALSE),8),1))</f>
        <v/>
      </c>
      <c r="AV65" s="434"/>
      <c r="AW65" s="432" t="str">
        <f>IF(LEN(VLOOKUP(AK63,vysledovka!$D$8:$F$68,2,FALSE))&lt;7,"",LEFT(RIGHT(VLOOKUP(AK63,vysledovka!$D$8:$F$68,2,FALSE),7),1))</f>
        <v>3</v>
      </c>
      <c r="AX65" s="434"/>
      <c r="AY65" s="432" t="str">
        <f>IF(LEN(VLOOKUP(AK63,vysledovka!$D$8:$F$68,2,FALSE))&lt;6,"",LEFT(RIGHT(VLOOKUP(AK63,vysledovka!$D$8:$F$68,2,FALSE),6),1))</f>
        <v>6</v>
      </c>
      <c r="AZ65" s="255"/>
      <c r="BA65" s="961" t="str">
        <f>IF(LEN(VLOOKUP(AK63,vysledovka!$D$8:$F$68,2,FALSE))&lt;5,"",LEFT(RIGHT(VLOOKUP(AK63,vysledovka!$D$8:$F$68,2,FALSE),5),1))</f>
        <v>8</v>
      </c>
      <c r="BB65" s="961"/>
      <c r="BC65" s="434"/>
      <c r="BD65" s="432" t="str">
        <f>IF(LEN(VLOOKUP(AK63,vysledovka!$D$8:$F$68,2,FALSE))&lt;4,"",LEFT(RIGHT(VLOOKUP(AK63,vysledovka!$D$8:$F$68,2,FALSE),4),1))</f>
        <v>1</v>
      </c>
      <c r="BE65" s="434"/>
      <c r="BF65" s="432" t="str">
        <f>IF(LEN(VLOOKUP(AK63,vysledovka!$D$8:$F$68,2,FALSE))&lt;3,"",LEFT(RIGHT(VLOOKUP(AK63,vysledovka!$D$8:$F$68,2,FALSE),3),1))</f>
        <v>7</v>
      </c>
      <c r="BG65" s="434"/>
      <c r="BH65" s="432" t="str">
        <f>IF(LEN(VLOOKUP(AK63,vysledovka!$D$8:$F$68,2,FALSE))&lt;2,"",LEFT(RIGHT(VLOOKUP(AK63,vysledovka!$D$8:$F$68,2,FALSE),2),1))</f>
        <v>3</v>
      </c>
      <c r="BI65" s="434"/>
      <c r="BJ65" s="432" t="str">
        <f>IF(VLOOKUP(AK63,vysledovka!$D$8:$F$68,2,FALSE)=0,"",IF(LEN(VLOOKUP(AK63,vysledovka!$D$8:$F$68,2,FALSE))&lt;1,"",LEFT(RIGHT(VLOOKUP(AK63,vysledovka!$D$8:$F$68,2,FALSE),1),1)))</f>
        <v>4</v>
      </c>
      <c r="BK65" s="851"/>
      <c r="BL65" s="826"/>
      <c r="BM65" s="432" t="str">
        <f>IF(LEN(VLOOKUP(AK63,vysledovka!$D$8:$F$68,3,FALSE))&lt;11,"",LEFT(RIGHT(VLOOKUP(AK63,vysledovka!$D$8:$F$68,3,FALSE),11),1))</f>
        <v/>
      </c>
      <c r="BN65" s="255"/>
      <c r="BO65" s="432" t="str">
        <f>IF(LEN(VLOOKUP(AK63,vysledovka!$D$8:$F$68,3,FALSE))&lt;10,"",LEFT(RIGHT(VLOOKUP(AK63,vysledovka!$D$8:$F$68,3,FALSE),10),1))</f>
        <v/>
      </c>
      <c r="BP65" s="434"/>
      <c r="BQ65" s="432" t="str">
        <f>IF(LEN(VLOOKUP(AK63,vysledovka!$D$8:$F$68,3,FALSE))&lt;9,"",LEFT(RIGHT(VLOOKUP(AK63,vysledovka!$D$8:$F$68,3,FALSE),9),1))</f>
        <v/>
      </c>
      <c r="BR65" s="255"/>
      <c r="BS65" s="432" t="str">
        <f>IF(LEN(VLOOKUP(AK63,vysledovka!$D$8:$F$68,3,FALSE))&lt;8,"",LEFT(RIGHT(VLOOKUP(AK63,vysledovka!$D$8:$F$68,3,FALSE),8),1))</f>
        <v>1</v>
      </c>
      <c r="BT65" s="434"/>
      <c r="BU65" s="432" t="str">
        <f>IF(LEN(VLOOKUP(AK63,vysledovka!$D$8:$F$68,3,FALSE))&lt;7,"",LEFT(RIGHT(VLOOKUP(AK63,vysledovka!$D$8:$F$68,3,FALSE),7),1))</f>
        <v>1</v>
      </c>
      <c r="BV65" s="1008"/>
      <c r="BW65" s="432" t="str">
        <f>IF(LEN(VLOOKUP(AK63,vysledovka!$D$8:$F$68,3,FALSE))&lt;6,"",LEFT(RIGHT(VLOOKUP(AK63,vysledovka!$D$8:$F$68,3,FALSE),6),1))</f>
        <v>1</v>
      </c>
      <c r="BX65" s="434"/>
      <c r="BY65" s="432" t="str">
        <f>IF(LEN(VLOOKUP(AK63,vysledovka!$D$8:$F$68,3,FALSE))&lt;5,"",LEFT(RIGHT(VLOOKUP(AK63,vysledovka!$D$8:$F$68,3,FALSE),5),1))</f>
        <v>7</v>
      </c>
      <c r="BZ65" s="434"/>
      <c r="CA65" s="432" t="str">
        <f>IF(LEN(VLOOKUP(AK63,vysledovka!$D$8:$F$68,3,FALSE))&lt;4,"",LEFT(RIGHT(VLOOKUP(AK63,vysledovka!$D$8:$F$68,3,FALSE),4),1))</f>
        <v>8</v>
      </c>
      <c r="CB65" s="1009"/>
      <c r="CC65" s="432" t="str">
        <f>IF(LEN(VLOOKUP(AK63,vysledovka!$D$8:$F$68,3,FALSE))&lt;3,"",LEFT(RIGHT(VLOOKUP(AK63,vysledovka!$D$8:$F$68,3,FALSE),3),1))</f>
        <v>6</v>
      </c>
      <c r="CD65" s="434"/>
      <c r="CE65" s="432" t="str">
        <f>IF(LEN(VLOOKUP(AK63,vysledovka!$D$8:$F$68,3,FALSE))&lt;2,"",LEFT(RIGHT(VLOOKUP(AK63,vysledovka!$D$8:$F$68,3,FALSE),2),1))</f>
        <v>2</v>
      </c>
      <c r="CF65" s="434"/>
      <c r="CG65" s="432" t="str">
        <f>IF(VLOOKUP(AK63,vysledovka!$D$8:$F$68,3,FALSE)=0,"",IF(LEN(VLOOKUP(AK63,vysledovka!$D$8:$F$68,3,FALSE))&lt;1,"",LEFT(RIGHT(VLOOKUP(AK63,vysledovka!$D$8:$F$68,3,FALSE),1),1)))</f>
        <v>1</v>
      </c>
      <c r="CH65" s="285"/>
      <c r="CI65" s="312"/>
      <c r="CJ65" s="312"/>
    </row>
    <row r="66" spans="1:88" s="313" customFormat="1" ht="3" customHeight="1">
      <c r="A66" s="312"/>
      <c r="B66" s="312"/>
      <c r="C66" s="312"/>
      <c r="E66" s="1055"/>
      <c r="F66" s="1055"/>
      <c r="G66" s="1062"/>
      <c r="H66" s="1063"/>
      <c r="I66" s="1063"/>
      <c r="J66" s="1063"/>
      <c r="K66" s="1063"/>
      <c r="L66" s="1063"/>
      <c r="M66" s="1063"/>
      <c r="N66" s="1063"/>
      <c r="O66" s="1063"/>
      <c r="P66" s="1063"/>
      <c r="Q66" s="1063"/>
      <c r="R66" s="1063"/>
      <c r="S66" s="1063"/>
      <c r="T66" s="1063"/>
      <c r="U66" s="1063"/>
      <c r="V66" s="1063"/>
      <c r="W66" s="1063"/>
      <c r="X66" s="1063"/>
      <c r="Y66" s="1063"/>
      <c r="Z66" s="1063"/>
      <c r="AA66" s="1063"/>
      <c r="AB66" s="1063"/>
      <c r="AC66" s="1063"/>
      <c r="AD66" s="1063"/>
      <c r="AE66" s="1063"/>
      <c r="AF66" s="1063"/>
      <c r="AG66" s="1063"/>
      <c r="AH66" s="1063"/>
      <c r="AI66" s="1063"/>
      <c r="AJ66" s="1064"/>
      <c r="AK66" s="1014"/>
      <c r="AL66" s="1014"/>
      <c r="AM66" s="1014"/>
      <c r="AN66" s="358"/>
      <c r="AO66" s="365"/>
      <c r="AP66" s="365"/>
      <c r="AQ66" s="365"/>
      <c r="AR66" s="365"/>
      <c r="AS66" s="365"/>
      <c r="AT66" s="365"/>
      <c r="AU66" s="365"/>
      <c r="AV66" s="365"/>
      <c r="AW66" s="365"/>
      <c r="AX66" s="365"/>
      <c r="AY66" s="365"/>
      <c r="AZ66" s="365"/>
      <c r="BA66" s="365"/>
      <c r="BB66" s="365"/>
      <c r="BC66" s="365"/>
      <c r="BD66" s="365"/>
      <c r="BE66" s="310"/>
      <c r="BF66" s="310"/>
      <c r="BG66" s="310"/>
      <c r="BH66" s="310"/>
      <c r="BI66" s="310"/>
      <c r="BJ66" s="310"/>
      <c r="BK66" s="310"/>
      <c r="BL66" s="846"/>
      <c r="BM66" s="846"/>
      <c r="BN66" s="846"/>
      <c r="BO66" s="846"/>
      <c r="BP66" s="846"/>
      <c r="BQ66" s="846"/>
      <c r="BR66" s="846"/>
      <c r="BS66" s="846"/>
      <c r="BT66" s="846"/>
      <c r="BU66" s="846"/>
      <c r="BV66" s="846"/>
      <c r="BW66" s="846"/>
      <c r="BX66" s="846"/>
      <c r="BY66" s="846"/>
      <c r="BZ66" s="846"/>
      <c r="CA66" s="846"/>
      <c r="CB66" s="846"/>
      <c r="CC66" s="310"/>
      <c r="CD66" s="310"/>
      <c r="CE66" s="310"/>
      <c r="CF66" s="310"/>
      <c r="CG66" s="310"/>
      <c r="CH66" s="286"/>
      <c r="CI66" s="312"/>
      <c r="CJ66" s="312"/>
    </row>
    <row r="67" spans="1:88" s="250" customFormat="1" ht="3" customHeight="1">
      <c r="A67" s="220"/>
      <c r="B67" s="220"/>
      <c r="C67" s="224"/>
      <c r="D67" s="224"/>
      <c r="E67" s="1055" t="s">
        <v>670</v>
      </c>
      <c r="F67" s="1055"/>
      <c r="G67" s="1062" t="str">
        <f>Index!C219</f>
        <v>Osobné náklady súčet (r. 16 až r. 19)</v>
      </c>
      <c r="H67" s="1063"/>
      <c r="I67" s="1063"/>
      <c r="J67" s="1063"/>
      <c r="K67" s="1063"/>
      <c r="L67" s="1063"/>
      <c r="M67" s="1063"/>
      <c r="N67" s="1063"/>
      <c r="O67" s="1063"/>
      <c r="P67" s="1063"/>
      <c r="Q67" s="1063"/>
      <c r="R67" s="1063"/>
      <c r="S67" s="1063"/>
      <c r="T67" s="1063"/>
      <c r="U67" s="1063"/>
      <c r="V67" s="1063"/>
      <c r="W67" s="1063"/>
      <c r="X67" s="1063"/>
      <c r="Y67" s="1063"/>
      <c r="Z67" s="1063"/>
      <c r="AA67" s="1063"/>
      <c r="AB67" s="1063"/>
      <c r="AC67" s="1063"/>
      <c r="AD67" s="1063"/>
      <c r="AE67" s="1063"/>
      <c r="AF67" s="1063"/>
      <c r="AG67" s="1063"/>
      <c r="AH67" s="1063"/>
      <c r="AI67" s="1063"/>
      <c r="AJ67" s="1064"/>
      <c r="AK67" s="1056" t="s">
        <v>1555</v>
      </c>
      <c r="AL67" s="1014"/>
      <c r="AM67" s="1014"/>
      <c r="AN67" s="357"/>
      <c r="AO67" s="366"/>
      <c r="AP67" s="366"/>
      <c r="AQ67" s="366"/>
      <c r="AR67" s="366"/>
      <c r="AS67" s="366"/>
      <c r="AT67" s="366"/>
      <c r="AU67" s="366"/>
      <c r="AV67" s="366"/>
      <c r="AW67" s="366"/>
      <c r="AX67" s="366"/>
      <c r="AY67" s="366"/>
      <c r="AZ67" s="366"/>
      <c r="BA67" s="366"/>
      <c r="BB67" s="366"/>
      <c r="BC67" s="366"/>
      <c r="BD67" s="366"/>
      <c r="BE67" s="304"/>
      <c r="BF67" s="304"/>
      <c r="BG67" s="304"/>
      <c r="BH67" s="304"/>
      <c r="BI67" s="304"/>
      <c r="BJ67" s="304"/>
      <c r="BK67" s="304"/>
      <c r="BL67" s="867"/>
      <c r="BM67" s="867"/>
      <c r="BN67" s="867"/>
      <c r="BO67" s="867"/>
      <c r="BP67" s="867"/>
      <c r="BQ67" s="867"/>
      <c r="BR67" s="867"/>
      <c r="BS67" s="867"/>
      <c r="BT67" s="867"/>
      <c r="BU67" s="867"/>
      <c r="BV67" s="867"/>
      <c r="BW67" s="867"/>
      <c r="BX67" s="867"/>
      <c r="BY67" s="867"/>
      <c r="BZ67" s="867"/>
      <c r="CA67" s="867"/>
      <c r="CB67" s="867"/>
      <c r="CC67" s="304"/>
      <c r="CD67" s="304"/>
      <c r="CE67" s="304"/>
      <c r="CF67" s="304"/>
      <c r="CG67" s="304"/>
      <c r="CH67" s="284"/>
      <c r="CI67" s="288"/>
      <c r="CJ67" s="288"/>
    </row>
    <row r="68" spans="1:88" s="250" customFormat="1" ht="3" customHeight="1">
      <c r="A68" s="220"/>
      <c r="B68" s="220"/>
      <c r="C68" s="220"/>
      <c r="D68" s="220"/>
      <c r="E68" s="1055"/>
      <c r="F68" s="1055"/>
      <c r="G68" s="1062"/>
      <c r="H68" s="1063"/>
      <c r="I68" s="1063"/>
      <c r="J68" s="1063"/>
      <c r="K68" s="1063"/>
      <c r="L68" s="1063"/>
      <c r="M68" s="1063"/>
      <c r="N68" s="1063"/>
      <c r="O68" s="1063"/>
      <c r="P68" s="1063"/>
      <c r="Q68" s="1063"/>
      <c r="R68" s="1063"/>
      <c r="S68" s="1063"/>
      <c r="T68" s="1063"/>
      <c r="U68" s="1063"/>
      <c r="V68" s="1063"/>
      <c r="W68" s="1063"/>
      <c r="X68" s="1063"/>
      <c r="Y68" s="1063"/>
      <c r="Z68" s="1063"/>
      <c r="AA68" s="1063"/>
      <c r="AB68" s="1063"/>
      <c r="AC68" s="1063"/>
      <c r="AD68" s="1063"/>
      <c r="AE68" s="1063"/>
      <c r="AF68" s="1063"/>
      <c r="AG68" s="1063"/>
      <c r="AH68" s="1063"/>
      <c r="AI68" s="1063"/>
      <c r="AJ68" s="1064"/>
      <c r="AK68" s="1014"/>
      <c r="AL68" s="1014"/>
      <c r="AM68" s="1014"/>
      <c r="AN68" s="355"/>
      <c r="AO68" s="436"/>
      <c r="AP68" s="436"/>
      <c r="AQ68" s="436"/>
      <c r="AR68" s="435"/>
      <c r="AS68" s="439"/>
      <c r="AT68" s="439"/>
      <c r="AU68" s="439"/>
      <c r="AV68" s="439"/>
      <c r="AW68" s="439"/>
      <c r="AX68" s="440"/>
      <c r="AY68" s="821"/>
      <c r="AZ68" s="821"/>
      <c r="BA68" s="821"/>
      <c r="BB68" s="821"/>
      <c r="BC68" s="821"/>
      <c r="BD68" s="821"/>
      <c r="BE68" s="434"/>
      <c r="BF68" s="968"/>
      <c r="BG68" s="968"/>
      <c r="BH68" s="968"/>
      <c r="BI68" s="968"/>
      <c r="BJ68" s="968"/>
      <c r="BK68" s="851"/>
      <c r="BL68" s="826"/>
      <c r="BM68" s="820"/>
      <c r="BN68" s="820"/>
      <c r="BO68" s="820"/>
      <c r="BP68" s="435"/>
      <c r="BQ68" s="821"/>
      <c r="BR68" s="821"/>
      <c r="BS68" s="821"/>
      <c r="BT68" s="821"/>
      <c r="BU68" s="821"/>
      <c r="BV68" s="818"/>
      <c r="BW68" s="822"/>
      <c r="BX68" s="822"/>
      <c r="BY68" s="822"/>
      <c r="BZ68" s="822"/>
      <c r="CA68" s="822"/>
      <c r="CB68" s="819"/>
      <c r="CC68" s="822"/>
      <c r="CD68" s="822"/>
      <c r="CE68" s="822"/>
      <c r="CF68" s="822"/>
      <c r="CG68" s="822"/>
      <c r="CH68" s="285"/>
      <c r="CI68" s="288"/>
      <c r="CJ68" s="288"/>
    </row>
    <row r="69" spans="1:88" ht="15" customHeight="1">
      <c r="E69" s="1055"/>
      <c r="F69" s="1055"/>
      <c r="G69" s="1062"/>
      <c r="H69" s="1063"/>
      <c r="I69" s="1063"/>
      <c r="J69" s="1063"/>
      <c r="K69" s="1063"/>
      <c r="L69" s="1063"/>
      <c r="M69" s="1063"/>
      <c r="N69" s="1063"/>
      <c r="O69" s="1063"/>
      <c r="P69" s="1063"/>
      <c r="Q69" s="1063"/>
      <c r="R69" s="1063"/>
      <c r="S69" s="1063"/>
      <c r="T69" s="1063"/>
      <c r="U69" s="1063"/>
      <c r="V69" s="1063"/>
      <c r="W69" s="1063"/>
      <c r="X69" s="1063"/>
      <c r="Y69" s="1063"/>
      <c r="Z69" s="1063"/>
      <c r="AA69" s="1063"/>
      <c r="AB69" s="1063"/>
      <c r="AC69" s="1063"/>
      <c r="AD69" s="1063"/>
      <c r="AE69" s="1063"/>
      <c r="AF69" s="1063"/>
      <c r="AG69" s="1063"/>
      <c r="AH69" s="1063"/>
      <c r="AI69" s="1063"/>
      <c r="AJ69" s="1064"/>
      <c r="AK69" s="1014"/>
      <c r="AL69" s="1014"/>
      <c r="AM69" s="1014"/>
      <c r="AN69" s="355"/>
      <c r="AO69" s="432" t="str">
        <f>IF(LEN(VLOOKUP(AK67,vysledovka!$D$8:$F$68,2,FALSE))&lt;11,"",LEFT(RIGHT(VLOOKUP(AK67,vysledovka!$D$8:$F$68,2,FALSE),11),1))</f>
        <v/>
      </c>
      <c r="AP69" s="255"/>
      <c r="AQ69" s="432" t="str">
        <f>IF(LEN(VLOOKUP(AK67,vysledovka!$D$8:$F$68,2,FALSE))&lt;10,"",LEFT(RIGHT(VLOOKUP(AK67,vysledovka!$D$8:$F$68,2,FALSE),10),1))</f>
        <v/>
      </c>
      <c r="AR69" s="434"/>
      <c r="AS69" s="432" t="str">
        <f>IF(LEN(VLOOKUP(AK67,vysledovka!$D$8:$F$68,2,FALSE))&lt;9,"",LEFT(RIGHT(VLOOKUP(AK67,vysledovka!$D$8:$F$68,2,FALSE),9),1))</f>
        <v/>
      </c>
      <c r="AT69" s="255"/>
      <c r="AU69" s="432" t="str">
        <f>IF(LEN(VLOOKUP(AK67,vysledovka!$D$8:$F$68,2,FALSE))&lt;8,"",LEFT(RIGHT(VLOOKUP(AK67,vysledovka!$D$8:$F$68,2,FALSE),8),1))</f>
        <v/>
      </c>
      <c r="AV69" s="434"/>
      <c r="AW69" s="432" t="str">
        <f>IF(LEN(VLOOKUP(AK67,vysledovka!$D$8:$F$68,2,FALSE))&lt;7,"",LEFT(RIGHT(VLOOKUP(AK67,vysledovka!$D$8:$F$68,2,FALSE),7),1))</f>
        <v/>
      </c>
      <c r="AX69" s="440"/>
      <c r="AY69" s="432" t="str">
        <f>IF(LEN(VLOOKUP(AK67,vysledovka!$D$8:$F$68,2,FALSE))&lt;6,"",LEFT(RIGHT(VLOOKUP(AK67,vysledovka!$D$8:$F$68,2,FALSE),6),1))</f>
        <v>2</v>
      </c>
      <c r="AZ69" s="255"/>
      <c r="BA69" s="961" t="str">
        <f>IF(LEN(VLOOKUP(AK67,vysledovka!$D$8:$F$68,2,FALSE))&lt;5,"",LEFT(RIGHT(VLOOKUP(AK67,vysledovka!$D$8:$F$68,2,FALSE),5),1))</f>
        <v>5</v>
      </c>
      <c r="BB69" s="961"/>
      <c r="BC69" s="434"/>
      <c r="BD69" s="432" t="str">
        <f>IF(LEN(VLOOKUP(AK67,vysledovka!$D$8:$F$68,2,FALSE))&lt;4,"",LEFT(RIGHT(VLOOKUP(AK67,vysledovka!$D$8:$F$68,2,FALSE),4),1))</f>
        <v>2</v>
      </c>
      <c r="BE69" s="434"/>
      <c r="BF69" s="432" t="str">
        <f>IF(LEN(VLOOKUP(AK67,vysledovka!$D$8:$F$68,2,FALSE))&lt;3,"",LEFT(RIGHT(VLOOKUP(AK67,vysledovka!$D$8:$F$68,2,FALSE),3),1))</f>
        <v>1</v>
      </c>
      <c r="BG69" s="434"/>
      <c r="BH69" s="432" t="str">
        <f>IF(LEN(VLOOKUP(AK67,vysledovka!$D$8:$F$68,2,FALSE))&lt;2,"",LEFT(RIGHT(VLOOKUP(AK67,vysledovka!$D$8:$F$68,2,FALSE),2),1))</f>
        <v>1</v>
      </c>
      <c r="BI69" s="434"/>
      <c r="BJ69" s="432" t="str">
        <f>IF(VLOOKUP(AK67,vysledovka!$D$8:$F$68,2,FALSE)=0,"",IF(LEN(VLOOKUP(AK67,vysledovka!$D$8:$F$68,2,FALSE))&lt;1,"",LEFT(RIGHT(VLOOKUP(AK67,vysledovka!$D$8:$F$68,2,FALSE),1),1)))</f>
        <v>3</v>
      </c>
      <c r="BK69" s="851"/>
      <c r="BL69" s="826"/>
      <c r="BM69" s="432" t="str">
        <f>IF(LEN(VLOOKUP(AK67,vysledovka!$D$8:$F$68,3,FALSE))&lt;11,"",LEFT(RIGHT(VLOOKUP(AK67,vysledovka!$D$8:$F$68,3,FALSE),11),1))</f>
        <v/>
      </c>
      <c r="BN69" s="255"/>
      <c r="BO69" s="432" t="str">
        <f>IF(LEN(VLOOKUP(AK67,vysledovka!$D$8:$F$68,3,FALSE))&lt;10,"",LEFT(RIGHT(VLOOKUP(AK67,vysledovka!$D$8:$F$68,3,FALSE),10),1))</f>
        <v/>
      </c>
      <c r="BP69" s="434"/>
      <c r="BQ69" s="432" t="str">
        <f>IF(LEN(VLOOKUP(AK67,vysledovka!$D$8:$F$68,3,FALSE))&lt;9,"",LEFT(RIGHT(VLOOKUP(AK67,vysledovka!$D$8:$F$68,3,FALSE),9),1))</f>
        <v/>
      </c>
      <c r="BR69" s="255"/>
      <c r="BS69" s="432" t="str">
        <f>IF(LEN(VLOOKUP(AK67,vysledovka!$D$8:$F$68,3,FALSE))&lt;8,"",LEFT(RIGHT(VLOOKUP(AK67,vysledovka!$D$8:$F$68,3,FALSE),8),1))</f>
        <v/>
      </c>
      <c r="BT69" s="434"/>
      <c r="BU69" s="432" t="str">
        <f>IF(LEN(VLOOKUP(AK67,vysledovka!$D$8:$F$68,3,FALSE))&lt;7,"",LEFT(RIGHT(VLOOKUP(AK67,vysledovka!$D$8:$F$68,3,FALSE),7),1))</f>
        <v/>
      </c>
      <c r="BV69" s="818"/>
      <c r="BW69" s="432" t="str">
        <f>IF(LEN(VLOOKUP(AK67,vysledovka!$D$8:$F$68,3,FALSE))&lt;6,"",LEFT(RIGHT(VLOOKUP(AK67,vysledovka!$D$8:$F$68,3,FALSE),6),1))</f>
        <v>1</v>
      </c>
      <c r="BX69" s="434"/>
      <c r="BY69" s="432" t="str">
        <f>IF(LEN(VLOOKUP(AK67,vysledovka!$D$8:$F$68,3,FALSE))&lt;5,"",LEFT(RIGHT(VLOOKUP(AK67,vysledovka!$D$8:$F$68,3,FALSE),5),1))</f>
        <v>8</v>
      </c>
      <c r="BZ69" s="434"/>
      <c r="CA69" s="432" t="str">
        <f>IF(LEN(VLOOKUP(AK67,vysledovka!$D$8:$F$68,3,FALSE))&lt;4,"",LEFT(RIGHT(VLOOKUP(AK67,vysledovka!$D$8:$F$68,3,FALSE),4),1))</f>
        <v>6</v>
      </c>
      <c r="CB69" s="819"/>
      <c r="CC69" s="432" t="str">
        <f>IF(LEN(VLOOKUP(AK67,vysledovka!$D$8:$F$68,3,FALSE))&lt;3,"",LEFT(RIGHT(VLOOKUP(AK67,vysledovka!$D$8:$F$68,3,FALSE),3),1))</f>
        <v>8</v>
      </c>
      <c r="CD69" s="434"/>
      <c r="CE69" s="432" t="str">
        <f>IF(LEN(VLOOKUP(AK67,vysledovka!$D$8:$F$68,3,FALSE))&lt;2,"",LEFT(RIGHT(VLOOKUP(AK67,vysledovka!$D$8:$F$68,3,FALSE),2),1))</f>
        <v>3</v>
      </c>
      <c r="CF69" s="434"/>
      <c r="CG69" s="432" t="str">
        <f>IF(VLOOKUP(AK67,vysledovka!$D$8:$F$68,3,FALSE)=0,"",IF(LEN(VLOOKUP(AK67,vysledovka!$D$8:$F$68,3,FALSE))&lt;1,"",LEFT(RIGHT(VLOOKUP(AK67,vysledovka!$D$8:$F$68,3,FALSE),1),1)))</f>
        <v>2</v>
      </c>
      <c r="CH69" s="285"/>
      <c r="CI69" s="220"/>
      <c r="CJ69" s="220"/>
    </row>
    <row r="70" spans="1:88" ht="3" customHeight="1">
      <c r="E70" s="1055"/>
      <c r="F70" s="1055"/>
      <c r="G70" s="1062"/>
      <c r="H70" s="1063"/>
      <c r="I70" s="1063"/>
      <c r="J70" s="1063"/>
      <c r="K70" s="1063"/>
      <c r="L70" s="1063"/>
      <c r="M70" s="1063"/>
      <c r="N70" s="1063"/>
      <c r="O70" s="1063"/>
      <c r="P70" s="1063"/>
      <c r="Q70" s="1063"/>
      <c r="R70" s="1063"/>
      <c r="S70" s="1063"/>
      <c r="T70" s="1063"/>
      <c r="U70" s="1063"/>
      <c r="V70" s="1063"/>
      <c r="W70" s="1063"/>
      <c r="X70" s="1063"/>
      <c r="Y70" s="1063"/>
      <c r="Z70" s="1063"/>
      <c r="AA70" s="1063"/>
      <c r="AB70" s="1063"/>
      <c r="AC70" s="1063"/>
      <c r="AD70" s="1063"/>
      <c r="AE70" s="1063"/>
      <c r="AF70" s="1063"/>
      <c r="AG70" s="1063"/>
      <c r="AH70" s="1063"/>
      <c r="AI70" s="1063"/>
      <c r="AJ70" s="1064"/>
      <c r="AK70" s="1014"/>
      <c r="AL70" s="1014"/>
      <c r="AM70" s="1014"/>
      <c r="AN70" s="358"/>
      <c r="AO70" s="365"/>
      <c r="AP70" s="365"/>
      <c r="AQ70" s="365"/>
      <c r="AR70" s="365"/>
      <c r="AS70" s="365"/>
      <c r="AT70" s="365"/>
      <c r="AU70" s="365"/>
      <c r="AV70" s="365"/>
      <c r="AW70" s="365"/>
      <c r="AX70" s="365"/>
      <c r="AY70" s="365"/>
      <c r="AZ70" s="365"/>
      <c r="BA70" s="365"/>
      <c r="BB70" s="365"/>
      <c r="BC70" s="365"/>
      <c r="BD70" s="365"/>
      <c r="BE70" s="310"/>
      <c r="BF70" s="310"/>
      <c r="BG70" s="310"/>
      <c r="BH70" s="310"/>
      <c r="BI70" s="310"/>
      <c r="BJ70" s="310"/>
      <c r="BK70" s="310"/>
      <c r="BL70" s="846"/>
      <c r="BM70" s="846"/>
      <c r="BN70" s="846"/>
      <c r="BO70" s="846"/>
      <c r="BP70" s="846"/>
      <c r="BQ70" s="846"/>
      <c r="BR70" s="846"/>
      <c r="BS70" s="846"/>
      <c r="BT70" s="846"/>
      <c r="BU70" s="846"/>
      <c r="BV70" s="846"/>
      <c r="BW70" s="846"/>
      <c r="BX70" s="846"/>
      <c r="BY70" s="846"/>
      <c r="BZ70" s="846"/>
      <c r="CA70" s="846"/>
      <c r="CB70" s="846"/>
      <c r="CC70" s="310"/>
      <c r="CD70" s="310"/>
      <c r="CE70" s="310"/>
      <c r="CF70" s="310"/>
      <c r="CG70" s="310"/>
      <c r="CH70" s="286"/>
      <c r="CI70" s="220"/>
      <c r="CJ70" s="220"/>
    </row>
    <row r="71" spans="1:88" s="250" customFormat="1" ht="3" customHeight="1">
      <c r="A71" s="220"/>
      <c r="B71" s="220"/>
      <c r="C71" s="224"/>
      <c r="D71" s="224"/>
      <c r="E71" s="1055" t="s">
        <v>1734</v>
      </c>
      <c r="F71" s="1055"/>
      <c r="G71" s="1062" t="str">
        <f>Index!C220</f>
        <v>Mzdové náklady (521, 522)</v>
      </c>
      <c r="H71" s="1063"/>
      <c r="I71" s="1063"/>
      <c r="J71" s="1063"/>
      <c r="K71" s="1063"/>
      <c r="L71" s="1063"/>
      <c r="M71" s="1063"/>
      <c r="N71" s="1063"/>
      <c r="O71" s="1063"/>
      <c r="P71" s="1063"/>
      <c r="Q71" s="1063"/>
      <c r="R71" s="1063"/>
      <c r="S71" s="1063"/>
      <c r="T71" s="1063"/>
      <c r="U71" s="1063"/>
      <c r="V71" s="1063"/>
      <c r="W71" s="1063"/>
      <c r="X71" s="1063"/>
      <c r="Y71" s="1063"/>
      <c r="Z71" s="1063"/>
      <c r="AA71" s="1063"/>
      <c r="AB71" s="1063"/>
      <c r="AC71" s="1063"/>
      <c r="AD71" s="1063"/>
      <c r="AE71" s="1063"/>
      <c r="AF71" s="1063"/>
      <c r="AG71" s="1063"/>
      <c r="AH71" s="1063"/>
      <c r="AI71" s="1063"/>
      <c r="AJ71" s="1064"/>
      <c r="AK71" s="1056" t="s">
        <v>1556</v>
      </c>
      <c r="AL71" s="1014"/>
      <c r="AM71" s="1014"/>
      <c r="AN71" s="357"/>
      <c r="AO71" s="366"/>
      <c r="AP71" s="366"/>
      <c r="AQ71" s="366"/>
      <c r="AR71" s="366"/>
      <c r="AS71" s="366"/>
      <c r="AT71" s="366"/>
      <c r="AU71" s="366"/>
      <c r="AV71" s="366"/>
      <c r="AW71" s="366"/>
      <c r="AX71" s="366"/>
      <c r="AY71" s="366"/>
      <c r="AZ71" s="366"/>
      <c r="BA71" s="366"/>
      <c r="BB71" s="366"/>
      <c r="BC71" s="366"/>
      <c r="BD71" s="366"/>
      <c r="BE71" s="304"/>
      <c r="BF71" s="304"/>
      <c r="BG71" s="304"/>
      <c r="BH71" s="304"/>
      <c r="BI71" s="304"/>
      <c r="BJ71" s="304"/>
      <c r="BK71" s="304"/>
      <c r="BL71" s="867"/>
      <c r="BM71" s="867"/>
      <c r="BN71" s="867"/>
      <c r="BO71" s="867"/>
      <c r="BP71" s="867"/>
      <c r="BQ71" s="867"/>
      <c r="BR71" s="867"/>
      <c r="BS71" s="867"/>
      <c r="BT71" s="867"/>
      <c r="BU71" s="867"/>
      <c r="BV71" s="867"/>
      <c r="BW71" s="867"/>
      <c r="BX71" s="867"/>
      <c r="BY71" s="867"/>
      <c r="BZ71" s="867"/>
      <c r="CA71" s="867"/>
      <c r="CB71" s="867"/>
      <c r="CC71" s="304"/>
      <c r="CD71" s="304"/>
      <c r="CE71" s="304"/>
      <c r="CF71" s="304"/>
      <c r="CG71" s="304"/>
      <c r="CH71" s="284"/>
      <c r="CI71" s="288"/>
      <c r="CJ71" s="288"/>
    </row>
    <row r="72" spans="1:88" s="250" customFormat="1" ht="3" customHeight="1">
      <c r="A72" s="220"/>
      <c r="B72" s="220"/>
      <c r="C72" s="220"/>
      <c r="D72" s="220"/>
      <c r="E72" s="1055"/>
      <c r="F72" s="1055"/>
      <c r="G72" s="1062"/>
      <c r="H72" s="1063"/>
      <c r="I72" s="1063"/>
      <c r="J72" s="1063"/>
      <c r="K72" s="1063"/>
      <c r="L72" s="1063"/>
      <c r="M72" s="1063"/>
      <c r="N72" s="1063"/>
      <c r="O72" s="1063"/>
      <c r="P72" s="1063"/>
      <c r="Q72" s="1063"/>
      <c r="R72" s="1063"/>
      <c r="S72" s="1063"/>
      <c r="T72" s="1063"/>
      <c r="U72" s="1063"/>
      <c r="V72" s="1063"/>
      <c r="W72" s="1063"/>
      <c r="X72" s="1063"/>
      <c r="Y72" s="1063"/>
      <c r="Z72" s="1063"/>
      <c r="AA72" s="1063"/>
      <c r="AB72" s="1063"/>
      <c r="AC72" s="1063"/>
      <c r="AD72" s="1063"/>
      <c r="AE72" s="1063"/>
      <c r="AF72" s="1063"/>
      <c r="AG72" s="1063"/>
      <c r="AH72" s="1063"/>
      <c r="AI72" s="1063"/>
      <c r="AJ72" s="1064"/>
      <c r="AK72" s="1014"/>
      <c r="AL72" s="1014"/>
      <c r="AM72" s="1014"/>
      <c r="AN72" s="355"/>
      <c r="AO72" s="436"/>
      <c r="AP72" s="436"/>
      <c r="AQ72" s="436"/>
      <c r="AR72" s="435"/>
      <c r="AS72" s="439"/>
      <c r="AT72" s="439"/>
      <c r="AU72" s="439"/>
      <c r="AV72" s="439"/>
      <c r="AW72" s="439"/>
      <c r="AX72" s="440"/>
      <c r="AY72" s="821"/>
      <c r="AZ72" s="821"/>
      <c r="BA72" s="821"/>
      <c r="BB72" s="821"/>
      <c r="BC72" s="821"/>
      <c r="BD72" s="821"/>
      <c r="BE72" s="434"/>
      <c r="BF72" s="968"/>
      <c r="BG72" s="968"/>
      <c r="BH72" s="968"/>
      <c r="BI72" s="968"/>
      <c r="BJ72" s="968"/>
      <c r="BK72" s="851"/>
      <c r="BL72" s="826"/>
      <c r="BM72" s="820"/>
      <c r="BN72" s="820"/>
      <c r="BO72" s="820"/>
      <c r="BP72" s="435"/>
      <c r="BQ72" s="821"/>
      <c r="BR72" s="821"/>
      <c r="BS72" s="821"/>
      <c r="BT72" s="821"/>
      <c r="BU72" s="821"/>
      <c r="BV72" s="818"/>
      <c r="BW72" s="822"/>
      <c r="BX72" s="822"/>
      <c r="BY72" s="822"/>
      <c r="BZ72" s="822"/>
      <c r="CA72" s="822"/>
      <c r="CB72" s="819"/>
      <c r="CC72" s="822"/>
      <c r="CD72" s="822"/>
      <c r="CE72" s="822"/>
      <c r="CF72" s="822"/>
      <c r="CG72" s="822"/>
      <c r="CH72" s="285"/>
      <c r="CI72" s="288"/>
      <c r="CJ72" s="288"/>
    </row>
    <row r="73" spans="1:88" ht="15" customHeight="1">
      <c r="E73" s="1055"/>
      <c r="F73" s="1055"/>
      <c r="G73" s="1062"/>
      <c r="H73" s="1063"/>
      <c r="I73" s="1063"/>
      <c r="J73" s="1063"/>
      <c r="K73" s="1063"/>
      <c r="L73" s="1063"/>
      <c r="M73" s="1063"/>
      <c r="N73" s="1063"/>
      <c r="O73" s="1063"/>
      <c r="P73" s="1063"/>
      <c r="Q73" s="1063"/>
      <c r="R73" s="1063"/>
      <c r="S73" s="1063"/>
      <c r="T73" s="1063"/>
      <c r="U73" s="1063"/>
      <c r="V73" s="1063"/>
      <c r="W73" s="1063"/>
      <c r="X73" s="1063"/>
      <c r="Y73" s="1063"/>
      <c r="Z73" s="1063"/>
      <c r="AA73" s="1063"/>
      <c r="AB73" s="1063"/>
      <c r="AC73" s="1063"/>
      <c r="AD73" s="1063"/>
      <c r="AE73" s="1063"/>
      <c r="AF73" s="1063"/>
      <c r="AG73" s="1063"/>
      <c r="AH73" s="1063"/>
      <c r="AI73" s="1063"/>
      <c r="AJ73" s="1064"/>
      <c r="AK73" s="1014"/>
      <c r="AL73" s="1014"/>
      <c r="AM73" s="1014"/>
      <c r="AN73" s="355"/>
      <c r="AO73" s="432" t="str">
        <f>IF(LEN(VLOOKUP(AK71,vysledovka!$D$8:$F$68,2,FALSE))&lt;11,"",LEFT(RIGHT(VLOOKUP(AK71,vysledovka!$D$8:$F$68,2,FALSE),11),1))</f>
        <v/>
      </c>
      <c r="AP73" s="255"/>
      <c r="AQ73" s="432" t="str">
        <f>IF(LEN(VLOOKUP(AK71,vysledovka!$D$8:$F$68,2,FALSE))&lt;10,"",LEFT(RIGHT(VLOOKUP(AK71,vysledovka!$D$8:$F$68,2,FALSE),10),1))</f>
        <v/>
      </c>
      <c r="AR73" s="434"/>
      <c r="AS73" s="432" t="str">
        <f>IF(LEN(VLOOKUP(AK71,vysledovka!$D$8:$F$68,2,FALSE))&lt;9,"",LEFT(RIGHT(VLOOKUP(AK71,vysledovka!$D$8:$F$68,2,FALSE),9),1))</f>
        <v/>
      </c>
      <c r="AT73" s="255"/>
      <c r="AU73" s="432" t="str">
        <f>IF(LEN(VLOOKUP(AK71,vysledovka!$D$8:$F$68,2,FALSE))&lt;8,"",LEFT(RIGHT(VLOOKUP(AK71,vysledovka!$D$8:$F$68,2,FALSE),8),1))</f>
        <v/>
      </c>
      <c r="AV73" s="434"/>
      <c r="AW73" s="432" t="str">
        <f>IF(LEN(VLOOKUP(AK71,vysledovka!$D$8:$F$68,2,FALSE))&lt;7,"",LEFT(RIGHT(VLOOKUP(AK71,vysledovka!$D$8:$F$68,2,FALSE),7),1))</f>
        <v/>
      </c>
      <c r="AX73" s="440"/>
      <c r="AY73" s="432" t="str">
        <f>IF(LEN(VLOOKUP(AK71,vysledovka!$D$8:$F$68,2,FALSE))&lt;6,"",LEFT(RIGHT(VLOOKUP(AK71,vysledovka!$D$8:$F$68,2,FALSE),6),1))</f>
        <v>1</v>
      </c>
      <c r="AZ73" s="255"/>
      <c r="BA73" s="961" t="str">
        <f>IF(LEN(VLOOKUP(AK71,vysledovka!$D$8:$F$68,2,FALSE))&lt;5,"",LEFT(RIGHT(VLOOKUP(AK71,vysledovka!$D$8:$F$68,2,FALSE),5),1))</f>
        <v>8</v>
      </c>
      <c r="BB73" s="961"/>
      <c r="BC73" s="434"/>
      <c r="BD73" s="432" t="str">
        <f>IF(LEN(VLOOKUP(AK71,vysledovka!$D$8:$F$68,2,FALSE))&lt;4,"",LEFT(RIGHT(VLOOKUP(AK71,vysledovka!$D$8:$F$68,2,FALSE),4),1))</f>
        <v>0</v>
      </c>
      <c r="BE73" s="434"/>
      <c r="BF73" s="432" t="str">
        <f>IF(LEN(VLOOKUP(AK71,vysledovka!$D$8:$F$68,2,FALSE))&lt;3,"",LEFT(RIGHT(VLOOKUP(AK71,vysledovka!$D$8:$F$68,2,FALSE),3),1))</f>
        <v>3</v>
      </c>
      <c r="BG73" s="434"/>
      <c r="BH73" s="432" t="str">
        <f>IF(LEN(VLOOKUP(AK71,vysledovka!$D$8:$F$68,2,FALSE))&lt;2,"",LEFT(RIGHT(VLOOKUP(AK71,vysledovka!$D$8:$F$68,2,FALSE),2),1))</f>
        <v>1</v>
      </c>
      <c r="BI73" s="434"/>
      <c r="BJ73" s="432" t="str">
        <f>IF(VLOOKUP(AK71,vysledovka!$D$8:$F$68,2,FALSE)=0,"",IF(LEN(VLOOKUP(AK71,vysledovka!$D$8:$F$68,2,FALSE))&lt;1,"",LEFT(RIGHT(VLOOKUP(AK71,vysledovka!$D$8:$F$68,2,FALSE),1),1)))</f>
        <v>9</v>
      </c>
      <c r="BK73" s="851"/>
      <c r="BL73" s="826"/>
      <c r="BM73" s="432" t="str">
        <f>IF(LEN(VLOOKUP(AK71,vysledovka!$D$8:$F$68,3,FALSE))&lt;11,"",LEFT(RIGHT(VLOOKUP(AK71,vysledovka!$D$8:$F$68,3,FALSE),11),1))</f>
        <v/>
      </c>
      <c r="BN73" s="255"/>
      <c r="BO73" s="432" t="str">
        <f>IF(LEN(VLOOKUP(AK71,vysledovka!$D$8:$F$68,3,FALSE))&lt;10,"",LEFT(RIGHT(VLOOKUP(AK71,vysledovka!$D$8:$F$68,3,FALSE),10),1))</f>
        <v/>
      </c>
      <c r="BP73" s="434"/>
      <c r="BQ73" s="432" t="str">
        <f>IF(LEN(VLOOKUP(AK71,vysledovka!$D$8:$F$68,3,FALSE))&lt;9,"",LEFT(RIGHT(VLOOKUP(AK71,vysledovka!$D$8:$F$68,3,FALSE),9),1))</f>
        <v/>
      </c>
      <c r="BR73" s="255"/>
      <c r="BS73" s="432" t="str">
        <f>IF(LEN(VLOOKUP(AK71,vysledovka!$D$8:$F$68,3,FALSE))&lt;8,"",LEFT(RIGHT(VLOOKUP(AK71,vysledovka!$D$8:$F$68,3,FALSE),8),1))</f>
        <v/>
      </c>
      <c r="BT73" s="434"/>
      <c r="BU73" s="432" t="str">
        <f>IF(LEN(VLOOKUP(AK71,vysledovka!$D$8:$F$68,3,FALSE))&lt;7,"",LEFT(RIGHT(VLOOKUP(AK71,vysledovka!$D$8:$F$68,3,FALSE),7),1))</f>
        <v/>
      </c>
      <c r="BV73" s="818"/>
      <c r="BW73" s="432" t="str">
        <f>IF(LEN(VLOOKUP(AK71,vysledovka!$D$8:$F$68,3,FALSE))&lt;6,"",LEFT(RIGHT(VLOOKUP(AK71,vysledovka!$D$8:$F$68,3,FALSE),6),1))</f>
        <v>1</v>
      </c>
      <c r="BX73" s="434"/>
      <c r="BY73" s="432" t="str">
        <f>IF(LEN(VLOOKUP(AK71,vysledovka!$D$8:$F$68,3,FALSE))&lt;5,"",LEFT(RIGHT(VLOOKUP(AK71,vysledovka!$D$8:$F$68,3,FALSE),5),1))</f>
        <v>3</v>
      </c>
      <c r="BZ73" s="434"/>
      <c r="CA73" s="432" t="str">
        <f>IF(LEN(VLOOKUP(AK71,vysledovka!$D$8:$F$68,3,FALSE))&lt;4,"",LEFT(RIGHT(VLOOKUP(AK71,vysledovka!$D$8:$F$68,3,FALSE),4),1))</f>
        <v>3</v>
      </c>
      <c r="CB73" s="819"/>
      <c r="CC73" s="432" t="str">
        <f>IF(LEN(VLOOKUP(AK71,vysledovka!$D$8:$F$68,3,FALSE))&lt;3,"",LEFT(RIGHT(VLOOKUP(AK71,vysledovka!$D$8:$F$68,3,FALSE),3),1))</f>
        <v>2</v>
      </c>
      <c r="CD73" s="434"/>
      <c r="CE73" s="432" t="str">
        <f>IF(LEN(VLOOKUP(AK71,vysledovka!$D$8:$F$68,3,FALSE))&lt;2,"",LEFT(RIGHT(VLOOKUP(AK71,vysledovka!$D$8:$F$68,3,FALSE),2),1))</f>
        <v>8</v>
      </c>
      <c r="CF73" s="434"/>
      <c r="CG73" s="432" t="str">
        <f>IF(VLOOKUP(AK71,vysledovka!$D$8:$F$68,3,FALSE)=0,"",IF(LEN(VLOOKUP(AK71,vysledovka!$D$8:$F$68,3,FALSE))&lt;1,"",LEFT(RIGHT(VLOOKUP(AK71,vysledovka!$D$8:$F$68,3,FALSE),1),1)))</f>
        <v>5</v>
      </c>
      <c r="CH73" s="285"/>
      <c r="CI73" s="220"/>
      <c r="CJ73" s="220"/>
    </row>
    <row r="74" spans="1:88" ht="3" customHeight="1">
      <c r="E74" s="1055"/>
      <c r="F74" s="1055"/>
      <c r="G74" s="1062"/>
      <c r="H74" s="1063"/>
      <c r="I74" s="1063"/>
      <c r="J74" s="1063"/>
      <c r="K74" s="1063"/>
      <c r="L74" s="1063"/>
      <c r="M74" s="1063"/>
      <c r="N74" s="1063"/>
      <c r="O74" s="1063"/>
      <c r="P74" s="1063"/>
      <c r="Q74" s="1063"/>
      <c r="R74" s="1063"/>
      <c r="S74" s="1063"/>
      <c r="T74" s="1063"/>
      <c r="U74" s="1063"/>
      <c r="V74" s="1063"/>
      <c r="W74" s="1063"/>
      <c r="X74" s="1063"/>
      <c r="Y74" s="1063"/>
      <c r="Z74" s="1063"/>
      <c r="AA74" s="1063"/>
      <c r="AB74" s="1063"/>
      <c r="AC74" s="1063"/>
      <c r="AD74" s="1063"/>
      <c r="AE74" s="1063"/>
      <c r="AF74" s="1063"/>
      <c r="AG74" s="1063"/>
      <c r="AH74" s="1063"/>
      <c r="AI74" s="1063"/>
      <c r="AJ74" s="1064"/>
      <c r="AK74" s="1014"/>
      <c r="AL74" s="1014"/>
      <c r="AM74" s="1014"/>
      <c r="AN74" s="358"/>
      <c r="AO74" s="365"/>
      <c r="AP74" s="365"/>
      <c r="AQ74" s="365"/>
      <c r="AR74" s="365"/>
      <c r="AS74" s="365"/>
      <c r="AT74" s="365"/>
      <c r="AU74" s="365"/>
      <c r="AV74" s="365"/>
      <c r="AW74" s="365"/>
      <c r="AX74" s="365"/>
      <c r="AY74" s="365"/>
      <c r="AZ74" s="365"/>
      <c r="BA74" s="365"/>
      <c r="BB74" s="365"/>
      <c r="BC74" s="365"/>
      <c r="BD74" s="365"/>
      <c r="BE74" s="310"/>
      <c r="BF74" s="310"/>
      <c r="BG74" s="310"/>
      <c r="BH74" s="310"/>
      <c r="BI74" s="310"/>
      <c r="BJ74" s="310"/>
      <c r="BK74" s="310"/>
      <c r="BL74" s="846"/>
      <c r="BM74" s="846"/>
      <c r="BN74" s="846"/>
      <c r="BO74" s="846"/>
      <c r="BP74" s="846"/>
      <c r="BQ74" s="846"/>
      <c r="BR74" s="846"/>
      <c r="BS74" s="846"/>
      <c r="BT74" s="846"/>
      <c r="BU74" s="846"/>
      <c r="BV74" s="846"/>
      <c r="BW74" s="846"/>
      <c r="BX74" s="846"/>
      <c r="BY74" s="846"/>
      <c r="BZ74" s="846"/>
      <c r="CA74" s="846"/>
      <c r="CB74" s="846"/>
      <c r="CC74" s="310"/>
      <c r="CD74" s="310"/>
      <c r="CE74" s="310"/>
      <c r="CF74" s="310"/>
      <c r="CG74" s="310"/>
      <c r="CH74" s="286"/>
      <c r="CI74" s="220"/>
      <c r="CJ74" s="220"/>
    </row>
    <row r="75" spans="1:88" s="250" customFormat="1" ht="3" customHeight="1">
      <c r="A75" s="220"/>
      <c r="B75" s="220"/>
      <c r="C75" s="224"/>
      <c r="D75" s="224"/>
      <c r="E75" s="983" t="s">
        <v>1542</v>
      </c>
      <c r="F75" s="983"/>
      <c r="G75" s="972" t="str">
        <f>Index!C221</f>
        <v>Odmeny členom orgánov spoločnosti a družstva (523)</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1056" t="s">
        <v>1557</v>
      </c>
      <c r="AL75" s="1014"/>
      <c r="AM75" s="1014"/>
      <c r="AN75" s="357"/>
      <c r="AO75" s="366"/>
      <c r="AP75" s="366"/>
      <c r="AQ75" s="366"/>
      <c r="AR75" s="366"/>
      <c r="AS75" s="366"/>
      <c r="AT75" s="366"/>
      <c r="AU75" s="366"/>
      <c r="AV75" s="366"/>
      <c r="AW75" s="366"/>
      <c r="AX75" s="366"/>
      <c r="AY75" s="366"/>
      <c r="AZ75" s="366"/>
      <c r="BA75" s="366"/>
      <c r="BB75" s="366"/>
      <c r="BC75" s="366"/>
      <c r="BD75" s="366"/>
      <c r="BE75" s="304"/>
      <c r="BF75" s="304"/>
      <c r="BG75" s="304"/>
      <c r="BH75" s="304"/>
      <c r="BI75" s="304"/>
      <c r="BJ75" s="304"/>
      <c r="BK75" s="304"/>
      <c r="BL75" s="867"/>
      <c r="BM75" s="867"/>
      <c r="BN75" s="867"/>
      <c r="BO75" s="867"/>
      <c r="BP75" s="867"/>
      <c r="BQ75" s="867"/>
      <c r="BR75" s="867"/>
      <c r="BS75" s="867"/>
      <c r="BT75" s="867"/>
      <c r="BU75" s="867"/>
      <c r="BV75" s="867"/>
      <c r="BW75" s="867"/>
      <c r="BX75" s="867"/>
      <c r="BY75" s="867"/>
      <c r="BZ75" s="867"/>
      <c r="CA75" s="867"/>
      <c r="CB75" s="867"/>
      <c r="CC75" s="304"/>
      <c r="CD75" s="304"/>
      <c r="CE75" s="304"/>
      <c r="CF75" s="304"/>
      <c r="CG75" s="304"/>
      <c r="CH75" s="284"/>
      <c r="CI75" s="288"/>
      <c r="CJ75" s="288"/>
    </row>
    <row r="76" spans="1:88" s="250" customFormat="1" ht="3" customHeight="1">
      <c r="A76" s="220"/>
      <c r="B76" s="220"/>
      <c r="C76" s="220"/>
      <c r="D76" s="220"/>
      <c r="E76" s="983"/>
      <c r="F76" s="983"/>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1014"/>
      <c r="AL76" s="1014"/>
      <c r="AM76" s="1014"/>
      <c r="AN76" s="355"/>
      <c r="AO76" s="436"/>
      <c r="AP76" s="436"/>
      <c r="AQ76" s="436"/>
      <c r="AR76" s="435"/>
      <c r="AS76" s="439"/>
      <c r="AT76" s="439"/>
      <c r="AU76" s="439"/>
      <c r="AV76" s="439"/>
      <c r="AW76" s="439"/>
      <c r="AX76" s="440"/>
      <c r="AY76" s="821"/>
      <c r="AZ76" s="821"/>
      <c r="BA76" s="821"/>
      <c r="BB76" s="821"/>
      <c r="BC76" s="821"/>
      <c r="BD76" s="821"/>
      <c r="BE76" s="434"/>
      <c r="BF76" s="968"/>
      <c r="BG76" s="968"/>
      <c r="BH76" s="968"/>
      <c r="BI76" s="968"/>
      <c r="BJ76" s="968"/>
      <c r="BK76" s="851"/>
      <c r="BL76" s="826"/>
      <c r="BM76" s="820"/>
      <c r="BN76" s="820"/>
      <c r="BO76" s="820"/>
      <c r="BP76" s="435"/>
      <c r="BQ76" s="821"/>
      <c r="BR76" s="821"/>
      <c r="BS76" s="821"/>
      <c r="BT76" s="821"/>
      <c r="BU76" s="821"/>
      <c r="BV76" s="818"/>
      <c r="BW76" s="822"/>
      <c r="BX76" s="822"/>
      <c r="BY76" s="822"/>
      <c r="BZ76" s="822"/>
      <c r="CA76" s="822"/>
      <c r="CB76" s="819"/>
      <c r="CC76" s="822"/>
      <c r="CD76" s="822"/>
      <c r="CE76" s="822"/>
      <c r="CF76" s="822"/>
      <c r="CG76" s="822"/>
      <c r="CH76" s="285"/>
      <c r="CI76" s="288"/>
      <c r="CJ76" s="288"/>
    </row>
    <row r="77" spans="1:88" ht="15" customHeight="1">
      <c r="E77" s="983"/>
      <c r="F77" s="983"/>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1014"/>
      <c r="AL77" s="1014"/>
      <c r="AM77" s="1014"/>
      <c r="AN77" s="355"/>
      <c r="AO77" s="432" t="str">
        <f>IF(LEN(VLOOKUP(AK75,vysledovka!$D$8:$F$68,2,FALSE))&lt;11,"",LEFT(RIGHT(VLOOKUP(AK75,vysledovka!$D$8:$F$68,2,FALSE),11),1))</f>
        <v/>
      </c>
      <c r="AP77" s="255"/>
      <c r="AQ77" s="432" t="str">
        <f>IF(LEN(VLOOKUP(AK75,vysledovka!$D$8:$F$68,2,FALSE))&lt;10,"",LEFT(RIGHT(VLOOKUP(AK75,vysledovka!$D$8:$F$68,2,FALSE),10),1))</f>
        <v/>
      </c>
      <c r="AR77" s="434"/>
      <c r="AS77" s="432" t="str">
        <f>IF(LEN(VLOOKUP(AK75,vysledovka!$D$8:$F$68,2,FALSE))&lt;9,"",LEFT(RIGHT(VLOOKUP(AK75,vysledovka!$D$8:$F$68,2,FALSE),9),1))</f>
        <v/>
      </c>
      <c r="AT77" s="255"/>
      <c r="AU77" s="432" t="str">
        <f>IF(LEN(VLOOKUP(AK75,vysledovka!$D$8:$F$68,2,FALSE))&lt;8,"",LEFT(RIGHT(VLOOKUP(AK75,vysledovka!$D$8:$F$68,2,FALSE),8),1))</f>
        <v/>
      </c>
      <c r="AV77" s="434"/>
      <c r="AW77" s="432" t="str">
        <f>IF(LEN(VLOOKUP(AK75,vysledovka!$D$8:$F$68,2,FALSE))&lt;7,"",LEFT(RIGHT(VLOOKUP(AK75,vysledovka!$D$8:$F$68,2,FALSE),7),1))</f>
        <v/>
      </c>
      <c r="AX77" s="440"/>
      <c r="AY77" s="432" t="str">
        <f>IF(LEN(VLOOKUP(AK75,vysledovka!$D$8:$F$68,2,FALSE))&lt;6,"",LEFT(RIGHT(VLOOKUP(AK75,vysledovka!$D$8:$F$68,2,FALSE),6),1))</f>
        <v/>
      </c>
      <c r="AZ77" s="255"/>
      <c r="BA77" s="961" t="str">
        <f>IF(LEN(VLOOKUP(AK75,vysledovka!$D$8:$F$68,2,FALSE))&lt;5,"",LEFT(RIGHT(VLOOKUP(AK75,vysledovka!$D$8:$F$68,2,FALSE),5),1))</f>
        <v/>
      </c>
      <c r="BB77" s="961"/>
      <c r="BC77" s="434"/>
      <c r="BD77" s="432" t="str">
        <f>IF(LEN(VLOOKUP(AK75,vysledovka!$D$8:$F$68,2,FALSE))&lt;4,"",LEFT(RIGHT(VLOOKUP(AK75,vysledovka!$D$8:$F$68,2,FALSE),4),1))</f>
        <v/>
      </c>
      <c r="BE77" s="434"/>
      <c r="BF77" s="432" t="str">
        <f>IF(LEN(VLOOKUP(AK75,vysledovka!$D$8:$F$68,2,FALSE))&lt;3,"",LEFT(RIGHT(VLOOKUP(AK75,vysledovka!$D$8:$F$68,2,FALSE),3),1))</f>
        <v/>
      </c>
      <c r="BG77" s="434"/>
      <c r="BH77" s="432" t="str">
        <f>IF(LEN(VLOOKUP(AK75,vysledovka!$D$8:$F$68,2,FALSE))&lt;2,"",LEFT(RIGHT(VLOOKUP(AK75,vysledovka!$D$8:$F$68,2,FALSE),2),1))</f>
        <v/>
      </c>
      <c r="BI77" s="434"/>
      <c r="BJ77" s="432" t="str">
        <f>IF(VLOOKUP(AK75,vysledovka!$D$8:$F$68,2,FALSE)=0,"",IF(LEN(VLOOKUP(AK75,vysledovka!$D$8:$F$68,2,FALSE))&lt;1,"",LEFT(RIGHT(VLOOKUP(AK75,vysledovka!$D$8:$F$68,2,FALSE),1),1)))</f>
        <v/>
      </c>
      <c r="BK77" s="851"/>
      <c r="BL77" s="826"/>
      <c r="BM77" s="432" t="str">
        <f>IF(LEN(VLOOKUP(AK75,vysledovka!$D$8:$F$68,3,FALSE))&lt;11,"",LEFT(RIGHT(VLOOKUP(AK75,vysledovka!$D$8:$F$68,3,FALSE),11),1))</f>
        <v/>
      </c>
      <c r="BN77" s="255"/>
      <c r="BO77" s="432" t="str">
        <f>IF(LEN(VLOOKUP(AK75,vysledovka!$D$8:$F$68,3,FALSE))&lt;10,"",LEFT(RIGHT(VLOOKUP(AK75,vysledovka!$D$8:$F$68,3,FALSE),10),1))</f>
        <v/>
      </c>
      <c r="BP77" s="434"/>
      <c r="BQ77" s="432" t="str">
        <f>IF(LEN(VLOOKUP(AK75,vysledovka!$D$8:$F$68,3,FALSE))&lt;9,"",LEFT(RIGHT(VLOOKUP(AK75,vysledovka!$D$8:$F$68,3,FALSE),9),1))</f>
        <v/>
      </c>
      <c r="BR77" s="255"/>
      <c r="BS77" s="432" t="str">
        <f>IF(LEN(VLOOKUP(AK75,vysledovka!$D$8:$F$68,3,FALSE))&lt;8,"",LEFT(RIGHT(VLOOKUP(AK75,vysledovka!$D$8:$F$68,3,FALSE),8),1))</f>
        <v/>
      </c>
      <c r="BT77" s="434"/>
      <c r="BU77" s="432" t="str">
        <f>IF(LEN(VLOOKUP(AK75,vysledovka!$D$8:$F$68,3,FALSE))&lt;7,"",LEFT(RIGHT(VLOOKUP(AK75,vysledovka!$D$8:$F$68,3,FALSE),7),1))</f>
        <v/>
      </c>
      <c r="BV77" s="818"/>
      <c r="BW77" s="432" t="str">
        <f>IF(LEN(VLOOKUP(AK75,vysledovka!$D$8:$F$68,3,FALSE))&lt;6,"",LEFT(RIGHT(VLOOKUP(AK75,vysledovka!$D$8:$F$68,3,FALSE),6),1))</f>
        <v/>
      </c>
      <c r="BX77" s="434"/>
      <c r="BY77" s="432" t="str">
        <f>IF(LEN(VLOOKUP(AK75,vysledovka!$D$8:$F$68,3,FALSE))&lt;5,"",LEFT(RIGHT(VLOOKUP(AK75,vysledovka!$D$8:$F$68,3,FALSE),5),1))</f>
        <v/>
      </c>
      <c r="BZ77" s="434"/>
      <c r="CA77" s="432" t="str">
        <f>IF(LEN(VLOOKUP(AK75,vysledovka!$D$8:$F$68,3,FALSE))&lt;4,"",LEFT(RIGHT(VLOOKUP(AK75,vysledovka!$D$8:$F$68,3,FALSE),4),1))</f>
        <v/>
      </c>
      <c r="CB77" s="819"/>
      <c r="CC77" s="432" t="str">
        <f>IF(LEN(VLOOKUP(AK75,vysledovka!$D$8:$F$68,3,FALSE))&lt;3,"",LEFT(RIGHT(VLOOKUP(AK75,vysledovka!$D$8:$F$68,3,FALSE),3),1))</f>
        <v/>
      </c>
      <c r="CD77" s="434"/>
      <c r="CE77" s="432" t="str">
        <f>IF(LEN(VLOOKUP(AK75,vysledovka!$D$8:$F$68,3,FALSE))&lt;2,"",LEFT(RIGHT(VLOOKUP(AK75,vysledovka!$D$8:$F$68,3,FALSE),2),1))</f>
        <v/>
      </c>
      <c r="CF77" s="434"/>
      <c r="CG77" s="432" t="str">
        <f>IF(VLOOKUP(AK75,vysledovka!$D$8:$F$68,3,FALSE)=0,"",IF(LEN(VLOOKUP(AK75,vysledovka!$D$8:$F$68,3,FALSE))&lt;1,"",LEFT(RIGHT(VLOOKUP(AK75,vysledovka!$D$8:$F$68,3,FALSE),1),1)))</f>
        <v/>
      </c>
      <c r="CH77" s="285"/>
      <c r="CI77" s="220"/>
      <c r="CJ77" s="220"/>
    </row>
    <row r="78" spans="1:88" ht="3" customHeight="1">
      <c r="E78" s="983"/>
      <c r="F78" s="983"/>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1014"/>
      <c r="AL78" s="1014"/>
      <c r="AM78" s="1014"/>
      <c r="AN78" s="358"/>
      <c r="AO78" s="365"/>
      <c r="AP78" s="365"/>
      <c r="AQ78" s="365"/>
      <c r="AR78" s="365"/>
      <c r="AS78" s="365"/>
      <c r="AT78" s="365"/>
      <c r="AU78" s="365"/>
      <c r="AV78" s="365"/>
      <c r="AW78" s="365"/>
      <c r="AX78" s="365"/>
      <c r="AY78" s="365"/>
      <c r="AZ78" s="365"/>
      <c r="BA78" s="365"/>
      <c r="BB78" s="365"/>
      <c r="BC78" s="365"/>
      <c r="BD78" s="365"/>
      <c r="BE78" s="310"/>
      <c r="BF78" s="310"/>
      <c r="BG78" s="310"/>
      <c r="BH78" s="310"/>
      <c r="BI78" s="310"/>
      <c r="BJ78" s="310"/>
      <c r="BK78" s="310"/>
      <c r="BL78" s="846"/>
      <c r="BM78" s="846"/>
      <c r="BN78" s="846"/>
      <c r="BO78" s="846"/>
      <c r="BP78" s="846"/>
      <c r="BQ78" s="846"/>
      <c r="BR78" s="846"/>
      <c r="BS78" s="846"/>
      <c r="BT78" s="846"/>
      <c r="BU78" s="846"/>
      <c r="BV78" s="846"/>
      <c r="BW78" s="846"/>
      <c r="BX78" s="846"/>
      <c r="BY78" s="846"/>
      <c r="BZ78" s="846"/>
      <c r="CA78" s="846"/>
      <c r="CB78" s="846"/>
      <c r="CC78" s="310"/>
      <c r="CD78" s="310"/>
      <c r="CE78" s="310"/>
      <c r="CF78" s="310"/>
      <c r="CG78" s="310"/>
      <c r="CH78" s="286"/>
      <c r="CI78" s="220"/>
      <c r="CJ78" s="220"/>
    </row>
    <row r="79" spans="1:88" s="250" customFormat="1" ht="3" customHeight="1">
      <c r="A79" s="220"/>
      <c r="B79" s="220"/>
      <c r="C79" s="224"/>
      <c r="D79" s="224"/>
      <c r="E79" s="983" t="s">
        <v>1543</v>
      </c>
      <c r="F79" s="983"/>
      <c r="G79" s="972" t="str">
        <f>Index!C222</f>
        <v>Náklady na sociálne poistenie (524, 525, 526)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1056" t="s">
        <v>1558</v>
      </c>
      <c r="AL79" s="1014"/>
      <c r="AM79" s="1014"/>
      <c r="AN79" s="357"/>
      <c r="AO79" s="366"/>
      <c r="AP79" s="366"/>
      <c r="AQ79" s="366"/>
      <c r="AR79" s="366"/>
      <c r="AS79" s="366"/>
      <c r="AT79" s="366"/>
      <c r="AU79" s="366"/>
      <c r="AV79" s="366"/>
      <c r="AW79" s="366"/>
      <c r="AX79" s="366"/>
      <c r="AY79" s="366"/>
      <c r="AZ79" s="366"/>
      <c r="BA79" s="366"/>
      <c r="BB79" s="366"/>
      <c r="BC79" s="366"/>
      <c r="BD79" s="366"/>
      <c r="BE79" s="304"/>
      <c r="BF79" s="304"/>
      <c r="BG79" s="304"/>
      <c r="BH79" s="304"/>
      <c r="BI79" s="304"/>
      <c r="BJ79" s="304"/>
      <c r="BK79" s="304"/>
      <c r="BL79" s="867"/>
      <c r="BM79" s="867"/>
      <c r="BN79" s="867"/>
      <c r="BO79" s="867"/>
      <c r="BP79" s="867"/>
      <c r="BQ79" s="867"/>
      <c r="BR79" s="867"/>
      <c r="BS79" s="867"/>
      <c r="BT79" s="867"/>
      <c r="BU79" s="867"/>
      <c r="BV79" s="867"/>
      <c r="BW79" s="867"/>
      <c r="BX79" s="867"/>
      <c r="BY79" s="867"/>
      <c r="BZ79" s="867"/>
      <c r="CA79" s="867"/>
      <c r="CB79" s="867"/>
      <c r="CC79" s="304"/>
      <c r="CD79" s="304"/>
      <c r="CE79" s="304"/>
      <c r="CF79" s="304"/>
      <c r="CG79" s="304"/>
      <c r="CH79" s="284"/>
      <c r="CI79" s="288"/>
      <c r="CJ79" s="288"/>
    </row>
    <row r="80" spans="1:88" s="250" customFormat="1" ht="3" customHeight="1">
      <c r="A80" s="220"/>
      <c r="B80" s="220"/>
      <c r="C80" s="220"/>
      <c r="D80" s="220"/>
      <c r="E80" s="983"/>
      <c r="F80" s="983"/>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1014"/>
      <c r="AL80" s="1014"/>
      <c r="AM80" s="1014"/>
      <c r="AN80" s="355"/>
      <c r="AO80" s="436"/>
      <c r="AP80" s="436"/>
      <c r="AQ80" s="436"/>
      <c r="AR80" s="435"/>
      <c r="AS80" s="439"/>
      <c r="AT80" s="439"/>
      <c r="AU80" s="439"/>
      <c r="AV80" s="439"/>
      <c r="AW80" s="439"/>
      <c r="AX80" s="440"/>
      <c r="AY80" s="821"/>
      <c r="AZ80" s="821"/>
      <c r="BA80" s="821"/>
      <c r="BB80" s="821"/>
      <c r="BC80" s="821"/>
      <c r="BD80" s="821"/>
      <c r="BE80" s="434"/>
      <c r="BF80" s="968"/>
      <c r="BG80" s="968"/>
      <c r="BH80" s="968"/>
      <c r="BI80" s="968"/>
      <c r="BJ80" s="968"/>
      <c r="BK80" s="851"/>
      <c r="BL80" s="826"/>
      <c r="BM80" s="820"/>
      <c r="BN80" s="820"/>
      <c r="BO80" s="820"/>
      <c r="BP80" s="435"/>
      <c r="BQ80" s="821"/>
      <c r="BR80" s="821"/>
      <c r="BS80" s="821"/>
      <c r="BT80" s="821"/>
      <c r="BU80" s="821"/>
      <c r="BV80" s="818"/>
      <c r="BW80" s="822"/>
      <c r="BX80" s="822"/>
      <c r="BY80" s="822"/>
      <c r="BZ80" s="822"/>
      <c r="CA80" s="822"/>
      <c r="CB80" s="819"/>
      <c r="CC80" s="822"/>
      <c r="CD80" s="822"/>
      <c r="CE80" s="822"/>
      <c r="CF80" s="822"/>
      <c r="CG80" s="822"/>
      <c r="CH80" s="285"/>
      <c r="CI80" s="288"/>
      <c r="CJ80" s="288"/>
    </row>
    <row r="81" spans="1:88" ht="15" customHeight="1">
      <c r="E81" s="983"/>
      <c r="F81" s="983"/>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1014"/>
      <c r="AL81" s="1014"/>
      <c r="AM81" s="1014"/>
      <c r="AN81" s="355"/>
      <c r="AO81" s="432" t="str">
        <f>IF(LEN(VLOOKUP(AK79,vysledovka!$D$8:$F$68,2,FALSE))&lt;11,"",LEFT(RIGHT(VLOOKUP(AK79,vysledovka!$D$8:$F$68,2,FALSE),11),1))</f>
        <v/>
      </c>
      <c r="AP81" s="255"/>
      <c r="AQ81" s="432" t="str">
        <f>IF(LEN(VLOOKUP(AK79,vysledovka!$D$8:$F$68,2,FALSE))&lt;10,"",LEFT(RIGHT(VLOOKUP(AK79,vysledovka!$D$8:$F$68,2,FALSE),10),1))</f>
        <v/>
      </c>
      <c r="AR81" s="434"/>
      <c r="AS81" s="432" t="str">
        <f>IF(LEN(VLOOKUP(AK79,vysledovka!$D$8:$F$68,2,FALSE))&lt;9,"",LEFT(RIGHT(VLOOKUP(AK79,vysledovka!$D$8:$F$68,2,FALSE),9),1))</f>
        <v/>
      </c>
      <c r="AT81" s="255"/>
      <c r="AU81" s="432" t="str">
        <f>IF(LEN(VLOOKUP(AK79,vysledovka!$D$8:$F$68,2,FALSE))&lt;8,"",LEFT(RIGHT(VLOOKUP(AK79,vysledovka!$D$8:$F$68,2,FALSE),8),1))</f>
        <v/>
      </c>
      <c r="AV81" s="434"/>
      <c r="AW81" s="432" t="str">
        <f>IF(LEN(VLOOKUP(AK79,vysledovka!$D$8:$F$68,2,FALSE))&lt;7,"",LEFT(RIGHT(VLOOKUP(AK79,vysledovka!$D$8:$F$68,2,FALSE),7),1))</f>
        <v/>
      </c>
      <c r="AX81" s="440"/>
      <c r="AY81" s="432" t="str">
        <f>IF(LEN(VLOOKUP(AK79,vysledovka!$D$8:$F$68,2,FALSE))&lt;6,"",LEFT(RIGHT(VLOOKUP(AK79,vysledovka!$D$8:$F$68,2,FALSE),6),1))</f>
        <v/>
      </c>
      <c r="AZ81" s="255"/>
      <c r="BA81" s="961" t="str">
        <f>IF(LEN(VLOOKUP(AK79,vysledovka!$D$8:$F$68,2,FALSE))&lt;5,"",LEFT(RIGHT(VLOOKUP(AK79,vysledovka!$D$8:$F$68,2,FALSE),5),1))</f>
        <v>6</v>
      </c>
      <c r="BB81" s="961"/>
      <c r="BC81" s="434"/>
      <c r="BD81" s="432" t="str">
        <f>IF(LEN(VLOOKUP(AK79,vysledovka!$D$8:$F$68,2,FALSE))&lt;4,"",LEFT(RIGHT(VLOOKUP(AK79,vysledovka!$D$8:$F$68,2,FALSE),4),1))</f>
        <v>7</v>
      </c>
      <c r="BE81" s="434"/>
      <c r="BF81" s="432" t="str">
        <f>IF(LEN(VLOOKUP(AK79,vysledovka!$D$8:$F$68,2,FALSE))&lt;3,"",LEFT(RIGHT(VLOOKUP(AK79,vysledovka!$D$8:$F$68,2,FALSE),3),1))</f>
        <v>4</v>
      </c>
      <c r="BG81" s="434"/>
      <c r="BH81" s="432" t="str">
        <f>IF(LEN(VLOOKUP(AK79,vysledovka!$D$8:$F$68,2,FALSE))&lt;2,"",LEFT(RIGHT(VLOOKUP(AK79,vysledovka!$D$8:$F$68,2,FALSE),2),1))</f>
        <v>5</v>
      </c>
      <c r="BI81" s="434"/>
      <c r="BJ81" s="432" t="str">
        <f>IF(VLOOKUP(AK79,vysledovka!$D$8:$F$68,2,FALSE)=0,"",IF(LEN(VLOOKUP(AK79,vysledovka!$D$8:$F$68,2,FALSE))&lt;1,"",LEFT(RIGHT(VLOOKUP(AK79,vysledovka!$D$8:$F$68,2,FALSE),1),1)))</f>
        <v>3</v>
      </c>
      <c r="BK81" s="851"/>
      <c r="BL81" s="826"/>
      <c r="BM81" s="432" t="str">
        <f>IF(LEN(VLOOKUP(AK79,vysledovka!$D$8:$F$68,3,FALSE))&lt;11,"",LEFT(RIGHT(VLOOKUP(AK79,vysledovka!$D$8:$F$68,3,FALSE),11),1))</f>
        <v/>
      </c>
      <c r="BN81" s="255"/>
      <c r="BO81" s="432" t="str">
        <f>IF(LEN(VLOOKUP(AK79,vysledovka!$D$8:$F$68,3,FALSE))&lt;10,"",LEFT(RIGHT(VLOOKUP(AK79,vysledovka!$D$8:$F$68,3,FALSE),10),1))</f>
        <v/>
      </c>
      <c r="BP81" s="434"/>
      <c r="BQ81" s="432" t="str">
        <f>IF(LEN(VLOOKUP(AK79,vysledovka!$D$8:$F$68,3,FALSE))&lt;9,"",LEFT(RIGHT(VLOOKUP(AK79,vysledovka!$D$8:$F$68,3,FALSE),9),1))</f>
        <v/>
      </c>
      <c r="BR81" s="255"/>
      <c r="BS81" s="432" t="str">
        <f>IF(LEN(VLOOKUP(AK79,vysledovka!$D$8:$F$68,3,FALSE))&lt;8,"",LEFT(RIGHT(VLOOKUP(AK79,vysledovka!$D$8:$F$68,3,FALSE),8),1))</f>
        <v/>
      </c>
      <c r="BT81" s="434"/>
      <c r="BU81" s="432" t="str">
        <f>IF(LEN(VLOOKUP(AK79,vysledovka!$D$8:$F$68,3,FALSE))&lt;7,"",LEFT(RIGHT(VLOOKUP(AK79,vysledovka!$D$8:$F$68,3,FALSE),7),1))</f>
        <v/>
      </c>
      <c r="BV81" s="818"/>
      <c r="BW81" s="432" t="str">
        <f>IF(LEN(VLOOKUP(AK79,vysledovka!$D$8:$F$68,3,FALSE))&lt;6,"",LEFT(RIGHT(VLOOKUP(AK79,vysledovka!$D$8:$F$68,3,FALSE),6),1))</f>
        <v/>
      </c>
      <c r="BX81" s="434"/>
      <c r="BY81" s="432" t="str">
        <f>IF(LEN(VLOOKUP(AK79,vysledovka!$D$8:$F$68,3,FALSE))&lt;5,"",LEFT(RIGHT(VLOOKUP(AK79,vysledovka!$D$8:$F$68,3,FALSE),5),1))</f>
        <v>4</v>
      </c>
      <c r="BZ81" s="434"/>
      <c r="CA81" s="432" t="str">
        <f>IF(LEN(VLOOKUP(AK79,vysledovka!$D$8:$F$68,3,FALSE))&lt;4,"",LEFT(RIGHT(VLOOKUP(AK79,vysledovka!$D$8:$F$68,3,FALSE),4),1))</f>
        <v>9</v>
      </c>
      <c r="CB81" s="819"/>
      <c r="CC81" s="432" t="str">
        <f>IF(LEN(VLOOKUP(AK79,vysledovka!$D$8:$F$68,3,FALSE))&lt;3,"",LEFT(RIGHT(VLOOKUP(AK79,vysledovka!$D$8:$F$68,3,FALSE),3),1))</f>
        <v>7</v>
      </c>
      <c r="CD81" s="434"/>
      <c r="CE81" s="432" t="str">
        <f>IF(LEN(VLOOKUP(AK79,vysledovka!$D$8:$F$68,3,FALSE))&lt;2,"",LEFT(RIGHT(VLOOKUP(AK79,vysledovka!$D$8:$F$68,3,FALSE),2),1))</f>
        <v>4</v>
      </c>
      <c r="CF81" s="434"/>
      <c r="CG81" s="432" t="str">
        <f>IF(VLOOKUP(AK79,vysledovka!$D$8:$F$68,3,FALSE)=0,"",IF(LEN(VLOOKUP(AK79,vysledovka!$D$8:$F$68,3,FALSE))&lt;1,"",LEFT(RIGHT(VLOOKUP(AK79,vysledovka!$D$8:$F$68,3,FALSE),1),1)))</f>
        <v>5</v>
      </c>
      <c r="CH81" s="285"/>
      <c r="CI81" s="220"/>
      <c r="CJ81" s="220"/>
    </row>
    <row r="82" spans="1:88" ht="3" customHeight="1">
      <c r="E82" s="983"/>
      <c r="F82" s="983"/>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1014"/>
      <c r="AL82" s="1014"/>
      <c r="AM82" s="1014"/>
      <c r="AN82" s="358"/>
      <c r="AO82" s="365"/>
      <c r="AP82" s="365"/>
      <c r="AQ82" s="365"/>
      <c r="AR82" s="365"/>
      <c r="AS82" s="365"/>
      <c r="AT82" s="365"/>
      <c r="AU82" s="365"/>
      <c r="AV82" s="365"/>
      <c r="AW82" s="365"/>
      <c r="AX82" s="365"/>
      <c r="AY82" s="365"/>
      <c r="AZ82" s="365"/>
      <c r="BA82" s="365"/>
      <c r="BB82" s="365"/>
      <c r="BC82" s="365"/>
      <c r="BD82" s="365"/>
      <c r="BE82" s="310"/>
      <c r="BF82" s="310"/>
      <c r="BG82" s="310"/>
      <c r="BH82" s="310"/>
      <c r="BI82" s="310"/>
      <c r="BJ82" s="310"/>
      <c r="BK82" s="310"/>
      <c r="BL82" s="846"/>
      <c r="BM82" s="846"/>
      <c r="BN82" s="846"/>
      <c r="BO82" s="846"/>
      <c r="BP82" s="846"/>
      <c r="BQ82" s="846"/>
      <c r="BR82" s="846"/>
      <c r="BS82" s="846"/>
      <c r="BT82" s="846"/>
      <c r="BU82" s="846"/>
      <c r="BV82" s="846"/>
      <c r="BW82" s="846"/>
      <c r="BX82" s="846"/>
      <c r="BY82" s="846"/>
      <c r="BZ82" s="846"/>
      <c r="CA82" s="846"/>
      <c r="CB82" s="846"/>
      <c r="CC82" s="310"/>
      <c r="CD82" s="310"/>
      <c r="CE82" s="310"/>
      <c r="CF82" s="310"/>
      <c r="CG82" s="310"/>
      <c r="CH82" s="286"/>
      <c r="CI82" s="220"/>
      <c r="CJ82" s="220"/>
    </row>
    <row r="83" spans="1:88" s="250" customFormat="1" ht="3" customHeight="1">
      <c r="A83" s="312"/>
      <c r="B83" s="312"/>
      <c r="C83" s="224"/>
      <c r="D83" s="224"/>
      <c r="E83" s="1059" t="s">
        <v>1544</v>
      </c>
      <c r="F83" s="1060"/>
      <c r="G83" s="972" t="str">
        <f>Index!C223</f>
        <v>Sociálne náklady (527, 528)</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1056" t="s">
        <v>1560</v>
      </c>
      <c r="AL83" s="1014"/>
      <c r="AM83" s="1014"/>
      <c r="AN83" s="357"/>
      <c r="AO83" s="366"/>
      <c r="AP83" s="366"/>
      <c r="AQ83" s="366"/>
      <c r="AR83" s="366"/>
      <c r="AS83" s="366"/>
      <c r="AT83" s="366"/>
      <c r="AU83" s="366"/>
      <c r="AV83" s="366"/>
      <c r="AW83" s="366"/>
      <c r="AX83" s="366"/>
      <c r="AY83" s="366"/>
      <c r="AZ83" s="366"/>
      <c r="BA83" s="366"/>
      <c r="BB83" s="366"/>
      <c r="BC83" s="366"/>
      <c r="BD83" s="366"/>
      <c r="BE83" s="304"/>
      <c r="BF83" s="304"/>
      <c r="BG83" s="304"/>
      <c r="BH83" s="304"/>
      <c r="BI83" s="304"/>
      <c r="BJ83" s="304"/>
      <c r="BK83" s="304"/>
      <c r="BL83" s="867"/>
      <c r="BM83" s="867"/>
      <c r="BN83" s="867"/>
      <c r="BO83" s="867"/>
      <c r="BP83" s="867"/>
      <c r="BQ83" s="867"/>
      <c r="BR83" s="867"/>
      <c r="BS83" s="867"/>
      <c r="BT83" s="867"/>
      <c r="BU83" s="867"/>
      <c r="BV83" s="867"/>
      <c r="BW83" s="867"/>
      <c r="BX83" s="867"/>
      <c r="BY83" s="867"/>
      <c r="BZ83" s="867"/>
      <c r="CA83" s="867"/>
      <c r="CB83" s="867"/>
      <c r="CC83" s="304"/>
      <c r="CD83" s="304"/>
      <c r="CE83" s="304"/>
      <c r="CF83" s="304"/>
      <c r="CG83" s="304"/>
      <c r="CH83" s="284"/>
      <c r="CI83" s="288"/>
      <c r="CJ83" s="288"/>
    </row>
    <row r="84" spans="1:88" s="250" customFormat="1" ht="3" customHeight="1">
      <c r="A84" s="312"/>
      <c r="B84" s="312"/>
      <c r="C84" s="312"/>
      <c r="D84" s="312"/>
      <c r="E84" s="1059"/>
      <c r="F84" s="1060"/>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1014"/>
      <c r="AL84" s="1014"/>
      <c r="AM84" s="1014"/>
      <c r="AN84" s="355"/>
      <c r="AO84" s="436"/>
      <c r="AP84" s="436"/>
      <c r="AQ84" s="436"/>
      <c r="AR84" s="435"/>
      <c r="AS84" s="433"/>
      <c r="AT84" s="433"/>
      <c r="AU84" s="433"/>
      <c r="AV84" s="433"/>
      <c r="AW84" s="433"/>
      <c r="AX84" s="434"/>
      <c r="AY84" s="1007"/>
      <c r="AZ84" s="1007"/>
      <c r="BA84" s="1007"/>
      <c r="BB84" s="1007"/>
      <c r="BC84" s="1007"/>
      <c r="BD84" s="1007"/>
      <c r="BE84" s="434"/>
      <c r="BF84" s="968"/>
      <c r="BG84" s="968"/>
      <c r="BH84" s="968"/>
      <c r="BI84" s="968"/>
      <c r="BJ84" s="968"/>
      <c r="BK84" s="851"/>
      <c r="BL84" s="826"/>
      <c r="BM84" s="820"/>
      <c r="BN84" s="820"/>
      <c r="BO84" s="820"/>
      <c r="BP84" s="435"/>
      <c r="BQ84" s="1007"/>
      <c r="BR84" s="1007"/>
      <c r="BS84" s="1007"/>
      <c r="BT84" s="1007"/>
      <c r="BU84" s="1007"/>
      <c r="BV84" s="1008"/>
      <c r="BW84" s="968"/>
      <c r="BX84" s="968"/>
      <c r="BY84" s="968"/>
      <c r="BZ84" s="968"/>
      <c r="CA84" s="968"/>
      <c r="CB84" s="1009"/>
      <c r="CC84" s="968"/>
      <c r="CD84" s="968"/>
      <c r="CE84" s="968"/>
      <c r="CF84" s="968"/>
      <c r="CG84" s="968"/>
      <c r="CH84" s="285"/>
      <c r="CI84" s="288"/>
      <c r="CJ84" s="288"/>
    </row>
    <row r="85" spans="1:88" s="313" customFormat="1" ht="15" customHeight="1">
      <c r="A85" s="312"/>
      <c r="B85" s="312"/>
      <c r="C85" s="312"/>
      <c r="E85" s="1059"/>
      <c r="F85" s="1060"/>
      <c r="G85" s="972"/>
      <c r="H85" s="972"/>
      <c r="I85" s="972"/>
      <c r="J85" s="972"/>
      <c r="K85" s="972"/>
      <c r="L85" s="972"/>
      <c r="M85" s="972"/>
      <c r="N85" s="972"/>
      <c r="O85" s="972"/>
      <c r="P85" s="972"/>
      <c r="Q85" s="972"/>
      <c r="R85" s="972"/>
      <c r="S85" s="972"/>
      <c r="T85" s="972"/>
      <c r="U85" s="972"/>
      <c r="V85" s="972"/>
      <c r="W85" s="972"/>
      <c r="X85" s="972"/>
      <c r="Y85" s="972"/>
      <c r="Z85" s="972"/>
      <c r="AA85" s="972"/>
      <c r="AB85" s="972"/>
      <c r="AC85" s="972"/>
      <c r="AD85" s="972"/>
      <c r="AE85" s="972"/>
      <c r="AF85" s="972"/>
      <c r="AG85" s="972"/>
      <c r="AH85" s="972"/>
      <c r="AI85" s="972"/>
      <c r="AJ85" s="972"/>
      <c r="AK85" s="1014"/>
      <c r="AL85" s="1014"/>
      <c r="AM85" s="1014"/>
      <c r="AN85" s="355"/>
      <c r="AO85" s="432" t="str">
        <f>IF(LEN(VLOOKUP(AK83,vysledovka!$D$8:$F$68,2,FALSE))&lt;11,"",LEFT(RIGHT(VLOOKUP(AK83,vysledovka!$D$8:$F$68,2,FALSE),11),1))</f>
        <v/>
      </c>
      <c r="AP85" s="255"/>
      <c r="AQ85" s="432" t="str">
        <f>IF(LEN(VLOOKUP(AK83,vysledovka!$D$8:$F$68,2,FALSE))&lt;10,"",LEFT(RIGHT(VLOOKUP(AK83,vysledovka!$D$8:$F$68,2,FALSE),10),1))</f>
        <v/>
      </c>
      <c r="AR85" s="434"/>
      <c r="AS85" s="432" t="str">
        <f>IF(LEN(VLOOKUP(AK83,vysledovka!$D$8:$F$68,2,FALSE))&lt;9,"",LEFT(RIGHT(VLOOKUP(AK83,vysledovka!$D$8:$F$68,2,FALSE),9),1))</f>
        <v/>
      </c>
      <c r="AT85" s="255"/>
      <c r="AU85" s="432" t="str">
        <f>IF(LEN(VLOOKUP(AK83,vysledovka!$D$8:$F$68,2,FALSE))&lt;8,"",LEFT(RIGHT(VLOOKUP(AK83,vysledovka!$D$8:$F$68,2,FALSE),8),1))</f>
        <v/>
      </c>
      <c r="AV85" s="434"/>
      <c r="AW85" s="432" t="str">
        <f>IF(LEN(VLOOKUP(AK83,vysledovka!$D$8:$F$68,2,FALSE))&lt;7,"",LEFT(RIGHT(VLOOKUP(AK83,vysledovka!$D$8:$F$68,2,FALSE),7),1))</f>
        <v/>
      </c>
      <c r="AX85" s="434"/>
      <c r="AY85" s="432" t="str">
        <f>IF(LEN(VLOOKUP(AK83,vysledovka!$D$8:$F$68,2,FALSE))&lt;6,"",LEFT(RIGHT(VLOOKUP(AK83,vysledovka!$D$8:$F$68,2,FALSE),6),1))</f>
        <v/>
      </c>
      <c r="AZ85" s="255"/>
      <c r="BA85" s="961" t="str">
        <f>IF(LEN(VLOOKUP(AK83,vysledovka!$D$8:$F$68,2,FALSE))&lt;5,"",LEFT(RIGHT(VLOOKUP(AK83,vysledovka!$D$8:$F$68,2,FALSE),5),1))</f>
        <v/>
      </c>
      <c r="BB85" s="961"/>
      <c r="BC85" s="434"/>
      <c r="BD85" s="432" t="str">
        <f>IF(LEN(VLOOKUP(AK83,vysledovka!$D$8:$F$68,2,FALSE))&lt;4,"",LEFT(RIGHT(VLOOKUP(AK83,vysledovka!$D$8:$F$68,2,FALSE),4),1))</f>
        <v>4</v>
      </c>
      <c r="BE85" s="434"/>
      <c r="BF85" s="432" t="str">
        <f>IF(LEN(VLOOKUP(AK83,vysledovka!$D$8:$F$68,2,FALSE))&lt;3,"",LEFT(RIGHT(VLOOKUP(AK83,vysledovka!$D$8:$F$68,2,FALSE),3),1))</f>
        <v>3</v>
      </c>
      <c r="BG85" s="434"/>
      <c r="BH85" s="432" t="str">
        <f>IF(LEN(VLOOKUP(AK83,vysledovka!$D$8:$F$68,2,FALSE))&lt;2,"",LEFT(RIGHT(VLOOKUP(AK83,vysledovka!$D$8:$F$68,2,FALSE),2),1))</f>
        <v>4</v>
      </c>
      <c r="BI85" s="434"/>
      <c r="BJ85" s="432" t="str">
        <f>IF(VLOOKUP(AK83,vysledovka!$D$8:$F$68,2,FALSE)=0,"",IF(LEN(VLOOKUP(AK83,vysledovka!$D$8:$F$68,2,FALSE))&lt;1,"",LEFT(RIGHT(VLOOKUP(AK83,vysledovka!$D$8:$F$68,2,FALSE),1),1)))</f>
        <v>1</v>
      </c>
      <c r="BK85" s="851"/>
      <c r="BL85" s="826"/>
      <c r="BM85" s="432" t="str">
        <f>IF(LEN(VLOOKUP(AK83,vysledovka!$D$8:$F$68,3,FALSE))&lt;11,"",LEFT(RIGHT(VLOOKUP(AK83,vysledovka!$D$8:$F$68,3,FALSE),11),1))</f>
        <v/>
      </c>
      <c r="BN85" s="255"/>
      <c r="BO85" s="432" t="str">
        <f>IF(LEN(VLOOKUP(AK83,vysledovka!$D$8:$F$68,3,FALSE))&lt;10,"",LEFT(RIGHT(VLOOKUP(AK83,vysledovka!$D$8:$F$68,3,FALSE),10),1))</f>
        <v/>
      </c>
      <c r="BP85" s="434"/>
      <c r="BQ85" s="432" t="str">
        <f>IF(LEN(VLOOKUP(AK83,vysledovka!$D$8:$F$68,3,FALSE))&lt;9,"",LEFT(RIGHT(VLOOKUP(AK83,vysledovka!$D$8:$F$68,3,FALSE),9),1))</f>
        <v/>
      </c>
      <c r="BR85" s="255"/>
      <c r="BS85" s="432" t="str">
        <f>IF(LEN(VLOOKUP(AK83,vysledovka!$D$8:$F$68,3,FALSE))&lt;8,"",LEFT(RIGHT(VLOOKUP(AK83,vysledovka!$D$8:$F$68,3,FALSE),8),1))</f>
        <v/>
      </c>
      <c r="BT85" s="434"/>
      <c r="BU85" s="432" t="str">
        <f>IF(LEN(VLOOKUP(AK83,vysledovka!$D$8:$F$68,3,FALSE))&lt;7,"",LEFT(RIGHT(VLOOKUP(AK83,vysledovka!$D$8:$F$68,3,FALSE),7),1))</f>
        <v/>
      </c>
      <c r="BV85" s="1008"/>
      <c r="BW85" s="432" t="str">
        <f>IF(LEN(VLOOKUP(AK83,vysledovka!$D$8:$F$68,3,FALSE))&lt;6,"",LEFT(RIGHT(VLOOKUP(AK83,vysledovka!$D$8:$F$68,3,FALSE),6),1))</f>
        <v/>
      </c>
      <c r="BX85" s="434"/>
      <c r="BY85" s="432" t="str">
        <f>IF(LEN(VLOOKUP(AK83,vysledovka!$D$8:$F$68,3,FALSE))&lt;5,"",LEFT(RIGHT(VLOOKUP(AK83,vysledovka!$D$8:$F$68,3,FALSE),5),1))</f>
        <v/>
      </c>
      <c r="BZ85" s="434"/>
      <c r="CA85" s="432" t="str">
        <f>IF(LEN(VLOOKUP(AK83,vysledovka!$D$8:$F$68,3,FALSE))&lt;4,"",LEFT(RIGHT(VLOOKUP(AK83,vysledovka!$D$8:$F$68,3,FALSE),4),1))</f>
        <v>3</v>
      </c>
      <c r="CB85" s="1009"/>
      <c r="CC85" s="432" t="str">
        <f>IF(LEN(VLOOKUP(AK83,vysledovka!$D$8:$F$68,3,FALSE))&lt;3,"",LEFT(RIGHT(VLOOKUP(AK83,vysledovka!$D$8:$F$68,3,FALSE),3),1))</f>
        <v>8</v>
      </c>
      <c r="CD85" s="434"/>
      <c r="CE85" s="432" t="str">
        <f>IF(LEN(VLOOKUP(AK83,vysledovka!$D$8:$F$68,3,FALSE))&lt;2,"",LEFT(RIGHT(VLOOKUP(AK83,vysledovka!$D$8:$F$68,3,FALSE),2),1))</f>
        <v>0</v>
      </c>
      <c r="CF85" s="434"/>
      <c r="CG85" s="432" t="str">
        <f>IF(VLOOKUP(AK83,vysledovka!$D$8:$F$68,3,FALSE)=0,"",IF(LEN(VLOOKUP(AK83,vysledovka!$D$8:$F$68,3,FALSE))&lt;1,"",LEFT(RIGHT(VLOOKUP(AK83,vysledovka!$D$8:$F$68,3,FALSE),1),1)))</f>
        <v>2</v>
      </c>
      <c r="CH85" s="285"/>
      <c r="CI85" s="312"/>
      <c r="CJ85" s="312"/>
    </row>
    <row r="86" spans="1:88" s="313" customFormat="1" ht="3" customHeight="1">
      <c r="A86" s="312"/>
      <c r="B86" s="312"/>
      <c r="C86" s="312"/>
      <c r="E86" s="1059"/>
      <c r="F86" s="1060"/>
      <c r="G86" s="972"/>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1014"/>
      <c r="AL86" s="1014"/>
      <c r="AM86" s="1014"/>
      <c r="AN86" s="358"/>
      <c r="AO86" s="365"/>
      <c r="AP86" s="365"/>
      <c r="AQ86" s="365"/>
      <c r="AR86" s="365"/>
      <c r="AS86" s="365"/>
      <c r="AT86" s="365"/>
      <c r="AU86" s="365"/>
      <c r="AV86" s="365"/>
      <c r="AW86" s="365"/>
      <c r="AX86" s="365"/>
      <c r="AY86" s="365"/>
      <c r="AZ86" s="365"/>
      <c r="BA86" s="365"/>
      <c r="BB86" s="365"/>
      <c r="BC86" s="365"/>
      <c r="BD86" s="365"/>
      <c r="BE86" s="310"/>
      <c r="BF86" s="310"/>
      <c r="BG86" s="310"/>
      <c r="BH86" s="310"/>
      <c r="BI86" s="310"/>
      <c r="BJ86" s="310"/>
      <c r="BK86" s="310"/>
      <c r="BL86" s="846"/>
      <c r="BM86" s="846"/>
      <c r="BN86" s="846"/>
      <c r="BO86" s="846"/>
      <c r="BP86" s="846"/>
      <c r="BQ86" s="846"/>
      <c r="BR86" s="846"/>
      <c r="BS86" s="846"/>
      <c r="BT86" s="846"/>
      <c r="BU86" s="846"/>
      <c r="BV86" s="846"/>
      <c r="BW86" s="846"/>
      <c r="BX86" s="846"/>
      <c r="BY86" s="846"/>
      <c r="BZ86" s="846"/>
      <c r="CA86" s="846"/>
      <c r="CB86" s="846"/>
      <c r="CC86" s="310"/>
      <c r="CD86" s="310"/>
      <c r="CE86" s="310"/>
      <c r="CF86" s="310"/>
      <c r="CG86" s="310"/>
      <c r="CH86" s="286"/>
      <c r="CI86" s="312"/>
      <c r="CJ86" s="312"/>
    </row>
    <row r="87" spans="1:88" s="250" customFormat="1" ht="3" customHeight="1">
      <c r="A87" s="312"/>
      <c r="B87" s="312"/>
      <c r="C87" s="224"/>
      <c r="D87" s="224"/>
      <c r="E87" s="1057" t="s">
        <v>672</v>
      </c>
      <c r="F87" s="1058"/>
      <c r="G87" s="972" t="str">
        <f>Index!C224</f>
        <v>Dane a poplatky (účtová skupina 53)</v>
      </c>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1056" t="s">
        <v>1562</v>
      </c>
      <c r="AL87" s="1014"/>
      <c r="AM87" s="1014"/>
      <c r="AN87" s="357"/>
      <c r="AO87" s="366"/>
      <c r="AP87" s="366"/>
      <c r="AQ87" s="366"/>
      <c r="AR87" s="366"/>
      <c r="AS87" s="366"/>
      <c r="AT87" s="366"/>
      <c r="AU87" s="366"/>
      <c r="AV87" s="366"/>
      <c r="AW87" s="366"/>
      <c r="AX87" s="366"/>
      <c r="AY87" s="366"/>
      <c r="AZ87" s="366"/>
      <c r="BA87" s="366"/>
      <c r="BB87" s="366"/>
      <c r="BC87" s="366"/>
      <c r="BD87" s="366"/>
      <c r="BE87" s="304"/>
      <c r="BF87" s="304"/>
      <c r="BG87" s="304"/>
      <c r="BH87" s="304"/>
      <c r="BI87" s="304"/>
      <c r="BJ87" s="304"/>
      <c r="BK87" s="304"/>
      <c r="BL87" s="867"/>
      <c r="BM87" s="867"/>
      <c r="BN87" s="867"/>
      <c r="BO87" s="867"/>
      <c r="BP87" s="867"/>
      <c r="BQ87" s="867"/>
      <c r="BR87" s="867"/>
      <c r="BS87" s="867"/>
      <c r="BT87" s="867"/>
      <c r="BU87" s="867"/>
      <c r="BV87" s="867"/>
      <c r="BW87" s="867"/>
      <c r="BX87" s="867"/>
      <c r="BY87" s="867"/>
      <c r="BZ87" s="867"/>
      <c r="CA87" s="867"/>
      <c r="CB87" s="867"/>
      <c r="CC87" s="304"/>
      <c r="CD87" s="304"/>
      <c r="CE87" s="304"/>
      <c r="CF87" s="304"/>
      <c r="CG87" s="304"/>
      <c r="CH87" s="284"/>
      <c r="CI87" s="288"/>
      <c r="CJ87" s="288"/>
    </row>
    <row r="88" spans="1:88" s="250" customFormat="1" ht="3" customHeight="1">
      <c r="A88" s="312"/>
      <c r="B88" s="312"/>
      <c r="C88" s="312"/>
      <c r="D88" s="312"/>
      <c r="E88" s="1057"/>
      <c r="F88" s="1058"/>
      <c r="G88" s="972"/>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1014"/>
      <c r="AL88" s="1014"/>
      <c r="AM88" s="1014"/>
      <c r="AN88" s="355"/>
      <c r="AO88" s="436"/>
      <c r="AP88" s="436"/>
      <c r="AQ88" s="436"/>
      <c r="AR88" s="435"/>
      <c r="AS88" s="433"/>
      <c r="AT88" s="433"/>
      <c r="AU88" s="433"/>
      <c r="AV88" s="433"/>
      <c r="AW88" s="433"/>
      <c r="AX88" s="434"/>
      <c r="AY88" s="1007"/>
      <c r="AZ88" s="1007"/>
      <c r="BA88" s="1007"/>
      <c r="BB88" s="1007"/>
      <c r="BC88" s="1007"/>
      <c r="BD88" s="1007"/>
      <c r="BE88" s="434"/>
      <c r="BF88" s="968"/>
      <c r="BG88" s="968"/>
      <c r="BH88" s="968"/>
      <c r="BI88" s="968"/>
      <c r="BJ88" s="968"/>
      <c r="BK88" s="851"/>
      <c r="BL88" s="826"/>
      <c r="BM88" s="820"/>
      <c r="BN88" s="820"/>
      <c r="BO88" s="820"/>
      <c r="BP88" s="435"/>
      <c r="BQ88" s="1007"/>
      <c r="BR88" s="1007"/>
      <c r="BS88" s="1007"/>
      <c r="BT88" s="1007"/>
      <c r="BU88" s="1007"/>
      <c r="BV88" s="1008"/>
      <c r="BW88" s="968"/>
      <c r="BX88" s="968"/>
      <c r="BY88" s="968"/>
      <c r="BZ88" s="968"/>
      <c r="CA88" s="968"/>
      <c r="CB88" s="1009"/>
      <c r="CC88" s="968"/>
      <c r="CD88" s="968"/>
      <c r="CE88" s="968"/>
      <c r="CF88" s="968"/>
      <c r="CG88" s="968"/>
      <c r="CH88" s="285"/>
      <c r="CI88" s="288"/>
      <c r="CJ88" s="288"/>
    </row>
    <row r="89" spans="1:88" s="313" customFormat="1" ht="15" customHeight="1">
      <c r="A89" s="312"/>
      <c r="B89" s="312"/>
      <c r="C89" s="312"/>
      <c r="E89" s="1057"/>
      <c r="F89" s="1058"/>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1014"/>
      <c r="AL89" s="1014"/>
      <c r="AM89" s="1014"/>
      <c r="AN89" s="355"/>
      <c r="AO89" s="432" t="str">
        <f>IF(LEN(VLOOKUP(AK87,vysledovka!$D$8:$F$68,2,FALSE))&lt;11,"",LEFT(RIGHT(VLOOKUP(AK87,vysledovka!$D$8:$F$68,2,FALSE),11),1))</f>
        <v/>
      </c>
      <c r="AP89" s="255"/>
      <c r="AQ89" s="432" t="str">
        <f>IF(LEN(VLOOKUP(AK87,vysledovka!$D$8:$F$68,2,FALSE))&lt;10,"",LEFT(RIGHT(VLOOKUP(AK87,vysledovka!$D$8:$F$68,2,FALSE),10),1))</f>
        <v/>
      </c>
      <c r="AR89" s="434"/>
      <c r="AS89" s="432" t="str">
        <f>IF(LEN(VLOOKUP(AK87,vysledovka!$D$8:$F$68,2,FALSE))&lt;9,"",LEFT(RIGHT(VLOOKUP(AK87,vysledovka!$D$8:$F$68,2,FALSE),9),1))</f>
        <v/>
      </c>
      <c r="AT89" s="255"/>
      <c r="AU89" s="432" t="str">
        <f>IF(LEN(VLOOKUP(AK87,vysledovka!$D$8:$F$68,2,FALSE))&lt;8,"",LEFT(RIGHT(VLOOKUP(AK87,vysledovka!$D$8:$F$68,2,FALSE),8),1))</f>
        <v/>
      </c>
      <c r="AV89" s="434"/>
      <c r="AW89" s="432" t="str">
        <f>IF(LEN(VLOOKUP(AK87,vysledovka!$D$8:$F$68,2,FALSE))&lt;7,"",LEFT(RIGHT(VLOOKUP(AK87,vysledovka!$D$8:$F$68,2,FALSE),7),1))</f>
        <v/>
      </c>
      <c r="AX89" s="434"/>
      <c r="AY89" s="432" t="str">
        <f>IF(LEN(VLOOKUP(AK87,vysledovka!$D$8:$F$68,2,FALSE))&lt;6,"",LEFT(RIGHT(VLOOKUP(AK87,vysledovka!$D$8:$F$68,2,FALSE),6),1))</f>
        <v/>
      </c>
      <c r="AZ89" s="255"/>
      <c r="BA89" s="961" t="str">
        <f>IF(LEN(VLOOKUP(AK87,vysledovka!$D$8:$F$68,2,FALSE))&lt;5,"",LEFT(RIGHT(VLOOKUP(AK87,vysledovka!$D$8:$F$68,2,FALSE),5),1))</f>
        <v>4</v>
      </c>
      <c r="BB89" s="961"/>
      <c r="BC89" s="434"/>
      <c r="BD89" s="432" t="str">
        <f>IF(LEN(VLOOKUP(AK87,vysledovka!$D$8:$F$68,2,FALSE))&lt;4,"",LEFT(RIGHT(VLOOKUP(AK87,vysledovka!$D$8:$F$68,2,FALSE),4),1))</f>
        <v>2</v>
      </c>
      <c r="BE89" s="434"/>
      <c r="BF89" s="432" t="str">
        <f>IF(LEN(VLOOKUP(AK87,vysledovka!$D$8:$F$68,2,FALSE))&lt;3,"",LEFT(RIGHT(VLOOKUP(AK87,vysledovka!$D$8:$F$68,2,FALSE),3),1))</f>
        <v>9</v>
      </c>
      <c r="BG89" s="434"/>
      <c r="BH89" s="432" t="str">
        <f>IF(LEN(VLOOKUP(AK87,vysledovka!$D$8:$F$68,2,FALSE))&lt;2,"",LEFT(RIGHT(VLOOKUP(AK87,vysledovka!$D$8:$F$68,2,FALSE),2),1))</f>
        <v>3</v>
      </c>
      <c r="BI89" s="434"/>
      <c r="BJ89" s="432" t="str">
        <f>IF(VLOOKUP(AK87,vysledovka!$D$8:$F$68,2,FALSE)=0,"",IF(LEN(VLOOKUP(AK87,vysledovka!$D$8:$F$68,2,FALSE))&lt;1,"",LEFT(RIGHT(VLOOKUP(AK87,vysledovka!$D$8:$F$68,2,FALSE),1),1)))</f>
        <v>2</v>
      </c>
      <c r="BK89" s="851"/>
      <c r="BL89" s="826"/>
      <c r="BM89" s="432" t="str">
        <f>IF(LEN(VLOOKUP(AK87,vysledovka!$D$8:$F$68,3,FALSE))&lt;11,"",LEFT(RIGHT(VLOOKUP(AK87,vysledovka!$D$8:$F$68,3,FALSE),11),1))</f>
        <v/>
      </c>
      <c r="BN89" s="255"/>
      <c r="BO89" s="432" t="str">
        <f>IF(LEN(VLOOKUP(AK87,vysledovka!$D$8:$F$68,3,FALSE))&lt;10,"",LEFT(RIGHT(VLOOKUP(AK87,vysledovka!$D$8:$F$68,3,FALSE),10),1))</f>
        <v/>
      </c>
      <c r="BP89" s="434"/>
      <c r="BQ89" s="432" t="str">
        <f>IF(LEN(VLOOKUP(AK87,vysledovka!$D$8:$F$68,3,FALSE))&lt;9,"",LEFT(RIGHT(VLOOKUP(AK87,vysledovka!$D$8:$F$68,3,FALSE),9),1))</f>
        <v/>
      </c>
      <c r="BR89" s="255"/>
      <c r="BS89" s="432" t="str">
        <f>IF(LEN(VLOOKUP(AK87,vysledovka!$D$8:$F$68,3,FALSE))&lt;8,"",LEFT(RIGHT(VLOOKUP(AK87,vysledovka!$D$8:$F$68,3,FALSE),8),1))</f>
        <v/>
      </c>
      <c r="BT89" s="434"/>
      <c r="BU89" s="432" t="str">
        <f>IF(LEN(VLOOKUP(AK87,vysledovka!$D$8:$F$68,3,FALSE))&lt;7,"",LEFT(RIGHT(VLOOKUP(AK87,vysledovka!$D$8:$F$68,3,FALSE),7),1))</f>
        <v/>
      </c>
      <c r="BV89" s="1008"/>
      <c r="BW89" s="432" t="str">
        <f>IF(LEN(VLOOKUP(AK87,vysledovka!$D$8:$F$68,3,FALSE))&lt;6,"",LEFT(RIGHT(VLOOKUP(AK87,vysledovka!$D$8:$F$68,3,FALSE),6),1))</f>
        <v/>
      </c>
      <c r="BX89" s="434"/>
      <c r="BY89" s="432" t="str">
        <f>IF(LEN(VLOOKUP(AK87,vysledovka!$D$8:$F$68,3,FALSE))&lt;5,"",LEFT(RIGHT(VLOOKUP(AK87,vysledovka!$D$8:$F$68,3,FALSE),5),1))</f>
        <v>4</v>
      </c>
      <c r="BZ89" s="434"/>
      <c r="CA89" s="432" t="str">
        <f>IF(LEN(VLOOKUP(AK87,vysledovka!$D$8:$F$68,3,FALSE))&lt;4,"",LEFT(RIGHT(VLOOKUP(AK87,vysledovka!$D$8:$F$68,3,FALSE),4),1))</f>
        <v>3</v>
      </c>
      <c r="CB89" s="1009"/>
      <c r="CC89" s="432" t="str">
        <f>IF(LEN(VLOOKUP(AK87,vysledovka!$D$8:$F$68,3,FALSE))&lt;3,"",LEFT(RIGHT(VLOOKUP(AK87,vysledovka!$D$8:$F$68,3,FALSE),3),1))</f>
        <v>8</v>
      </c>
      <c r="CD89" s="434"/>
      <c r="CE89" s="432" t="str">
        <f>IF(LEN(VLOOKUP(AK87,vysledovka!$D$8:$F$68,3,FALSE))&lt;2,"",LEFT(RIGHT(VLOOKUP(AK87,vysledovka!$D$8:$F$68,3,FALSE),2),1))</f>
        <v>6</v>
      </c>
      <c r="CF89" s="434"/>
      <c r="CG89" s="432" t="str">
        <f>IF(VLOOKUP(AK87,vysledovka!$D$8:$F$68,3,FALSE)=0,"",IF(LEN(VLOOKUP(AK87,vysledovka!$D$8:$F$68,3,FALSE))&lt;1,"",LEFT(RIGHT(VLOOKUP(AK87,vysledovka!$D$8:$F$68,3,FALSE),1),1)))</f>
        <v>2</v>
      </c>
      <c r="CH89" s="285"/>
      <c r="CI89" s="312"/>
      <c r="CJ89" s="312"/>
    </row>
    <row r="90" spans="1:88" s="313" customFormat="1" ht="3" customHeight="1">
      <c r="A90" s="312"/>
      <c r="B90" s="312"/>
      <c r="C90" s="312"/>
      <c r="E90" s="1057"/>
      <c r="F90" s="1058"/>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1014"/>
      <c r="AL90" s="1014"/>
      <c r="AM90" s="1014"/>
      <c r="AN90" s="358"/>
      <c r="AO90" s="365"/>
      <c r="AP90" s="365"/>
      <c r="AQ90" s="365"/>
      <c r="AR90" s="365"/>
      <c r="AS90" s="365"/>
      <c r="AT90" s="365"/>
      <c r="AU90" s="365"/>
      <c r="AV90" s="365"/>
      <c r="AW90" s="365"/>
      <c r="AX90" s="365"/>
      <c r="AY90" s="365"/>
      <c r="AZ90" s="365"/>
      <c r="BA90" s="365"/>
      <c r="BB90" s="365"/>
      <c r="BC90" s="365"/>
      <c r="BD90" s="365"/>
      <c r="BE90" s="310"/>
      <c r="BF90" s="310"/>
      <c r="BG90" s="310"/>
      <c r="BH90" s="310"/>
      <c r="BI90" s="310"/>
      <c r="BJ90" s="310"/>
      <c r="BK90" s="310"/>
      <c r="BL90" s="846"/>
      <c r="BM90" s="846"/>
      <c r="BN90" s="846"/>
      <c r="BO90" s="846"/>
      <c r="BP90" s="846"/>
      <c r="BQ90" s="846"/>
      <c r="BR90" s="846"/>
      <c r="BS90" s="846"/>
      <c r="BT90" s="846"/>
      <c r="BU90" s="846"/>
      <c r="BV90" s="846"/>
      <c r="BW90" s="846"/>
      <c r="BX90" s="846"/>
      <c r="BY90" s="846"/>
      <c r="BZ90" s="846"/>
      <c r="CA90" s="846"/>
      <c r="CB90" s="846"/>
      <c r="CC90" s="310"/>
      <c r="CD90" s="310"/>
      <c r="CE90" s="310"/>
      <c r="CF90" s="310"/>
      <c r="CG90" s="310"/>
      <c r="CH90" s="286"/>
      <c r="CI90" s="312"/>
      <c r="CJ90" s="312"/>
    </row>
    <row r="91" spans="1:88" s="250" customFormat="1" ht="3" customHeight="1">
      <c r="A91" s="312"/>
      <c r="B91" s="312"/>
      <c r="C91" s="224"/>
      <c r="D91" s="224"/>
      <c r="E91" s="1055" t="s">
        <v>674</v>
      </c>
      <c r="F91" s="1055"/>
      <c r="G91" s="1006" t="str">
        <f>Index!C225</f>
        <v>Odpisy a opravné položky k dlhodobému nehmotnému majetku a dlhodobému hmotnému majetku (r. 22 + r. 23)</v>
      </c>
      <c r="H91" s="1006"/>
      <c r="I91" s="1006"/>
      <c r="J91" s="1006"/>
      <c r="K91" s="1006"/>
      <c r="L91" s="1006"/>
      <c r="M91" s="1006"/>
      <c r="N91" s="1006"/>
      <c r="O91" s="1006"/>
      <c r="P91" s="1006"/>
      <c r="Q91" s="1006"/>
      <c r="R91" s="1006"/>
      <c r="S91" s="1006"/>
      <c r="T91" s="1006"/>
      <c r="U91" s="1006"/>
      <c r="V91" s="1006"/>
      <c r="W91" s="1006"/>
      <c r="X91" s="1006"/>
      <c r="Y91" s="1006"/>
      <c r="Z91" s="1006"/>
      <c r="AA91" s="1006"/>
      <c r="AB91" s="1006"/>
      <c r="AC91" s="1006"/>
      <c r="AD91" s="1006"/>
      <c r="AE91" s="1006"/>
      <c r="AF91" s="1006"/>
      <c r="AG91" s="1006"/>
      <c r="AH91" s="1006"/>
      <c r="AI91" s="1006"/>
      <c r="AJ91" s="1006"/>
      <c r="AK91" s="1056" t="s">
        <v>1563</v>
      </c>
      <c r="AL91" s="1014"/>
      <c r="AM91" s="1014"/>
      <c r="AN91" s="357"/>
      <c r="AO91" s="366"/>
      <c r="AP91" s="366"/>
      <c r="AQ91" s="366"/>
      <c r="AR91" s="366"/>
      <c r="AS91" s="366"/>
      <c r="AT91" s="366"/>
      <c r="AU91" s="366"/>
      <c r="AV91" s="366"/>
      <c r="AW91" s="366"/>
      <c r="AX91" s="366"/>
      <c r="AY91" s="366"/>
      <c r="AZ91" s="366"/>
      <c r="BA91" s="366"/>
      <c r="BB91" s="366"/>
      <c r="BC91" s="366"/>
      <c r="BD91" s="366"/>
      <c r="BE91" s="304"/>
      <c r="BF91" s="304"/>
      <c r="BG91" s="304"/>
      <c r="BH91" s="304"/>
      <c r="BI91" s="304"/>
      <c r="BJ91" s="304"/>
      <c r="BK91" s="304"/>
      <c r="BL91" s="867"/>
      <c r="BM91" s="867"/>
      <c r="BN91" s="867"/>
      <c r="BO91" s="867"/>
      <c r="BP91" s="867"/>
      <c r="BQ91" s="867"/>
      <c r="BR91" s="867"/>
      <c r="BS91" s="867"/>
      <c r="BT91" s="867"/>
      <c r="BU91" s="867"/>
      <c r="BV91" s="867"/>
      <c r="BW91" s="867"/>
      <c r="BX91" s="867"/>
      <c r="BY91" s="867"/>
      <c r="BZ91" s="867"/>
      <c r="CA91" s="867"/>
      <c r="CB91" s="867"/>
      <c r="CC91" s="304"/>
      <c r="CD91" s="304"/>
      <c r="CE91" s="304"/>
      <c r="CF91" s="304"/>
      <c r="CG91" s="304"/>
      <c r="CH91" s="284"/>
      <c r="CI91" s="288"/>
      <c r="CJ91" s="288"/>
    </row>
    <row r="92" spans="1:88" s="250" customFormat="1" ht="3" customHeight="1">
      <c r="A92" s="312"/>
      <c r="B92" s="312"/>
      <c r="C92" s="312"/>
      <c r="D92" s="312"/>
      <c r="E92" s="1055"/>
      <c r="F92" s="1055"/>
      <c r="G92" s="1006"/>
      <c r="H92" s="1006"/>
      <c r="I92" s="1006"/>
      <c r="J92" s="1006"/>
      <c r="K92" s="1006"/>
      <c r="L92" s="1006"/>
      <c r="M92" s="1006"/>
      <c r="N92" s="1006"/>
      <c r="O92" s="1006"/>
      <c r="P92" s="1006"/>
      <c r="Q92" s="1006"/>
      <c r="R92" s="1006"/>
      <c r="S92" s="1006"/>
      <c r="T92" s="1006"/>
      <c r="U92" s="1006"/>
      <c r="V92" s="1006"/>
      <c r="W92" s="1006"/>
      <c r="X92" s="1006"/>
      <c r="Y92" s="1006"/>
      <c r="Z92" s="1006"/>
      <c r="AA92" s="1006"/>
      <c r="AB92" s="1006"/>
      <c r="AC92" s="1006"/>
      <c r="AD92" s="1006"/>
      <c r="AE92" s="1006"/>
      <c r="AF92" s="1006"/>
      <c r="AG92" s="1006"/>
      <c r="AH92" s="1006"/>
      <c r="AI92" s="1006"/>
      <c r="AJ92" s="1006"/>
      <c r="AK92" s="1014"/>
      <c r="AL92" s="1014"/>
      <c r="AM92" s="1014"/>
      <c r="AN92" s="355"/>
      <c r="AO92" s="436"/>
      <c r="AP92" s="436"/>
      <c r="AQ92" s="436"/>
      <c r="AR92" s="435"/>
      <c r="AS92" s="433"/>
      <c r="AT92" s="433"/>
      <c r="AU92" s="433"/>
      <c r="AV92" s="433"/>
      <c r="AW92" s="433"/>
      <c r="AX92" s="434"/>
      <c r="AY92" s="1007"/>
      <c r="AZ92" s="1007"/>
      <c r="BA92" s="1007"/>
      <c r="BB92" s="1007"/>
      <c r="BC92" s="1007"/>
      <c r="BD92" s="1007"/>
      <c r="BE92" s="434"/>
      <c r="BF92" s="968"/>
      <c r="BG92" s="968"/>
      <c r="BH92" s="968"/>
      <c r="BI92" s="968"/>
      <c r="BJ92" s="968"/>
      <c r="BK92" s="851"/>
      <c r="BL92" s="826"/>
      <c r="BM92" s="820"/>
      <c r="BN92" s="820"/>
      <c r="BO92" s="820"/>
      <c r="BP92" s="435"/>
      <c r="BQ92" s="1007"/>
      <c r="BR92" s="1007"/>
      <c r="BS92" s="1007"/>
      <c r="BT92" s="1007"/>
      <c r="BU92" s="1007"/>
      <c r="BV92" s="1008"/>
      <c r="BW92" s="968"/>
      <c r="BX92" s="968"/>
      <c r="BY92" s="968"/>
      <c r="BZ92" s="968"/>
      <c r="CA92" s="968"/>
      <c r="CB92" s="1009"/>
      <c r="CC92" s="968"/>
      <c r="CD92" s="968"/>
      <c r="CE92" s="968"/>
      <c r="CF92" s="968"/>
      <c r="CG92" s="968"/>
      <c r="CH92" s="285"/>
      <c r="CI92" s="288"/>
      <c r="CJ92" s="288"/>
    </row>
    <row r="93" spans="1:88" s="313" customFormat="1" ht="15" customHeight="1">
      <c r="A93" s="312"/>
      <c r="B93" s="312"/>
      <c r="C93" s="312"/>
      <c r="E93" s="1055"/>
      <c r="F93" s="1055"/>
      <c r="G93" s="1006"/>
      <c r="H93" s="1006"/>
      <c r="I93" s="1006"/>
      <c r="J93" s="1006"/>
      <c r="K93" s="1006"/>
      <c r="L93" s="1006"/>
      <c r="M93" s="1006"/>
      <c r="N93" s="1006"/>
      <c r="O93" s="1006"/>
      <c r="P93" s="1006"/>
      <c r="Q93" s="1006"/>
      <c r="R93" s="1006"/>
      <c r="S93" s="1006"/>
      <c r="T93" s="1006"/>
      <c r="U93" s="1006"/>
      <c r="V93" s="1006"/>
      <c r="W93" s="1006"/>
      <c r="X93" s="1006"/>
      <c r="Y93" s="1006"/>
      <c r="Z93" s="1006"/>
      <c r="AA93" s="1006"/>
      <c r="AB93" s="1006"/>
      <c r="AC93" s="1006"/>
      <c r="AD93" s="1006"/>
      <c r="AE93" s="1006"/>
      <c r="AF93" s="1006"/>
      <c r="AG93" s="1006"/>
      <c r="AH93" s="1006"/>
      <c r="AI93" s="1006"/>
      <c r="AJ93" s="1006"/>
      <c r="AK93" s="1014"/>
      <c r="AL93" s="1014"/>
      <c r="AM93" s="1014"/>
      <c r="AN93" s="355"/>
      <c r="AO93" s="432" t="str">
        <f>IF(LEN(VLOOKUP(AK91,vysledovka!$D$8:$F$68,2,FALSE))&lt;11,"",LEFT(RIGHT(VLOOKUP(AK91,vysledovka!$D$8:$F$68,2,FALSE),11),1))</f>
        <v/>
      </c>
      <c r="AP93" s="255"/>
      <c r="AQ93" s="432" t="str">
        <f>IF(LEN(VLOOKUP(AK91,vysledovka!$D$8:$F$68,2,FALSE))&lt;10,"",LEFT(RIGHT(VLOOKUP(AK91,vysledovka!$D$8:$F$68,2,FALSE),10),1))</f>
        <v/>
      </c>
      <c r="AR93" s="434"/>
      <c r="AS93" s="432" t="str">
        <f>IF(LEN(VLOOKUP(AK91,vysledovka!$D$8:$F$68,2,FALSE))&lt;9,"",LEFT(RIGHT(VLOOKUP(AK91,vysledovka!$D$8:$F$68,2,FALSE),9),1))</f>
        <v/>
      </c>
      <c r="AT93" s="255"/>
      <c r="AU93" s="432" t="str">
        <f>IF(LEN(VLOOKUP(AK91,vysledovka!$D$8:$F$68,2,FALSE))&lt;8,"",LEFT(RIGHT(VLOOKUP(AK91,vysledovka!$D$8:$F$68,2,FALSE),8),1))</f>
        <v/>
      </c>
      <c r="AV93" s="434"/>
      <c r="AW93" s="432" t="str">
        <f>IF(LEN(VLOOKUP(AK91,vysledovka!$D$8:$F$68,2,FALSE))&lt;7,"",LEFT(RIGHT(VLOOKUP(AK91,vysledovka!$D$8:$F$68,2,FALSE),7),1))</f>
        <v/>
      </c>
      <c r="AX93" s="434"/>
      <c r="AY93" s="432" t="str">
        <f>IF(LEN(VLOOKUP(AK91,vysledovka!$D$8:$F$68,2,FALSE))&lt;6,"",LEFT(RIGHT(VLOOKUP(AK91,vysledovka!$D$8:$F$68,2,FALSE),6),1))</f>
        <v/>
      </c>
      <c r="AZ93" s="255"/>
      <c r="BA93" s="961" t="str">
        <f>IF(LEN(VLOOKUP(AK91,vysledovka!$D$8:$F$68,2,FALSE))&lt;5,"",LEFT(RIGHT(VLOOKUP(AK91,vysledovka!$D$8:$F$68,2,FALSE),5),1))</f>
        <v/>
      </c>
      <c r="BB93" s="961"/>
      <c r="BC93" s="434"/>
      <c r="BD93" s="432" t="str">
        <f>IF(LEN(VLOOKUP(AK91,vysledovka!$D$8:$F$68,2,FALSE))&lt;4,"",LEFT(RIGHT(VLOOKUP(AK91,vysledovka!$D$8:$F$68,2,FALSE),4),1))</f>
        <v>9</v>
      </c>
      <c r="BE93" s="434"/>
      <c r="BF93" s="432" t="str">
        <f>IF(LEN(VLOOKUP(AK91,vysledovka!$D$8:$F$68,2,FALSE))&lt;3,"",LEFT(RIGHT(VLOOKUP(AK91,vysledovka!$D$8:$F$68,2,FALSE),3),1))</f>
        <v>5</v>
      </c>
      <c r="BG93" s="434"/>
      <c r="BH93" s="432" t="str">
        <f>IF(LEN(VLOOKUP(AK91,vysledovka!$D$8:$F$68,2,FALSE))&lt;2,"",LEFT(RIGHT(VLOOKUP(AK91,vysledovka!$D$8:$F$68,2,FALSE),2),1))</f>
        <v>5</v>
      </c>
      <c r="BI93" s="434"/>
      <c r="BJ93" s="432" t="str">
        <f>IF(VLOOKUP(AK91,vysledovka!$D$8:$F$68,2,FALSE)=0,"",IF(LEN(VLOOKUP(AK91,vysledovka!$D$8:$F$68,2,FALSE))&lt;1,"",LEFT(RIGHT(VLOOKUP(AK91,vysledovka!$D$8:$F$68,2,FALSE),1),1)))</f>
        <v>1</v>
      </c>
      <c r="BK93" s="851"/>
      <c r="BL93" s="826"/>
      <c r="BM93" s="432" t="str">
        <f>IF(LEN(VLOOKUP(AK91,vysledovka!$D$8:$F$68,3,FALSE))&lt;11,"",LEFT(RIGHT(VLOOKUP(AK91,vysledovka!$D$8:$F$68,3,FALSE),11),1))</f>
        <v/>
      </c>
      <c r="BN93" s="255"/>
      <c r="BO93" s="432" t="str">
        <f>IF(LEN(VLOOKUP(AK91,vysledovka!$D$8:$F$68,3,FALSE))&lt;10,"",LEFT(RIGHT(VLOOKUP(AK91,vysledovka!$D$8:$F$68,3,FALSE),10),1))</f>
        <v/>
      </c>
      <c r="BP93" s="434"/>
      <c r="BQ93" s="432" t="str">
        <f>IF(LEN(VLOOKUP(AK91,vysledovka!$D$8:$F$68,3,FALSE))&lt;9,"",LEFT(RIGHT(VLOOKUP(AK91,vysledovka!$D$8:$F$68,3,FALSE),9),1))</f>
        <v/>
      </c>
      <c r="BR93" s="255"/>
      <c r="BS93" s="432" t="str">
        <f>IF(LEN(VLOOKUP(AK91,vysledovka!$D$8:$F$68,3,FALSE))&lt;8,"",LEFT(RIGHT(VLOOKUP(AK91,vysledovka!$D$8:$F$68,3,FALSE),8),1))</f>
        <v/>
      </c>
      <c r="BT93" s="434"/>
      <c r="BU93" s="432" t="str">
        <f>IF(LEN(VLOOKUP(AK91,vysledovka!$D$8:$F$68,3,FALSE))&lt;7,"",LEFT(RIGHT(VLOOKUP(AK91,vysledovka!$D$8:$F$68,3,FALSE),7),1))</f>
        <v/>
      </c>
      <c r="BV93" s="1008"/>
      <c r="BW93" s="432" t="str">
        <f>IF(LEN(VLOOKUP(AK91,vysledovka!$D$8:$F$68,3,FALSE))&lt;6,"",LEFT(RIGHT(VLOOKUP(AK91,vysledovka!$D$8:$F$68,3,FALSE),6),1))</f>
        <v/>
      </c>
      <c r="BX93" s="434"/>
      <c r="BY93" s="432" t="str">
        <f>IF(LEN(VLOOKUP(AK91,vysledovka!$D$8:$F$68,3,FALSE))&lt;5,"",LEFT(RIGHT(VLOOKUP(AK91,vysledovka!$D$8:$F$68,3,FALSE),5),1))</f>
        <v/>
      </c>
      <c r="BZ93" s="434"/>
      <c r="CA93" s="432" t="str">
        <f>IF(LEN(VLOOKUP(AK91,vysledovka!$D$8:$F$68,3,FALSE))&lt;4,"",LEFT(RIGHT(VLOOKUP(AK91,vysledovka!$D$8:$F$68,3,FALSE),4),1))</f>
        <v>4</v>
      </c>
      <c r="CB93" s="1009"/>
      <c r="CC93" s="432" t="str">
        <f>IF(LEN(VLOOKUP(AK91,vysledovka!$D$8:$F$68,3,FALSE))&lt;3,"",LEFT(RIGHT(VLOOKUP(AK91,vysledovka!$D$8:$F$68,3,FALSE),3),1))</f>
        <v>8</v>
      </c>
      <c r="CD93" s="434"/>
      <c r="CE93" s="432" t="str">
        <f>IF(LEN(VLOOKUP(AK91,vysledovka!$D$8:$F$68,3,FALSE))&lt;2,"",LEFT(RIGHT(VLOOKUP(AK91,vysledovka!$D$8:$F$68,3,FALSE),2),1))</f>
        <v>5</v>
      </c>
      <c r="CF93" s="434"/>
      <c r="CG93" s="432" t="str">
        <f>IF(VLOOKUP(AK91,vysledovka!$D$8:$F$68,3,FALSE)=0,"",IF(LEN(VLOOKUP(AK91,vysledovka!$D$8:$F$68,3,FALSE))&lt;1,"",LEFT(RIGHT(VLOOKUP(AK91,vysledovka!$D$8:$F$68,3,FALSE),1),1)))</f>
        <v>0</v>
      </c>
      <c r="CH93" s="285"/>
      <c r="CI93" s="312"/>
      <c r="CJ93" s="312"/>
    </row>
    <row r="94" spans="1:88" s="313" customFormat="1" ht="3" customHeight="1">
      <c r="A94" s="312"/>
      <c r="B94" s="312"/>
      <c r="C94" s="312"/>
      <c r="E94" s="1055"/>
      <c r="F94" s="1055"/>
      <c r="G94" s="1006"/>
      <c r="H94" s="1006"/>
      <c r="I94" s="1006"/>
      <c r="J94" s="1006"/>
      <c r="K94" s="1006"/>
      <c r="L94" s="1006"/>
      <c r="M94" s="1006"/>
      <c r="N94" s="1006"/>
      <c r="O94" s="1006"/>
      <c r="P94" s="1006"/>
      <c r="Q94" s="1006"/>
      <c r="R94" s="1006"/>
      <c r="S94" s="1006"/>
      <c r="T94" s="1006"/>
      <c r="U94" s="1006"/>
      <c r="V94" s="1006"/>
      <c r="W94" s="1006"/>
      <c r="X94" s="1006"/>
      <c r="Y94" s="1006"/>
      <c r="Z94" s="1006"/>
      <c r="AA94" s="1006"/>
      <c r="AB94" s="1006"/>
      <c r="AC94" s="1006"/>
      <c r="AD94" s="1006"/>
      <c r="AE94" s="1006"/>
      <c r="AF94" s="1006"/>
      <c r="AG94" s="1006"/>
      <c r="AH94" s="1006"/>
      <c r="AI94" s="1006"/>
      <c r="AJ94" s="1006"/>
      <c r="AK94" s="1014"/>
      <c r="AL94" s="1014"/>
      <c r="AM94" s="1014"/>
      <c r="AN94" s="358"/>
      <c r="AO94" s="365"/>
      <c r="AP94" s="365"/>
      <c r="AQ94" s="365"/>
      <c r="AR94" s="365"/>
      <c r="AS94" s="365"/>
      <c r="AT94" s="365"/>
      <c r="AU94" s="365"/>
      <c r="AV94" s="365"/>
      <c r="AW94" s="365"/>
      <c r="AX94" s="365"/>
      <c r="AY94" s="365"/>
      <c r="AZ94" s="365"/>
      <c r="BA94" s="365"/>
      <c r="BB94" s="365"/>
      <c r="BC94" s="365"/>
      <c r="BD94" s="365"/>
      <c r="BE94" s="310"/>
      <c r="BF94" s="310"/>
      <c r="BG94" s="310"/>
      <c r="BH94" s="310"/>
      <c r="BI94" s="310"/>
      <c r="BJ94" s="310"/>
      <c r="BK94" s="310"/>
      <c r="BL94" s="846"/>
      <c r="BM94" s="846"/>
      <c r="BN94" s="846"/>
      <c r="BO94" s="846"/>
      <c r="BP94" s="846"/>
      <c r="BQ94" s="846"/>
      <c r="BR94" s="846"/>
      <c r="BS94" s="846"/>
      <c r="BT94" s="846"/>
      <c r="BU94" s="846"/>
      <c r="BV94" s="846"/>
      <c r="BW94" s="846"/>
      <c r="BX94" s="846"/>
      <c r="BY94" s="846"/>
      <c r="BZ94" s="846"/>
      <c r="CA94" s="846"/>
      <c r="CB94" s="846"/>
      <c r="CC94" s="310"/>
      <c r="CD94" s="310"/>
      <c r="CE94" s="310"/>
      <c r="CF94" s="310"/>
      <c r="CG94" s="310"/>
      <c r="CH94" s="286"/>
      <c r="CI94" s="312"/>
      <c r="CJ94" s="312"/>
    </row>
    <row r="95" spans="1:88" s="250" customFormat="1" ht="3" customHeight="1">
      <c r="A95" s="312"/>
      <c r="B95" s="312"/>
      <c r="C95" s="224"/>
      <c r="D95" s="224"/>
      <c r="E95" s="1057" t="s">
        <v>1735</v>
      </c>
      <c r="F95" s="1058"/>
      <c r="G95" s="972" t="str">
        <f>Index!C226</f>
        <v>Odpisy dlhodobého nehmotného majetku a dlhodobého hmotného majetku (551)</v>
      </c>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1056" t="s">
        <v>1564</v>
      </c>
      <c r="AL95" s="1014"/>
      <c r="AM95" s="1014"/>
      <c r="AN95" s="357"/>
      <c r="AO95" s="366"/>
      <c r="AP95" s="366"/>
      <c r="AQ95" s="366"/>
      <c r="AR95" s="366"/>
      <c r="AS95" s="366"/>
      <c r="AT95" s="366"/>
      <c r="AU95" s="366"/>
      <c r="AV95" s="366"/>
      <c r="AW95" s="366"/>
      <c r="AX95" s="366"/>
      <c r="AY95" s="366"/>
      <c r="AZ95" s="366"/>
      <c r="BA95" s="366"/>
      <c r="BB95" s="366"/>
      <c r="BC95" s="366"/>
      <c r="BD95" s="366"/>
      <c r="BE95" s="304"/>
      <c r="BF95" s="304"/>
      <c r="BG95" s="304"/>
      <c r="BH95" s="304"/>
      <c r="BI95" s="304"/>
      <c r="BJ95" s="304"/>
      <c r="BK95" s="304"/>
      <c r="BL95" s="867"/>
      <c r="BM95" s="867"/>
      <c r="BN95" s="867"/>
      <c r="BO95" s="867"/>
      <c r="BP95" s="867"/>
      <c r="BQ95" s="867"/>
      <c r="BR95" s="867"/>
      <c r="BS95" s="867"/>
      <c r="BT95" s="867"/>
      <c r="BU95" s="867"/>
      <c r="BV95" s="867"/>
      <c r="BW95" s="867"/>
      <c r="BX95" s="867"/>
      <c r="BY95" s="867"/>
      <c r="BZ95" s="867"/>
      <c r="CA95" s="867"/>
      <c r="CB95" s="867"/>
      <c r="CC95" s="304"/>
      <c r="CD95" s="304"/>
      <c r="CE95" s="304"/>
      <c r="CF95" s="304"/>
      <c r="CG95" s="304"/>
      <c r="CH95" s="284"/>
      <c r="CI95" s="288"/>
      <c r="CJ95" s="288"/>
    </row>
    <row r="96" spans="1:88" s="250" customFormat="1" ht="3" customHeight="1">
      <c r="A96" s="312"/>
      <c r="B96" s="312"/>
      <c r="C96" s="312"/>
      <c r="D96" s="312"/>
      <c r="E96" s="1057"/>
      <c r="F96" s="1058"/>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1014"/>
      <c r="AL96" s="1014"/>
      <c r="AM96" s="1014"/>
      <c r="AN96" s="355"/>
      <c r="AO96" s="436"/>
      <c r="AP96" s="436"/>
      <c r="AQ96" s="436"/>
      <c r="AR96" s="435"/>
      <c r="AS96" s="433"/>
      <c r="AT96" s="433"/>
      <c r="AU96" s="433"/>
      <c r="AV96" s="433"/>
      <c r="AW96" s="433"/>
      <c r="AX96" s="434"/>
      <c r="AY96" s="1007"/>
      <c r="AZ96" s="1007"/>
      <c r="BA96" s="1007"/>
      <c r="BB96" s="1007"/>
      <c r="BC96" s="1007"/>
      <c r="BD96" s="1007"/>
      <c r="BE96" s="434"/>
      <c r="BF96" s="968"/>
      <c r="BG96" s="968"/>
      <c r="BH96" s="968"/>
      <c r="BI96" s="968"/>
      <c r="BJ96" s="968"/>
      <c r="BK96" s="851"/>
      <c r="BL96" s="826"/>
      <c r="BM96" s="820"/>
      <c r="BN96" s="820"/>
      <c r="BO96" s="820"/>
      <c r="BP96" s="435"/>
      <c r="BQ96" s="1007"/>
      <c r="BR96" s="1007"/>
      <c r="BS96" s="1007"/>
      <c r="BT96" s="1007"/>
      <c r="BU96" s="1007"/>
      <c r="BV96" s="1008"/>
      <c r="BW96" s="968"/>
      <c r="BX96" s="968"/>
      <c r="BY96" s="968"/>
      <c r="BZ96" s="968"/>
      <c r="CA96" s="968"/>
      <c r="CB96" s="1009"/>
      <c r="CC96" s="968"/>
      <c r="CD96" s="968"/>
      <c r="CE96" s="968"/>
      <c r="CF96" s="968"/>
      <c r="CG96" s="968"/>
      <c r="CH96" s="285"/>
      <c r="CI96" s="288"/>
      <c r="CJ96" s="288"/>
    </row>
    <row r="97" spans="1:88" s="313" customFormat="1" ht="15" customHeight="1">
      <c r="A97" s="312"/>
      <c r="B97" s="312"/>
      <c r="C97" s="312"/>
      <c r="E97" s="1057"/>
      <c r="F97" s="1058"/>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1014"/>
      <c r="AL97" s="1014"/>
      <c r="AM97" s="1014"/>
      <c r="AN97" s="355"/>
      <c r="AO97" s="432" t="str">
        <f>IF(LEN(VLOOKUP(AK95,vysledovka!$D$8:$F$68,2,FALSE))&lt;11,"",LEFT(RIGHT(VLOOKUP(AK95,vysledovka!$D$8:$F$68,2,FALSE),11),1))</f>
        <v/>
      </c>
      <c r="AP97" s="255"/>
      <c r="AQ97" s="432" t="str">
        <f>IF(LEN(VLOOKUP(AK95,vysledovka!$D$8:$F$68,2,FALSE))&lt;10,"",LEFT(RIGHT(VLOOKUP(AK95,vysledovka!$D$8:$F$68,2,FALSE),10),1))</f>
        <v/>
      </c>
      <c r="AR97" s="434"/>
      <c r="AS97" s="432" t="str">
        <f>IF(LEN(VLOOKUP(AK95,vysledovka!$D$8:$F$68,2,FALSE))&lt;9,"",LEFT(RIGHT(VLOOKUP(AK95,vysledovka!$D$8:$F$68,2,FALSE),9),1))</f>
        <v/>
      </c>
      <c r="AT97" s="255"/>
      <c r="AU97" s="432" t="str">
        <f>IF(LEN(VLOOKUP(AK95,vysledovka!$D$8:$F$68,2,FALSE))&lt;8,"",LEFT(RIGHT(VLOOKUP(AK95,vysledovka!$D$8:$F$68,2,FALSE),8),1))</f>
        <v/>
      </c>
      <c r="AV97" s="434"/>
      <c r="AW97" s="432" t="str">
        <f>IF(LEN(VLOOKUP(AK95,vysledovka!$D$8:$F$68,2,FALSE))&lt;7,"",LEFT(RIGHT(VLOOKUP(AK95,vysledovka!$D$8:$F$68,2,FALSE),7),1))</f>
        <v/>
      </c>
      <c r="AX97" s="434"/>
      <c r="AY97" s="432" t="str">
        <f>IF(LEN(VLOOKUP(AK95,vysledovka!$D$8:$F$68,2,FALSE))&lt;6,"",LEFT(RIGHT(VLOOKUP(AK95,vysledovka!$D$8:$F$68,2,FALSE),6),1))</f>
        <v/>
      </c>
      <c r="AZ97" s="255"/>
      <c r="BA97" s="961" t="str">
        <f>IF(LEN(VLOOKUP(AK95,vysledovka!$D$8:$F$68,2,FALSE))&lt;5,"",LEFT(RIGHT(VLOOKUP(AK95,vysledovka!$D$8:$F$68,2,FALSE),5),1))</f>
        <v/>
      </c>
      <c r="BB97" s="961"/>
      <c r="BC97" s="434"/>
      <c r="BD97" s="432" t="str">
        <f>IF(LEN(VLOOKUP(AK95,vysledovka!$D$8:$F$68,2,FALSE))&lt;4,"",LEFT(RIGHT(VLOOKUP(AK95,vysledovka!$D$8:$F$68,2,FALSE),4),1))</f>
        <v>9</v>
      </c>
      <c r="BE97" s="434"/>
      <c r="BF97" s="432" t="str">
        <f>IF(LEN(VLOOKUP(AK95,vysledovka!$D$8:$F$68,2,FALSE))&lt;3,"",LEFT(RIGHT(VLOOKUP(AK95,vysledovka!$D$8:$F$68,2,FALSE),3),1))</f>
        <v>5</v>
      </c>
      <c r="BG97" s="434"/>
      <c r="BH97" s="432" t="str">
        <f>IF(LEN(VLOOKUP(AK95,vysledovka!$D$8:$F$68,2,FALSE))&lt;2,"",LEFT(RIGHT(VLOOKUP(AK95,vysledovka!$D$8:$F$68,2,FALSE),2),1))</f>
        <v>5</v>
      </c>
      <c r="BI97" s="434"/>
      <c r="BJ97" s="432" t="str">
        <f>IF(VLOOKUP(AK95,vysledovka!$D$8:$F$68,2,FALSE)=0,"",IF(LEN(VLOOKUP(AK95,vysledovka!$D$8:$F$68,2,FALSE))&lt;1,"",LEFT(RIGHT(VLOOKUP(AK95,vysledovka!$D$8:$F$68,2,FALSE),1),1)))</f>
        <v>1</v>
      </c>
      <c r="BK97" s="851"/>
      <c r="BL97" s="826"/>
      <c r="BM97" s="432" t="str">
        <f>IF(LEN(VLOOKUP(AK95,vysledovka!$D$8:$F$68,3,FALSE))&lt;11,"",LEFT(RIGHT(VLOOKUP(AK95,vysledovka!$D$8:$F$68,3,FALSE),11),1))</f>
        <v/>
      </c>
      <c r="BN97" s="255"/>
      <c r="BO97" s="432" t="str">
        <f>IF(LEN(VLOOKUP(AK95,vysledovka!$D$8:$F$68,3,FALSE))&lt;10,"",LEFT(RIGHT(VLOOKUP(AK95,vysledovka!$D$8:$F$68,3,FALSE),10),1))</f>
        <v/>
      </c>
      <c r="BP97" s="434"/>
      <c r="BQ97" s="432" t="str">
        <f>IF(LEN(VLOOKUP(AK95,vysledovka!$D$8:$F$68,3,FALSE))&lt;9,"",LEFT(RIGHT(VLOOKUP(AK95,vysledovka!$D$8:$F$68,3,FALSE),9),1))</f>
        <v/>
      </c>
      <c r="BR97" s="255"/>
      <c r="BS97" s="432" t="str">
        <f>IF(LEN(VLOOKUP(AK95,vysledovka!$D$8:$F$68,3,FALSE))&lt;8,"",LEFT(RIGHT(VLOOKUP(AK95,vysledovka!$D$8:$F$68,3,FALSE),8),1))</f>
        <v/>
      </c>
      <c r="BT97" s="434"/>
      <c r="BU97" s="432" t="str">
        <f>IF(LEN(VLOOKUP(AK95,vysledovka!$D$8:$F$68,3,FALSE))&lt;7,"",LEFT(RIGHT(VLOOKUP(AK95,vysledovka!$D$8:$F$68,3,FALSE),7),1))</f>
        <v/>
      </c>
      <c r="BV97" s="1008"/>
      <c r="BW97" s="432" t="str">
        <f>IF(LEN(VLOOKUP(AK95,vysledovka!$D$8:$F$68,3,FALSE))&lt;6,"",LEFT(RIGHT(VLOOKUP(AK95,vysledovka!$D$8:$F$68,3,FALSE),6),1))</f>
        <v/>
      </c>
      <c r="BX97" s="434"/>
      <c r="BY97" s="432" t="str">
        <f>IF(LEN(VLOOKUP(AK95,vysledovka!$D$8:$F$68,3,FALSE))&lt;5,"",LEFT(RIGHT(VLOOKUP(AK95,vysledovka!$D$8:$F$68,3,FALSE),5),1))</f>
        <v/>
      </c>
      <c r="BZ97" s="434"/>
      <c r="CA97" s="432" t="str">
        <f>IF(LEN(VLOOKUP(AK95,vysledovka!$D$8:$F$68,3,FALSE))&lt;4,"",LEFT(RIGHT(VLOOKUP(AK95,vysledovka!$D$8:$F$68,3,FALSE),4),1))</f>
        <v>4</v>
      </c>
      <c r="CB97" s="1009"/>
      <c r="CC97" s="432" t="str">
        <f>IF(LEN(VLOOKUP(AK95,vysledovka!$D$8:$F$68,3,FALSE))&lt;3,"",LEFT(RIGHT(VLOOKUP(AK95,vysledovka!$D$8:$F$68,3,FALSE),3),1))</f>
        <v>8</v>
      </c>
      <c r="CD97" s="434"/>
      <c r="CE97" s="432" t="str">
        <f>IF(LEN(VLOOKUP(AK95,vysledovka!$D$8:$F$68,3,FALSE))&lt;2,"",LEFT(RIGHT(VLOOKUP(AK95,vysledovka!$D$8:$F$68,3,FALSE),2),1))</f>
        <v>5</v>
      </c>
      <c r="CF97" s="434"/>
      <c r="CG97" s="432" t="str">
        <f>IF(VLOOKUP(AK95,vysledovka!$D$8:$F$68,3,FALSE)=0,"",IF(LEN(VLOOKUP(AK95,vysledovka!$D$8:$F$68,3,FALSE))&lt;1,"",LEFT(RIGHT(VLOOKUP(AK95,vysledovka!$D$8:$F$68,3,FALSE),1),1)))</f>
        <v>0</v>
      </c>
      <c r="CH97" s="285"/>
      <c r="CI97" s="312"/>
      <c r="CJ97" s="312"/>
    </row>
    <row r="98" spans="1:88" s="313" customFormat="1">
      <c r="A98" s="312"/>
      <c r="B98" s="312"/>
      <c r="C98" s="312"/>
      <c r="E98" s="1057"/>
      <c r="F98" s="1058"/>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1014"/>
      <c r="AL98" s="1014"/>
      <c r="AM98" s="1014"/>
      <c r="AN98" s="358"/>
      <c r="AO98" s="365"/>
      <c r="AP98" s="365"/>
      <c r="AQ98" s="365"/>
      <c r="AR98" s="365"/>
      <c r="AS98" s="365"/>
      <c r="AT98" s="365"/>
      <c r="AU98" s="365"/>
      <c r="AV98" s="365"/>
      <c r="AW98" s="365"/>
      <c r="AX98" s="365"/>
      <c r="AY98" s="365"/>
      <c r="AZ98" s="365"/>
      <c r="BA98" s="365"/>
      <c r="BB98" s="365"/>
      <c r="BC98" s="365"/>
      <c r="BD98" s="365"/>
      <c r="BE98" s="310"/>
      <c r="BF98" s="310"/>
      <c r="BG98" s="310"/>
      <c r="BH98" s="310"/>
      <c r="BI98" s="310"/>
      <c r="BJ98" s="310"/>
      <c r="BK98" s="310"/>
      <c r="BL98" s="846"/>
      <c r="BM98" s="846"/>
      <c r="BN98" s="846"/>
      <c r="BO98" s="846"/>
      <c r="BP98" s="846"/>
      <c r="BQ98" s="846"/>
      <c r="BR98" s="846"/>
      <c r="BS98" s="846"/>
      <c r="BT98" s="846"/>
      <c r="BU98" s="846"/>
      <c r="BV98" s="846"/>
      <c r="BW98" s="846"/>
      <c r="BX98" s="846"/>
      <c r="BY98" s="846"/>
      <c r="BZ98" s="846"/>
      <c r="CA98" s="846"/>
      <c r="CB98" s="846"/>
      <c r="CC98" s="310"/>
      <c r="CD98" s="310"/>
      <c r="CE98" s="310"/>
      <c r="CF98" s="310"/>
      <c r="CG98" s="310"/>
      <c r="CH98" s="286"/>
      <c r="CI98" s="312"/>
      <c r="CJ98" s="312"/>
    </row>
    <row r="99" spans="1:88" s="250" customFormat="1" ht="3" customHeight="1">
      <c r="A99" s="312"/>
      <c r="B99" s="312"/>
      <c r="C99" s="224"/>
      <c r="D99" s="224"/>
      <c r="E99" s="1059" t="s">
        <v>1542</v>
      </c>
      <c r="F99" s="1060"/>
      <c r="G99" s="1061" t="str">
        <f>Index!C227</f>
        <v>Opravné položky k dlhodobému nehmotnému majetku a dlhodobému hmotnému majetku (+/-) (553)</v>
      </c>
      <c r="H99" s="1061"/>
      <c r="I99" s="1061"/>
      <c r="J99" s="1061"/>
      <c r="K99" s="1061"/>
      <c r="L99" s="1061"/>
      <c r="M99" s="1061"/>
      <c r="N99" s="1061"/>
      <c r="O99" s="1061"/>
      <c r="P99" s="1061"/>
      <c r="Q99" s="1061"/>
      <c r="R99" s="1061"/>
      <c r="S99" s="1061"/>
      <c r="T99" s="1061"/>
      <c r="U99" s="1061"/>
      <c r="V99" s="1061"/>
      <c r="W99" s="1061"/>
      <c r="X99" s="1061"/>
      <c r="Y99" s="1061"/>
      <c r="Z99" s="1061"/>
      <c r="AA99" s="1061"/>
      <c r="AB99" s="1061"/>
      <c r="AC99" s="1061"/>
      <c r="AD99" s="1061"/>
      <c r="AE99" s="1061"/>
      <c r="AF99" s="1061"/>
      <c r="AG99" s="1061"/>
      <c r="AH99" s="1061"/>
      <c r="AI99" s="1061"/>
      <c r="AJ99" s="1061"/>
      <c r="AK99" s="1056" t="s">
        <v>1566</v>
      </c>
      <c r="AL99" s="1014"/>
      <c r="AM99" s="1014"/>
      <c r="AN99" s="357"/>
      <c r="AO99" s="366"/>
      <c r="AP99" s="366"/>
      <c r="AQ99" s="366"/>
      <c r="AR99" s="366"/>
      <c r="AS99" s="366"/>
      <c r="AT99" s="366"/>
      <c r="AU99" s="366"/>
      <c r="AV99" s="366"/>
      <c r="AW99" s="366"/>
      <c r="AX99" s="366"/>
      <c r="AY99" s="366"/>
      <c r="AZ99" s="366"/>
      <c r="BA99" s="366"/>
      <c r="BB99" s="366"/>
      <c r="BC99" s="366"/>
      <c r="BD99" s="366"/>
      <c r="BE99" s="304"/>
      <c r="BF99" s="304"/>
      <c r="BG99" s="304"/>
      <c r="BH99" s="304"/>
      <c r="BI99" s="304"/>
      <c r="BJ99" s="304"/>
      <c r="BK99" s="304"/>
      <c r="BL99" s="867"/>
      <c r="BM99" s="867"/>
      <c r="BN99" s="867"/>
      <c r="BO99" s="867"/>
      <c r="BP99" s="867"/>
      <c r="BQ99" s="867"/>
      <c r="BR99" s="867"/>
      <c r="BS99" s="867"/>
      <c r="BT99" s="867"/>
      <c r="BU99" s="867"/>
      <c r="BV99" s="867"/>
      <c r="BW99" s="867"/>
      <c r="BX99" s="867"/>
      <c r="BY99" s="867"/>
      <c r="BZ99" s="867"/>
      <c r="CA99" s="867"/>
      <c r="CB99" s="867"/>
      <c r="CC99" s="304"/>
      <c r="CD99" s="304"/>
      <c r="CE99" s="304"/>
      <c r="CF99" s="304"/>
      <c r="CG99" s="304"/>
      <c r="CH99" s="284"/>
      <c r="CI99" s="288"/>
      <c r="CJ99" s="288"/>
    </row>
    <row r="100" spans="1:88" s="250" customFormat="1" ht="3" customHeight="1">
      <c r="A100" s="312"/>
      <c r="B100" s="312"/>
      <c r="C100" s="312"/>
      <c r="D100" s="312"/>
      <c r="E100" s="1059"/>
      <c r="F100" s="1060"/>
      <c r="G100" s="1061"/>
      <c r="H100" s="1061"/>
      <c r="I100" s="1061"/>
      <c r="J100" s="1061"/>
      <c r="K100" s="1061"/>
      <c r="L100" s="1061"/>
      <c r="M100" s="1061"/>
      <c r="N100" s="1061"/>
      <c r="O100" s="1061"/>
      <c r="P100" s="1061"/>
      <c r="Q100" s="1061"/>
      <c r="R100" s="1061"/>
      <c r="S100" s="1061"/>
      <c r="T100" s="1061"/>
      <c r="U100" s="1061"/>
      <c r="V100" s="1061"/>
      <c r="W100" s="1061"/>
      <c r="X100" s="1061"/>
      <c r="Y100" s="1061"/>
      <c r="Z100" s="1061"/>
      <c r="AA100" s="1061"/>
      <c r="AB100" s="1061"/>
      <c r="AC100" s="1061"/>
      <c r="AD100" s="1061"/>
      <c r="AE100" s="1061"/>
      <c r="AF100" s="1061"/>
      <c r="AG100" s="1061"/>
      <c r="AH100" s="1061"/>
      <c r="AI100" s="1061"/>
      <c r="AJ100" s="1061"/>
      <c r="AK100" s="1014"/>
      <c r="AL100" s="1014"/>
      <c r="AM100" s="1014"/>
      <c r="AN100" s="355"/>
      <c r="AO100" s="436"/>
      <c r="AP100" s="436"/>
      <c r="AQ100" s="436"/>
      <c r="AR100" s="435"/>
      <c r="AS100" s="433"/>
      <c r="AT100" s="433"/>
      <c r="AU100" s="433"/>
      <c r="AV100" s="433"/>
      <c r="AW100" s="433"/>
      <c r="AX100" s="434"/>
      <c r="AY100" s="1007"/>
      <c r="AZ100" s="1007"/>
      <c r="BA100" s="1007"/>
      <c r="BB100" s="1007"/>
      <c r="BC100" s="1007"/>
      <c r="BD100" s="1007"/>
      <c r="BE100" s="434"/>
      <c r="BF100" s="968"/>
      <c r="BG100" s="968"/>
      <c r="BH100" s="968"/>
      <c r="BI100" s="968"/>
      <c r="BJ100" s="968"/>
      <c r="BK100" s="851"/>
      <c r="BL100" s="826"/>
      <c r="BM100" s="820"/>
      <c r="BN100" s="820"/>
      <c r="BO100" s="820"/>
      <c r="BP100" s="435"/>
      <c r="BQ100" s="1007"/>
      <c r="BR100" s="1007"/>
      <c r="BS100" s="1007"/>
      <c r="BT100" s="1007"/>
      <c r="BU100" s="1007"/>
      <c r="BV100" s="1008"/>
      <c r="BW100" s="968"/>
      <c r="BX100" s="968"/>
      <c r="BY100" s="968"/>
      <c r="BZ100" s="968"/>
      <c r="CA100" s="968"/>
      <c r="CB100" s="1009"/>
      <c r="CC100" s="968"/>
      <c r="CD100" s="968"/>
      <c r="CE100" s="968"/>
      <c r="CF100" s="968"/>
      <c r="CG100" s="968"/>
      <c r="CH100" s="285"/>
      <c r="CI100" s="288"/>
      <c r="CJ100" s="288"/>
    </row>
    <row r="101" spans="1:88" s="313" customFormat="1" ht="15" customHeight="1">
      <c r="A101" s="312"/>
      <c r="B101" s="312"/>
      <c r="C101" s="312"/>
      <c r="E101" s="1059"/>
      <c r="F101" s="1060"/>
      <c r="G101" s="1061"/>
      <c r="H101" s="1061"/>
      <c r="I101" s="1061"/>
      <c r="J101" s="1061"/>
      <c r="K101" s="1061"/>
      <c r="L101" s="1061"/>
      <c r="M101" s="1061"/>
      <c r="N101" s="1061"/>
      <c r="O101" s="1061"/>
      <c r="P101" s="1061"/>
      <c r="Q101" s="1061"/>
      <c r="R101" s="1061"/>
      <c r="S101" s="1061"/>
      <c r="T101" s="1061"/>
      <c r="U101" s="1061"/>
      <c r="V101" s="1061"/>
      <c r="W101" s="1061"/>
      <c r="X101" s="1061"/>
      <c r="Y101" s="1061"/>
      <c r="Z101" s="1061"/>
      <c r="AA101" s="1061"/>
      <c r="AB101" s="1061"/>
      <c r="AC101" s="1061"/>
      <c r="AD101" s="1061"/>
      <c r="AE101" s="1061"/>
      <c r="AF101" s="1061"/>
      <c r="AG101" s="1061"/>
      <c r="AH101" s="1061"/>
      <c r="AI101" s="1061"/>
      <c r="AJ101" s="1061"/>
      <c r="AK101" s="1014"/>
      <c r="AL101" s="1014"/>
      <c r="AM101" s="1014"/>
      <c r="AN101" s="355"/>
      <c r="AO101" s="432" t="str">
        <f>IF(LEN(VLOOKUP(AK99,vysledovka!$D$8:$F$68,2,FALSE))&lt;11,"",LEFT(RIGHT(VLOOKUP(AK99,vysledovka!$D$8:$F$68,2,FALSE),11),1))</f>
        <v/>
      </c>
      <c r="AP101" s="255"/>
      <c r="AQ101" s="432" t="str">
        <f>IF(LEN(VLOOKUP(AK99,vysledovka!$D$8:$F$68,2,FALSE))&lt;10,"",LEFT(RIGHT(VLOOKUP(AK99,vysledovka!$D$8:$F$68,2,FALSE),10),1))</f>
        <v/>
      </c>
      <c r="AR101" s="434"/>
      <c r="AS101" s="432" t="str">
        <f>IF(LEN(VLOOKUP(AK99,vysledovka!$D$8:$F$68,2,FALSE))&lt;9,"",LEFT(RIGHT(VLOOKUP(AK99,vysledovka!$D$8:$F$68,2,FALSE),9),1))</f>
        <v/>
      </c>
      <c r="AT101" s="255"/>
      <c r="AU101" s="432" t="str">
        <f>IF(LEN(VLOOKUP(AK99,vysledovka!$D$8:$F$68,2,FALSE))&lt;8,"",LEFT(RIGHT(VLOOKUP(AK99,vysledovka!$D$8:$F$68,2,FALSE),8),1))</f>
        <v/>
      </c>
      <c r="AV101" s="434"/>
      <c r="AW101" s="432" t="str">
        <f>IF(LEN(VLOOKUP(AK99,vysledovka!$D$8:$F$68,2,FALSE))&lt;7,"",LEFT(RIGHT(VLOOKUP(AK99,vysledovka!$D$8:$F$68,2,FALSE),7),1))</f>
        <v/>
      </c>
      <c r="AX101" s="434"/>
      <c r="AY101" s="432" t="str">
        <f>IF(LEN(VLOOKUP(AK99,vysledovka!$D$8:$F$68,2,FALSE))&lt;6,"",LEFT(RIGHT(VLOOKUP(AK99,vysledovka!$D$8:$F$68,2,FALSE),6),1))</f>
        <v/>
      </c>
      <c r="AZ101" s="255"/>
      <c r="BA101" s="961" t="str">
        <f>IF(LEN(VLOOKUP(AK99,vysledovka!$D$8:$F$68,2,FALSE))&lt;5,"",LEFT(RIGHT(VLOOKUP(AK99,vysledovka!$D$8:$F$68,2,FALSE),5),1))</f>
        <v/>
      </c>
      <c r="BB101" s="961"/>
      <c r="BC101" s="434"/>
      <c r="BD101" s="432" t="str">
        <f>IF(LEN(VLOOKUP(AK99,vysledovka!$D$8:$F$68,2,FALSE))&lt;4,"",LEFT(RIGHT(VLOOKUP(AK99,vysledovka!$D$8:$F$68,2,FALSE),4),1))</f>
        <v/>
      </c>
      <c r="BE101" s="434"/>
      <c r="BF101" s="432" t="str">
        <f>IF(LEN(VLOOKUP(AK99,vysledovka!$D$8:$F$68,2,FALSE))&lt;3,"",LEFT(RIGHT(VLOOKUP(AK99,vysledovka!$D$8:$F$68,2,FALSE),3),1))</f>
        <v/>
      </c>
      <c r="BG101" s="434"/>
      <c r="BH101" s="432" t="str">
        <f>IF(LEN(VLOOKUP(AK99,vysledovka!$D$8:$F$68,2,FALSE))&lt;2,"",LEFT(RIGHT(VLOOKUP(AK99,vysledovka!$D$8:$F$68,2,FALSE),2),1))</f>
        <v/>
      </c>
      <c r="BI101" s="434"/>
      <c r="BJ101" s="432" t="str">
        <f>IF(VLOOKUP(AK99,vysledovka!$D$8:$F$68,2,FALSE)=0,"",IF(LEN(VLOOKUP(AK99,vysledovka!$D$8:$F$68,2,FALSE))&lt;1,"",LEFT(RIGHT(VLOOKUP(AK99,vysledovka!$D$8:$F$68,2,FALSE),1),1)))</f>
        <v/>
      </c>
      <c r="BK101" s="851"/>
      <c r="BL101" s="826"/>
      <c r="BM101" s="432" t="str">
        <f>IF(LEN(VLOOKUP(AK99,vysledovka!$D$8:$F$68,3,FALSE))&lt;11,"",LEFT(RIGHT(VLOOKUP(AK99,vysledovka!$D$8:$F$68,3,FALSE),11),1))</f>
        <v/>
      </c>
      <c r="BN101" s="255"/>
      <c r="BO101" s="432" t="str">
        <f>IF(LEN(VLOOKUP(AK99,vysledovka!$D$8:$F$68,3,FALSE))&lt;10,"",LEFT(RIGHT(VLOOKUP(AK99,vysledovka!$D$8:$F$68,3,FALSE),10),1))</f>
        <v/>
      </c>
      <c r="BP101" s="434"/>
      <c r="BQ101" s="432" t="str">
        <f>IF(LEN(VLOOKUP(AK99,vysledovka!$D$8:$F$68,3,FALSE))&lt;9,"",LEFT(RIGHT(VLOOKUP(AK99,vysledovka!$D$8:$F$68,3,FALSE),9),1))</f>
        <v/>
      </c>
      <c r="BR101" s="255"/>
      <c r="BS101" s="432" t="str">
        <f>IF(LEN(VLOOKUP(AK99,vysledovka!$D$8:$F$68,3,FALSE))&lt;8,"",LEFT(RIGHT(VLOOKUP(AK99,vysledovka!$D$8:$F$68,3,FALSE),8),1))</f>
        <v/>
      </c>
      <c r="BT101" s="434"/>
      <c r="BU101" s="432" t="str">
        <f>IF(LEN(VLOOKUP(AK99,vysledovka!$D$8:$F$68,3,FALSE))&lt;7,"",LEFT(RIGHT(VLOOKUP(AK99,vysledovka!$D$8:$F$68,3,FALSE),7),1))</f>
        <v/>
      </c>
      <c r="BV101" s="1008"/>
      <c r="BW101" s="432" t="str">
        <f>IF(LEN(VLOOKUP(AK99,vysledovka!$D$8:$F$68,3,FALSE))&lt;6,"",LEFT(RIGHT(VLOOKUP(AK99,vysledovka!$D$8:$F$68,3,FALSE),6),1))</f>
        <v/>
      </c>
      <c r="BX101" s="434"/>
      <c r="BY101" s="432" t="str">
        <f>IF(LEN(VLOOKUP(AK99,vysledovka!$D$8:$F$68,3,FALSE))&lt;5,"",LEFT(RIGHT(VLOOKUP(AK99,vysledovka!$D$8:$F$68,3,FALSE),5),1))</f>
        <v/>
      </c>
      <c r="BZ101" s="434"/>
      <c r="CA101" s="432" t="str">
        <f>IF(LEN(VLOOKUP(AK99,vysledovka!$D$8:$F$68,3,FALSE))&lt;4,"",LEFT(RIGHT(VLOOKUP(AK99,vysledovka!$D$8:$F$68,3,FALSE),4),1))</f>
        <v/>
      </c>
      <c r="CB101" s="1009"/>
      <c r="CC101" s="432" t="str">
        <f>IF(LEN(VLOOKUP(AK99,vysledovka!$D$8:$F$68,3,FALSE))&lt;3,"",LEFT(RIGHT(VLOOKUP(AK99,vysledovka!$D$8:$F$68,3,FALSE),3),1))</f>
        <v/>
      </c>
      <c r="CD101" s="434"/>
      <c r="CE101" s="432" t="str">
        <f>IF(LEN(VLOOKUP(AK99,vysledovka!$D$8:$F$68,3,FALSE))&lt;2,"",LEFT(RIGHT(VLOOKUP(AK99,vysledovka!$D$8:$F$68,3,FALSE),2),1))</f>
        <v/>
      </c>
      <c r="CF101" s="434"/>
      <c r="CG101" s="432" t="str">
        <f>IF(VLOOKUP(AK99,vysledovka!$D$8:$F$68,3,FALSE)=0,"",IF(LEN(VLOOKUP(AK99,vysledovka!$D$8:$F$68,3,FALSE))&lt;1,"",LEFT(RIGHT(VLOOKUP(AK99,vysledovka!$D$8:$F$68,3,FALSE),1),1)))</f>
        <v/>
      </c>
      <c r="CH101" s="285"/>
      <c r="CI101" s="312"/>
      <c r="CJ101" s="312"/>
    </row>
    <row r="102" spans="1:88" s="313" customFormat="1">
      <c r="A102" s="312"/>
      <c r="B102" s="312"/>
      <c r="C102" s="312"/>
      <c r="E102" s="1059"/>
      <c r="F102" s="1060"/>
      <c r="G102" s="1061"/>
      <c r="H102" s="1061"/>
      <c r="I102" s="1061"/>
      <c r="J102" s="1061"/>
      <c r="K102" s="1061"/>
      <c r="L102" s="1061"/>
      <c r="M102" s="1061"/>
      <c r="N102" s="1061"/>
      <c r="O102" s="1061"/>
      <c r="P102" s="1061"/>
      <c r="Q102" s="1061"/>
      <c r="R102" s="1061"/>
      <c r="S102" s="1061"/>
      <c r="T102" s="1061"/>
      <c r="U102" s="1061"/>
      <c r="V102" s="1061"/>
      <c r="W102" s="1061"/>
      <c r="X102" s="1061"/>
      <c r="Y102" s="1061"/>
      <c r="Z102" s="1061"/>
      <c r="AA102" s="1061"/>
      <c r="AB102" s="1061"/>
      <c r="AC102" s="1061"/>
      <c r="AD102" s="1061"/>
      <c r="AE102" s="1061"/>
      <c r="AF102" s="1061"/>
      <c r="AG102" s="1061"/>
      <c r="AH102" s="1061"/>
      <c r="AI102" s="1061"/>
      <c r="AJ102" s="1061"/>
      <c r="AK102" s="1014"/>
      <c r="AL102" s="1014"/>
      <c r="AM102" s="1014"/>
      <c r="AN102" s="358"/>
      <c r="AO102" s="365"/>
      <c r="AP102" s="365"/>
      <c r="AQ102" s="365"/>
      <c r="AR102" s="365"/>
      <c r="AS102" s="365"/>
      <c r="AT102" s="365"/>
      <c r="AU102" s="365"/>
      <c r="AV102" s="365"/>
      <c r="AW102" s="365"/>
      <c r="AX102" s="365"/>
      <c r="AY102" s="365"/>
      <c r="AZ102" s="365"/>
      <c r="BA102" s="365"/>
      <c r="BB102" s="365"/>
      <c r="BC102" s="365"/>
      <c r="BD102" s="365"/>
      <c r="BE102" s="310"/>
      <c r="BF102" s="310"/>
      <c r="BG102" s="310"/>
      <c r="BH102" s="310"/>
      <c r="BI102" s="310"/>
      <c r="BJ102" s="310"/>
      <c r="BK102" s="310"/>
      <c r="BL102" s="846"/>
      <c r="BM102" s="846"/>
      <c r="BN102" s="846"/>
      <c r="BO102" s="846"/>
      <c r="BP102" s="846"/>
      <c r="BQ102" s="846"/>
      <c r="BR102" s="846"/>
      <c r="BS102" s="846"/>
      <c r="BT102" s="846"/>
      <c r="BU102" s="846"/>
      <c r="BV102" s="846"/>
      <c r="BW102" s="846"/>
      <c r="BX102" s="846"/>
      <c r="BY102" s="846"/>
      <c r="BZ102" s="846"/>
      <c r="CA102" s="846"/>
      <c r="CB102" s="846"/>
      <c r="CC102" s="310"/>
      <c r="CD102" s="310"/>
      <c r="CE102" s="310"/>
      <c r="CF102" s="310"/>
      <c r="CG102" s="310"/>
      <c r="CH102" s="286"/>
      <c r="CI102" s="312"/>
      <c r="CJ102" s="312"/>
    </row>
    <row r="103" spans="1:88" s="250" customFormat="1" ht="3" customHeight="1">
      <c r="A103" s="312"/>
      <c r="B103" s="312"/>
      <c r="C103" s="224"/>
      <c r="D103" s="224"/>
      <c r="E103" s="1057" t="s">
        <v>677</v>
      </c>
      <c r="F103" s="1058"/>
      <c r="G103" s="972" t="str">
        <f>Index!C228</f>
        <v>Zostatková cena predaného dlhodobého majetku a predaného materiálu (541, 542)</v>
      </c>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1056" t="s">
        <v>1567</v>
      </c>
      <c r="AL103" s="1014"/>
      <c r="AM103" s="1014"/>
      <c r="AN103" s="357"/>
      <c r="AO103" s="366"/>
      <c r="AP103" s="366"/>
      <c r="AQ103" s="366"/>
      <c r="AR103" s="366"/>
      <c r="AS103" s="366"/>
      <c r="AT103" s="366"/>
      <c r="AU103" s="366"/>
      <c r="AV103" s="366"/>
      <c r="AW103" s="366"/>
      <c r="AX103" s="366"/>
      <c r="AY103" s="366"/>
      <c r="AZ103" s="366"/>
      <c r="BA103" s="366"/>
      <c r="BB103" s="366"/>
      <c r="BC103" s="366"/>
      <c r="BD103" s="366"/>
      <c r="BE103" s="304"/>
      <c r="BF103" s="304"/>
      <c r="BG103" s="304"/>
      <c r="BH103" s="304"/>
      <c r="BI103" s="304"/>
      <c r="BJ103" s="304"/>
      <c r="BK103" s="304"/>
      <c r="BL103" s="867"/>
      <c r="BM103" s="867"/>
      <c r="BN103" s="867"/>
      <c r="BO103" s="867"/>
      <c r="BP103" s="867"/>
      <c r="BQ103" s="867"/>
      <c r="BR103" s="867"/>
      <c r="BS103" s="867"/>
      <c r="BT103" s="867"/>
      <c r="BU103" s="867"/>
      <c r="BV103" s="867"/>
      <c r="BW103" s="867"/>
      <c r="BX103" s="867"/>
      <c r="BY103" s="867"/>
      <c r="BZ103" s="867"/>
      <c r="CA103" s="867"/>
      <c r="CB103" s="867"/>
      <c r="CC103" s="304"/>
      <c r="CD103" s="304"/>
      <c r="CE103" s="304"/>
      <c r="CF103" s="304"/>
      <c r="CG103" s="304"/>
      <c r="CH103" s="284"/>
      <c r="CI103" s="288"/>
      <c r="CJ103" s="288"/>
    </row>
    <row r="104" spans="1:88" s="250" customFormat="1" ht="3" customHeight="1">
      <c r="A104" s="312"/>
      <c r="B104" s="312"/>
      <c r="C104" s="312"/>
      <c r="D104" s="312"/>
      <c r="E104" s="1057"/>
      <c r="F104" s="1058"/>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1014"/>
      <c r="AL104" s="1014"/>
      <c r="AM104" s="1014"/>
      <c r="AN104" s="355"/>
      <c r="AO104" s="436"/>
      <c r="AP104" s="436"/>
      <c r="AQ104" s="436"/>
      <c r="AR104" s="435"/>
      <c r="AS104" s="433"/>
      <c r="AT104" s="433"/>
      <c r="AU104" s="433"/>
      <c r="AV104" s="433"/>
      <c r="AW104" s="433"/>
      <c r="AX104" s="434"/>
      <c r="AY104" s="1007"/>
      <c r="AZ104" s="1007"/>
      <c r="BA104" s="1007"/>
      <c r="BB104" s="1007"/>
      <c r="BC104" s="1007"/>
      <c r="BD104" s="1007"/>
      <c r="BE104" s="434"/>
      <c r="BF104" s="968"/>
      <c r="BG104" s="968"/>
      <c r="BH104" s="968"/>
      <c r="BI104" s="968"/>
      <c r="BJ104" s="968"/>
      <c r="BK104" s="851"/>
      <c r="BL104" s="826"/>
      <c r="BM104" s="820"/>
      <c r="BN104" s="820"/>
      <c r="BO104" s="820"/>
      <c r="BP104" s="435"/>
      <c r="BQ104" s="1007"/>
      <c r="BR104" s="1007"/>
      <c r="BS104" s="1007"/>
      <c r="BT104" s="1007"/>
      <c r="BU104" s="1007"/>
      <c r="BV104" s="1008"/>
      <c r="BW104" s="968"/>
      <c r="BX104" s="968"/>
      <c r="BY104" s="968"/>
      <c r="BZ104" s="968"/>
      <c r="CA104" s="968"/>
      <c r="CB104" s="1009"/>
      <c r="CC104" s="968"/>
      <c r="CD104" s="968"/>
      <c r="CE104" s="968"/>
      <c r="CF104" s="968"/>
      <c r="CG104" s="968"/>
      <c r="CH104" s="285"/>
      <c r="CI104" s="288"/>
      <c r="CJ104" s="288"/>
    </row>
    <row r="105" spans="1:88" s="313" customFormat="1" ht="15" customHeight="1">
      <c r="A105" s="312"/>
      <c r="B105" s="312"/>
      <c r="C105" s="312"/>
      <c r="E105" s="1057"/>
      <c r="F105" s="1058"/>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1014"/>
      <c r="AL105" s="1014"/>
      <c r="AM105" s="1014"/>
      <c r="AN105" s="355"/>
      <c r="AO105" s="432" t="str">
        <f>IF(LEN(VLOOKUP(AK103,vysledovka!$D$8:$F$68,2,FALSE))&lt;11,"",LEFT(RIGHT(VLOOKUP(AK103,vysledovka!$D$8:$F$68,2,FALSE),11),1))</f>
        <v/>
      </c>
      <c r="AP105" s="255"/>
      <c r="AQ105" s="432" t="str">
        <f>IF(LEN(VLOOKUP(AK103,vysledovka!$D$8:$F$68,2,FALSE))&lt;10,"",LEFT(RIGHT(VLOOKUP(AK103,vysledovka!$D$8:$F$68,2,FALSE),10),1))</f>
        <v/>
      </c>
      <c r="AR105" s="434"/>
      <c r="AS105" s="432" t="str">
        <f>IF(LEN(VLOOKUP(AK103,vysledovka!$D$8:$F$68,2,FALSE))&lt;9,"",LEFT(RIGHT(VLOOKUP(AK103,vysledovka!$D$8:$F$68,2,FALSE),9),1))</f>
        <v/>
      </c>
      <c r="AT105" s="255"/>
      <c r="AU105" s="432" t="str">
        <f>IF(LEN(VLOOKUP(AK103,vysledovka!$D$8:$F$68,2,FALSE))&lt;8,"",LEFT(RIGHT(VLOOKUP(AK103,vysledovka!$D$8:$F$68,2,FALSE),8),1))</f>
        <v/>
      </c>
      <c r="AV105" s="434"/>
      <c r="AW105" s="432" t="str">
        <f>IF(LEN(VLOOKUP(AK103,vysledovka!$D$8:$F$68,2,FALSE))&lt;7,"",LEFT(RIGHT(VLOOKUP(AK103,vysledovka!$D$8:$F$68,2,FALSE),7),1))</f>
        <v/>
      </c>
      <c r="AX105" s="434"/>
      <c r="AY105" s="432" t="str">
        <f>IF(LEN(VLOOKUP(AK103,vysledovka!$D$8:$F$68,2,FALSE))&lt;6,"",LEFT(RIGHT(VLOOKUP(AK103,vysledovka!$D$8:$F$68,2,FALSE),6),1))</f>
        <v/>
      </c>
      <c r="AZ105" s="255"/>
      <c r="BA105" s="961" t="str">
        <f>IF(LEN(VLOOKUP(AK103,vysledovka!$D$8:$F$68,2,FALSE))&lt;5,"",LEFT(RIGHT(VLOOKUP(AK103,vysledovka!$D$8:$F$68,2,FALSE),5),1))</f>
        <v>4</v>
      </c>
      <c r="BB105" s="961"/>
      <c r="BC105" s="434"/>
      <c r="BD105" s="432" t="str">
        <f>IF(LEN(VLOOKUP(AK103,vysledovka!$D$8:$F$68,2,FALSE))&lt;4,"",LEFT(RIGHT(VLOOKUP(AK103,vysledovka!$D$8:$F$68,2,FALSE),4),1))</f>
        <v>4</v>
      </c>
      <c r="BE105" s="434"/>
      <c r="BF105" s="432" t="str">
        <f>IF(LEN(VLOOKUP(AK103,vysledovka!$D$8:$F$68,2,FALSE))&lt;3,"",LEFT(RIGHT(VLOOKUP(AK103,vysledovka!$D$8:$F$68,2,FALSE),3),1))</f>
        <v>2</v>
      </c>
      <c r="BG105" s="434"/>
      <c r="BH105" s="432" t="str">
        <f>IF(LEN(VLOOKUP(AK103,vysledovka!$D$8:$F$68,2,FALSE))&lt;2,"",LEFT(RIGHT(VLOOKUP(AK103,vysledovka!$D$8:$F$68,2,FALSE),2),1))</f>
        <v>9</v>
      </c>
      <c r="BI105" s="434"/>
      <c r="BJ105" s="432" t="str">
        <f>IF(VLOOKUP(AK103,vysledovka!$D$8:$F$68,2,FALSE)=0,"",IF(LEN(VLOOKUP(AK103,vysledovka!$D$8:$F$68,2,FALSE))&lt;1,"",LEFT(RIGHT(VLOOKUP(AK103,vysledovka!$D$8:$F$68,2,FALSE),1),1)))</f>
        <v>3</v>
      </c>
      <c r="BK105" s="851"/>
      <c r="BL105" s="826"/>
      <c r="BM105" s="432" t="str">
        <f>IF(LEN(VLOOKUP(AK103,vysledovka!$D$8:$F$68,3,FALSE))&lt;11,"",LEFT(RIGHT(VLOOKUP(AK103,vysledovka!$D$8:$F$68,3,FALSE),11),1))</f>
        <v/>
      </c>
      <c r="BN105" s="255"/>
      <c r="BO105" s="432" t="str">
        <f>IF(LEN(VLOOKUP(AK103,vysledovka!$D$8:$F$68,3,FALSE))&lt;10,"",LEFT(RIGHT(VLOOKUP(AK103,vysledovka!$D$8:$F$68,3,FALSE),10),1))</f>
        <v/>
      </c>
      <c r="BP105" s="434"/>
      <c r="BQ105" s="432" t="str">
        <f>IF(LEN(VLOOKUP(AK103,vysledovka!$D$8:$F$68,3,FALSE))&lt;9,"",LEFT(RIGHT(VLOOKUP(AK103,vysledovka!$D$8:$F$68,3,FALSE),9),1))</f>
        <v/>
      </c>
      <c r="BR105" s="255"/>
      <c r="BS105" s="432" t="str">
        <f>IF(LEN(VLOOKUP(AK103,vysledovka!$D$8:$F$68,3,FALSE))&lt;8,"",LEFT(RIGHT(VLOOKUP(AK103,vysledovka!$D$8:$F$68,3,FALSE),8),1))</f>
        <v/>
      </c>
      <c r="BT105" s="434"/>
      <c r="BU105" s="432" t="str">
        <f>IF(LEN(VLOOKUP(AK103,vysledovka!$D$8:$F$68,3,FALSE))&lt;7,"",LEFT(RIGHT(VLOOKUP(AK103,vysledovka!$D$8:$F$68,3,FALSE),7),1))</f>
        <v/>
      </c>
      <c r="BV105" s="1008"/>
      <c r="BW105" s="432" t="str">
        <f>IF(LEN(VLOOKUP(AK103,vysledovka!$D$8:$F$68,3,FALSE))&lt;6,"",LEFT(RIGHT(VLOOKUP(AK103,vysledovka!$D$8:$F$68,3,FALSE),6),1))</f>
        <v/>
      </c>
      <c r="BX105" s="434"/>
      <c r="BY105" s="432" t="str">
        <f>IF(LEN(VLOOKUP(AK103,vysledovka!$D$8:$F$68,3,FALSE))&lt;5,"",LEFT(RIGHT(VLOOKUP(AK103,vysledovka!$D$8:$F$68,3,FALSE),5),1))</f>
        <v/>
      </c>
      <c r="BZ105" s="434"/>
      <c r="CA105" s="432" t="str">
        <f>IF(LEN(VLOOKUP(AK103,vysledovka!$D$8:$F$68,3,FALSE))&lt;4,"",LEFT(RIGHT(VLOOKUP(AK103,vysledovka!$D$8:$F$68,3,FALSE),4),1))</f>
        <v/>
      </c>
      <c r="CB105" s="1009"/>
      <c r="CC105" s="432" t="str">
        <f>IF(LEN(VLOOKUP(AK103,vysledovka!$D$8:$F$68,3,FALSE))&lt;3,"",LEFT(RIGHT(VLOOKUP(AK103,vysledovka!$D$8:$F$68,3,FALSE),3),1))</f>
        <v/>
      </c>
      <c r="CD105" s="434"/>
      <c r="CE105" s="432" t="str">
        <f>IF(LEN(VLOOKUP(AK103,vysledovka!$D$8:$F$68,3,FALSE))&lt;2,"",LEFT(RIGHT(VLOOKUP(AK103,vysledovka!$D$8:$F$68,3,FALSE),2),1))</f>
        <v/>
      </c>
      <c r="CF105" s="434"/>
      <c r="CG105" s="432" t="str">
        <f>IF(VLOOKUP(AK103,vysledovka!$D$8:$F$68,3,FALSE)=0,"",IF(LEN(VLOOKUP(AK103,vysledovka!$D$8:$F$68,3,FALSE))&lt;1,"",LEFT(RIGHT(VLOOKUP(AK103,vysledovka!$D$8:$F$68,3,FALSE),1),1)))</f>
        <v/>
      </c>
      <c r="CH105" s="285"/>
      <c r="CI105" s="312"/>
      <c r="CJ105" s="312"/>
    </row>
    <row r="106" spans="1:88" s="313" customFormat="1" ht="3" customHeight="1">
      <c r="A106" s="312"/>
      <c r="B106" s="312"/>
      <c r="C106" s="312"/>
      <c r="E106" s="1057"/>
      <c r="F106" s="1058"/>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1014"/>
      <c r="AL106" s="1014"/>
      <c r="AM106" s="1014"/>
      <c r="AN106" s="358"/>
      <c r="AO106" s="365"/>
      <c r="AP106" s="365"/>
      <c r="AQ106" s="365"/>
      <c r="AR106" s="365"/>
      <c r="AS106" s="365"/>
      <c r="AT106" s="365"/>
      <c r="AU106" s="365"/>
      <c r="AV106" s="365"/>
      <c r="AW106" s="365"/>
      <c r="AX106" s="365"/>
      <c r="AY106" s="365"/>
      <c r="AZ106" s="365"/>
      <c r="BA106" s="365"/>
      <c r="BB106" s="365"/>
      <c r="BC106" s="365"/>
      <c r="BD106" s="365"/>
      <c r="BE106" s="310"/>
      <c r="BF106" s="310"/>
      <c r="BG106" s="310"/>
      <c r="BH106" s="310"/>
      <c r="BI106" s="310"/>
      <c r="BJ106" s="310"/>
      <c r="BK106" s="310"/>
      <c r="BL106" s="846"/>
      <c r="BM106" s="846"/>
      <c r="BN106" s="846"/>
      <c r="BO106" s="846"/>
      <c r="BP106" s="846"/>
      <c r="BQ106" s="846"/>
      <c r="BR106" s="846"/>
      <c r="BS106" s="846"/>
      <c r="BT106" s="846"/>
      <c r="BU106" s="846"/>
      <c r="BV106" s="846"/>
      <c r="BW106" s="846"/>
      <c r="BX106" s="846"/>
      <c r="BY106" s="846"/>
      <c r="BZ106" s="846"/>
      <c r="CA106" s="846"/>
      <c r="CB106" s="846"/>
      <c r="CC106" s="310"/>
      <c r="CD106" s="310"/>
      <c r="CE106" s="310"/>
      <c r="CF106" s="310"/>
      <c r="CG106" s="310"/>
      <c r="CH106" s="286"/>
      <c r="CI106" s="312"/>
      <c r="CJ106" s="312"/>
    </row>
    <row r="107" spans="1:88" s="250" customFormat="1" ht="3" customHeight="1">
      <c r="A107" s="312"/>
      <c r="B107" s="312"/>
      <c r="C107" s="224"/>
      <c r="D107" s="224"/>
      <c r="E107" s="1057" t="s">
        <v>649</v>
      </c>
      <c r="F107" s="1058"/>
      <c r="G107" s="972" t="str">
        <f>Index!C229</f>
        <v>Opravné položky k pohľadávkam (+/-) (547)</v>
      </c>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1056" t="s">
        <v>1568</v>
      </c>
      <c r="AL107" s="1014"/>
      <c r="AM107" s="1014"/>
      <c r="AN107" s="357"/>
      <c r="AO107" s="366"/>
      <c r="AP107" s="366"/>
      <c r="AQ107" s="366"/>
      <c r="AR107" s="366"/>
      <c r="AS107" s="366"/>
      <c r="AT107" s="366"/>
      <c r="AU107" s="366"/>
      <c r="AV107" s="366"/>
      <c r="AW107" s="366"/>
      <c r="AX107" s="366"/>
      <c r="AY107" s="366"/>
      <c r="AZ107" s="366"/>
      <c r="BA107" s="366"/>
      <c r="BB107" s="366"/>
      <c r="BC107" s="366"/>
      <c r="BD107" s="366"/>
      <c r="BE107" s="304"/>
      <c r="BF107" s="304"/>
      <c r="BG107" s="304"/>
      <c r="BH107" s="304"/>
      <c r="BI107" s="304"/>
      <c r="BJ107" s="304"/>
      <c r="BK107" s="304"/>
      <c r="BL107" s="867"/>
      <c r="BM107" s="867"/>
      <c r="BN107" s="867"/>
      <c r="BO107" s="867"/>
      <c r="BP107" s="867"/>
      <c r="BQ107" s="867"/>
      <c r="BR107" s="867"/>
      <c r="BS107" s="867"/>
      <c r="BT107" s="867"/>
      <c r="BU107" s="867"/>
      <c r="BV107" s="867"/>
      <c r="BW107" s="867"/>
      <c r="BX107" s="867"/>
      <c r="BY107" s="867"/>
      <c r="BZ107" s="867"/>
      <c r="CA107" s="867"/>
      <c r="CB107" s="867"/>
      <c r="CC107" s="304"/>
      <c r="CD107" s="304"/>
      <c r="CE107" s="304"/>
      <c r="CF107" s="304"/>
      <c r="CG107" s="304"/>
      <c r="CH107" s="284"/>
      <c r="CI107" s="288"/>
      <c r="CJ107" s="288"/>
    </row>
    <row r="108" spans="1:88" s="250" customFormat="1" ht="3" customHeight="1">
      <c r="A108" s="312"/>
      <c r="B108" s="312"/>
      <c r="C108" s="312"/>
      <c r="D108" s="312"/>
      <c r="E108" s="1057"/>
      <c r="F108" s="1058"/>
      <c r="G108" s="972"/>
      <c r="H108" s="972"/>
      <c r="I108" s="972"/>
      <c r="J108" s="972"/>
      <c r="K108" s="972"/>
      <c r="L108" s="972"/>
      <c r="M108" s="972"/>
      <c r="N108" s="972"/>
      <c r="O108" s="972"/>
      <c r="P108" s="972"/>
      <c r="Q108" s="972"/>
      <c r="R108" s="972"/>
      <c r="S108" s="972"/>
      <c r="T108" s="972"/>
      <c r="U108" s="972"/>
      <c r="V108" s="972"/>
      <c r="W108" s="972"/>
      <c r="X108" s="972"/>
      <c r="Y108" s="972"/>
      <c r="Z108" s="972"/>
      <c r="AA108" s="972"/>
      <c r="AB108" s="972"/>
      <c r="AC108" s="972"/>
      <c r="AD108" s="972"/>
      <c r="AE108" s="972"/>
      <c r="AF108" s="972"/>
      <c r="AG108" s="972"/>
      <c r="AH108" s="972"/>
      <c r="AI108" s="972"/>
      <c r="AJ108" s="972"/>
      <c r="AK108" s="1014"/>
      <c r="AL108" s="1014"/>
      <c r="AM108" s="1014"/>
      <c r="AN108" s="355"/>
      <c r="AO108" s="436"/>
      <c r="AP108" s="436"/>
      <c r="AQ108" s="436"/>
      <c r="AR108" s="435"/>
      <c r="AS108" s="433"/>
      <c r="AT108" s="433"/>
      <c r="AU108" s="433"/>
      <c r="AV108" s="433"/>
      <c r="AW108" s="433"/>
      <c r="AX108" s="434"/>
      <c r="AY108" s="1007"/>
      <c r="AZ108" s="1007"/>
      <c r="BA108" s="1007"/>
      <c r="BB108" s="1007"/>
      <c r="BC108" s="1007"/>
      <c r="BD108" s="1007"/>
      <c r="BE108" s="434"/>
      <c r="BF108" s="968"/>
      <c r="BG108" s="968"/>
      <c r="BH108" s="968"/>
      <c r="BI108" s="968"/>
      <c r="BJ108" s="968"/>
      <c r="BK108" s="851"/>
      <c r="BL108" s="826"/>
      <c r="BM108" s="820"/>
      <c r="BN108" s="820"/>
      <c r="BO108" s="820"/>
      <c r="BP108" s="435"/>
      <c r="BQ108" s="1007"/>
      <c r="BR108" s="1007"/>
      <c r="BS108" s="1007"/>
      <c r="BT108" s="1007"/>
      <c r="BU108" s="1007"/>
      <c r="BV108" s="1008"/>
      <c r="BW108" s="968"/>
      <c r="BX108" s="968"/>
      <c r="BY108" s="968"/>
      <c r="BZ108" s="968"/>
      <c r="CA108" s="968"/>
      <c r="CB108" s="1009"/>
      <c r="CC108" s="968"/>
      <c r="CD108" s="968"/>
      <c r="CE108" s="968"/>
      <c r="CF108" s="968"/>
      <c r="CG108" s="968"/>
      <c r="CH108" s="285"/>
      <c r="CI108" s="288"/>
      <c r="CJ108" s="288"/>
    </row>
    <row r="109" spans="1:88" s="313" customFormat="1" ht="15" customHeight="1">
      <c r="A109" s="312"/>
      <c r="B109" s="312"/>
      <c r="C109" s="312"/>
      <c r="E109" s="1057"/>
      <c r="F109" s="1058"/>
      <c r="G109" s="972"/>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1014"/>
      <c r="AL109" s="1014"/>
      <c r="AM109" s="1014"/>
      <c r="AN109" s="355"/>
      <c r="AO109" s="432" t="str">
        <f>IF(LEN(VLOOKUP(AK107,vysledovka!$D$8:$F$68,2,FALSE))&lt;11,"",LEFT(RIGHT(VLOOKUP(AK107,vysledovka!$D$8:$F$68,2,FALSE),11),1))</f>
        <v/>
      </c>
      <c r="AP109" s="255"/>
      <c r="AQ109" s="432" t="str">
        <f>IF(LEN(VLOOKUP(AK107,vysledovka!$D$8:$F$68,2,FALSE))&lt;10,"",LEFT(RIGHT(VLOOKUP(AK107,vysledovka!$D$8:$F$68,2,FALSE),10),1))</f>
        <v/>
      </c>
      <c r="AR109" s="434"/>
      <c r="AS109" s="432" t="str">
        <f>IF(LEN(VLOOKUP(AK107,vysledovka!$D$8:$F$68,2,FALSE))&lt;9,"",LEFT(RIGHT(VLOOKUP(AK107,vysledovka!$D$8:$F$68,2,FALSE),9),1))</f>
        <v/>
      </c>
      <c r="AT109" s="255"/>
      <c r="AU109" s="432" t="str">
        <f>IF(LEN(VLOOKUP(AK107,vysledovka!$D$8:$F$68,2,FALSE))&lt;8,"",LEFT(RIGHT(VLOOKUP(AK107,vysledovka!$D$8:$F$68,2,FALSE),8),1))</f>
        <v/>
      </c>
      <c r="AV109" s="434"/>
      <c r="AW109" s="432" t="str">
        <f>IF(LEN(VLOOKUP(AK107,vysledovka!$D$8:$F$68,2,FALSE))&lt;7,"",LEFT(RIGHT(VLOOKUP(AK107,vysledovka!$D$8:$F$68,2,FALSE),7),1))</f>
        <v>1</v>
      </c>
      <c r="AX109" s="434"/>
      <c r="AY109" s="432" t="str">
        <f>IF(LEN(VLOOKUP(AK107,vysledovka!$D$8:$F$68,2,FALSE))&lt;6,"",LEFT(RIGHT(VLOOKUP(AK107,vysledovka!$D$8:$F$68,2,FALSE),6),1))</f>
        <v>8</v>
      </c>
      <c r="AZ109" s="255"/>
      <c r="BA109" s="961" t="str">
        <f>IF(LEN(VLOOKUP(AK107,vysledovka!$D$8:$F$68,2,FALSE))&lt;5,"",LEFT(RIGHT(VLOOKUP(AK107,vysledovka!$D$8:$F$68,2,FALSE),5),1))</f>
        <v>9</v>
      </c>
      <c r="BB109" s="961"/>
      <c r="BC109" s="434"/>
      <c r="BD109" s="432" t="str">
        <f>IF(LEN(VLOOKUP(AK107,vysledovka!$D$8:$F$68,2,FALSE))&lt;4,"",LEFT(RIGHT(VLOOKUP(AK107,vysledovka!$D$8:$F$68,2,FALSE),4),1))</f>
        <v>8</v>
      </c>
      <c r="BE109" s="434"/>
      <c r="BF109" s="432" t="str">
        <f>IF(LEN(VLOOKUP(AK107,vysledovka!$D$8:$F$68,2,FALSE))&lt;3,"",LEFT(RIGHT(VLOOKUP(AK107,vysledovka!$D$8:$F$68,2,FALSE),3),1))</f>
        <v>5</v>
      </c>
      <c r="BG109" s="434"/>
      <c r="BH109" s="432" t="str">
        <f>IF(LEN(VLOOKUP(AK107,vysledovka!$D$8:$F$68,2,FALSE))&lt;2,"",LEFT(RIGHT(VLOOKUP(AK107,vysledovka!$D$8:$F$68,2,FALSE),2),1))</f>
        <v>5</v>
      </c>
      <c r="BI109" s="434"/>
      <c r="BJ109" s="432" t="str">
        <f>IF(VLOOKUP(AK107,vysledovka!$D$8:$F$68,2,FALSE)=0,"",IF(LEN(VLOOKUP(AK107,vysledovka!$D$8:$F$68,2,FALSE))&lt;1,"",LEFT(RIGHT(VLOOKUP(AK107,vysledovka!$D$8:$F$68,2,FALSE),1),1)))</f>
        <v>6</v>
      </c>
      <c r="BK109" s="851"/>
      <c r="BL109" s="826"/>
      <c r="BM109" s="432" t="str">
        <f>IF(LEN(VLOOKUP(AK107,vysledovka!$D$8:$F$68,3,FALSE))&lt;11,"",LEFT(RIGHT(VLOOKUP(AK107,vysledovka!$D$8:$F$68,3,FALSE),11),1))</f>
        <v/>
      </c>
      <c r="BN109" s="255"/>
      <c r="BO109" s="432" t="str">
        <f>IF(LEN(VLOOKUP(AK107,vysledovka!$D$8:$F$68,3,FALSE))&lt;10,"",LEFT(RIGHT(VLOOKUP(AK107,vysledovka!$D$8:$F$68,3,FALSE),10),1))</f>
        <v/>
      </c>
      <c r="BP109" s="434"/>
      <c r="BQ109" s="432" t="str">
        <f>IF(LEN(VLOOKUP(AK107,vysledovka!$D$8:$F$68,3,FALSE))&lt;9,"",LEFT(RIGHT(VLOOKUP(AK107,vysledovka!$D$8:$F$68,3,FALSE),9),1))</f>
        <v/>
      </c>
      <c r="BR109" s="255"/>
      <c r="BS109" s="432" t="str">
        <f>IF(LEN(VLOOKUP(AK107,vysledovka!$D$8:$F$68,3,FALSE))&lt;8,"",LEFT(RIGHT(VLOOKUP(AK107,vysledovka!$D$8:$F$68,3,FALSE),8),1))</f>
        <v/>
      </c>
      <c r="BT109" s="434"/>
      <c r="BU109" s="432" t="str">
        <f>IF(LEN(VLOOKUP(AK107,vysledovka!$D$8:$F$68,3,FALSE))&lt;7,"",LEFT(RIGHT(VLOOKUP(AK107,vysledovka!$D$8:$F$68,3,FALSE),7),1))</f>
        <v/>
      </c>
      <c r="BV109" s="1008"/>
      <c r="BW109" s="432" t="str">
        <f>IF(LEN(VLOOKUP(AK107,vysledovka!$D$8:$F$68,3,FALSE))&lt;6,"",LEFT(RIGHT(VLOOKUP(AK107,vysledovka!$D$8:$F$68,3,FALSE),6),1))</f>
        <v/>
      </c>
      <c r="BX109" s="434"/>
      <c r="BY109" s="432" t="str">
        <f>IF(LEN(VLOOKUP(AK107,vysledovka!$D$8:$F$68,3,FALSE))&lt;5,"",LEFT(RIGHT(VLOOKUP(AK107,vysledovka!$D$8:$F$68,3,FALSE),5),1))</f>
        <v>6</v>
      </c>
      <c r="BZ109" s="434"/>
      <c r="CA109" s="432" t="str">
        <f>IF(LEN(VLOOKUP(AK107,vysledovka!$D$8:$F$68,3,FALSE))&lt;4,"",LEFT(RIGHT(VLOOKUP(AK107,vysledovka!$D$8:$F$68,3,FALSE),4),1))</f>
        <v>9</v>
      </c>
      <c r="CB109" s="1009"/>
      <c r="CC109" s="432" t="str">
        <f>IF(LEN(VLOOKUP(AK107,vysledovka!$D$8:$F$68,3,FALSE))&lt;3,"",LEFT(RIGHT(VLOOKUP(AK107,vysledovka!$D$8:$F$68,3,FALSE),3),1))</f>
        <v>4</v>
      </c>
      <c r="CD109" s="434"/>
      <c r="CE109" s="432" t="str">
        <f>IF(LEN(VLOOKUP(AK107,vysledovka!$D$8:$F$68,3,FALSE))&lt;2,"",LEFT(RIGHT(VLOOKUP(AK107,vysledovka!$D$8:$F$68,3,FALSE),2),1))</f>
        <v>8</v>
      </c>
      <c r="CF109" s="434"/>
      <c r="CG109" s="432" t="str">
        <f>IF(VLOOKUP(AK107,vysledovka!$D$8:$F$68,3,FALSE)=0,"",IF(LEN(VLOOKUP(AK107,vysledovka!$D$8:$F$68,3,FALSE))&lt;1,"",LEFT(RIGHT(VLOOKUP(AK107,vysledovka!$D$8:$F$68,3,FALSE),1),1)))</f>
        <v>2</v>
      </c>
      <c r="CH109" s="285"/>
      <c r="CI109" s="312"/>
      <c r="CJ109" s="312"/>
    </row>
    <row r="110" spans="1:88" s="313" customFormat="1" ht="3" customHeight="1">
      <c r="A110" s="312"/>
      <c r="B110" s="312"/>
      <c r="C110" s="312"/>
      <c r="E110" s="1057"/>
      <c r="F110" s="1058"/>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1014"/>
      <c r="AL110" s="1014"/>
      <c r="AM110" s="1014"/>
      <c r="AN110" s="358"/>
      <c r="AO110" s="365"/>
      <c r="AP110" s="365"/>
      <c r="AQ110" s="365"/>
      <c r="AR110" s="365"/>
      <c r="AS110" s="365"/>
      <c r="AT110" s="365"/>
      <c r="AU110" s="365"/>
      <c r="AV110" s="365"/>
      <c r="AW110" s="365"/>
      <c r="AX110" s="365"/>
      <c r="AY110" s="365"/>
      <c r="AZ110" s="365"/>
      <c r="BA110" s="365"/>
      <c r="BB110" s="365"/>
      <c r="BC110" s="365"/>
      <c r="BD110" s="365"/>
      <c r="BE110" s="310"/>
      <c r="BF110" s="310"/>
      <c r="BG110" s="310"/>
      <c r="BH110" s="310"/>
      <c r="BI110" s="310"/>
      <c r="BJ110" s="310"/>
      <c r="BK110" s="310"/>
      <c r="BL110" s="846"/>
      <c r="BM110" s="846"/>
      <c r="BN110" s="846"/>
      <c r="BO110" s="846"/>
      <c r="BP110" s="846"/>
      <c r="BQ110" s="846"/>
      <c r="BR110" s="846"/>
      <c r="BS110" s="846"/>
      <c r="BT110" s="846"/>
      <c r="BU110" s="846"/>
      <c r="BV110" s="846"/>
      <c r="BW110" s="846"/>
      <c r="BX110" s="846"/>
      <c r="BY110" s="846"/>
      <c r="BZ110" s="846"/>
      <c r="CA110" s="846"/>
      <c r="CB110" s="846"/>
      <c r="CC110" s="310"/>
      <c r="CD110" s="310"/>
      <c r="CE110" s="310"/>
      <c r="CF110" s="310"/>
      <c r="CG110" s="310"/>
      <c r="CH110" s="286"/>
      <c r="CI110" s="312"/>
      <c r="CJ110" s="312"/>
    </row>
    <row r="111" spans="1:88" s="250" customFormat="1" ht="3" customHeight="1">
      <c r="A111" s="312"/>
      <c r="B111" s="312"/>
      <c r="C111" s="224"/>
      <c r="D111" s="224"/>
      <c r="E111" s="1055" t="s">
        <v>683</v>
      </c>
      <c r="F111" s="1055"/>
      <c r="G111" s="972" t="str">
        <f>Index!C230</f>
        <v>Ostatné náklady na hospodársku činnosť (543, 544, 545, 546, 548, 549, 555, 557)</v>
      </c>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1056" t="s">
        <v>1569</v>
      </c>
      <c r="AL111" s="1014"/>
      <c r="AM111" s="1014"/>
      <c r="AN111" s="357"/>
      <c r="AO111" s="366"/>
      <c r="AP111" s="366"/>
      <c r="AQ111" s="366"/>
      <c r="AR111" s="366"/>
      <c r="AS111" s="366"/>
      <c r="AT111" s="366"/>
      <c r="AU111" s="366"/>
      <c r="AV111" s="366"/>
      <c r="AW111" s="366"/>
      <c r="AX111" s="366"/>
      <c r="AY111" s="366"/>
      <c r="AZ111" s="366"/>
      <c r="BA111" s="366"/>
      <c r="BB111" s="366"/>
      <c r="BC111" s="366"/>
      <c r="BD111" s="366"/>
      <c r="BE111" s="304"/>
      <c r="BF111" s="304"/>
      <c r="BG111" s="304"/>
      <c r="BH111" s="304"/>
      <c r="BI111" s="304"/>
      <c r="BJ111" s="304"/>
      <c r="BK111" s="304"/>
      <c r="BL111" s="867"/>
      <c r="BM111" s="867"/>
      <c r="BN111" s="867"/>
      <c r="BO111" s="867"/>
      <c r="BP111" s="867"/>
      <c r="BQ111" s="867"/>
      <c r="BR111" s="867"/>
      <c r="BS111" s="867"/>
      <c r="BT111" s="867"/>
      <c r="BU111" s="867"/>
      <c r="BV111" s="867"/>
      <c r="BW111" s="867"/>
      <c r="BX111" s="867"/>
      <c r="BY111" s="867"/>
      <c r="BZ111" s="867"/>
      <c r="CA111" s="867"/>
      <c r="CB111" s="867"/>
      <c r="CC111" s="304"/>
      <c r="CD111" s="304"/>
      <c r="CE111" s="304"/>
      <c r="CF111" s="304"/>
      <c r="CG111" s="304"/>
      <c r="CH111" s="284"/>
      <c r="CI111" s="288"/>
      <c r="CJ111" s="288"/>
    </row>
    <row r="112" spans="1:88" s="250" customFormat="1" ht="3" customHeight="1">
      <c r="A112" s="312"/>
      <c r="B112" s="312"/>
      <c r="C112" s="312"/>
      <c r="D112" s="312"/>
      <c r="E112" s="1055"/>
      <c r="F112" s="1055"/>
      <c r="G112" s="972"/>
      <c r="H112" s="972"/>
      <c r="I112" s="972"/>
      <c r="J112" s="972"/>
      <c r="K112" s="972"/>
      <c r="L112" s="972"/>
      <c r="M112" s="972"/>
      <c r="N112" s="972"/>
      <c r="O112" s="972"/>
      <c r="P112" s="972"/>
      <c r="Q112" s="972"/>
      <c r="R112" s="972"/>
      <c r="S112" s="972"/>
      <c r="T112" s="972"/>
      <c r="U112" s="972"/>
      <c r="V112" s="972"/>
      <c r="W112" s="972"/>
      <c r="X112" s="972"/>
      <c r="Y112" s="972"/>
      <c r="Z112" s="972"/>
      <c r="AA112" s="972"/>
      <c r="AB112" s="972"/>
      <c r="AC112" s="972"/>
      <c r="AD112" s="972"/>
      <c r="AE112" s="972"/>
      <c r="AF112" s="972"/>
      <c r="AG112" s="972"/>
      <c r="AH112" s="972"/>
      <c r="AI112" s="972"/>
      <c r="AJ112" s="972"/>
      <c r="AK112" s="1014"/>
      <c r="AL112" s="1014"/>
      <c r="AM112" s="1014"/>
      <c r="AN112" s="355"/>
      <c r="AO112" s="436"/>
      <c r="AP112" s="436"/>
      <c r="AQ112" s="436"/>
      <c r="AR112" s="435"/>
      <c r="AS112" s="433"/>
      <c r="AT112" s="433"/>
      <c r="AU112" s="433"/>
      <c r="AV112" s="433"/>
      <c r="AW112" s="433"/>
      <c r="AX112" s="434"/>
      <c r="AY112" s="1007"/>
      <c r="AZ112" s="1007"/>
      <c r="BA112" s="1007"/>
      <c r="BB112" s="1007"/>
      <c r="BC112" s="1007"/>
      <c r="BD112" s="1007"/>
      <c r="BE112" s="434"/>
      <c r="BF112" s="968"/>
      <c r="BG112" s="968"/>
      <c r="BH112" s="968"/>
      <c r="BI112" s="968"/>
      <c r="BJ112" s="968"/>
      <c r="BK112" s="851"/>
      <c r="BL112" s="826"/>
      <c r="BM112" s="820"/>
      <c r="BN112" s="820"/>
      <c r="BO112" s="820"/>
      <c r="BP112" s="435"/>
      <c r="BQ112" s="1007"/>
      <c r="BR112" s="1007"/>
      <c r="BS112" s="1007"/>
      <c r="BT112" s="1007"/>
      <c r="BU112" s="1007"/>
      <c r="BV112" s="1008"/>
      <c r="BW112" s="968"/>
      <c r="BX112" s="968"/>
      <c r="BY112" s="968"/>
      <c r="BZ112" s="968"/>
      <c r="CA112" s="968"/>
      <c r="CB112" s="1009"/>
      <c r="CC112" s="968"/>
      <c r="CD112" s="968"/>
      <c r="CE112" s="968"/>
      <c r="CF112" s="968"/>
      <c r="CG112" s="968"/>
      <c r="CH112" s="285"/>
      <c r="CI112" s="288"/>
      <c r="CJ112" s="288"/>
    </row>
    <row r="113" spans="1:88" s="313" customFormat="1" ht="15" customHeight="1">
      <c r="A113" s="312"/>
      <c r="B113" s="312"/>
      <c r="C113" s="312"/>
      <c r="E113" s="1055"/>
      <c r="F113" s="1055"/>
      <c r="G113" s="972"/>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1014"/>
      <c r="AL113" s="1014"/>
      <c r="AM113" s="1014"/>
      <c r="AN113" s="355"/>
      <c r="AO113" s="432" t="str">
        <f>IF(LEN(VLOOKUP(AK111,vysledovka!$D$8:$F$68,2,FALSE))&lt;11,"",LEFT(RIGHT(VLOOKUP(AK111,vysledovka!$D$8:$F$68,2,FALSE),11),1))</f>
        <v/>
      </c>
      <c r="AP113" s="255"/>
      <c r="AQ113" s="432" t="str">
        <f>IF(LEN(VLOOKUP(AK111,vysledovka!$D$8:$F$68,2,FALSE))&lt;10,"",LEFT(RIGHT(VLOOKUP(AK111,vysledovka!$D$8:$F$68,2,FALSE),10),1))</f>
        <v/>
      </c>
      <c r="AR113" s="434"/>
      <c r="AS113" s="432" t="str">
        <f>IF(LEN(VLOOKUP(AK111,vysledovka!$D$8:$F$68,2,FALSE))&lt;9,"",LEFT(RIGHT(VLOOKUP(AK111,vysledovka!$D$8:$F$68,2,FALSE),9),1))</f>
        <v/>
      </c>
      <c r="AT113" s="255"/>
      <c r="AU113" s="432" t="str">
        <f>IF(LEN(VLOOKUP(AK111,vysledovka!$D$8:$F$68,2,FALSE))&lt;8,"",LEFT(RIGHT(VLOOKUP(AK111,vysledovka!$D$8:$F$68,2,FALSE),8),1))</f>
        <v/>
      </c>
      <c r="AV113" s="434"/>
      <c r="AW113" s="432" t="str">
        <f>IF(LEN(VLOOKUP(AK111,vysledovka!$D$8:$F$68,2,FALSE))&lt;7,"",LEFT(RIGHT(VLOOKUP(AK111,vysledovka!$D$8:$F$68,2,FALSE),7),1))</f>
        <v/>
      </c>
      <c r="AX113" s="434"/>
      <c r="AY113" s="432" t="str">
        <f>IF(LEN(VLOOKUP(AK111,vysledovka!$D$8:$F$68,2,FALSE))&lt;6,"",LEFT(RIGHT(VLOOKUP(AK111,vysledovka!$D$8:$F$68,2,FALSE),6),1))</f>
        <v/>
      </c>
      <c r="AZ113" s="255"/>
      <c r="BA113" s="961" t="str">
        <f>IF(LEN(VLOOKUP(AK111,vysledovka!$D$8:$F$68,2,FALSE))&lt;5,"",LEFT(RIGHT(VLOOKUP(AK111,vysledovka!$D$8:$F$68,2,FALSE),5),1))</f>
        <v>3</v>
      </c>
      <c r="BB113" s="961"/>
      <c r="BC113" s="434"/>
      <c r="BD113" s="432" t="str">
        <f>IF(LEN(VLOOKUP(AK111,vysledovka!$D$8:$F$68,2,FALSE))&lt;4,"",LEFT(RIGHT(VLOOKUP(AK111,vysledovka!$D$8:$F$68,2,FALSE),4),1))</f>
        <v>3</v>
      </c>
      <c r="BE113" s="434"/>
      <c r="BF113" s="432" t="str">
        <f>IF(LEN(VLOOKUP(AK111,vysledovka!$D$8:$F$68,2,FALSE))&lt;3,"",LEFT(RIGHT(VLOOKUP(AK111,vysledovka!$D$8:$F$68,2,FALSE),3),1))</f>
        <v>7</v>
      </c>
      <c r="BG113" s="434"/>
      <c r="BH113" s="432" t="str">
        <f>IF(LEN(VLOOKUP(AK111,vysledovka!$D$8:$F$68,2,FALSE))&lt;2,"",LEFT(RIGHT(VLOOKUP(AK111,vysledovka!$D$8:$F$68,2,FALSE),2),1))</f>
        <v>3</v>
      </c>
      <c r="BI113" s="434"/>
      <c r="BJ113" s="432" t="str">
        <f>IF(VLOOKUP(AK111,vysledovka!$D$8:$F$68,2,FALSE)=0,"",IF(LEN(VLOOKUP(AK111,vysledovka!$D$8:$F$68,2,FALSE))&lt;1,"",LEFT(RIGHT(VLOOKUP(AK111,vysledovka!$D$8:$F$68,2,FALSE),1),1)))</f>
        <v>3</v>
      </c>
      <c r="BK113" s="851"/>
      <c r="BL113" s="826"/>
      <c r="BM113" s="432" t="str">
        <f>IF(LEN(VLOOKUP(AK111,vysledovka!$D$8:$F$68,3,FALSE))&lt;11,"",LEFT(RIGHT(VLOOKUP(AK111,vysledovka!$D$8:$F$68,3,FALSE),11),1))</f>
        <v/>
      </c>
      <c r="BN113" s="255"/>
      <c r="BO113" s="432" t="str">
        <f>IF(LEN(VLOOKUP(AK111,vysledovka!$D$8:$F$68,3,FALSE))&lt;10,"",LEFT(RIGHT(VLOOKUP(AK111,vysledovka!$D$8:$F$68,3,FALSE),10),1))</f>
        <v/>
      </c>
      <c r="BP113" s="434"/>
      <c r="BQ113" s="432" t="str">
        <f>IF(LEN(VLOOKUP(AK111,vysledovka!$D$8:$F$68,3,FALSE))&lt;9,"",LEFT(RIGHT(VLOOKUP(AK111,vysledovka!$D$8:$F$68,3,FALSE),9),1))</f>
        <v/>
      </c>
      <c r="BR113" s="255"/>
      <c r="BS113" s="432" t="str">
        <f>IF(LEN(VLOOKUP(AK111,vysledovka!$D$8:$F$68,3,FALSE))&lt;8,"",LEFT(RIGHT(VLOOKUP(AK111,vysledovka!$D$8:$F$68,3,FALSE),8),1))</f>
        <v/>
      </c>
      <c r="BT113" s="434"/>
      <c r="BU113" s="432" t="str">
        <f>IF(LEN(VLOOKUP(AK111,vysledovka!$D$8:$F$68,3,FALSE))&lt;7,"",LEFT(RIGHT(VLOOKUP(AK111,vysledovka!$D$8:$F$68,3,FALSE),7),1))</f>
        <v>3</v>
      </c>
      <c r="BV113" s="1008"/>
      <c r="BW113" s="432" t="str">
        <f>IF(LEN(VLOOKUP(AK111,vysledovka!$D$8:$F$68,3,FALSE))&lt;6,"",LEFT(RIGHT(VLOOKUP(AK111,vysledovka!$D$8:$F$68,3,FALSE),6),1))</f>
        <v>2</v>
      </c>
      <c r="BX113" s="434"/>
      <c r="BY113" s="432" t="str">
        <f>IF(LEN(VLOOKUP(AK111,vysledovka!$D$8:$F$68,3,FALSE))&lt;5,"",LEFT(RIGHT(VLOOKUP(AK111,vysledovka!$D$8:$F$68,3,FALSE),5),1))</f>
        <v>5</v>
      </c>
      <c r="BZ113" s="434"/>
      <c r="CA113" s="432" t="str">
        <f>IF(LEN(VLOOKUP(AK111,vysledovka!$D$8:$F$68,3,FALSE))&lt;4,"",LEFT(RIGHT(VLOOKUP(AK111,vysledovka!$D$8:$F$68,3,FALSE),4),1))</f>
        <v>5</v>
      </c>
      <c r="CB113" s="1009"/>
      <c r="CC113" s="432" t="str">
        <f>IF(LEN(VLOOKUP(AK111,vysledovka!$D$8:$F$68,3,FALSE))&lt;3,"",LEFT(RIGHT(VLOOKUP(AK111,vysledovka!$D$8:$F$68,3,FALSE),3),1))</f>
        <v>3</v>
      </c>
      <c r="CD113" s="434"/>
      <c r="CE113" s="432" t="str">
        <f>IF(LEN(VLOOKUP(AK111,vysledovka!$D$8:$F$68,3,FALSE))&lt;2,"",LEFT(RIGHT(VLOOKUP(AK111,vysledovka!$D$8:$F$68,3,FALSE),2),1))</f>
        <v>9</v>
      </c>
      <c r="CF113" s="434"/>
      <c r="CG113" s="432" t="str">
        <f>IF(VLOOKUP(AK111,vysledovka!$D$8:$F$68,3,FALSE)=0,"",IF(LEN(VLOOKUP(AK111,vysledovka!$D$8:$F$68,3,FALSE))&lt;1,"",LEFT(RIGHT(VLOOKUP(AK111,vysledovka!$D$8:$F$68,3,FALSE),1),1)))</f>
        <v>8</v>
      </c>
      <c r="CH113" s="285"/>
      <c r="CI113" s="312"/>
      <c r="CJ113" s="312"/>
    </row>
    <row r="114" spans="1:88" s="313" customFormat="1" ht="3" customHeight="1">
      <c r="A114" s="312"/>
      <c r="B114" s="312"/>
      <c r="C114" s="312"/>
      <c r="E114" s="1055"/>
      <c r="F114" s="1055"/>
      <c r="G114" s="972"/>
      <c r="H114" s="972"/>
      <c r="I114" s="972"/>
      <c r="J114" s="972"/>
      <c r="K114" s="972"/>
      <c r="L114" s="972"/>
      <c r="M114" s="972"/>
      <c r="N114" s="972"/>
      <c r="O114" s="972"/>
      <c r="P114" s="972"/>
      <c r="Q114" s="972"/>
      <c r="R114" s="972"/>
      <c r="S114" s="972"/>
      <c r="T114" s="972"/>
      <c r="U114" s="972"/>
      <c r="V114" s="972"/>
      <c r="W114" s="972"/>
      <c r="X114" s="972"/>
      <c r="Y114" s="972"/>
      <c r="Z114" s="972"/>
      <c r="AA114" s="972"/>
      <c r="AB114" s="972"/>
      <c r="AC114" s="972"/>
      <c r="AD114" s="972"/>
      <c r="AE114" s="972"/>
      <c r="AF114" s="972"/>
      <c r="AG114" s="972"/>
      <c r="AH114" s="972"/>
      <c r="AI114" s="972"/>
      <c r="AJ114" s="972"/>
      <c r="AK114" s="1014"/>
      <c r="AL114" s="1014"/>
      <c r="AM114" s="1014"/>
      <c r="AN114" s="358"/>
      <c r="AO114" s="365"/>
      <c r="AP114" s="365"/>
      <c r="AQ114" s="365"/>
      <c r="AR114" s="365"/>
      <c r="AS114" s="365"/>
      <c r="AT114" s="365"/>
      <c r="AU114" s="365"/>
      <c r="AV114" s="365"/>
      <c r="AW114" s="365"/>
      <c r="AX114" s="365"/>
      <c r="AY114" s="365"/>
      <c r="AZ114" s="365"/>
      <c r="BA114" s="365"/>
      <c r="BB114" s="365"/>
      <c r="BC114" s="365"/>
      <c r="BD114" s="365"/>
      <c r="BE114" s="310"/>
      <c r="BF114" s="310"/>
      <c r="BG114" s="310"/>
      <c r="BH114" s="310"/>
      <c r="BI114" s="310"/>
      <c r="BJ114" s="310"/>
      <c r="BK114" s="310"/>
      <c r="BL114" s="846"/>
      <c r="BM114" s="846"/>
      <c r="BN114" s="846"/>
      <c r="BO114" s="846"/>
      <c r="BP114" s="846"/>
      <c r="BQ114" s="846"/>
      <c r="BR114" s="846"/>
      <c r="BS114" s="846"/>
      <c r="BT114" s="846"/>
      <c r="BU114" s="846"/>
      <c r="BV114" s="846"/>
      <c r="BW114" s="846"/>
      <c r="BX114" s="846"/>
      <c r="BY114" s="846"/>
      <c r="BZ114" s="846"/>
      <c r="CA114" s="846"/>
      <c r="CB114" s="846"/>
      <c r="CC114" s="310"/>
      <c r="CD114" s="310"/>
      <c r="CE114" s="310"/>
      <c r="CF114" s="310"/>
      <c r="CG114" s="310"/>
      <c r="CH114" s="286"/>
      <c r="CI114" s="312"/>
      <c r="CJ114" s="312"/>
    </row>
    <row r="115" spans="1:88" s="307" customFormat="1" ht="3" customHeight="1" thickBot="1">
      <c r="A115" s="302"/>
      <c r="B115" s="302"/>
      <c r="C115" s="303"/>
      <c r="D115" s="303"/>
      <c r="E115" s="1049" t="s">
        <v>709</v>
      </c>
      <c r="F115" s="1049"/>
      <c r="G115" s="1051" t="str">
        <f>Index!C231</f>
        <v>Výsledok hospodárenia z hospodárskej činnosti (+/-) (r. 02 - r. 10)</v>
      </c>
      <c r="H115" s="1051"/>
      <c r="I115" s="1051"/>
      <c r="J115" s="1051"/>
      <c r="K115" s="1051"/>
      <c r="L115" s="1051"/>
      <c r="M115" s="1051"/>
      <c r="N115" s="1051"/>
      <c r="O115" s="1051"/>
      <c r="P115" s="1051"/>
      <c r="Q115" s="1051"/>
      <c r="R115" s="1051"/>
      <c r="S115" s="1051"/>
      <c r="T115" s="1051"/>
      <c r="U115" s="1051"/>
      <c r="V115" s="1051"/>
      <c r="W115" s="1051"/>
      <c r="X115" s="1051"/>
      <c r="Y115" s="1051"/>
      <c r="Z115" s="1051"/>
      <c r="AA115" s="1051"/>
      <c r="AB115" s="1051"/>
      <c r="AC115" s="1051"/>
      <c r="AD115" s="1051"/>
      <c r="AE115" s="1051"/>
      <c r="AF115" s="1051"/>
      <c r="AG115" s="1051"/>
      <c r="AH115" s="1051"/>
      <c r="AI115" s="1051"/>
      <c r="AJ115" s="1051"/>
      <c r="AK115" s="1053" t="s">
        <v>1570</v>
      </c>
      <c r="AL115" s="1054"/>
      <c r="AM115" s="1054"/>
      <c r="AN115" s="364"/>
      <c r="AO115" s="366"/>
      <c r="AP115" s="366"/>
      <c r="AQ115" s="366"/>
      <c r="AR115" s="366"/>
      <c r="AS115" s="366"/>
      <c r="AT115" s="366"/>
      <c r="AU115" s="366"/>
      <c r="AV115" s="366"/>
      <c r="AW115" s="366"/>
      <c r="AX115" s="366"/>
      <c r="AY115" s="366"/>
      <c r="AZ115" s="366"/>
      <c r="BA115" s="366"/>
      <c r="BB115" s="366"/>
      <c r="BC115" s="366"/>
      <c r="BD115" s="366"/>
      <c r="BE115" s="304"/>
      <c r="BF115" s="304"/>
      <c r="BG115" s="304"/>
      <c r="BH115" s="304"/>
      <c r="BI115" s="304"/>
      <c r="BJ115" s="304"/>
      <c r="BK115" s="304"/>
      <c r="BL115" s="867"/>
      <c r="BM115" s="867"/>
      <c r="BN115" s="867"/>
      <c r="BO115" s="867"/>
      <c r="BP115" s="867"/>
      <c r="BQ115" s="867"/>
      <c r="BR115" s="867"/>
      <c r="BS115" s="867"/>
      <c r="BT115" s="867"/>
      <c r="BU115" s="867"/>
      <c r="BV115" s="867"/>
      <c r="BW115" s="867"/>
      <c r="BX115" s="867"/>
      <c r="BY115" s="867"/>
      <c r="BZ115" s="867"/>
      <c r="CA115" s="867"/>
      <c r="CB115" s="867"/>
      <c r="CC115" s="304"/>
      <c r="CD115" s="304"/>
      <c r="CE115" s="304"/>
      <c r="CF115" s="304"/>
      <c r="CG115" s="304"/>
      <c r="CH115" s="305"/>
      <c r="CI115" s="306"/>
      <c r="CJ115" s="306"/>
    </row>
    <row r="116" spans="1:88" s="307" customFormat="1" ht="3" customHeight="1" thickBot="1">
      <c r="A116" s="302"/>
      <c r="B116" s="302"/>
      <c r="C116" s="302"/>
      <c r="D116" s="302"/>
      <c r="E116" s="1050"/>
      <c r="F116" s="1050"/>
      <c r="G116" s="1052"/>
      <c r="H116" s="1052"/>
      <c r="I116" s="1052"/>
      <c r="J116" s="1052"/>
      <c r="K116" s="1052"/>
      <c r="L116" s="1052"/>
      <c r="M116" s="1052"/>
      <c r="N116" s="1052"/>
      <c r="O116" s="1052"/>
      <c r="P116" s="1052"/>
      <c r="Q116" s="1052"/>
      <c r="R116" s="1052"/>
      <c r="S116" s="1052"/>
      <c r="T116" s="1052"/>
      <c r="U116" s="1052"/>
      <c r="V116" s="1052"/>
      <c r="W116" s="1052"/>
      <c r="X116" s="1052"/>
      <c r="Y116" s="1052"/>
      <c r="Z116" s="1052"/>
      <c r="AA116" s="1052"/>
      <c r="AB116" s="1052"/>
      <c r="AC116" s="1052"/>
      <c r="AD116" s="1052"/>
      <c r="AE116" s="1052"/>
      <c r="AF116" s="1052"/>
      <c r="AG116" s="1052"/>
      <c r="AH116" s="1052"/>
      <c r="AI116" s="1052"/>
      <c r="AJ116" s="1052"/>
      <c r="AK116" s="977"/>
      <c r="AL116" s="977"/>
      <c r="AM116" s="977"/>
      <c r="AN116" s="367"/>
      <c r="AO116" s="436"/>
      <c r="AP116" s="436"/>
      <c r="AQ116" s="436"/>
      <c r="AR116" s="435"/>
      <c r="AS116" s="433"/>
      <c r="AT116" s="433"/>
      <c r="AU116" s="433"/>
      <c r="AV116" s="433"/>
      <c r="AW116" s="433"/>
      <c r="AX116" s="434"/>
      <c r="AY116" s="1007"/>
      <c r="AZ116" s="1007"/>
      <c r="BA116" s="1007"/>
      <c r="BB116" s="1007"/>
      <c r="BC116" s="1007"/>
      <c r="BD116" s="1007"/>
      <c r="BE116" s="434"/>
      <c r="BF116" s="968"/>
      <c r="BG116" s="968"/>
      <c r="BH116" s="968"/>
      <c r="BI116" s="968"/>
      <c r="BJ116" s="968"/>
      <c r="BK116" s="851"/>
      <c r="BL116" s="826"/>
      <c r="BM116" s="820"/>
      <c r="BN116" s="820"/>
      <c r="BO116" s="820"/>
      <c r="BP116" s="435"/>
      <c r="BQ116" s="1007"/>
      <c r="BR116" s="1007"/>
      <c r="BS116" s="1007"/>
      <c r="BT116" s="1007"/>
      <c r="BU116" s="1007"/>
      <c r="BV116" s="1008"/>
      <c r="BW116" s="968"/>
      <c r="BX116" s="968"/>
      <c r="BY116" s="968"/>
      <c r="BZ116" s="968"/>
      <c r="CA116" s="968"/>
      <c r="CB116" s="1009"/>
      <c r="CC116" s="968"/>
      <c r="CD116" s="968"/>
      <c r="CE116" s="968"/>
      <c r="CF116" s="968"/>
      <c r="CG116" s="968"/>
      <c r="CH116" s="308"/>
      <c r="CI116" s="306"/>
      <c r="CJ116" s="306"/>
    </row>
    <row r="117" spans="1:88" s="309" customFormat="1" ht="15" customHeight="1" thickBot="1">
      <c r="A117" s="302"/>
      <c r="B117" s="302"/>
      <c r="C117" s="302"/>
      <c r="E117" s="1050"/>
      <c r="F117" s="1050"/>
      <c r="G117" s="1052"/>
      <c r="H117" s="1052"/>
      <c r="I117" s="1052"/>
      <c r="J117" s="1052"/>
      <c r="K117" s="1052"/>
      <c r="L117" s="1052"/>
      <c r="M117" s="1052"/>
      <c r="N117" s="1052"/>
      <c r="O117" s="1052"/>
      <c r="P117" s="1052"/>
      <c r="Q117" s="1052"/>
      <c r="R117" s="1052"/>
      <c r="S117" s="1052"/>
      <c r="T117" s="1052"/>
      <c r="U117" s="1052"/>
      <c r="V117" s="1052"/>
      <c r="W117" s="1052"/>
      <c r="X117" s="1052"/>
      <c r="Y117" s="1052"/>
      <c r="Z117" s="1052"/>
      <c r="AA117" s="1052"/>
      <c r="AB117" s="1052"/>
      <c r="AC117" s="1052"/>
      <c r="AD117" s="1052"/>
      <c r="AE117" s="1052"/>
      <c r="AF117" s="1052"/>
      <c r="AG117" s="1052"/>
      <c r="AH117" s="1052"/>
      <c r="AI117" s="1052"/>
      <c r="AJ117" s="1052"/>
      <c r="AK117" s="977"/>
      <c r="AL117" s="977"/>
      <c r="AM117" s="977"/>
      <c r="AN117" s="367"/>
      <c r="AO117" s="432" t="str">
        <f>IF(LEN(VLOOKUP(AK115,vysledovka!$D$8:$F$68,2,FALSE))&lt;11,"",LEFT(RIGHT(VLOOKUP(AK115,vysledovka!$D$8:$F$68,2,FALSE),11),1))</f>
        <v/>
      </c>
      <c r="AP117" s="255"/>
      <c r="AQ117" s="432" t="str">
        <f>IF(LEN(VLOOKUP(AK115,vysledovka!$D$8:$F$68,2,FALSE))&lt;10,"",LEFT(RIGHT(VLOOKUP(AK115,vysledovka!$D$8:$F$68,2,FALSE),10),1))</f>
        <v/>
      </c>
      <c r="AR117" s="434"/>
      <c r="AS117" s="432" t="str">
        <f>IF(LEN(VLOOKUP(AK115,vysledovka!$D$8:$F$68,2,FALSE))&lt;9,"",LEFT(RIGHT(VLOOKUP(AK115,vysledovka!$D$8:$F$68,2,FALSE),9),1))</f>
        <v/>
      </c>
      <c r="AT117" s="255"/>
      <c r="AU117" s="432" t="str">
        <f>IF(LEN(VLOOKUP(AK115,vysledovka!$D$8:$F$68,2,FALSE))&lt;8,"",LEFT(RIGHT(VLOOKUP(AK115,vysledovka!$D$8:$F$68,2,FALSE),8),1))</f>
        <v/>
      </c>
      <c r="AV117" s="434"/>
      <c r="AW117" s="432" t="str">
        <f>IF(LEN(VLOOKUP(AK115,vysledovka!$D$8:$F$68,2,FALSE))&lt;7,"",LEFT(RIGHT(VLOOKUP(AK115,vysledovka!$D$8:$F$68,2,FALSE),7),1))</f>
        <v/>
      </c>
      <c r="AX117" s="434"/>
      <c r="AY117" s="432" t="str">
        <f>IF(LEN(VLOOKUP(AK115,vysledovka!$D$8:$F$68,2,FALSE))&lt;6,"",LEFT(RIGHT(VLOOKUP(AK115,vysledovka!$D$8:$F$68,2,FALSE),6),1))</f>
        <v>4</v>
      </c>
      <c r="AZ117" s="255"/>
      <c r="BA117" s="961" t="str">
        <f>IF(LEN(VLOOKUP(AK115,vysledovka!$D$8:$F$68,2,FALSE))&lt;5,"",LEFT(RIGHT(VLOOKUP(AK115,vysledovka!$D$8:$F$68,2,FALSE),5),1))</f>
        <v>7</v>
      </c>
      <c r="BB117" s="961"/>
      <c r="BC117" s="434"/>
      <c r="BD117" s="432" t="str">
        <f>IF(LEN(VLOOKUP(AK115,vysledovka!$D$8:$F$68,2,FALSE))&lt;4,"",LEFT(RIGHT(VLOOKUP(AK115,vysledovka!$D$8:$F$68,2,FALSE),4),1))</f>
        <v>2</v>
      </c>
      <c r="BE117" s="434"/>
      <c r="BF117" s="432" t="str">
        <f>IF(LEN(VLOOKUP(AK115,vysledovka!$D$8:$F$68,2,FALSE))&lt;3,"",LEFT(RIGHT(VLOOKUP(AK115,vysledovka!$D$8:$F$68,2,FALSE),3),1))</f>
        <v>0</v>
      </c>
      <c r="BG117" s="434"/>
      <c r="BH117" s="432" t="str">
        <f>IF(LEN(VLOOKUP(AK115,vysledovka!$D$8:$F$68,2,FALSE))&lt;2,"",LEFT(RIGHT(VLOOKUP(AK115,vysledovka!$D$8:$F$68,2,FALSE),2),1))</f>
        <v>1</v>
      </c>
      <c r="BI117" s="434"/>
      <c r="BJ117" s="432" t="str">
        <f>IF(VLOOKUP(AK115,vysledovka!$D$8:$F$68,2,FALSE)=0,"",IF(LEN(VLOOKUP(AK115,vysledovka!$D$8:$F$68,2,FALSE))&lt;1,"",LEFT(RIGHT(VLOOKUP(AK115,vysledovka!$D$8:$F$68,2,FALSE),1),1)))</f>
        <v>6</v>
      </c>
      <c r="BK117" s="851"/>
      <c r="BL117" s="826"/>
      <c r="BM117" s="432" t="str">
        <f>IF(LEN(VLOOKUP(AK115,vysledovka!$D$8:$F$68,3,FALSE))&lt;11,"",LEFT(RIGHT(VLOOKUP(AK115,vysledovka!$D$8:$F$68,3,FALSE),11),1))</f>
        <v/>
      </c>
      <c r="BN117" s="255"/>
      <c r="BO117" s="432" t="str">
        <f>IF(LEN(VLOOKUP(AK115,vysledovka!$D$8:$F$68,3,FALSE))&lt;10,"",LEFT(RIGHT(VLOOKUP(AK115,vysledovka!$D$8:$F$68,3,FALSE),10),1))</f>
        <v/>
      </c>
      <c r="BP117" s="434"/>
      <c r="BQ117" s="432" t="str">
        <f>IF(LEN(VLOOKUP(AK115,vysledovka!$D$8:$F$68,3,FALSE))&lt;9,"",LEFT(RIGHT(VLOOKUP(AK115,vysledovka!$D$8:$F$68,3,FALSE),9),1))</f>
        <v/>
      </c>
      <c r="BR117" s="255"/>
      <c r="BS117" s="432" t="str">
        <f>IF(LEN(VLOOKUP(AK115,vysledovka!$D$8:$F$68,3,FALSE))&lt;8,"",LEFT(RIGHT(VLOOKUP(AK115,vysledovka!$D$8:$F$68,3,FALSE),8),1))</f>
        <v/>
      </c>
      <c r="BT117" s="434"/>
      <c r="BU117" s="432" t="str">
        <f>IF(LEN(VLOOKUP(AK115,vysledovka!$D$8:$F$68,3,FALSE))&lt;7,"",LEFT(RIGHT(VLOOKUP(AK115,vysledovka!$D$8:$F$68,3,FALSE),7),1))</f>
        <v>1</v>
      </c>
      <c r="BV117" s="1008"/>
      <c r="BW117" s="432" t="str">
        <f>IF(LEN(VLOOKUP(AK115,vysledovka!$D$8:$F$68,3,FALSE))&lt;6,"",LEFT(RIGHT(VLOOKUP(AK115,vysledovka!$D$8:$F$68,3,FALSE),6),1))</f>
        <v>5</v>
      </c>
      <c r="BX117" s="434"/>
      <c r="BY117" s="432" t="str">
        <f>IF(LEN(VLOOKUP(AK115,vysledovka!$D$8:$F$68,3,FALSE))&lt;5,"",LEFT(RIGHT(VLOOKUP(AK115,vysledovka!$D$8:$F$68,3,FALSE),5),1))</f>
        <v>9</v>
      </c>
      <c r="BZ117" s="434"/>
      <c r="CA117" s="432" t="str">
        <f>IF(LEN(VLOOKUP(AK115,vysledovka!$D$8:$F$68,3,FALSE))&lt;4,"",LEFT(RIGHT(VLOOKUP(AK115,vysledovka!$D$8:$F$68,3,FALSE),4),1))</f>
        <v>7</v>
      </c>
      <c r="CB117" s="1009"/>
      <c r="CC117" s="432" t="str">
        <f>IF(LEN(VLOOKUP(AK115,vysledovka!$D$8:$F$68,3,FALSE))&lt;3,"",LEFT(RIGHT(VLOOKUP(AK115,vysledovka!$D$8:$F$68,3,FALSE),3),1))</f>
        <v>1</v>
      </c>
      <c r="CD117" s="434"/>
      <c r="CE117" s="432" t="str">
        <f>IF(LEN(VLOOKUP(AK115,vysledovka!$D$8:$F$68,3,FALSE))&lt;2,"",LEFT(RIGHT(VLOOKUP(AK115,vysledovka!$D$8:$F$68,3,FALSE),2),1))</f>
        <v>7</v>
      </c>
      <c r="CF117" s="434"/>
      <c r="CG117" s="432" t="str">
        <f>IF(VLOOKUP(AK115,vysledovka!$D$8:$F$68,3,FALSE)=0,"",IF(LEN(VLOOKUP(AK115,vysledovka!$D$8:$F$68,3,FALSE))&lt;1,"",LEFT(RIGHT(VLOOKUP(AK115,vysledovka!$D$8:$F$68,3,FALSE),1),1)))</f>
        <v>8</v>
      </c>
      <c r="CH117" s="308"/>
      <c r="CI117" s="302"/>
      <c r="CJ117" s="302"/>
    </row>
    <row r="118" spans="1:88" s="309" customFormat="1" ht="3" customHeight="1" thickBot="1">
      <c r="A118" s="302"/>
      <c r="B118" s="302"/>
      <c r="C118" s="302"/>
      <c r="E118" s="1050"/>
      <c r="F118" s="1050"/>
      <c r="G118" s="1052"/>
      <c r="H118" s="1052"/>
      <c r="I118" s="1052"/>
      <c r="J118" s="1052"/>
      <c r="K118" s="1052"/>
      <c r="L118" s="1052"/>
      <c r="M118" s="1052"/>
      <c r="N118" s="1052"/>
      <c r="O118" s="1052"/>
      <c r="P118" s="1052"/>
      <c r="Q118" s="1052"/>
      <c r="R118" s="1052"/>
      <c r="S118" s="1052"/>
      <c r="T118" s="1052"/>
      <c r="U118" s="1052"/>
      <c r="V118" s="1052"/>
      <c r="W118" s="1052"/>
      <c r="X118" s="1052"/>
      <c r="Y118" s="1052"/>
      <c r="Z118" s="1052"/>
      <c r="AA118" s="1052"/>
      <c r="AB118" s="1052"/>
      <c r="AC118" s="1052"/>
      <c r="AD118" s="1052"/>
      <c r="AE118" s="1052"/>
      <c r="AF118" s="1052"/>
      <c r="AG118" s="1052"/>
      <c r="AH118" s="1052"/>
      <c r="AI118" s="1052"/>
      <c r="AJ118" s="1052"/>
      <c r="AK118" s="977"/>
      <c r="AL118" s="977"/>
      <c r="AM118" s="977"/>
      <c r="AN118" s="363"/>
      <c r="AO118" s="365"/>
      <c r="AP118" s="365"/>
      <c r="AQ118" s="365"/>
      <c r="AR118" s="365"/>
      <c r="AS118" s="365"/>
      <c r="AT118" s="365"/>
      <c r="AU118" s="365"/>
      <c r="AV118" s="365"/>
      <c r="AW118" s="365"/>
      <c r="AX118" s="365"/>
      <c r="AY118" s="365"/>
      <c r="AZ118" s="365"/>
      <c r="BA118" s="365"/>
      <c r="BB118" s="365"/>
      <c r="BC118" s="365"/>
      <c r="BD118" s="365"/>
      <c r="BE118" s="310"/>
      <c r="BF118" s="310"/>
      <c r="BG118" s="310"/>
      <c r="BH118" s="310"/>
      <c r="BI118" s="310"/>
      <c r="BJ118" s="310"/>
      <c r="BK118" s="310"/>
      <c r="BL118" s="846"/>
      <c r="BM118" s="846"/>
      <c r="BN118" s="846"/>
      <c r="BO118" s="846"/>
      <c r="BP118" s="846"/>
      <c r="BQ118" s="846"/>
      <c r="BR118" s="846"/>
      <c r="BS118" s="846"/>
      <c r="BT118" s="846"/>
      <c r="BU118" s="846"/>
      <c r="BV118" s="846"/>
      <c r="BW118" s="846"/>
      <c r="BX118" s="846"/>
      <c r="BY118" s="846"/>
      <c r="BZ118" s="846"/>
      <c r="CA118" s="846"/>
      <c r="CB118" s="846"/>
      <c r="CC118" s="310"/>
      <c r="CD118" s="310"/>
      <c r="CE118" s="310"/>
      <c r="CF118" s="310"/>
      <c r="CG118" s="310"/>
      <c r="CH118" s="311"/>
      <c r="CI118" s="302"/>
      <c r="CJ118" s="302"/>
    </row>
    <row r="119" spans="1:88" ht="6" customHeight="1">
      <c r="D119" s="220"/>
      <c r="E119" s="268"/>
      <c r="F119" s="268"/>
      <c r="G119" s="268"/>
      <c r="H119" s="240"/>
      <c r="I119" s="240"/>
      <c r="J119" s="240"/>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c r="CI119" s="220"/>
      <c r="CJ119" s="220"/>
    </row>
    <row r="120" spans="1:88" ht="13.5" thickBot="1">
      <c r="D120" s="220"/>
      <c r="E120" s="289"/>
      <c r="F120" s="268"/>
      <c r="G120" s="268"/>
      <c r="H120" s="98"/>
      <c r="I120" s="240"/>
      <c r="J120" s="240"/>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959"/>
      <c r="CH120" s="959"/>
      <c r="CI120" s="220"/>
      <c r="CJ120" s="220"/>
    </row>
    <row r="121" spans="1:88" ht="8.25" customHeight="1" thickTop="1">
      <c r="D121" s="220"/>
      <c r="E121" s="268"/>
      <c r="F121" s="268"/>
      <c r="G121" s="268"/>
      <c r="H121" s="98" t="s">
        <v>1532</v>
      </c>
      <c r="I121" s="240"/>
      <c r="J121" s="240"/>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290"/>
      <c r="BZ121" s="356"/>
      <c r="CA121" s="415" t="str">
        <f>Index!C428</f>
        <v>Strana 10</v>
      </c>
      <c r="CB121" s="356"/>
      <c r="CC121" s="356"/>
      <c r="CD121" s="356"/>
      <c r="CE121" s="356"/>
      <c r="CF121" s="356"/>
      <c r="CG121" s="356"/>
      <c r="CH121" s="356"/>
    </row>
    <row r="122" spans="1:88" s="277" customFormat="1">
      <c r="A122" s="272"/>
      <c r="B122" s="272"/>
      <c r="C122" s="272"/>
      <c r="D122" s="272"/>
      <c r="E122" s="273"/>
      <c r="F122" s="273"/>
      <c r="G122" s="273"/>
      <c r="H122" s="274"/>
      <c r="I122" s="274"/>
      <c r="J122" s="274"/>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c r="AO122" s="275"/>
      <c r="AP122" s="275"/>
      <c r="AQ122" s="275"/>
      <c r="AR122" s="275"/>
      <c r="AS122" s="275"/>
      <c r="AT122" s="275"/>
      <c r="AU122" s="275"/>
      <c r="AV122" s="275"/>
      <c r="AW122" s="275"/>
      <c r="AX122" s="275"/>
      <c r="AY122" s="275"/>
      <c r="AZ122" s="275"/>
      <c r="BA122" s="275"/>
      <c r="BB122" s="275"/>
      <c r="BC122" s="275"/>
      <c r="BD122" s="275"/>
      <c r="BE122" s="275"/>
      <c r="BF122" s="275"/>
      <c r="BG122" s="275"/>
      <c r="BH122" s="275"/>
      <c r="BI122" s="275"/>
      <c r="BJ122" s="275"/>
      <c r="BK122" s="275"/>
      <c r="BL122" s="275"/>
      <c r="BM122" s="275"/>
      <c r="BN122" s="275"/>
      <c r="BO122" s="275"/>
      <c r="BP122" s="275"/>
      <c r="BQ122" s="275"/>
      <c r="BR122" s="275"/>
      <c r="BS122" s="275"/>
      <c r="BT122" s="275"/>
      <c r="BU122" s="275"/>
      <c r="BV122" s="275"/>
      <c r="BW122" s="275"/>
      <c r="BX122" s="275"/>
      <c r="BY122" s="275"/>
      <c r="BZ122" s="275"/>
      <c r="CA122" s="275"/>
      <c r="CB122" s="275"/>
      <c r="CC122" s="275"/>
      <c r="CD122" s="275"/>
      <c r="CE122" s="275"/>
      <c r="CF122" s="275"/>
      <c r="CG122" s="275"/>
      <c r="CH122" s="275"/>
    </row>
    <row r="123" spans="1:88" s="277" customFormat="1">
      <c r="A123" s="272"/>
      <c r="B123" s="272"/>
      <c r="C123" s="272"/>
      <c r="D123" s="272"/>
      <c r="E123" s="273"/>
      <c r="F123" s="273"/>
      <c r="G123" s="273"/>
      <c r="H123" s="274"/>
      <c r="I123" s="274"/>
      <c r="J123" s="274"/>
      <c r="K123" s="275"/>
      <c r="L123" s="275"/>
      <c r="M123" s="275"/>
      <c r="N123" s="275"/>
      <c r="O123" s="275"/>
      <c r="P123" s="275"/>
      <c r="Q123" s="275"/>
      <c r="R123" s="275"/>
      <c r="S123" s="275"/>
      <c r="T123" s="275"/>
      <c r="U123" s="275"/>
      <c r="V123" s="275"/>
      <c r="W123" s="275"/>
      <c r="X123" s="275"/>
      <c r="Y123" s="275"/>
      <c r="Z123" s="275"/>
      <c r="AA123" s="275"/>
      <c r="AB123" s="275"/>
      <c r="AC123" s="275"/>
      <c r="AD123" s="275"/>
      <c r="AE123" s="276">
        <v>10</v>
      </c>
      <c r="AF123" s="275"/>
      <c r="AG123" s="276">
        <v>9</v>
      </c>
      <c r="AH123" s="275"/>
      <c r="AI123" s="276">
        <v>8</v>
      </c>
      <c r="AJ123" s="275"/>
      <c r="AK123" s="276">
        <v>7</v>
      </c>
      <c r="AL123" s="275"/>
      <c r="AM123" s="276">
        <v>6</v>
      </c>
      <c r="AN123" s="275"/>
      <c r="AO123" s="276">
        <v>5</v>
      </c>
      <c r="AP123" s="275"/>
      <c r="AQ123" s="276">
        <v>4</v>
      </c>
      <c r="AR123" s="275"/>
      <c r="AS123" s="276">
        <v>3</v>
      </c>
      <c r="AT123" s="275"/>
      <c r="AU123" s="276">
        <v>2</v>
      </c>
      <c r="AV123" s="275"/>
      <c r="AW123" s="276">
        <v>1</v>
      </c>
      <c r="AX123" s="275"/>
      <c r="AY123" s="276">
        <v>0</v>
      </c>
      <c r="AZ123" s="275"/>
      <c r="BA123" s="275"/>
      <c r="BB123" s="276">
        <v>10</v>
      </c>
      <c r="BC123" s="275"/>
      <c r="BD123" s="276">
        <v>9</v>
      </c>
      <c r="BE123" s="275"/>
      <c r="BF123" s="276">
        <v>8</v>
      </c>
      <c r="BG123" s="275"/>
      <c r="BH123" s="276">
        <v>7</v>
      </c>
      <c r="BI123" s="275"/>
      <c r="BJ123" s="276">
        <v>6</v>
      </c>
      <c r="BK123" s="276">
        <v>5</v>
      </c>
      <c r="BL123" s="276">
        <v>5</v>
      </c>
      <c r="BM123" s="276">
        <v>5</v>
      </c>
      <c r="BN123" s="276"/>
      <c r="BO123" s="276">
        <v>4</v>
      </c>
      <c r="BP123" s="276"/>
      <c r="BQ123" s="276">
        <v>3</v>
      </c>
      <c r="BR123" s="276">
        <v>2</v>
      </c>
      <c r="BS123" s="276">
        <v>2</v>
      </c>
      <c r="BT123" s="276">
        <v>1</v>
      </c>
      <c r="BU123" s="276">
        <v>1</v>
      </c>
      <c r="BV123" s="276"/>
      <c r="BW123" s="276">
        <v>0</v>
      </c>
      <c r="BX123" s="275"/>
      <c r="BY123" s="275"/>
      <c r="BZ123" s="275"/>
      <c r="CA123" s="275"/>
      <c r="CB123" s="275"/>
      <c r="CC123" s="275"/>
      <c r="CD123" s="275"/>
      <c r="CE123" s="275"/>
      <c r="CF123" s="275"/>
      <c r="CG123" s="275"/>
      <c r="CH123" s="272"/>
      <c r="CI123" s="272"/>
      <c r="CJ123" s="272"/>
    </row>
    <row r="124" spans="1:88" s="277" customFormat="1">
      <c r="B124" s="272"/>
      <c r="C124" s="272"/>
      <c r="D124" s="272"/>
      <c r="E124" s="273"/>
      <c r="F124" s="273"/>
      <c r="G124" s="273"/>
      <c r="H124" s="274"/>
      <c r="I124" s="274"/>
      <c r="J124" s="274"/>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c r="AO124" s="276">
        <v>10</v>
      </c>
      <c r="AP124" s="276"/>
      <c r="AQ124" s="276">
        <v>9</v>
      </c>
      <c r="AR124" s="276"/>
      <c r="AS124" s="276">
        <v>8</v>
      </c>
      <c r="AT124" s="276"/>
      <c r="AU124" s="276">
        <v>7</v>
      </c>
      <c r="AV124" s="276"/>
      <c r="AW124" s="276">
        <v>6</v>
      </c>
      <c r="AX124" s="276"/>
      <c r="AY124" s="276">
        <v>5</v>
      </c>
      <c r="AZ124" s="276"/>
      <c r="BA124" s="276"/>
      <c r="BB124" s="276">
        <v>4</v>
      </c>
      <c r="BC124" s="276"/>
      <c r="BD124" s="276">
        <v>3</v>
      </c>
      <c r="BE124" s="276"/>
      <c r="BF124" s="276">
        <v>2</v>
      </c>
      <c r="BG124" s="276"/>
      <c r="BH124" s="276">
        <v>1</v>
      </c>
      <c r="BI124" s="276"/>
      <c r="BJ124" s="276">
        <v>0</v>
      </c>
      <c r="BK124" s="276">
        <v>10</v>
      </c>
      <c r="BL124" s="276">
        <v>10</v>
      </c>
      <c r="BM124" s="276">
        <v>10</v>
      </c>
      <c r="BN124" s="276"/>
      <c r="BO124" s="276">
        <v>9</v>
      </c>
      <c r="BP124" s="276"/>
      <c r="BQ124" s="276">
        <v>8</v>
      </c>
      <c r="BR124" s="276"/>
      <c r="BS124" s="276">
        <v>7</v>
      </c>
      <c r="BT124" s="276"/>
      <c r="BU124" s="276">
        <v>6</v>
      </c>
      <c r="BV124" s="276"/>
      <c r="BW124" s="276">
        <v>5</v>
      </c>
      <c r="BX124" s="276"/>
      <c r="BY124" s="276">
        <v>4</v>
      </c>
      <c r="BZ124" s="276"/>
      <c r="CA124" s="276">
        <v>3</v>
      </c>
      <c r="CB124" s="276"/>
      <c r="CC124" s="276">
        <v>2</v>
      </c>
      <c r="CD124" s="276"/>
      <c r="CE124" s="276">
        <v>1</v>
      </c>
      <c r="CF124" s="276"/>
      <c r="CG124" s="276">
        <v>0</v>
      </c>
      <c r="CH124" s="272"/>
      <c r="CJ124" s="272"/>
    </row>
    <row r="125" spans="1:88" s="293" customFormat="1">
      <c r="A125" s="292"/>
      <c r="B125" s="292"/>
      <c r="C125" s="292"/>
      <c r="E125" s="294"/>
      <c r="F125" s="294"/>
      <c r="G125" s="294"/>
      <c r="H125" s="295"/>
      <c r="I125" s="295"/>
      <c r="J125" s="295"/>
      <c r="K125" s="296"/>
      <c r="L125" s="296"/>
      <c r="M125" s="296"/>
      <c r="N125" s="296"/>
      <c r="O125" s="296"/>
      <c r="P125" s="296"/>
      <c r="Q125" s="296"/>
      <c r="R125" s="296"/>
      <c r="S125" s="296"/>
      <c r="T125" s="296"/>
      <c r="U125" s="296"/>
      <c r="V125" s="296"/>
      <c r="W125" s="296"/>
      <c r="X125" s="296"/>
      <c r="Y125" s="296"/>
      <c r="Z125" s="296"/>
      <c r="AA125" s="296"/>
      <c r="AB125" s="296"/>
      <c r="AC125" s="296"/>
      <c r="AD125" s="296"/>
      <c r="AE125" s="296"/>
      <c r="AF125" s="296"/>
      <c r="AG125" s="296"/>
      <c r="AH125" s="296"/>
      <c r="AI125" s="296"/>
      <c r="AJ125" s="296"/>
      <c r="AK125" s="296"/>
      <c r="AL125" s="296"/>
      <c r="AM125" s="296"/>
      <c r="AN125" s="296"/>
      <c r="AO125" s="296"/>
      <c r="AP125" s="296"/>
      <c r="AQ125" s="296"/>
      <c r="AR125" s="296"/>
      <c r="AS125" s="296"/>
      <c r="AT125" s="296"/>
      <c r="AU125" s="296"/>
      <c r="AV125" s="296"/>
      <c r="AW125" s="296"/>
      <c r="AX125" s="296"/>
      <c r="AY125" s="296"/>
      <c r="AZ125" s="296"/>
      <c r="BA125" s="296"/>
      <c r="BB125" s="296"/>
      <c r="BC125" s="296"/>
      <c r="BD125" s="296"/>
      <c r="BE125" s="296"/>
      <c r="BF125" s="296"/>
      <c r="BG125" s="296"/>
      <c r="BH125" s="296"/>
      <c r="BI125" s="296"/>
      <c r="BJ125" s="296"/>
      <c r="BK125" s="296"/>
      <c r="BL125" s="296"/>
      <c r="BM125" s="296"/>
      <c r="BN125" s="296"/>
      <c r="BO125" s="296"/>
      <c r="BP125" s="296"/>
      <c r="BQ125" s="296"/>
      <c r="BR125" s="296"/>
      <c r="BS125" s="296"/>
      <c r="BT125" s="296"/>
      <c r="BU125" s="296"/>
      <c r="BV125" s="296"/>
      <c r="BW125" s="296"/>
      <c r="BX125" s="296"/>
      <c r="BY125" s="296"/>
      <c r="BZ125" s="296"/>
      <c r="CA125" s="296"/>
      <c r="CB125" s="296"/>
      <c r="CC125" s="296"/>
      <c r="CD125" s="296"/>
      <c r="CE125" s="296"/>
      <c r="CF125" s="296"/>
      <c r="CG125" s="296"/>
      <c r="CH125" s="296"/>
    </row>
    <row r="126" spans="1:88">
      <c r="E126" s="268"/>
      <c r="F126" s="268"/>
      <c r="G126" s="268"/>
      <c r="H126" s="240"/>
      <c r="I126" s="240"/>
      <c r="J126" s="240"/>
      <c r="K126" s="356"/>
      <c r="L126" s="356"/>
      <c r="M126" s="356"/>
      <c r="N126" s="356"/>
      <c r="O126" s="356"/>
      <c r="P126" s="356"/>
      <c r="Q126" s="356"/>
      <c r="R126" s="356"/>
      <c r="S126" s="356"/>
      <c r="T126" s="356"/>
      <c r="U126" s="356"/>
      <c r="V126" s="356"/>
      <c r="W126" s="356"/>
      <c r="X126" s="356"/>
      <c r="Y126" s="356"/>
      <c r="Z126" s="356"/>
      <c r="AA126" s="356"/>
      <c r="AB126" s="356"/>
      <c r="AC126" s="356"/>
      <c r="AD126" s="356"/>
      <c r="AE126" s="356"/>
      <c r="AF126" s="356"/>
      <c r="AG126" s="356"/>
      <c r="AH126" s="356"/>
      <c r="AI126" s="356"/>
      <c r="AJ126" s="356"/>
      <c r="AK126" s="356"/>
      <c r="AL126" s="356"/>
      <c r="AM126" s="356"/>
      <c r="AN126" s="356"/>
      <c r="AO126" s="356"/>
      <c r="AP126" s="356"/>
      <c r="AQ126" s="356"/>
      <c r="AR126" s="356"/>
      <c r="AS126" s="356"/>
      <c r="AT126" s="356"/>
      <c r="AU126" s="356"/>
      <c r="AV126" s="356"/>
      <c r="AW126" s="356"/>
      <c r="AX126" s="356"/>
      <c r="AY126" s="356"/>
      <c r="AZ126" s="356"/>
      <c r="BA126" s="356"/>
      <c r="BB126" s="356"/>
      <c r="BC126" s="356"/>
      <c r="BD126" s="356"/>
      <c r="BE126" s="356"/>
      <c r="BF126" s="356"/>
      <c r="BG126" s="356"/>
      <c r="BH126" s="356"/>
      <c r="BI126" s="356"/>
      <c r="BJ126" s="356"/>
      <c r="BK126" s="356"/>
      <c r="BL126" s="356"/>
      <c r="BM126" s="356"/>
      <c r="BN126" s="356"/>
      <c r="BO126" s="356"/>
      <c r="BP126" s="356"/>
      <c r="BQ126" s="356"/>
      <c r="BR126" s="356"/>
      <c r="BS126" s="356"/>
      <c r="BT126" s="356"/>
      <c r="BU126" s="356"/>
      <c r="BV126" s="356"/>
      <c r="BW126" s="356"/>
      <c r="BX126" s="356"/>
      <c r="BY126" s="356"/>
      <c r="BZ126" s="356"/>
      <c r="CA126" s="356"/>
      <c r="CB126" s="356"/>
      <c r="CC126" s="356"/>
      <c r="CD126" s="356"/>
      <c r="CE126" s="356"/>
      <c r="CF126" s="356"/>
      <c r="CG126" s="356"/>
      <c r="CH126" s="356"/>
    </row>
    <row r="127" spans="1:88">
      <c r="E127" s="268"/>
      <c r="F127" s="268"/>
      <c r="G127" s="268"/>
      <c r="H127" s="240"/>
      <c r="I127" s="240"/>
      <c r="J127" s="240"/>
      <c r="K127" s="356"/>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row>
  </sheetData>
  <sheetProtection sheet="1" objects="1" scenarios="1"/>
  <mergeCells count="463">
    <mergeCell ref="B9:D9"/>
    <mergeCell ref="B10:C10"/>
    <mergeCell ref="E10:F10"/>
    <mergeCell ref="G10:AJ10"/>
    <mergeCell ref="AK10:AM10"/>
    <mergeCell ref="AN10:BJ10"/>
    <mergeCell ref="AR4:AR5"/>
    <mergeCell ref="E7:F9"/>
    <mergeCell ref="G7:AJ9"/>
    <mergeCell ref="AK7:AM9"/>
    <mergeCell ref="AN7:CH7"/>
    <mergeCell ref="AN8:BJ9"/>
    <mergeCell ref="BL8:CH9"/>
    <mergeCell ref="AF4:AF5"/>
    <mergeCell ref="AH4:AH5"/>
    <mergeCell ref="AJ4:AJ5"/>
    <mergeCell ref="AL4:AL5"/>
    <mergeCell ref="AN4:AN5"/>
    <mergeCell ref="AP4:AP5"/>
    <mergeCell ref="BM12:BO12"/>
    <mergeCell ref="H2:X4"/>
    <mergeCell ref="AB2:AX2"/>
    <mergeCell ref="AY2:AY5"/>
    <mergeCell ref="AZ2:BT2"/>
    <mergeCell ref="BU2:CE5"/>
    <mergeCell ref="BQ12:BU12"/>
    <mergeCell ref="BV12:BV13"/>
    <mergeCell ref="BW12:CA12"/>
    <mergeCell ref="CB12:CB13"/>
    <mergeCell ref="CC12:CG12"/>
    <mergeCell ref="BA13:BB13"/>
    <mergeCell ref="BL10:CH10"/>
    <mergeCell ref="AE3:AW3"/>
    <mergeCell ref="AZ3:BC4"/>
    <mergeCell ref="BD3:BS3"/>
    <mergeCell ref="AB4:AC5"/>
    <mergeCell ref="AD4:AD5"/>
    <mergeCell ref="BQ16:BU16"/>
    <mergeCell ref="BV16:BV17"/>
    <mergeCell ref="BW16:CA16"/>
    <mergeCell ref="CB16:CB17"/>
    <mergeCell ref="CC16:CG16"/>
    <mergeCell ref="BA17:BB17"/>
    <mergeCell ref="BL14:CB14"/>
    <mergeCell ref="E15:F18"/>
    <mergeCell ref="G15:AJ18"/>
    <mergeCell ref="AK15:AM18"/>
    <mergeCell ref="BL15:CB15"/>
    <mergeCell ref="AY16:BD16"/>
    <mergeCell ref="BF16:BJ16"/>
    <mergeCell ref="BK16:BK17"/>
    <mergeCell ref="BL16:BL17"/>
    <mergeCell ref="BM16:BO16"/>
    <mergeCell ref="E11:F14"/>
    <mergeCell ref="G11:AJ14"/>
    <mergeCell ref="AK11:AM14"/>
    <mergeCell ref="BL11:CB11"/>
    <mergeCell ref="AY12:BD12"/>
    <mergeCell ref="BF12:BJ12"/>
    <mergeCell ref="BK12:BK13"/>
    <mergeCell ref="BL12:BL13"/>
    <mergeCell ref="BQ20:BU20"/>
    <mergeCell ref="BV20:BV21"/>
    <mergeCell ref="BW20:CA20"/>
    <mergeCell ref="CB20:CB21"/>
    <mergeCell ref="CC20:CG20"/>
    <mergeCell ref="BA21:BB21"/>
    <mergeCell ref="BL18:CB18"/>
    <mergeCell ref="E19:F22"/>
    <mergeCell ref="G19:AJ22"/>
    <mergeCell ref="AK19:AM22"/>
    <mergeCell ref="BL19:CB19"/>
    <mergeCell ref="AY20:BD20"/>
    <mergeCell ref="BF20:BJ20"/>
    <mergeCell ref="BK20:BK21"/>
    <mergeCell ref="BL20:BL21"/>
    <mergeCell ref="BM20:BO20"/>
    <mergeCell ref="BQ24:BU24"/>
    <mergeCell ref="BV24:BV25"/>
    <mergeCell ref="BW24:CA24"/>
    <mergeCell ref="CB24:CB25"/>
    <mergeCell ref="CC24:CG24"/>
    <mergeCell ref="BA25:BB25"/>
    <mergeCell ref="BL22:CB22"/>
    <mergeCell ref="E23:F26"/>
    <mergeCell ref="G23:AJ26"/>
    <mergeCell ref="AK23:AM26"/>
    <mergeCell ref="BL23:CB23"/>
    <mergeCell ref="AY24:BD24"/>
    <mergeCell ref="BF24:BJ24"/>
    <mergeCell ref="BK24:BK25"/>
    <mergeCell ref="BL24:BL25"/>
    <mergeCell ref="BM24:BO24"/>
    <mergeCell ref="BQ28:BU28"/>
    <mergeCell ref="BV28:BV29"/>
    <mergeCell ref="BW28:CA28"/>
    <mergeCell ref="CB28:CB29"/>
    <mergeCell ref="CC28:CG28"/>
    <mergeCell ref="BA29:BB29"/>
    <mergeCell ref="BL26:CB26"/>
    <mergeCell ref="E27:F30"/>
    <mergeCell ref="G27:AJ30"/>
    <mergeCell ref="AK27:AM30"/>
    <mergeCell ref="BL27:CB27"/>
    <mergeCell ref="AY28:BD28"/>
    <mergeCell ref="BF28:BJ28"/>
    <mergeCell ref="BK28:BK29"/>
    <mergeCell ref="BL28:BL29"/>
    <mergeCell ref="BM28:BO28"/>
    <mergeCell ref="BQ32:BU32"/>
    <mergeCell ref="BV32:BV33"/>
    <mergeCell ref="BW32:CA32"/>
    <mergeCell ref="CB32:CB33"/>
    <mergeCell ref="CC32:CG32"/>
    <mergeCell ref="BA33:BB33"/>
    <mergeCell ref="BL30:CB30"/>
    <mergeCell ref="E31:F34"/>
    <mergeCell ref="G31:AJ34"/>
    <mergeCell ref="AK31:AM34"/>
    <mergeCell ref="BL31:CB31"/>
    <mergeCell ref="AY32:BD32"/>
    <mergeCell ref="BF32:BJ32"/>
    <mergeCell ref="BK32:BK33"/>
    <mergeCell ref="BL32:BL33"/>
    <mergeCell ref="BM32:BO32"/>
    <mergeCell ref="BQ36:BU36"/>
    <mergeCell ref="BV36:BV37"/>
    <mergeCell ref="BW36:CA36"/>
    <mergeCell ref="CB36:CB37"/>
    <mergeCell ref="CC36:CG36"/>
    <mergeCell ref="BA37:BB37"/>
    <mergeCell ref="BL34:CB34"/>
    <mergeCell ref="E35:F38"/>
    <mergeCell ref="G35:AJ38"/>
    <mergeCell ref="AK35:AM38"/>
    <mergeCell ref="BL35:CB35"/>
    <mergeCell ref="AY36:BD36"/>
    <mergeCell ref="BF36:BJ36"/>
    <mergeCell ref="BK36:BK37"/>
    <mergeCell ref="BL36:BL37"/>
    <mergeCell ref="BM36:BO36"/>
    <mergeCell ref="BQ40:BU40"/>
    <mergeCell ref="BV40:BV41"/>
    <mergeCell ref="BW40:CA40"/>
    <mergeCell ref="CB40:CB41"/>
    <mergeCell ref="CC40:CG40"/>
    <mergeCell ref="BA41:BB41"/>
    <mergeCell ref="BL38:CB38"/>
    <mergeCell ref="E39:F42"/>
    <mergeCell ref="G39:AJ42"/>
    <mergeCell ref="AK39:AM42"/>
    <mergeCell ref="BL39:CB39"/>
    <mergeCell ref="AY40:BD40"/>
    <mergeCell ref="BF40:BJ40"/>
    <mergeCell ref="BK40:BK41"/>
    <mergeCell ref="BL40:BL41"/>
    <mergeCell ref="BM40:BO40"/>
    <mergeCell ref="BQ44:BU44"/>
    <mergeCell ref="BV44:BV45"/>
    <mergeCell ref="BW44:CA44"/>
    <mergeCell ref="CB44:CB45"/>
    <mergeCell ref="CC44:CG44"/>
    <mergeCell ref="BA45:BB45"/>
    <mergeCell ref="BL42:CB42"/>
    <mergeCell ref="E43:F46"/>
    <mergeCell ref="G43:AJ46"/>
    <mergeCell ref="AK43:AM46"/>
    <mergeCell ref="BL43:CB43"/>
    <mergeCell ref="AY44:BD44"/>
    <mergeCell ref="BF44:BJ44"/>
    <mergeCell ref="BK44:BK45"/>
    <mergeCell ref="BL44:BL45"/>
    <mergeCell ref="BM44:BO44"/>
    <mergeCell ref="BQ48:BU48"/>
    <mergeCell ref="BV48:BV49"/>
    <mergeCell ref="BW48:CA48"/>
    <mergeCell ref="CB48:CB49"/>
    <mergeCell ref="CC48:CG48"/>
    <mergeCell ref="BA49:BB49"/>
    <mergeCell ref="BL46:CB46"/>
    <mergeCell ref="E47:F50"/>
    <mergeCell ref="G47:AJ50"/>
    <mergeCell ref="AK47:AM50"/>
    <mergeCell ref="BL47:CB47"/>
    <mergeCell ref="AY48:BD48"/>
    <mergeCell ref="BF48:BJ48"/>
    <mergeCell ref="BK48:BK49"/>
    <mergeCell ref="BL48:BL49"/>
    <mergeCell ref="BM48:BO48"/>
    <mergeCell ref="BQ52:BU52"/>
    <mergeCell ref="BV52:BV53"/>
    <mergeCell ref="BW52:CA52"/>
    <mergeCell ref="CB52:CB53"/>
    <mergeCell ref="CC52:CG52"/>
    <mergeCell ref="BA53:BB53"/>
    <mergeCell ref="BL50:CB50"/>
    <mergeCell ref="E51:F54"/>
    <mergeCell ref="G51:AJ54"/>
    <mergeCell ref="AK51:AM54"/>
    <mergeCell ref="BL51:CB51"/>
    <mergeCell ref="AY52:BD52"/>
    <mergeCell ref="BF52:BJ52"/>
    <mergeCell ref="BK52:BK53"/>
    <mergeCell ref="BL52:BL53"/>
    <mergeCell ref="BM52:BO52"/>
    <mergeCell ref="BQ56:BU56"/>
    <mergeCell ref="BV56:BV57"/>
    <mergeCell ref="BW56:CA56"/>
    <mergeCell ref="CB56:CB57"/>
    <mergeCell ref="CC56:CG56"/>
    <mergeCell ref="BA57:BB57"/>
    <mergeCell ref="BL54:CB54"/>
    <mergeCell ref="E55:F58"/>
    <mergeCell ref="G55:AJ58"/>
    <mergeCell ref="AK55:AM58"/>
    <mergeCell ref="BL55:CB55"/>
    <mergeCell ref="AY56:BD56"/>
    <mergeCell ref="BF56:BJ56"/>
    <mergeCell ref="BK56:BK57"/>
    <mergeCell ref="BL56:BL57"/>
    <mergeCell ref="BM56:BO56"/>
    <mergeCell ref="BQ60:BU60"/>
    <mergeCell ref="BV60:BV61"/>
    <mergeCell ref="BW60:CA60"/>
    <mergeCell ref="CB60:CB61"/>
    <mergeCell ref="CC60:CG60"/>
    <mergeCell ref="BA61:BB61"/>
    <mergeCell ref="BL58:CB58"/>
    <mergeCell ref="E59:F62"/>
    <mergeCell ref="G59:AJ62"/>
    <mergeCell ref="AK59:AM62"/>
    <mergeCell ref="BL59:CB59"/>
    <mergeCell ref="AY60:BD60"/>
    <mergeCell ref="BF60:BJ60"/>
    <mergeCell ref="BK60:BK61"/>
    <mergeCell ref="BL60:BL61"/>
    <mergeCell ref="BM60:BO60"/>
    <mergeCell ref="BQ64:BU64"/>
    <mergeCell ref="BV64:BV65"/>
    <mergeCell ref="BW64:CA64"/>
    <mergeCell ref="CB64:CB65"/>
    <mergeCell ref="CC64:CG64"/>
    <mergeCell ref="BA65:BB65"/>
    <mergeCell ref="BL62:CB62"/>
    <mergeCell ref="E63:F66"/>
    <mergeCell ref="G63:AJ66"/>
    <mergeCell ref="AK63:AM66"/>
    <mergeCell ref="BL63:CB63"/>
    <mergeCell ref="AY64:BD64"/>
    <mergeCell ref="BF64:BJ64"/>
    <mergeCell ref="BK64:BK65"/>
    <mergeCell ref="BL64:BL65"/>
    <mergeCell ref="BM64:BO64"/>
    <mergeCell ref="BQ68:BU68"/>
    <mergeCell ref="BV68:BV69"/>
    <mergeCell ref="BW68:CA68"/>
    <mergeCell ref="CB68:CB69"/>
    <mergeCell ref="CC68:CG68"/>
    <mergeCell ref="BA69:BB69"/>
    <mergeCell ref="BL66:CB66"/>
    <mergeCell ref="E67:F70"/>
    <mergeCell ref="G67:AJ70"/>
    <mergeCell ref="AK67:AM70"/>
    <mergeCell ref="BL67:CB67"/>
    <mergeCell ref="AY68:BD68"/>
    <mergeCell ref="BF68:BJ68"/>
    <mergeCell ref="BK68:BK69"/>
    <mergeCell ref="BL68:BL69"/>
    <mergeCell ref="BM68:BO68"/>
    <mergeCell ref="BQ72:BU72"/>
    <mergeCell ref="BV72:BV73"/>
    <mergeCell ref="BW72:CA72"/>
    <mergeCell ref="CB72:CB73"/>
    <mergeCell ref="CC72:CG72"/>
    <mergeCell ref="BA73:BB73"/>
    <mergeCell ref="BL70:CB70"/>
    <mergeCell ref="E71:F74"/>
    <mergeCell ref="G71:AJ74"/>
    <mergeCell ref="AK71:AM74"/>
    <mergeCell ref="BL71:CB71"/>
    <mergeCell ref="AY72:BD72"/>
    <mergeCell ref="BF72:BJ72"/>
    <mergeCell ref="BK72:BK73"/>
    <mergeCell ref="BL72:BL73"/>
    <mergeCell ref="BM72:BO72"/>
    <mergeCell ref="BQ76:BU76"/>
    <mergeCell ref="BV76:BV77"/>
    <mergeCell ref="BW76:CA76"/>
    <mergeCell ref="CB76:CB77"/>
    <mergeCell ref="CC76:CG76"/>
    <mergeCell ref="BA77:BB77"/>
    <mergeCell ref="BL74:CB74"/>
    <mergeCell ref="E75:F78"/>
    <mergeCell ref="G75:AJ78"/>
    <mergeCell ref="AK75:AM78"/>
    <mergeCell ref="BL75:CB75"/>
    <mergeCell ref="AY76:BD76"/>
    <mergeCell ref="BF76:BJ76"/>
    <mergeCell ref="BK76:BK77"/>
    <mergeCell ref="BL76:BL77"/>
    <mergeCell ref="BM76:BO76"/>
    <mergeCell ref="BQ80:BU80"/>
    <mergeCell ref="BV80:BV81"/>
    <mergeCell ref="BW80:CA80"/>
    <mergeCell ref="CB80:CB81"/>
    <mergeCell ref="CC80:CG80"/>
    <mergeCell ref="BA81:BB81"/>
    <mergeCell ref="BL78:CB78"/>
    <mergeCell ref="E79:F82"/>
    <mergeCell ref="G79:AJ82"/>
    <mergeCell ref="AK79:AM82"/>
    <mergeCell ref="BL79:CB79"/>
    <mergeCell ref="AY80:BD80"/>
    <mergeCell ref="BF80:BJ80"/>
    <mergeCell ref="BK80:BK81"/>
    <mergeCell ref="BL80:BL81"/>
    <mergeCell ref="BM80:BO80"/>
    <mergeCell ref="BQ84:BU84"/>
    <mergeCell ref="BV84:BV85"/>
    <mergeCell ref="BW84:CA84"/>
    <mergeCell ref="CB84:CB85"/>
    <mergeCell ref="CC84:CG84"/>
    <mergeCell ref="BA85:BB85"/>
    <mergeCell ref="BL82:CB82"/>
    <mergeCell ref="E83:F86"/>
    <mergeCell ref="G83:AJ86"/>
    <mergeCell ref="AK83:AM86"/>
    <mergeCell ref="BL83:CB83"/>
    <mergeCell ref="AY84:BD84"/>
    <mergeCell ref="BF84:BJ84"/>
    <mergeCell ref="BK84:BK85"/>
    <mergeCell ref="BL84:BL85"/>
    <mergeCell ref="BM84:BO84"/>
    <mergeCell ref="BQ88:BU88"/>
    <mergeCell ref="BV88:BV89"/>
    <mergeCell ref="BW88:CA88"/>
    <mergeCell ref="CB88:CB89"/>
    <mergeCell ref="CC88:CG88"/>
    <mergeCell ref="BA89:BB89"/>
    <mergeCell ref="BL86:CB86"/>
    <mergeCell ref="E87:F90"/>
    <mergeCell ref="G87:AJ90"/>
    <mergeCell ref="AK87:AM90"/>
    <mergeCell ref="BL87:CB87"/>
    <mergeCell ref="AY88:BD88"/>
    <mergeCell ref="BF88:BJ88"/>
    <mergeCell ref="BK88:BK89"/>
    <mergeCell ref="BL88:BL89"/>
    <mergeCell ref="BM88:BO88"/>
    <mergeCell ref="BQ92:BU92"/>
    <mergeCell ref="BV92:BV93"/>
    <mergeCell ref="BW92:CA92"/>
    <mergeCell ref="CB92:CB93"/>
    <mergeCell ref="CC92:CG92"/>
    <mergeCell ref="BA93:BB93"/>
    <mergeCell ref="BL90:CB90"/>
    <mergeCell ref="E91:F94"/>
    <mergeCell ref="G91:AJ94"/>
    <mergeCell ref="AK91:AM94"/>
    <mergeCell ref="BL91:CB91"/>
    <mergeCell ref="AY92:BD92"/>
    <mergeCell ref="BF92:BJ92"/>
    <mergeCell ref="BK92:BK93"/>
    <mergeCell ref="BL92:BL93"/>
    <mergeCell ref="BM92:BO92"/>
    <mergeCell ref="BQ96:BU96"/>
    <mergeCell ref="BV96:BV97"/>
    <mergeCell ref="BW96:CA96"/>
    <mergeCell ref="CB96:CB97"/>
    <mergeCell ref="CC96:CG96"/>
    <mergeCell ref="BA97:BB97"/>
    <mergeCell ref="BL94:CB94"/>
    <mergeCell ref="E95:F98"/>
    <mergeCell ref="G95:AJ98"/>
    <mergeCell ref="AK95:AM98"/>
    <mergeCell ref="BL95:CB95"/>
    <mergeCell ref="AY96:BD96"/>
    <mergeCell ref="BF96:BJ96"/>
    <mergeCell ref="BK96:BK97"/>
    <mergeCell ref="BL96:BL97"/>
    <mergeCell ref="BM96:BO96"/>
    <mergeCell ref="BQ100:BU100"/>
    <mergeCell ref="BV100:BV101"/>
    <mergeCell ref="BW100:CA100"/>
    <mergeCell ref="CB100:CB101"/>
    <mergeCell ref="CC100:CG100"/>
    <mergeCell ref="BA101:BB101"/>
    <mergeCell ref="BL98:CB98"/>
    <mergeCell ref="E99:F102"/>
    <mergeCell ref="G99:AJ102"/>
    <mergeCell ref="AK99:AM102"/>
    <mergeCell ref="BL99:CB99"/>
    <mergeCell ref="AY100:BD100"/>
    <mergeCell ref="BF100:BJ100"/>
    <mergeCell ref="BK100:BK101"/>
    <mergeCell ref="BL100:BL101"/>
    <mergeCell ref="BM100:BO100"/>
    <mergeCell ref="BQ104:BU104"/>
    <mergeCell ref="BV104:BV105"/>
    <mergeCell ref="BW104:CA104"/>
    <mergeCell ref="CB104:CB105"/>
    <mergeCell ref="CC104:CG104"/>
    <mergeCell ref="BA105:BB105"/>
    <mergeCell ref="BL102:CB102"/>
    <mergeCell ref="E103:F106"/>
    <mergeCell ref="G103:AJ106"/>
    <mergeCell ref="AK103:AM106"/>
    <mergeCell ref="BL103:CB103"/>
    <mergeCell ref="AY104:BD104"/>
    <mergeCell ref="BF104:BJ104"/>
    <mergeCell ref="BK104:BK105"/>
    <mergeCell ref="BL104:BL105"/>
    <mergeCell ref="BM104:BO104"/>
    <mergeCell ref="BQ108:BU108"/>
    <mergeCell ref="BV108:BV109"/>
    <mergeCell ref="BW108:CA108"/>
    <mergeCell ref="CB108:CB109"/>
    <mergeCell ref="CC108:CG108"/>
    <mergeCell ref="BA109:BB109"/>
    <mergeCell ref="BL106:CB106"/>
    <mergeCell ref="E107:F110"/>
    <mergeCell ref="G107:AJ110"/>
    <mergeCell ref="AK107:AM110"/>
    <mergeCell ref="BL107:CB107"/>
    <mergeCell ref="AY108:BD108"/>
    <mergeCell ref="BF108:BJ108"/>
    <mergeCell ref="BK108:BK109"/>
    <mergeCell ref="BL108:BL109"/>
    <mergeCell ref="BM108:BO108"/>
    <mergeCell ref="BQ112:BU112"/>
    <mergeCell ref="BV112:BV113"/>
    <mergeCell ref="BW112:CA112"/>
    <mergeCell ref="CB112:CB113"/>
    <mergeCell ref="CC112:CG112"/>
    <mergeCell ref="BA113:BB113"/>
    <mergeCell ref="BL110:CB110"/>
    <mergeCell ref="E111:F114"/>
    <mergeCell ref="G111:AJ114"/>
    <mergeCell ref="AK111:AM114"/>
    <mergeCell ref="BL111:CB111"/>
    <mergeCell ref="AY112:BD112"/>
    <mergeCell ref="BF112:BJ112"/>
    <mergeCell ref="BK112:BK113"/>
    <mergeCell ref="BL112:BL113"/>
    <mergeCell ref="BM112:BO112"/>
    <mergeCell ref="CG120:CH120"/>
    <mergeCell ref="BQ116:BU116"/>
    <mergeCell ref="BV116:BV117"/>
    <mergeCell ref="BW116:CA116"/>
    <mergeCell ref="CB116:CB117"/>
    <mergeCell ref="CC116:CG116"/>
    <mergeCell ref="BA117:BB117"/>
    <mergeCell ref="BL114:CB114"/>
    <mergeCell ref="E115:F118"/>
    <mergeCell ref="G115:AJ118"/>
    <mergeCell ref="AK115:AM118"/>
    <mergeCell ref="BL115:CB115"/>
    <mergeCell ref="AY116:BD116"/>
    <mergeCell ref="BF116:BJ116"/>
    <mergeCell ref="BK116:BK117"/>
    <mergeCell ref="BL116:BL117"/>
    <mergeCell ref="BM116:BO116"/>
    <mergeCell ref="BL118:CB118"/>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11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
  <dimension ref="A1:CK131"/>
  <sheetViews>
    <sheetView zoomScaleNormal="100" workbookViewId="0">
      <selection activeCell="C31" sqref="C31"/>
    </sheetView>
  </sheetViews>
  <sheetFormatPr defaultRowHeight="12.75"/>
  <cols>
    <col min="1" max="1" width="0.7109375" style="220" customWidth="1"/>
    <col min="2" max="2" width="0.42578125" style="220" customWidth="1"/>
    <col min="3" max="3" width="0.5703125" style="220" customWidth="1"/>
    <col min="4" max="4" width="0.28515625" style="221" customWidth="1"/>
    <col min="5" max="5" width="3.7109375" style="278" customWidth="1"/>
    <col min="6" max="6" width="1.140625" style="278" customWidth="1"/>
    <col min="7" max="7" width="0.7109375" style="278" customWidth="1"/>
    <col min="8" max="10" width="0.7109375" style="279" customWidth="1"/>
    <col min="11" max="11" width="0.7109375" style="280" customWidth="1"/>
    <col min="12" max="12" width="0.5703125" style="280" customWidth="1"/>
    <col min="13" max="25" width="0.7109375" style="280" customWidth="1"/>
    <col min="26" max="26" width="1.4257812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 style="280" customWidth="1"/>
    <col min="63" max="64" width="0.5703125" style="280" customWidth="1"/>
    <col min="65" max="65" width="2.140625" style="280" customWidth="1"/>
    <col min="66" max="66" width="0.5703125" style="280" customWidth="1"/>
    <col min="67" max="67" width="2.140625" style="280" customWidth="1"/>
    <col min="68" max="68" width="0.5703125" style="280" customWidth="1"/>
    <col min="69" max="69" width="2.140625" style="280" customWidth="1"/>
    <col min="70" max="70" width="0.5703125" style="280" customWidth="1"/>
    <col min="71" max="71" width="2.140625" style="280" customWidth="1"/>
    <col min="72" max="72" width="0.5703125" style="280" customWidth="1"/>
    <col min="73" max="73" width="2.140625" style="280" customWidth="1"/>
    <col min="74" max="74" width="0.5703125" style="280" customWidth="1"/>
    <col min="75" max="75" width="2.140625" style="280" customWidth="1"/>
    <col min="76" max="76" width="0.5703125" style="280" customWidth="1"/>
    <col min="77" max="77" width="2.140625" style="280" customWidth="1"/>
    <col min="78" max="78" width="0.5703125" style="280" customWidth="1"/>
    <col min="79" max="79" width="2.140625" style="280" customWidth="1"/>
    <col min="80" max="80" width="0.5703125" style="280" customWidth="1"/>
    <col min="81" max="81" width="2.140625" style="280" customWidth="1"/>
    <col min="82" max="82" width="0.5703125" style="280" customWidth="1"/>
    <col min="83" max="83" width="2.140625" style="280" customWidth="1"/>
    <col min="84" max="84" width="0.5703125" style="280" customWidth="1"/>
    <col min="85" max="85" width="2.140625" style="280" customWidth="1"/>
    <col min="86" max="86" width="0.5703125" style="280" customWidth="1"/>
    <col min="87" max="88" width="2.5703125" style="221" customWidth="1"/>
    <col min="89" max="256" width="9.140625" style="221"/>
    <col min="257" max="257" width="0.7109375" style="221" customWidth="1"/>
    <col min="258" max="258" width="0.42578125" style="221" customWidth="1"/>
    <col min="259" max="259" width="0.5703125" style="221" customWidth="1"/>
    <col min="260" max="260" width="0.28515625" style="221" customWidth="1"/>
    <col min="261" max="261" width="3.7109375" style="221" customWidth="1"/>
    <col min="262" max="262" width="1.140625" style="221" customWidth="1"/>
    <col min="263" max="267" width="0.7109375" style="221" customWidth="1"/>
    <col min="268" max="268" width="0.5703125" style="221" customWidth="1"/>
    <col min="269" max="281" width="0.7109375" style="221" customWidth="1"/>
    <col min="282" max="282" width="1.4257812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 style="221" customWidth="1"/>
    <col min="319" max="320" width="0.5703125" style="221" customWidth="1"/>
    <col min="321" max="321" width="2.140625" style="221" customWidth="1"/>
    <col min="322" max="322" width="0.5703125" style="221" customWidth="1"/>
    <col min="323" max="323" width="2.140625" style="221" customWidth="1"/>
    <col min="324" max="324" width="0.5703125" style="221" customWidth="1"/>
    <col min="325" max="325" width="2.140625" style="221" customWidth="1"/>
    <col min="326" max="326" width="0.5703125" style="221" customWidth="1"/>
    <col min="327" max="327" width="2.140625" style="221" customWidth="1"/>
    <col min="328" max="328" width="0.5703125" style="221" customWidth="1"/>
    <col min="329" max="329" width="2.140625" style="221" customWidth="1"/>
    <col min="330" max="330" width="0.5703125" style="221" customWidth="1"/>
    <col min="331" max="331" width="2.140625" style="221" customWidth="1"/>
    <col min="332" max="332" width="0.5703125" style="221" customWidth="1"/>
    <col min="333" max="333" width="2.140625" style="221" customWidth="1"/>
    <col min="334" max="334" width="0.5703125" style="221" customWidth="1"/>
    <col min="335" max="335" width="2.140625" style="221" customWidth="1"/>
    <col min="336" max="336" width="0.5703125" style="221" customWidth="1"/>
    <col min="337" max="337" width="2.140625" style="221" customWidth="1"/>
    <col min="338" max="338" width="0.5703125" style="221" customWidth="1"/>
    <col min="339" max="339" width="2.140625" style="221" customWidth="1"/>
    <col min="340" max="340" width="0.5703125" style="221" customWidth="1"/>
    <col min="341" max="341" width="2.140625" style="221" customWidth="1"/>
    <col min="342" max="342" width="0.5703125" style="221" customWidth="1"/>
    <col min="343" max="344" width="2.5703125" style="221" customWidth="1"/>
    <col min="345" max="512" width="9.140625" style="221"/>
    <col min="513" max="513" width="0.7109375" style="221" customWidth="1"/>
    <col min="514" max="514" width="0.42578125" style="221" customWidth="1"/>
    <col min="515" max="515" width="0.5703125" style="221" customWidth="1"/>
    <col min="516" max="516" width="0.28515625" style="221" customWidth="1"/>
    <col min="517" max="517" width="3.7109375" style="221" customWidth="1"/>
    <col min="518" max="518" width="1.140625" style="221" customWidth="1"/>
    <col min="519" max="523" width="0.7109375" style="221" customWidth="1"/>
    <col min="524" max="524" width="0.5703125" style="221" customWidth="1"/>
    <col min="525" max="537" width="0.7109375" style="221" customWidth="1"/>
    <col min="538" max="538" width="1.4257812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 style="221" customWidth="1"/>
    <col min="575" max="576" width="0.5703125" style="221" customWidth="1"/>
    <col min="577" max="577" width="2.140625" style="221" customWidth="1"/>
    <col min="578" max="578" width="0.5703125" style="221" customWidth="1"/>
    <col min="579" max="579" width="2.140625" style="221" customWidth="1"/>
    <col min="580" max="580" width="0.5703125" style="221" customWidth="1"/>
    <col min="581" max="581" width="2.140625" style="221" customWidth="1"/>
    <col min="582" max="582" width="0.5703125" style="221" customWidth="1"/>
    <col min="583" max="583" width="2.140625" style="221" customWidth="1"/>
    <col min="584" max="584" width="0.5703125" style="221" customWidth="1"/>
    <col min="585" max="585" width="2.140625" style="221" customWidth="1"/>
    <col min="586" max="586" width="0.5703125" style="221" customWidth="1"/>
    <col min="587" max="587" width="2.140625" style="221" customWidth="1"/>
    <col min="588" max="588" width="0.5703125" style="221" customWidth="1"/>
    <col min="589" max="589" width="2.140625" style="221" customWidth="1"/>
    <col min="590" max="590" width="0.5703125" style="221" customWidth="1"/>
    <col min="591" max="591" width="2.140625" style="221" customWidth="1"/>
    <col min="592" max="592" width="0.5703125" style="221" customWidth="1"/>
    <col min="593" max="593" width="2.140625" style="221" customWidth="1"/>
    <col min="594" max="594" width="0.5703125" style="221" customWidth="1"/>
    <col min="595" max="595" width="2.140625" style="221" customWidth="1"/>
    <col min="596" max="596" width="0.5703125" style="221" customWidth="1"/>
    <col min="597" max="597" width="2.140625" style="221" customWidth="1"/>
    <col min="598" max="598" width="0.5703125" style="221" customWidth="1"/>
    <col min="599" max="600" width="2.5703125" style="221" customWidth="1"/>
    <col min="601" max="768" width="9.140625" style="221"/>
    <col min="769" max="769" width="0.7109375" style="221" customWidth="1"/>
    <col min="770" max="770" width="0.42578125" style="221" customWidth="1"/>
    <col min="771" max="771" width="0.5703125" style="221" customWidth="1"/>
    <col min="772" max="772" width="0.28515625" style="221" customWidth="1"/>
    <col min="773" max="773" width="3.7109375" style="221" customWidth="1"/>
    <col min="774" max="774" width="1.140625" style="221" customWidth="1"/>
    <col min="775" max="779" width="0.7109375" style="221" customWidth="1"/>
    <col min="780" max="780" width="0.5703125" style="221" customWidth="1"/>
    <col min="781" max="793" width="0.7109375" style="221" customWidth="1"/>
    <col min="794" max="794" width="1.4257812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 style="221" customWidth="1"/>
    <col min="831" max="832" width="0.5703125" style="221" customWidth="1"/>
    <col min="833" max="833" width="2.140625" style="221" customWidth="1"/>
    <col min="834" max="834" width="0.5703125" style="221" customWidth="1"/>
    <col min="835" max="835" width="2.140625" style="221" customWidth="1"/>
    <col min="836" max="836" width="0.5703125" style="221" customWidth="1"/>
    <col min="837" max="837" width="2.140625" style="221" customWidth="1"/>
    <col min="838" max="838" width="0.5703125" style="221" customWidth="1"/>
    <col min="839" max="839" width="2.140625" style="221" customWidth="1"/>
    <col min="840" max="840" width="0.5703125" style="221" customWidth="1"/>
    <col min="841" max="841" width="2.140625" style="221" customWidth="1"/>
    <col min="842" max="842" width="0.5703125" style="221" customWidth="1"/>
    <col min="843" max="843" width="2.140625" style="221" customWidth="1"/>
    <col min="844" max="844" width="0.5703125" style="221" customWidth="1"/>
    <col min="845" max="845" width="2.140625" style="221" customWidth="1"/>
    <col min="846" max="846" width="0.5703125" style="221" customWidth="1"/>
    <col min="847" max="847" width="2.140625" style="221" customWidth="1"/>
    <col min="848" max="848" width="0.5703125" style="221" customWidth="1"/>
    <col min="849" max="849" width="2.140625" style="221" customWidth="1"/>
    <col min="850" max="850" width="0.5703125" style="221" customWidth="1"/>
    <col min="851" max="851" width="2.140625" style="221" customWidth="1"/>
    <col min="852" max="852" width="0.5703125" style="221" customWidth="1"/>
    <col min="853" max="853" width="2.140625" style="221" customWidth="1"/>
    <col min="854" max="854" width="0.5703125" style="221" customWidth="1"/>
    <col min="855" max="856" width="2.5703125" style="221" customWidth="1"/>
    <col min="857"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7109375" style="221" customWidth="1"/>
    <col min="1030" max="1030" width="1.140625" style="221" customWidth="1"/>
    <col min="1031" max="1035" width="0.7109375" style="221" customWidth="1"/>
    <col min="1036" max="1036" width="0.5703125" style="221" customWidth="1"/>
    <col min="1037" max="1049" width="0.7109375" style="221" customWidth="1"/>
    <col min="1050" max="1050" width="1.4257812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 style="221" customWidth="1"/>
    <col min="1087" max="1088" width="0.5703125" style="221" customWidth="1"/>
    <col min="1089" max="1089" width="2.140625" style="221" customWidth="1"/>
    <col min="1090" max="1090" width="0.5703125" style="221" customWidth="1"/>
    <col min="1091" max="1091" width="2.140625" style="221" customWidth="1"/>
    <col min="1092" max="1092" width="0.5703125" style="221" customWidth="1"/>
    <col min="1093" max="1093" width="2.140625" style="221" customWidth="1"/>
    <col min="1094" max="1094" width="0.5703125" style="221" customWidth="1"/>
    <col min="1095" max="1095" width="2.140625" style="221" customWidth="1"/>
    <col min="1096" max="1096" width="0.5703125" style="221" customWidth="1"/>
    <col min="1097" max="1097" width="2.140625" style="221" customWidth="1"/>
    <col min="1098" max="1098" width="0.5703125" style="221" customWidth="1"/>
    <col min="1099" max="1099" width="2.140625" style="221" customWidth="1"/>
    <col min="1100" max="1100" width="0.5703125" style="221" customWidth="1"/>
    <col min="1101" max="1101" width="2.140625" style="221" customWidth="1"/>
    <col min="1102" max="1102" width="0.5703125" style="221" customWidth="1"/>
    <col min="1103" max="1103" width="2.140625" style="221" customWidth="1"/>
    <col min="1104" max="1104" width="0.5703125" style="221" customWidth="1"/>
    <col min="1105" max="1105" width="2.140625" style="221" customWidth="1"/>
    <col min="1106" max="1106" width="0.5703125" style="221" customWidth="1"/>
    <col min="1107" max="1107" width="2.140625" style="221" customWidth="1"/>
    <col min="1108" max="1108" width="0.5703125" style="221" customWidth="1"/>
    <col min="1109" max="1109" width="2.140625" style="221" customWidth="1"/>
    <col min="1110" max="1110" width="0.5703125" style="221" customWidth="1"/>
    <col min="1111" max="1112" width="2.5703125" style="221" customWidth="1"/>
    <col min="1113"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7109375" style="221" customWidth="1"/>
    <col min="1286" max="1286" width="1.140625" style="221" customWidth="1"/>
    <col min="1287" max="1291" width="0.7109375" style="221" customWidth="1"/>
    <col min="1292" max="1292" width="0.5703125" style="221" customWidth="1"/>
    <col min="1293" max="1305" width="0.7109375" style="221" customWidth="1"/>
    <col min="1306" max="1306" width="1.4257812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 style="221" customWidth="1"/>
    <col min="1343" max="1344" width="0.5703125" style="221" customWidth="1"/>
    <col min="1345" max="1345" width="2.140625" style="221" customWidth="1"/>
    <col min="1346" max="1346" width="0.5703125" style="221" customWidth="1"/>
    <col min="1347" max="1347" width="2.140625" style="221" customWidth="1"/>
    <col min="1348" max="1348" width="0.5703125" style="221" customWidth="1"/>
    <col min="1349" max="1349" width="2.140625" style="221" customWidth="1"/>
    <col min="1350" max="1350" width="0.5703125" style="221" customWidth="1"/>
    <col min="1351" max="1351" width="2.140625" style="221" customWidth="1"/>
    <col min="1352" max="1352" width="0.5703125" style="221" customWidth="1"/>
    <col min="1353" max="1353" width="2.140625" style="221" customWidth="1"/>
    <col min="1354" max="1354" width="0.5703125" style="221" customWidth="1"/>
    <col min="1355" max="1355" width="2.140625" style="221" customWidth="1"/>
    <col min="1356" max="1356" width="0.5703125" style="221" customWidth="1"/>
    <col min="1357" max="1357" width="2.140625" style="221" customWidth="1"/>
    <col min="1358" max="1358" width="0.5703125" style="221" customWidth="1"/>
    <col min="1359" max="1359" width="2.140625" style="221" customWidth="1"/>
    <col min="1360" max="1360" width="0.5703125" style="221" customWidth="1"/>
    <col min="1361" max="1361" width="2.140625" style="221" customWidth="1"/>
    <col min="1362" max="1362" width="0.5703125" style="221" customWidth="1"/>
    <col min="1363" max="1363" width="2.140625" style="221" customWidth="1"/>
    <col min="1364" max="1364" width="0.5703125" style="221" customWidth="1"/>
    <col min="1365" max="1365" width="2.140625" style="221" customWidth="1"/>
    <col min="1366" max="1366" width="0.5703125" style="221" customWidth="1"/>
    <col min="1367" max="1368" width="2.5703125" style="221" customWidth="1"/>
    <col min="1369"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7109375" style="221" customWidth="1"/>
    <col min="1542" max="1542" width="1.140625" style="221" customWidth="1"/>
    <col min="1543" max="1547" width="0.7109375" style="221" customWidth="1"/>
    <col min="1548" max="1548" width="0.5703125" style="221" customWidth="1"/>
    <col min="1549" max="1561" width="0.7109375" style="221" customWidth="1"/>
    <col min="1562" max="1562" width="1.4257812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 style="221" customWidth="1"/>
    <col min="1599" max="1600" width="0.5703125" style="221" customWidth="1"/>
    <col min="1601" max="1601" width="2.140625" style="221" customWidth="1"/>
    <col min="1602" max="1602" width="0.5703125" style="221" customWidth="1"/>
    <col min="1603" max="1603" width="2.140625" style="221" customWidth="1"/>
    <col min="1604" max="1604" width="0.5703125" style="221" customWidth="1"/>
    <col min="1605" max="1605" width="2.140625" style="221" customWidth="1"/>
    <col min="1606" max="1606" width="0.5703125" style="221" customWidth="1"/>
    <col min="1607" max="1607" width="2.140625" style="221" customWidth="1"/>
    <col min="1608" max="1608" width="0.5703125" style="221" customWidth="1"/>
    <col min="1609" max="1609" width="2.140625" style="221" customWidth="1"/>
    <col min="1610" max="1610" width="0.5703125" style="221" customWidth="1"/>
    <col min="1611" max="1611" width="2.140625" style="221" customWidth="1"/>
    <col min="1612" max="1612" width="0.5703125" style="221" customWidth="1"/>
    <col min="1613" max="1613" width="2.140625" style="221" customWidth="1"/>
    <col min="1614" max="1614" width="0.5703125" style="221" customWidth="1"/>
    <col min="1615" max="1615" width="2.140625" style="221" customWidth="1"/>
    <col min="1616" max="1616" width="0.5703125" style="221" customWidth="1"/>
    <col min="1617" max="1617" width="2.140625" style="221" customWidth="1"/>
    <col min="1618" max="1618" width="0.5703125" style="221" customWidth="1"/>
    <col min="1619" max="1619" width="2.140625" style="221" customWidth="1"/>
    <col min="1620" max="1620" width="0.5703125" style="221" customWidth="1"/>
    <col min="1621" max="1621" width="2.140625" style="221" customWidth="1"/>
    <col min="1622" max="1622" width="0.5703125" style="221" customWidth="1"/>
    <col min="1623" max="1624" width="2.5703125" style="221" customWidth="1"/>
    <col min="1625"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7109375" style="221" customWidth="1"/>
    <col min="1798" max="1798" width="1.140625" style="221" customWidth="1"/>
    <col min="1799" max="1803" width="0.7109375" style="221" customWidth="1"/>
    <col min="1804" max="1804" width="0.5703125" style="221" customWidth="1"/>
    <col min="1805" max="1817" width="0.7109375" style="221" customWidth="1"/>
    <col min="1818" max="1818" width="1.4257812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 style="221" customWidth="1"/>
    <col min="1855" max="1856" width="0.5703125" style="221" customWidth="1"/>
    <col min="1857" max="1857" width="2.140625" style="221" customWidth="1"/>
    <col min="1858" max="1858" width="0.5703125" style="221" customWidth="1"/>
    <col min="1859" max="1859" width="2.140625" style="221" customWidth="1"/>
    <col min="1860" max="1860" width="0.5703125" style="221" customWidth="1"/>
    <col min="1861" max="1861" width="2.140625" style="221" customWidth="1"/>
    <col min="1862" max="1862" width="0.5703125" style="221" customWidth="1"/>
    <col min="1863" max="1863" width="2.140625" style="221" customWidth="1"/>
    <col min="1864" max="1864" width="0.5703125" style="221" customWidth="1"/>
    <col min="1865" max="1865" width="2.140625" style="221" customWidth="1"/>
    <col min="1866" max="1866" width="0.5703125" style="221" customWidth="1"/>
    <col min="1867" max="1867" width="2.140625" style="221" customWidth="1"/>
    <col min="1868" max="1868" width="0.5703125" style="221" customWidth="1"/>
    <col min="1869" max="1869" width="2.140625" style="221" customWidth="1"/>
    <col min="1870" max="1870" width="0.5703125" style="221" customWidth="1"/>
    <col min="1871" max="1871" width="2.140625" style="221" customWidth="1"/>
    <col min="1872" max="1872" width="0.5703125" style="221" customWidth="1"/>
    <col min="1873" max="1873" width="2.140625" style="221" customWidth="1"/>
    <col min="1874" max="1874" width="0.5703125" style="221" customWidth="1"/>
    <col min="1875" max="1875" width="2.140625" style="221" customWidth="1"/>
    <col min="1876" max="1876" width="0.5703125" style="221" customWidth="1"/>
    <col min="1877" max="1877" width="2.140625" style="221" customWidth="1"/>
    <col min="1878" max="1878" width="0.5703125" style="221" customWidth="1"/>
    <col min="1879" max="1880" width="2.5703125" style="221" customWidth="1"/>
    <col min="1881"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7109375" style="221" customWidth="1"/>
    <col min="2054" max="2054" width="1.140625" style="221" customWidth="1"/>
    <col min="2055" max="2059" width="0.7109375" style="221" customWidth="1"/>
    <col min="2060" max="2060" width="0.5703125" style="221" customWidth="1"/>
    <col min="2061" max="2073" width="0.7109375" style="221" customWidth="1"/>
    <col min="2074" max="2074" width="1.4257812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 style="221" customWidth="1"/>
    <col min="2111" max="2112" width="0.5703125" style="221" customWidth="1"/>
    <col min="2113" max="2113" width="2.140625" style="221" customWidth="1"/>
    <col min="2114" max="2114" width="0.5703125" style="221" customWidth="1"/>
    <col min="2115" max="2115" width="2.140625" style="221" customWidth="1"/>
    <col min="2116" max="2116" width="0.5703125" style="221" customWidth="1"/>
    <col min="2117" max="2117" width="2.140625" style="221" customWidth="1"/>
    <col min="2118" max="2118" width="0.5703125" style="221" customWidth="1"/>
    <col min="2119" max="2119" width="2.140625" style="221" customWidth="1"/>
    <col min="2120" max="2120" width="0.5703125" style="221" customWidth="1"/>
    <col min="2121" max="2121" width="2.140625" style="221" customWidth="1"/>
    <col min="2122" max="2122" width="0.5703125" style="221" customWidth="1"/>
    <col min="2123" max="2123" width="2.140625" style="221" customWidth="1"/>
    <col min="2124" max="2124" width="0.5703125" style="221" customWidth="1"/>
    <col min="2125" max="2125" width="2.140625" style="221" customWidth="1"/>
    <col min="2126" max="2126" width="0.5703125" style="221" customWidth="1"/>
    <col min="2127" max="2127" width="2.140625" style="221" customWidth="1"/>
    <col min="2128" max="2128" width="0.5703125" style="221" customWidth="1"/>
    <col min="2129" max="2129" width="2.140625" style="221" customWidth="1"/>
    <col min="2130" max="2130" width="0.5703125" style="221" customWidth="1"/>
    <col min="2131" max="2131" width="2.140625" style="221" customWidth="1"/>
    <col min="2132" max="2132" width="0.5703125" style="221" customWidth="1"/>
    <col min="2133" max="2133" width="2.140625" style="221" customWidth="1"/>
    <col min="2134" max="2134" width="0.5703125" style="221" customWidth="1"/>
    <col min="2135" max="2136" width="2.5703125" style="221" customWidth="1"/>
    <col min="2137"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7109375" style="221" customWidth="1"/>
    <col min="2310" max="2310" width="1.140625" style="221" customWidth="1"/>
    <col min="2311" max="2315" width="0.7109375" style="221" customWidth="1"/>
    <col min="2316" max="2316" width="0.5703125" style="221" customWidth="1"/>
    <col min="2317" max="2329" width="0.7109375" style="221" customWidth="1"/>
    <col min="2330" max="2330" width="1.4257812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 style="221" customWidth="1"/>
    <col min="2367" max="2368" width="0.5703125" style="221" customWidth="1"/>
    <col min="2369" max="2369" width="2.140625" style="221" customWidth="1"/>
    <col min="2370" max="2370" width="0.5703125" style="221" customWidth="1"/>
    <col min="2371" max="2371" width="2.140625" style="221" customWidth="1"/>
    <col min="2372" max="2372" width="0.5703125" style="221" customWidth="1"/>
    <col min="2373" max="2373" width="2.140625" style="221" customWidth="1"/>
    <col min="2374" max="2374" width="0.5703125" style="221" customWidth="1"/>
    <col min="2375" max="2375" width="2.140625" style="221" customWidth="1"/>
    <col min="2376" max="2376" width="0.5703125" style="221" customWidth="1"/>
    <col min="2377" max="2377" width="2.140625" style="221" customWidth="1"/>
    <col min="2378" max="2378" width="0.5703125" style="221" customWidth="1"/>
    <col min="2379" max="2379" width="2.140625" style="221" customWidth="1"/>
    <col min="2380" max="2380" width="0.5703125" style="221" customWidth="1"/>
    <col min="2381" max="2381" width="2.140625" style="221" customWidth="1"/>
    <col min="2382" max="2382" width="0.5703125" style="221" customWidth="1"/>
    <col min="2383" max="2383" width="2.140625" style="221" customWidth="1"/>
    <col min="2384" max="2384" width="0.5703125" style="221" customWidth="1"/>
    <col min="2385" max="2385" width="2.140625" style="221" customWidth="1"/>
    <col min="2386" max="2386" width="0.5703125" style="221" customWidth="1"/>
    <col min="2387" max="2387" width="2.140625" style="221" customWidth="1"/>
    <col min="2388" max="2388" width="0.5703125" style="221" customWidth="1"/>
    <col min="2389" max="2389" width="2.140625" style="221" customWidth="1"/>
    <col min="2390" max="2390" width="0.5703125" style="221" customWidth="1"/>
    <col min="2391" max="2392" width="2.5703125" style="221" customWidth="1"/>
    <col min="2393"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7109375" style="221" customWidth="1"/>
    <col min="2566" max="2566" width="1.140625" style="221" customWidth="1"/>
    <col min="2567" max="2571" width="0.7109375" style="221" customWidth="1"/>
    <col min="2572" max="2572" width="0.5703125" style="221" customWidth="1"/>
    <col min="2573" max="2585" width="0.7109375" style="221" customWidth="1"/>
    <col min="2586" max="2586" width="1.4257812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 style="221" customWidth="1"/>
    <col min="2623" max="2624" width="0.5703125" style="221" customWidth="1"/>
    <col min="2625" max="2625" width="2.140625" style="221" customWidth="1"/>
    <col min="2626" max="2626" width="0.5703125" style="221" customWidth="1"/>
    <col min="2627" max="2627" width="2.140625" style="221" customWidth="1"/>
    <col min="2628" max="2628" width="0.5703125" style="221" customWidth="1"/>
    <col min="2629" max="2629" width="2.140625" style="221" customWidth="1"/>
    <col min="2630" max="2630" width="0.5703125" style="221" customWidth="1"/>
    <col min="2631" max="2631" width="2.140625" style="221" customWidth="1"/>
    <col min="2632" max="2632" width="0.5703125" style="221" customWidth="1"/>
    <col min="2633" max="2633" width="2.140625" style="221" customWidth="1"/>
    <col min="2634" max="2634" width="0.5703125" style="221" customWidth="1"/>
    <col min="2635" max="2635" width="2.140625" style="221" customWidth="1"/>
    <col min="2636" max="2636" width="0.5703125" style="221" customWidth="1"/>
    <col min="2637" max="2637" width="2.140625" style="221" customWidth="1"/>
    <col min="2638" max="2638" width="0.5703125" style="221" customWidth="1"/>
    <col min="2639" max="2639" width="2.140625" style="221" customWidth="1"/>
    <col min="2640" max="2640" width="0.5703125" style="221" customWidth="1"/>
    <col min="2641" max="2641" width="2.140625" style="221" customWidth="1"/>
    <col min="2642" max="2642" width="0.5703125" style="221" customWidth="1"/>
    <col min="2643" max="2643" width="2.140625" style="221" customWidth="1"/>
    <col min="2644" max="2644" width="0.5703125" style="221" customWidth="1"/>
    <col min="2645" max="2645" width="2.140625" style="221" customWidth="1"/>
    <col min="2646" max="2646" width="0.5703125" style="221" customWidth="1"/>
    <col min="2647" max="2648" width="2.5703125" style="221" customWidth="1"/>
    <col min="2649"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7109375" style="221" customWidth="1"/>
    <col min="2822" max="2822" width="1.140625" style="221" customWidth="1"/>
    <col min="2823" max="2827" width="0.7109375" style="221" customWidth="1"/>
    <col min="2828" max="2828" width="0.5703125" style="221" customWidth="1"/>
    <col min="2829" max="2841" width="0.7109375" style="221" customWidth="1"/>
    <col min="2842" max="2842" width="1.4257812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 style="221" customWidth="1"/>
    <col min="2879" max="2880" width="0.5703125" style="221" customWidth="1"/>
    <col min="2881" max="2881" width="2.140625" style="221" customWidth="1"/>
    <col min="2882" max="2882" width="0.5703125" style="221" customWidth="1"/>
    <col min="2883" max="2883" width="2.140625" style="221" customWidth="1"/>
    <col min="2884" max="2884" width="0.5703125" style="221" customWidth="1"/>
    <col min="2885" max="2885" width="2.140625" style="221" customWidth="1"/>
    <col min="2886" max="2886" width="0.5703125" style="221" customWidth="1"/>
    <col min="2887" max="2887" width="2.140625" style="221" customWidth="1"/>
    <col min="2888" max="2888" width="0.5703125" style="221" customWidth="1"/>
    <col min="2889" max="2889" width="2.140625" style="221" customWidth="1"/>
    <col min="2890" max="2890" width="0.5703125" style="221" customWidth="1"/>
    <col min="2891" max="2891" width="2.140625" style="221" customWidth="1"/>
    <col min="2892" max="2892" width="0.5703125" style="221" customWidth="1"/>
    <col min="2893" max="2893" width="2.140625" style="221" customWidth="1"/>
    <col min="2894" max="2894" width="0.5703125" style="221" customWidth="1"/>
    <col min="2895" max="2895" width="2.140625" style="221" customWidth="1"/>
    <col min="2896" max="2896" width="0.5703125" style="221" customWidth="1"/>
    <col min="2897" max="2897" width="2.140625" style="221" customWidth="1"/>
    <col min="2898" max="2898" width="0.5703125" style="221" customWidth="1"/>
    <col min="2899" max="2899" width="2.140625" style="221" customWidth="1"/>
    <col min="2900" max="2900" width="0.5703125" style="221" customWidth="1"/>
    <col min="2901" max="2901" width="2.140625" style="221" customWidth="1"/>
    <col min="2902" max="2902" width="0.5703125" style="221" customWidth="1"/>
    <col min="2903" max="2904" width="2.5703125" style="221" customWidth="1"/>
    <col min="2905"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7109375" style="221" customWidth="1"/>
    <col min="3078" max="3078" width="1.140625" style="221" customWidth="1"/>
    <col min="3079" max="3083" width="0.7109375" style="221" customWidth="1"/>
    <col min="3084" max="3084" width="0.5703125" style="221" customWidth="1"/>
    <col min="3085" max="3097" width="0.7109375" style="221" customWidth="1"/>
    <col min="3098" max="3098" width="1.4257812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 style="221" customWidth="1"/>
    <col min="3135" max="3136" width="0.5703125" style="221" customWidth="1"/>
    <col min="3137" max="3137" width="2.140625" style="221" customWidth="1"/>
    <col min="3138" max="3138" width="0.5703125" style="221" customWidth="1"/>
    <col min="3139" max="3139" width="2.140625" style="221" customWidth="1"/>
    <col min="3140" max="3140" width="0.5703125" style="221" customWidth="1"/>
    <col min="3141" max="3141" width="2.140625" style="221" customWidth="1"/>
    <col min="3142" max="3142" width="0.5703125" style="221" customWidth="1"/>
    <col min="3143" max="3143" width="2.140625" style="221" customWidth="1"/>
    <col min="3144" max="3144" width="0.5703125" style="221" customWidth="1"/>
    <col min="3145" max="3145" width="2.140625" style="221" customWidth="1"/>
    <col min="3146" max="3146" width="0.5703125" style="221" customWidth="1"/>
    <col min="3147" max="3147" width="2.140625" style="221" customWidth="1"/>
    <col min="3148" max="3148" width="0.5703125" style="221" customWidth="1"/>
    <col min="3149" max="3149" width="2.140625" style="221" customWidth="1"/>
    <col min="3150" max="3150" width="0.5703125" style="221" customWidth="1"/>
    <col min="3151" max="3151" width="2.140625" style="221" customWidth="1"/>
    <col min="3152" max="3152" width="0.5703125" style="221" customWidth="1"/>
    <col min="3153" max="3153" width="2.140625" style="221" customWidth="1"/>
    <col min="3154" max="3154" width="0.5703125" style="221" customWidth="1"/>
    <col min="3155" max="3155" width="2.140625" style="221" customWidth="1"/>
    <col min="3156" max="3156" width="0.5703125" style="221" customWidth="1"/>
    <col min="3157" max="3157" width="2.140625" style="221" customWidth="1"/>
    <col min="3158" max="3158" width="0.5703125" style="221" customWidth="1"/>
    <col min="3159" max="3160" width="2.5703125" style="221" customWidth="1"/>
    <col min="3161"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7109375" style="221" customWidth="1"/>
    <col min="3334" max="3334" width="1.140625" style="221" customWidth="1"/>
    <col min="3335" max="3339" width="0.7109375" style="221" customWidth="1"/>
    <col min="3340" max="3340" width="0.5703125" style="221" customWidth="1"/>
    <col min="3341" max="3353" width="0.7109375" style="221" customWidth="1"/>
    <col min="3354" max="3354" width="1.4257812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 style="221" customWidth="1"/>
    <col min="3391" max="3392" width="0.5703125" style="221" customWidth="1"/>
    <col min="3393" max="3393" width="2.140625" style="221" customWidth="1"/>
    <col min="3394" max="3394" width="0.5703125" style="221" customWidth="1"/>
    <col min="3395" max="3395" width="2.140625" style="221" customWidth="1"/>
    <col min="3396" max="3396" width="0.5703125" style="221" customWidth="1"/>
    <col min="3397" max="3397" width="2.140625" style="221" customWidth="1"/>
    <col min="3398" max="3398" width="0.5703125" style="221" customWidth="1"/>
    <col min="3399" max="3399" width="2.140625" style="221" customWidth="1"/>
    <col min="3400" max="3400" width="0.5703125" style="221" customWidth="1"/>
    <col min="3401" max="3401" width="2.140625" style="221" customWidth="1"/>
    <col min="3402" max="3402" width="0.5703125" style="221" customWidth="1"/>
    <col min="3403" max="3403" width="2.140625" style="221" customWidth="1"/>
    <col min="3404" max="3404" width="0.5703125" style="221" customWidth="1"/>
    <col min="3405" max="3405" width="2.140625" style="221" customWidth="1"/>
    <col min="3406" max="3406" width="0.5703125" style="221" customWidth="1"/>
    <col min="3407" max="3407" width="2.140625" style="221" customWidth="1"/>
    <col min="3408" max="3408" width="0.5703125" style="221" customWidth="1"/>
    <col min="3409" max="3409" width="2.140625" style="221" customWidth="1"/>
    <col min="3410" max="3410" width="0.5703125" style="221" customWidth="1"/>
    <col min="3411" max="3411" width="2.140625" style="221" customWidth="1"/>
    <col min="3412" max="3412" width="0.5703125" style="221" customWidth="1"/>
    <col min="3413" max="3413" width="2.140625" style="221" customWidth="1"/>
    <col min="3414" max="3414" width="0.5703125" style="221" customWidth="1"/>
    <col min="3415" max="3416" width="2.5703125" style="221" customWidth="1"/>
    <col min="3417"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7109375" style="221" customWidth="1"/>
    <col min="3590" max="3590" width="1.140625" style="221" customWidth="1"/>
    <col min="3591" max="3595" width="0.7109375" style="221" customWidth="1"/>
    <col min="3596" max="3596" width="0.5703125" style="221" customWidth="1"/>
    <col min="3597" max="3609" width="0.7109375" style="221" customWidth="1"/>
    <col min="3610" max="3610" width="1.4257812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 style="221" customWidth="1"/>
    <col min="3647" max="3648" width="0.5703125" style="221" customWidth="1"/>
    <col min="3649" max="3649" width="2.140625" style="221" customWidth="1"/>
    <col min="3650" max="3650" width="0.5703125" style="221" customWidth="1"/>
    <col min="3651" max="3651" width="2.140625" style="221" customWidth="1"/>
    <col min="3652" max="3652" width="0.5703125" style="221" customWidth="1"/>
    <col min="3653" max="3653" width="2.140625" style="221" customWidth="1"/>
    <col min="3654" max="3654" width="0.5703125" style="221" customWidth="1"/>
    <col min="3655" max="3655" width="2.140625" style="221" customWidth="1"/>
    <col min="3656" max="3656" width="0.5703125" style="221" customWidth="1"/>
    <col min="3657" max="3657" width="2.140625" style="221" customWidth="1"/>
    <col min="3658" max="3658" width="0.5703125" style="221" customWidth="1"/>
    <col min="3659" max="3659" width="2.140625" style="221" customWidth="1"/>
    <col min="3660" max="3660" width="0.5703125" style="221" customWidth="1"/>
    <col min="3661" max="3661" width="2.140625" style="221" customWidth="1"/>
    <col min="3662" max="3662" width="0.5703125" style="221" customWidth="1"/>
    <col min="3663" max="3663" width="2.140625" style="221" customWidth="1"/>
    <col min="3664" max="3664" width="0.5703125" style="221" customWidth="1"/>
    <col min="3665" max="3665" width="2.140625" style="221" customWidth="1"/>
    <col min="3666" max="3666" width="0.5703125" style="221" customWidth="1"/>
    <col min="3667" max="3667" width="2.140625" style="221" customWidth="1"/>
    <col min="3668" max="3668" width="0.5703125" style="221" customWidth="1"/>
    <col min="3669" max="3669" width="2.140625" style="221" customWidth="1"/>
    <col min="3670" max="3670" width="0.5703125" style="221" customWidth="1"/>
    <col min="3671" max="3672" width="2.5703125" style="221" customWidth="1"/>
    <col min="3673"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7109375" style="221" customWidth="1"/>
    <col min="3846" max="3846" width="1.140625" style="221" customWidth="1"/>
    <col min="3847" max="3851" width="0.7109375" style="221" customWidth="1"/>
    <col min="3852" max="3852" width="0.5703125" style="221" customWidth="1"/>
    <col min="3853" max="3865" width="0.7109375" style="221" customWidth="1"/>
    <col min="3866" max="3866" width="1.4257812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 style="221" customWidth="1"/>
    <col min="3903" max="3904" width="0.5703125" style="221" customWidth="1"/>
    <col min="3905" max="3905" width="2.140625" style="221" customWidth="1"/>
    <col min="3906" max="3906" width="0.5703125" style="221" customWidth="1"/>
    <col min="3907" max="3907" width="2.140625" style="221" customWidth="1"/>
    <col min="3908" max="3908" width="0.5703125" style="221" customWidth="1"/>
    <col min="3909" max="3909" width="2.140625" style="221" customWidth="1"/>
    <col min="3910" max="3910" width="0.5703125" style="221" customWidth="1"/>
    <col min="3911" max="3911" width="2.140625" style="221" customWidth="1"/>
    <col min="3912" max="3912" width="0.5703125" style="221" customWidth="1"/>
    <col min="3913" max="3913" width="2.140625" style="221" customWidth="1"/>
    <col min="3914" max="3914" width="0.5703125" style="221" customWidth="1"/>
    <col min="3915" max="3915" width="2.140625" style="221" customWidth="1"/>
    <col min="3916" max="3916" width="0.5703125" style="221" customWidth="1"/>
    <col min="3917" max="3917" width="2.140625" style="221" customWidth="1"/>
    <col min="3918" max="3918" width="0.5703125" style="221" customWidth="1"/>
    <col min="3919" max="3919" width="2.140625" style="221" customWidth="1"/>
    <col min="3920" max="3920" width="0.5703125" style="221" customWidth="1"/>
    <col min="3921" max="3921" width="2.140625" style="221" customWidth="1"/>
    <col min="3922" max="3922" width="0.5703125" style="221" customWidth="1"/>
    <col min="3923" max="3923" width="2.140625" style="221" customWidth="1"/>
    <col min="3924" max="3924" width="0.5703125" style="221" customWidth="1"/>
    <col min="3925" max="3925" width="2.140625" style="221" customWidth="1"/>
    <col min="3926" max="3926" width="0.5703125" style="221" customWidth="1"/>
    <col min="3927" max="3928" width="2.5703125" style="221" customWidth="1"/>
    <col min="3929"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7109375" style="221" customWidth="1"/>
    <col min="4102" max="4102" width="1.140625" style="221" customWidth="1"/>
    <col min="4103" max="4107" width="0.7109375" style="221" customWidth="1"/>
    <col min="4108" max="4108" width="0.5703125" style="221" customWidth="1"/>
    <col min="4109" max="4121" width="0.7109375" style="221" customWidth="1"/>
    <col min="4122" max="4122" width="1.4257812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 style="221" customWidth="1"/>
    <col min="4159" max="4160" width="0.5703125" style="221" customWidth="1"/>
    <col min="4161" max="4161" width="2.140625" style="221" customWidth="1"/>
    <col min="4162" max="4162" width="0.5703125" style="221" customWidth="1"/>
    <col min="4163" max="4163" width="2.140625" style="221" customWidth="1"/>
    <col min="4164" max="4164" width="0.5703125" style="221" customWidth="1"/>
    <col min="4165" max="4165" width="2.140625" style="221" customWidth="1"/>
    <col min="4166" max="4166" width="0.5703125" style="221" customWidth="1"/>
    <col min="4167" max="4167" width="2.140625" style="221" customWidth="1"/>
    <col min="4168" max="4168" width="0.5703125" style="221" customWidth="1"/>
    <col min="4169" max="4169" width="2.140625" style="221" customWidth="1"/>
    <col min="4170" max="4170" width="0.5703125" style="221" customWidth="1"/>
    <col min="4171" max="4171" width="2.140625" style="221" customWidth="1"/>
    <col min="4172" max="4172" width="0.5703125" style="221" customWidth="1"/>
    <col min="4173" max="4173" width="2.140625" style="221" customWidth="1"/>
    <col min="4174" max="4174" width="0.5703125" style="221" customWidth="1"/>
    <col min="4175" max="4175" width="2.140625" style="221" customWidth="1"/>
    <col min="4176" max="4176" width="0.5703125" style="221" customWidth="1"/>
    <col min="4177" max="4177" width="2.140625" style="221" customWidth="1"/>
    <col min="4178" max="4178" width="0.5703125" style="221" customWidth="1"/>
    <col min="4179" max="4179" width="2.140625" style="221" customWidth="1"/>
    <col min="4180" max="4180" width="0.5703125" style="221" customWidth="1"/>
    <col min="4181" max="4181" width="2.140625" style="221" customWidth="1"/>
    <col min="4182" max="4182" width="0.5703125" style="221" customWidth="1"/>
    <col min="4183" max="4184" width="2.5703125" style="221" customWidth="1"/>
    <col min="4185"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7109375" style="221" customWidth="1"/>
    <col min="4358" max="4358" width="1.140625" style="221" customWidth="1"/>
    <col min="4359" max="4363" width="0.7109375" style="221" customWidth="1"/>
    <col min="4364" max="4364" width="0.5703125" style="221" customWidth="1"/>
    <col min="4365" max="4377" width="0.7109375" style="221" customWidth="1"/>
    <col min="4378" max="4378" width="1.4257812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 style="221" customWidth="1"/>
    <col min="4415" max="4416" width="0.5703125" style="221" customWidth="1"/>
    <col min="4417" max="4417" width="2.140625" style="221" customWidth="1"/>
    <col min="4418" max="4418" width="0.5703125" style="221" customWidth="1"/>
    <col min="4419" max="4419" width="2.140625" style="221" customWidth="1"/>
    <col min="4420" max="4420" width="0.5703125" style="221" customWidth="1"/>
    <col min="4421" max="4421" width="2.140625" style="221" customWidth="1"/>
    <col min="4422" max="4422" width="0.5703125" style="221" customWidth="1"/>
    <col min="4423" max="4423" width="2.140625" style="221" customWidth="1"/>
    <col min="4424" max="4424" width="0.5703125" style="221" customWidth="1"/>
    <col min="4425" max="4425" width="2.140625" style="221" customWidth="1"/>
    <col min="4426" max="4426" width="0.5703125" style="221" customWidth="1"/>
    <col min="4427" max="4427" width="2.140625" style="221" customWidth="1"/>
    <col min="4428" max="4428" width="0.5703125" style="221" customWidth="1"/>
    <col min="4429" max="4429" width="2.140625" style="221" customWidth="1"/>
    <col min="4430" max="4430" width="0.5703125" style="221" customWidth="1"/>
    <col min="4431" max="4431" width="2.140625" style="221" customWidth="1"/>
    <col min="4432" max="4432" width="0.5703125" style="221" customWidth="1"/>
    <col min="4433" max="4433" width="2.140625" style="221" customWidth="1"/>
    <col min="4434" max="4434" width="0.5703125" style="221" customWidth="1"/>
    <col min="4435" max="4435" width="2.140625" style="221" customWidth="1"/>
    <col min="4436" max="4436" width="0.5703125" style="221" customWidth="1"/>
    <col min="4437" max="4437" width="2.140625" style="221" customWidth="1"/>
    <col min="4438" max="4438" width="0.5703125" style="221" customWidth="1"/>
    <col min="4439" max="4440" width="2.5703125" style="221" customWidth="1"/>
    <col min="4441"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7109375" style="221" customWidth="1"/>
    <col min="4614" max="4614" width="1.140625" style="221" customWidth="1"/>
    <col min="4615" max="4619" width="0.7109375" style="221" customWidth="1"/>
    <col min="4620" max="4620" width="0.5703125" style="221" customWidth="1"/>
    <col min="4621" max="4633" width="0.7109375" style="221" customWidth="1"/>
    <col min="4634" max="4634" width="1.4257812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 style="221" customWidth="1"/>
    <col min="4671" max="4672" width="0.5703125" style="221" customWidth="1"/>
    <col min="4673" max="4673" width="2.140625" style="221" customWidth="1"/>
    <col min="4674" max="4674" width="0.5703125" style="221" customWidth="1"/>
    <col min="4675" max="4675" width="2.140625" style="221" customWidth="1"/>
    <col min="4676" max="4676" width="0.5703125" style="221" customWidth="1"/>
    <col min="4677" max="4677" width="2.140625" style="221" customWidth="1"/>
    <col min="4678" max="4678" width="0.5703125" style="221" customWidth="1"/>
    <col min="4679" max="4679" width="2.140625" style="221" customWidth="1"/>
    <col min="4680" max="4680" width="0.5703125" style="221" customWidth="1"/>
    <col min="4681" max="4681" width="2.140625" style="221" customWidth="1"/>
    <col min="4682" max="4682" width="0.5703125" style="221" customWidth="1"/>
    <col min="4683" max="4683" width="2.140625" style="221" customWidth="1"/>
    <col min="4684" max="4684" width="0.5703125" style="221" customWidth="1"/>
    <col min="4685" max="4685" width="2.140625" style="221" customWidth="1"/>
    <col min="4686" max="4686" width="0.5703125" style="221" customWidth="1"/>
    <col min="4687" max="4687" width="2.140625" style="221" customWidth="1"/>
    <col min="4688" max="4688" width="0.5703125" style="221" customWidth="1"/>
    <col min="4689" max="4689" width="2.140625" style="221" customWidth="1"/>
    <col min="4690" max="4690" width="0.5703125" style="221" customWidth="1"/>
    <col min="4691" max="4691" width="2.140625" style="221" customWidth="1"/>
    <col min="4692" max="4692" width="0.5703125" style="221" customWidth="1"/>
    <col min="4693" max="4693" width="2.140625" style="221" customWidth="1"/>
    <col min="4694" max="4694" width="0.5703125" style="221" customWidth="1"/>
    <col min="4695" max="4696" width="2.5703125" style="221" customWidth="1"/>
    <col min="4697"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7109375" style="221" customWidth="1"/>
    <col min="4870" max="4870" width="1.140625" style="221" customWidth="1"/>
    <col min="4871" max="4875" width="0.7109375" style="221" customWidth="1"/>
    <col min="4876" max="4876" width="0.5703125" style="221" customWidth="1"/>
    <col min="4877" max="4889" width="0.7109375" style="221" customWidth="1"/>
    <col min="4890" max="4890" width="1.4257812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 style="221" customWidth="1"/>
    <col min="4927" max="4928" width="0.5703125" style="221" customWidth="1"/>
    <col min="4929" max="4929" width="2.140625" style="221" customWidth="1"/>
    <col min="4930" max="4930" width="0.5703125" style="221" customWidth="1"/>
    <col min="4931" max="4931" width="2.140625" style="221" customWidth="1"/>
    <col min="4932" max="4932" width="0.5703125" style="221" customWidth="1"/>
    <col min="4933" max="4933" width="2.140625" style="221" customWidth="1"/>
    <col min="4934" max="4934" width="0.5703125" style="221" customWidth="1"/>
    <col min="4935" max="4935" width="2.140625" style="221" customWidth="1"/>
    <col min="4936" max="4936" width="0.5703125" style="221" customWidth="1"/>
    <col min="4937" max="4937" width="2.140625" style="221" customWidth="1"/>
    <col min="4938" max="4938" width="0.5703125" style="221" customWidth="1"/>
    <col min="4939" max="4939" width="2.140625" style="221" customWidth="1"/>
    <col min="4940" max="4940" width="0.5703125" style="221" customWidth="1"/>
    <col min="4941" max="4941" width="2.140625" style="221" customWidth="1"/>
    <col min="4942" max="4942" width="0.5703125" style="221" customWidth="1"/>
    <col min="4943" max="4943" width="2.140625" style="221" customWidth="1"/>
    <col min="4944" max="4944" width="0.5703125" style="221" customWidth="1"/>
    <col min="4945" max="4945" width="2.140625" style="221" customWidth="1"/>
    <col min="4946" max="4946" width="0.5703125" style="221" customWidth="1"/>
    <col min="4947" max="4947" width="2.140625" style="221" customWidth="1"/>
    <col min="4948" max="4948" width="0.5703125" style="221" customWidth="1"/>
    <col min="4949" max="4949" width="2.140625" style="221" customWidth="1"/>
    <col min="4950" max="4950" width="0.5703125" style="221" customWidth="1"/>
    <col min="4951" max="4952" width="2.5703125" style="221" customWidth="1"/>
    <col min="4953"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7109375" style="221" customWidth="1"/>
    <col min="5126" max="5126" width="1.140625" style="221" customWidth="1"/>
    <col min="5127" max="5131" width="0.7109375" style="221" customWidth="1"/>
    <col min="5132" max="5132" width="0.5703125" style="221" customWidth="1"/>
    <col min="5133" max="5145" width="0.7109375" style="221" customWidth="1"/>
    <col min="5146" max="5146" width="1.4257812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 style="221" customWidth="1"/>
    <col min="5183" max="5184" width="0.5703125" style="221" customWidth="1"/>
    <col min="5185" max="5185" width="2.140625" style="221" customWidth="1"/>
    <col min="5186" max="5186" width="0.5703125" style="221" customWidth="1"/>
    <col min="5187" max="5187" width="2.140625" style="221" customWidth="1"/>
    <col min="5188" max="5188" width="0.5703125" style="221" customWidth="1"/>
    <col min="5189" max="5189" width="2.140625" style="221" customWidth="1"/>
    <col min="5190" max="5190" width="0.5703125" style="221" customWidth="1"/>
    <col min="5191" max="5191" width="2.140625" style="221" customWidth="1"/>
    <col min="5192" max="5192" width="0.5703125" style="221" customWidth="1"/>
    <col min="5193" max="5193" width="2.140625" style="221" customWidth="1"/>
    <col min="5194" max="5194" width="0.5703125" style="221" customWidth="1"/>
    <col min="5195" max="5195" width="2.140625" style="221" customWidth="1"/>
    <col min="5196" max="5196" width="0.5703125" style="221" customWidth="1"/>
    <col min="5197" max="5197" width="2.140625" style="221" customWidth="1"/>
    <col min="5198" max="5198" width="0.5703125" style="221" customWidth="1"/>
    <col min="5199" max="5199" width="2.140625" style="221" customWidth="1"/>
    <col min="5200" max="5200" width="0.5703125" style="221" customWidth="1"/>
    <col min="5201" max="5201" width="2.140625" style="221" customWidth="1"/>
    <col min="5202" max="5202" width="0.5703125" style="221" customWidth="1"/>
    <col min="5203" max="5203" width="2.140625" style="221" customWidth="1"/>
    <col min="5204" max="5204" width="0.5703125" style="221" customWidth="1"/>
    <col min="5205" max="5205" width="2.140625" style="221" customWidth="1"/>
    <col min="5206" max="5206" width="0.5703125" style="221" customWidth="1"/>
    <col min="5207" max="5208" width="2.5703125" style="221" customWidth="1"/>
    <col min="5209"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7109375" style="221" customWidth="1"/>
    <col min="5382" max="5382" width="1.140625" style="221" customWidth="1"/>
    <col min="5383" max="5387" width="0.7109375" style="221" customWidth="1"/>
    <col min="5388" max="5388" width="0.5703125" style="221" customWidth="1"/>
    <col min="5389" max="5401" width="0.7109375" style="221" customWidth="1"/>
    <col min="5402" max="5402" width="1.4257812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 style="221" customWidth="1"/>
    <col min="5439" max="5440" width="0.5703125" style="221" customWidth="1"/>
    <col min="5441" max="5441" width="2.140625" style="221" customWidth="1"/>
    <col min="5442" max="5442" width="0.5703125" style="221" customWidth="1"/>
    <col min="5443" max="5443" width="2.140625" style="221" customWidth="1"/>
    <col min="5444" max="5444" width="0.5703125" style="221" customWidth="1"/>
    <col min="5445" max="5445" width="2.140625" style="221" customWidth="1"/>
    <col min="5446" max="5446" width="0.5703125" style="221" customWidth="1"/>
    <col min="5447" max="5447" width="2.140625" style="221" customWidth="1"/>
    <col min="5448" max="5448" width="0.5703125" style="221" customWidth="1"/>
    <col min="5449" max="5449" width="2.140625" style="221" customWidth="1"/>
    <col min="5450" max="5450" width="0.5703125" style="221" customWidth="1"/>
    <col min="5451" max="5451" width="2.140625" style="221" customWidth="1"/>
    <col min="5452" max="5452" width="0.5703125" style="221" customWidth="1"/>
    <col min="5453" max="5453" width="2.140625" style="221" customWidth="1"/>
    <col min="5454" max="5454" width="0.5703125" style="221" customWidth="1"/>
    <col min="5455" max="5455" width="2.140625" style="221" customWidth="1"/>
    <col min="5456" max="5456" width="0.5703125" style="221" customWidth="1"/>
    <col min="5457" max="5457" width="2.140625" style="221" customWidth="1"/>
    <col min="5458" max="5458" width="0.5703125" style="221" customWidth="1"/>
    <col min="5459" max="5459" width="2.140625" style="221" customWidth="1"/>
    <col min="5460" max="5460" width="0.5703125" style="221" customWidth="1"/>
    <col min="5461" max="5461" width="2.140625" style="221" customWidth="1"/>
    <col min="5462" max="5462" width="0.5703125" style="221" customWidth="1"/>
    <col min="5463" max="5464" width="2.5703125" style="221" customWidth="1"/>
    <col min="5465"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7109375" style="221" customWidth="1"/>
    <col min="5638" max="5638" width="1.140625" style="221" customWidth="1"/>
    <col min="5639" max="5643" width="0.7109375" style="221" customWidth="1"/>
    <col min="5644" max="5644" width="0.5703125" style="221" customWidth="1"/>
    <col min="5645" max="5657" width="0.7109375" style="221" customWidth="1"/>
    <col min="5658" max="5658" width="1.4257812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 style="221" customWidth="1"/>
    <col min="5695" max="5696" width="0.5703125" style="221" customWidth="1"/>
    <col min="5697" max="5697" width="2.140625" style="221" customWidth="1"/>
    <col min="5698" max="5698" width="0.5703125" style="221" customWidth="1"/>
    <col min="5699" max="5699" width="2.140625" style="221" customWidth="1"/>
    <col min="5700" max="5700" width="0.5703125" style="221" customWidth="1"/>
    <col min="5701" max="5701" width="2.140625" style="221" customWidth="1"/>
    <col min="5702" max="5702" width="0.5703125" style="221" customWidth="1"/>
    <col min="5703" max="5703" width="2.140625" style="221" customWidth="1"/>
    <col min="5704" max="5704" width="0.5703125" style="221" customWidth="1"/>
    <col min="5705" max="5705" width="2.140625" style="221" customWidth="1"/>
    <col min="5706" max="5706" width="0.5703125" style="221" customWidth="1"/>
    <col min="5707" max="5707" width="2.140625" style="221" customWidth="1"/>
    <col min="5708" max="5708" width="0.5703125" style="221" customWidth="1"/>
    <col min="5709" max="5709" width="2.140625" style="221" customWidth="1"/>
    <col min="5710" max="5710" width="0.5703125" style="221" customWidth="1"/>
    <col min="5711" max="5711" width="2.140625" style="221" customWidth="1"/>
    <col min="5712" max="5712" width="0.5703125" style="221" customWidth="1"/>
    <col min="5713" max="5713" width="2.140625" style="221" customWidth="1"/>
    <col min="5714" max="5714" width="0.5703125" style="221" customWidth="1"/>
    <col min="5715" max="5715" width="2.140625" style="221" customWidth="1"/>
    <col min="5716" max="5716" width="0.5703125" style="221" customWidth="1"/>
    <col min="5717" max="5717" width="2.140625" style="221" customWidth="1"/>
    <col min="5718" max="5718" width="0.5703125" style="221" customWidth="1"/>
    <col min="5719" max="5720" width="2.5703125" style="221" customWidth="1"/>
    <col min="5721"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7109375" style="221" customWidth="1"/>
    <col min="5894" max="5894" width="1.140625" style="221" customWidth="1"/>
    <col min="5895" max="5899" width="0.7109375" style="221" customWidth="1"/>
    <col min="5900" max="5900" width="0.5703125" style="221" customWidth="1"/>
    <col min="5901" max="5913" width="0.7109375" style="221" customWidth="1"/>
    <col min="5914" max="5914" width="1.4257812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 style="221" customWidth="1"/>
    <col min="5951" max="5952" width="0.5703125" style="221" customWidth="1"/>
    <col min="5953" max="5953" width="2.140625" style="221" customWidth="1"/>
    <col min="5954" max="5954" width="0.5703125" style="221" customWidth="1"/>
    <col min="5955" max="5955" width="2.140625" style="221" customWidth="1"/>
    <col min="5956" max="5956" width="0.5703125" style="221" customWidth="1"/>
    <col min="5957" max="5957" width="2.140625" style="221" customWidth="1"/>
    <col min="5958" max="5958" width="0.5703125" style="221" customWidth="1"/>
    <col min="5959" max="5959" width="2.140625" style="221" customWidth="1"/>
    <col min="5960" max="5960" width="0.5703125" style="221" customWidth="1"/>
    <col min="5961" max="5961" width="2.140625" style="221" customWidth="1"/>
    <col min="5962" max="5962" width="0.5703125" style="221" customWidth="1"/>
    <col min="5963" max="5963" width="2.140625" style="221" customWidth="1"/>
    <col min="5964" max="5964" width="0.5703125" style="221" customWidth="1"/>
    <col min="5965" max="5965" width="2.140625" style="221" customWidth="1"/>
    <col min="5966" max="5966" width="0.5703125" style="221" customWidth="1"/>
    <col min="5967" max="5967" width="2.140625" style="221" customWidth="1"/>
    <col min="5968" max="5968" width="0.5703125" style="221" customWidth="1"/>
    <col min="5969" max="5969" width="2.140625" style="221" customWidth="1"/>
    <col min="5970" max="5970" width="0.5703125" style="221" customWidth="1"/>
    <col min="5971" max="5971" width="2.140625" style="221" customWidth="1"/>
    <col min="5972" max="5972" width="0.5703125" style="221" customWidth="1"/>
    <col min="5973" max="5973" width="2.140625" style="221" customWidth="1"/>
    <col min="5974" max="5974" width="0.5703125" style="221" customWidth="1"/>
    <col min="5975" max="5976" width="2.5703125" style="221" customWidth="1"/>
    <col min="5977"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7109375" style="221" customWidth="1"/>
    <col min="6150" max="6150" width="1.140625" style="221" customWidth="1"/>
    <col min="6151" max="6155" width="0.7109375" style="221" customWidth="1"/>
    <col min="6156" max="6156" width="0.5703125" style="221" customWidth="1"/>
    <col min="6157" max="6169" width="0.7109375" style="221" customWidth="1"/>
    <col min="6170" max="6170" width="1.4257812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 style="221" customWidth="1"/>
    <col min="6207" max="6208" width="0.5703125" style="221" customWidth="1"/>
    <col min="6209" max="6209" width="2.140625" style="221" customWidth="1"/>
    <col min="6210" max="6210" width="0.5703125" style="221" customWidth="1"/>
    <col min="6211" max="6211" width="2.140625" style="221" customWidth="1"/>
    <col min="6212" max="6212" width="0.5703125" style="221" customWidth="1"/>
    <col min="6213" max="6213" width="2.140625" style="221" customWidth="1"/>
    <col min="6214" max="6214" width="0.5703125" style="221" customWidth="1"/>
    <col min="6215" max="6215" width="2.140625" style="221" customWidth="1"/>
    <col min="6216" max="6216" width="0.5703125" style="221" customWidth="1"/>
    <col min="6217" max="6217" width="2.140625" style="221" customWidth="1"/>
    <col min="6218" max="6218" width="0.5703125" style="221" customWidth="1"/>
    <col min="6219" max="6219" width="2.140625" style="221" customWidth="1"/>
    <col min="6220" max="6220" width="0.5703125" style="221" customWidth="1"/>
    <col min="6221" max="6221" width="2.140625" style="221" customWidth="1"/>
    <col min="6222" max="6222" width="0.5703125" style="221" customWidth="1"/>
    <col min="6223" max="6223" width="2.140625" style="221" customWidth="1"/>
    <col min="6224" max="6224" width="0.5703125" style="221" customWidth="1"/>
    <col min="6225" max="6225" width="2.140625" style="221" customWidth="1"/>
    <col min="6226" max="6226" width="0.5703125" style="221" customWidth="1"/>
    <col min="6227" max="6227" width="2.140625" style="221" customWidth="1"/>
    <col min="6228" max="6228" width="0.5703125" style="221" customWidth="1"/>
    <col min="6229" max="6229" width="2.140625" style="221" customWidth="1"/>
    <col min="6230" max="6230" width="0.5703125" style="221" customWidth="1"/>
    <col min="6231" max="6232" width="2.5703125" style="221" customWidth="1"/>
    <col min="6233"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7109375" style="221" customWidth="1"/>
    <col min="6406" max="6406" width="1.140625" style="221" customWidth="1"/>
    <col min="6407" max="6411" width="0.7109375" style="221" customWidth="1"/>
    <col min="6412" max="6412" width="0.5703125" style="221" customWidth="1"/>
    <col min="6413" max="6425" width="0.7109375" style="221" customWidth="1"/>
    <col min="6426" max="6426" width="1.4257812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 style="221" customWidth="1"/>
    <col min="6463" max="6464" width="0.5703125" style="221" customWidth="1"/>
    <col min="6465" max="6465" width="2.140625" style="221" customWidth="1"/>
    <col min="6466" max="6466" width="0.5703125" style="221" customWidth="1"/>
    <col min="6467" max="6467" width="2.140625" style="221" customWidth="1"/>
    <col min="6468" max="6468" width="0.5703125" style="221" customWidth="1"/>
    <col min="6469" max="6469" width="2.140625" style="221" customWidth="1"/>
    <col min="6470" max="6470" width="0.5703125" style="221" customWidth="1"/>
    <col min="6471" max="6471" width="2.140625" style="221" customWidth="1"/>
    <col min="6472" max="6472" width="0.5703125" style="221" customWidth="1"/>
    <col min="6473" max="6473" width="2.140625" style="221" customWidth="1"/>
    <col min="6474" max="6474" width="0.5703125" style="221" customWidth="1"/>
    <col min="6475" max="6475" width="2.140625" style="221" customWidth="1"/>
    <col min="6476" max="6476" width="0.5703125" style="221" customWidth="1"/>
    <col min="6477" max="6477" width="2.140625" style="221" customWidth="1"/>
    <col min="6478" max="6478" width="0.5703125" style="221" customWidth="1"/>
    <col min="6479" max="6479" width="2.140625" style="221" customWidth="1"/>
    <col min="6480" max="6480" width="0.5703125" style="221" customWidth="1"/>
    <col min="6481" max="6481" width="2.140625" style="221" customWidth="1"/>
    <col min="6482" max="6482" width="0.5703125" style="221" customWidth="1"/>
    <col min="6483" max="6483" width="2.140625" style="221" customWidth="1"/>
    <col min="6484" max="6484" width="0.5703125" style="221" customWidth="1"/>
    <col min="6485" max="6485" width="2.140625" style="221" customWidth="1"/>
    <col min="6486" max="6486" width="0.5703125" style="221" customWidth="1"/>
    <col min="6487" max="6488" width="2.5703125" style="221" customWidth="1"/>
    <col min="6489"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7109375" style="221" customWidth="1"/>
    <col min="6662" max="6662" width="1.140625" style="221" customWidth="1"/>
    <col min="6663" max="6667" width="0.7109375" style="221" customWidth="1"/>
    <col min="6668" max="6668" width="0.5703125" style="221" customWidth="1"/>
    <col min="6669" max="6681" width="0.7109375" style="221" customWidth="1"/>
    <col min="6682" max="6682" width="1.4257812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 style="221" customWidth="1"/>
    <col min="6719" max="6720" width="0.5703125" style="221" customWidth="1"/>
    <col min="6721" max="6721" width="2.140625" style="221" customWidth="1"/>
    <col min="6722" max="6722" width="0.5703125" style="221" customWidth="1"/>
    <col min="6723" max="6723" width="2.140625" style="221" customWidth="1"/>
    <col min="6724" max="6724" width="0.5703125" style="221" customWidth="1"/>
    <col min="6725" max="6725" width="2.140625" style="221" customWidth="1"/>
    <col min="6726" max="6726" width="0.5703125" style="221" customWidth="1"/>
    <col min="6727" max="6727" width="2.140625" style="221" customWidth="1"/>
    <col min="6728" max="6728" width="0.5703125" style="221" customWidth="1"/>
    <col min="6729" max="6729" width="2.140625" style="221" customWidth="1"/>
    <col min="6730" max="6730" width="0.5703125" style="221" customWidth="1"/>
    <col min="6731" max="6731" width="2.140625" style="221" customWidth="1"/>
    <col min="6732" max="6732" width="0.5703125" style="221" customWidth="1"/>
    <col min="6733" max="6733" width="2.140625" style="221" customWidth="1"/>
    <col min="6734" max="6734" width="0.5703125" style="221" customWidth="1"/>
    <col min="6735" max="6735" width="2.140625" style="221" customWidth="1"/>
    <col min="6736" max="6736" width="0.5703125" style="221" customWidth="1"/>
    <col min="6737" max="6737" width="2.140625" style="221" customWidth="1"/>
    <col min="6738" max="6738" width="0.5703125" style="221" customWidth="1"/>
    <col min="6739" max="6739" width="2.140625" style="221" customWidth="1"/>
    <col min="6740" max="6740" width="0.5703125" style="221" customWidth="1"/>
    <col min="6741" max="6741" width="2.140625" style="221" customWidth="1"/>
    <col min="6742" max="6742" width="0.5703125" style="221" customWidth="1"/>
    <col min="6743" max="6744" width="2.5703125" style="221" customWidth="1"/>
    <col min="6745"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7109375" style="221" customWidth="1"/>
    <col min="6918" max="6918" width="1.140625" style="221" customWidth="1"/>
    <col min="6919" max="6923" width="0.7109375" style="221" customWidth="1"/>
    <col min="6924" max="6924" width="0.5703125" style="221" customWidth="1"/>
    <col min="6925" max="6937" width="0.7109375" style="221" customWidth="1"/>
    <col min="6938" max="6938" width="1.4257812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 style="221" customWidth="1"/>
    <col min="6975" max="6976" width="0.5703125" style="221" customWidth="1"/>
    <col min="6977" max="6977" width="2.140625" style="221" customWidth="1"/>
    <col min="6978" max="6978" width="0.5703125" style="221" customWidth="1"/>
    <col min="6979" max="6979" width="2.140625" style="221" customWidth="1"/>
    <col min="6980" max="6980" width="0.5703125" style="221" customWidth="1"/>
    <col min="6981" max="6981" width="2.140625" style="221" customWidth="1"/>
    <col min="6982" max="6982" width="0.5703125" style="221" customWidth="1"/>
    <col min="6983" max="6983" width="2.140625" style="221" customWidth="1"/>
    <col min="6984" max="6984" width="0.5703125" style="221" customWidth="1"/>
    <col min="6985" max="6985" width="2.140625" style="221" customWidth="1"/>
    <col min="6986" max="6986" width="0.5703125" style="221" customWidth="1"/>
    <col min="6987" max="6987" width="2.140625" style="221" customWidth="1"/>
    <col min="6988" max="6988" width="0.5703125" style="221" customWidth="1"/>
    <col min="6989" max="6989" width="2.140625" style="221" customWidth="1"/>
    <col min="6990" max="6990" width="0.5703125" style="221" customWidth="1"/>
    <col min="6991" max="6991" width="2.140625" style="221" customWidth="1"/>
    <col min="6992" max="6992" width="0.5703125" style="221" customWidth="1"/>
    <col min="6993" max="6993" width="2.140625" style="221" customWidth="1"/>
    <col min="6994" max="6994" width="0.5703125" style="221" customWidth="1"/>
    <col min="6995" max="6995" width="2.140625" style="221" customWidth="1"/>
    <col min="6996" max="6996" width="0.5703125" style="221" customWidth="1"/>
    <col min="6997" max="6997" width="2.140625" style="221" customWidth="1"/>
    <col min="6998" max="6998" width="0.5703125" style="221" customWidth="1"/>
    <col min="6999" max="7000" width="2.5703125" style="221" customWidth="1"/>
    <col min="7001"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7109375" style="221" customWidth="1"/>
    <col min="7174" max="7174" width="1.140625" style="221" customWidth="1"/>
    <col min="7175" max="7179" width="0.7109375" style="221" customWidth="1"/>
    <col min="7180" max="7180" width="0.5703125" style="221" customWidth="1"/>
    <col min="7181" max="7193" width="0.7109375" style="221" customWidth="1"/>
    <col min="7194" max="7194" width="1.4257812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 style="221" customWidth="1"/>
    <col min="7231" max="7232" width="0.5703125" style="221" customWidth="1"/>
    <col min="7233" max="7233" width="2.140625" style="221" customWidth="1"/>
    <col min="7234" max="7234" width="0.5703125" style="221" customWidth="1"/>
    <col min="7235" max="7235" width="2.140625" style="221" customWidth="1"/>
    <col min="7236" max="7236" width="0.5703125" style="221" customWidth="1"/>
    <col min="7237" max="7237" width="2.140625" style="221" customWidth="1"/>
    <col min="7238" max="7238" width="0.5703125" style="221" customWidth="1"/>
    <col min="7239" max="7239" width="2.140625" style="221" customWidth="1"/>
    <col min="7240" max="7240" width="0.5703125" style="221" customWidth="1"/>
    <col min="7241" max="7241" width="2.140625" style="221" customWidth="1"/>
    <col min="7242" max="7242" width="0.5703125" style="221" customWidth="1"/>
    <col min="7243" max="7243" width="2.140625" style="221" customWidth="1"/>
    <col min="7244" max="7244" width="0.5703125" style="221" customWidth="1"/>
    <col min="7245" max="7245" width="2.140625" style="221" customWidth="1"/>
    <col min="7246" max="7246" width="0.5703125" style="221" customWidth="1"/>
    <col min="7247" max="7247" width="2.140625" style="221" customWidth="1"/>
    <col min="7248" max="7248" width="0.5703125" style="221" customWidth="1"/>
    <col min="7249" max="7249" width="2.140625" style="221" customWidth="1"/>
    <col min="7250" max="7250" width="0.5703125" style="221" customWidth="1"/>
    <col min="7251" max="7251" width="2.140625" style="221" customWidth="1"/>
    <col min="7252" max="7252" width="0.5703125" style="221" customWidth="1"/>
    <col min="7253" max="7253" width="2.140625" style="221" customWidth="1"/>
    <col min="7254" max="7254" width="0.5703125" style="221" customWidth="1"/>
    <col min="7255" max="7256" width="2.5703125" style="221" customWidth="1"/>
    <col min="7257"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7109375" style="221" customWidth="1"/>
    <col min="7430" max="7430" width="1.140625" style="221" customWidth="1"/>
    <col min="7431" max="7435" width="0.7109375" style="221" customWidth="1"/>
    <col min="7436" max="7436" width="0.5703125" style="221" customWidth="1"/>
    <col min="7437" max="7449" width="0.7109375" style="221" customWidth="1"/>
    <col min="7450" max="7450" width="1.4257812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 style="221" customWidth="1"/>
    <col min="7487" max="7488" width="0.5703125" style="221" customWidth="1"/>
    <col min="7489" max="7489" width="2.140625" style="221" customWidth="1"/>
    <col min="7490" max="7490" width="0.5703125" style="221" customWidth="1"/>
    <col min="7491" max="7491" width="2.140625" style="221" customWidth="1"/>
    <col min="7492" max="7492" width="0.5703125" style="221" customWidth="1"/>
    <col min="7493" max="7493" width="2.140625" style="221" customWidth="1"/>
    <col min="7494" max="7494" width="0.5703125" style="221" customWidth="1"/>
    <col min="7495" max="7495" width="2.140625" style="221" customWidth="1"/>
    <col min="7496" max="7496" width="0.5703125" style="221" customWidth="1"/>
    <col min="7497" max="7497" width="2.140625" style="221" customWidth="1"/>
    <col min="7498" max="7498" width="0.5703125" style="221" customWidth="1"/>
    <col min="7499" max="7499" width="2.140625" style="221" customWidth="1"/>
    <col min="7500" max="7500" width="0.5703125" style="221" customWidth="1"/>
    <col min="7501" max="7501" width="2.140625" style="221" customWidth="1"/>
    <col min="7502" max="7502" width="0.5703125" style="221" customWidth="1"/>
    <col min="7503" max="7503" width="2.140625" style="221" customWidth="1"/>
    <col min="7504" max="7504" width="0.5703125" style="221" customWidth="1"/>
    <col min="7505" max="7505" width="2.140625" style="221" customWidth="1"/>
    <col min="7506" max="7506" width="0.5703125" style="221" customWidth="1"/>
    <col min="7507" max="7507" width="2.140625" style="221" customWidth="1"/>
    <col min="7508" max="7508" width="0.5703125" style="221" customWidth="1"/>
    <col min="7509" max="7509" width="2.140625" style="221" customWidth="1"/>
    <col min="7510" max="7510" width="0.5703125" style="221" customWidth="1"/>
    <col min="7511" max="7512" width="2.5703125" style="221" customWidth="1"/>
    <col min="7513"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7109375" style="221" customWidth="1"/>
    <col min="7686" max="7686" width="1.140625" style="221" customWidth="1"/>
    <col min="7687" max="7691" width="0.7109375" style="221" customWidth="1"/>
    <col min="7692" max="7692" width="0.5703125" style="221" customWidth="1"/>
    <col min="7693" max="7705" width="0.7109375" style="221" customWidth="1"/>
    <col min="7706" max="7706" width="1.4257812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 style="221" customWidth="1"/>
    <col min="7743" max="7744" width="0.5703125" style="221" customWidth="1"/>
    <col min="7745" max="7745" width="2.140625" style="221" customWidth="1"/>
    <col min="7746" max="7746" width="0.5703125" style="221" customWidth="1"/>
    <col min="7747" max="7747" width="2.140625" style="221" customWidth="1"/>
    <col min="7748" max="7748" width="0.5703125" style="221" customWidth="1"/>
    <col min="7749" max="7749" width="2.140625" style="221" customWidth="1"/>
    <col min="7750" max="7750" width="0.5703125" style="221" customWidth="1"/>
    <col min="7751" max="7751" width="2.140625" style="221" customWidth="1"/>
    <col min="7752" max="7752" width="0.5703125" style="221" customWidth="1"/>
    <col min="7753" max="7753" width="2.140625" style="221" customWidth="1"/>
    <col min="7754" max="7754" width="0.5703125" style="221" customWidth="1"/>
    <col min="7755" max="7755" width="2.140625" style="221" customWidth="1"/>
    <col min="7756" max="7756" width="0.5703125" style="221" customWidth="1"/>
    <col min="7757" max="7757" width="2.140625" style="221" customWidth="1"/>
    <col min="7758" max="7758" width="0.5703125" style="221" customWidth="1"/>
    <col min="7759" max="7759" width="2.140625" style="221" customWidth="1"/>
    <col min="7760" max="7760" width="0.5703125" style="221" customWidth="1"/>
    <col min="7761" max="7761" width="2.140625" style="221" customWidth="1"/>
    <col min="7762" max="7762" width="0.5703125" style="221" customWidth="1"/>
    <col min="7763" max="7763" width="2.140625" style="221" customWidth="1"/>
    <col min="7764" max="7764" width="0.5703125" style="221" customWidth="1"/>
    <col min="7765" max="7765" width="2.140625" style="221" customWidth="1"/>
    <col min="7766" max="7766" width="0.5703125" style="221" customWidth="1"/>
    <col min="7767" max="7768" width="2.5703125" style="221" customWidth="1"/>
    <col min="7769"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7109375" style="221" customWidth="1"/>
    <col min="7942" max="7942" width="1.140625" style="221" customWidth="1"/>
    <col min="7943" max="7947" width="0.7109375" style="221" customWidth="1"/>
    <col min="7948" max="7948" width="0.5703125" style="221" customWidth="1"/>
    <col min="7949" max="7961" width="0.7109375" style="221" customWidth="1"/>
    <col min="7962" max="7962" width="1.4257812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 style="221" customWidth="1"/>
    <col min="7999" max="8000" width="0.5703125" style="221" customWidth="1"/>
    <col min="8001" max="8001" width="2.140625" style="221" customWidth="1"/>
    <col min="8002" max="8002" width="0.5703125" style="221" customWidth="1"/>
    <col min="8003" max="8003" width="2.140625" style="221" customWidth="1"/>
    <col min="8004" max="8004" width="0.5703125" style="221" customWidth="1"/>
    <col min="8005" max="8005" width="2.140625" style="221" customWidth="1"/>
    <col min="8006" max="8006" width="0.5703125" style="221" customWidth="1"/>
    <col min="8007" max="8007" width="2.140625" style="221" customWidth="1"/>
    <col min="8008" max="8008" width="0.5703125" style="221" customWidth="1"/>
    <col min="8009" max="8009" width="2.140625" style="221" customWidth="1"/>
    <col min="8010" max="8010" width="0.5703125" style="221" customWidth="1"/>
    <col min="8011" max="8011" width="2.140625" style="221" customWidth="1"/>
    <col min="8012" max="8012" width="0.5703125" style="221" customWidth="1"/>
    <col min="8013" max="8013" width="2.140625" style="221" customWidth="1"/>
    <col min="8014" max="8014" width="0.5703125" style="221" customWidth="1"/>
    <col min="8015" max="8015" width="2.140625" style="221" customWidth="1"/>
    <col min="8016" max="8016" width="0.5703125" style="221" customWidth="1"/>
    <col min="8017" max="8017" width="2.140625" style="221" customWidth="1"/>
    <col min="8018" max="8018" width="0.5703125" style="221" customWidth="1"/>
    <col min="8019" max="8019" width="2.140625" style="221" customWidth="1"/>
    <col min="8020" max="8020" width="0.5703125" style="221" customWidth="1"/>
    <col min="8021" max="8021" width="2.140625" style="221" customWidth="1"/>
    <col min="8022" max="8022" width="0.5703125" style="221" customWidth="1"/>
    <col min="8023" max="8024" width="2.5703125" style="221" customWidth="1"/>
    <col min="8025"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7109375" style="221" customWidth="1"/>
    <col min="8198" max="8198" width="1.140625" style="221" customWidth="1"/>
    <col min="8199" max="8203" width="0.7109375" style="221" customWidth="1"/>
    <col min="8204" max="8204" width="0.5703125" style="221" customWidth="1"/>
    <col min="8205" max="8217" width="0.7109375" style="221" customWidth="1"/>
    <col min="8218" max="8218" width="1.4257812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 style="221" customWidth="1"/>
    <col min="8255" max="8256" width="0.5703125" style="221" customWidth="1"/>
    <col min="8257" max="8257" width="2.140625" style="221" customWidth="1"/>
    <col min="8258" max="8258" width="0.5703125" style="221" customWidth="1"/>
    <col min="8259" max="8259" width="2.140625" style="221" customWidth="1"/>
    <col min="8260" max="8260" width="0.5703125" style="221" customWidth="1"/>
    <col min="8261" max="8261" width="2.140625" style="221" customWidth="1"/>
    <col min="8262" max="8262" width="0.5703125" style="221" customWidth="1"/>
    <col min="8263" max="8263" width="2.140625" style="221" customWidth="1"/>
    <col min="8264" max="8264" width="0.5703125" style="221" customWidth="1"/>
    <col min="8265" max="8265" width="2.140625" style="221" customWidth="1"/>
    <col min="8266" max="8266" width="0.5703125" style="221" customWidth="1"/>
    <col min="8267" max="8267" width="2.140625" style="221" customWidth="1"/>
    <col min="8268" max="8268" width="0.5703125" style="221" customWidth="1"/>
    <col min="8269" max="8269" width="2.140625" style="221" customWidth="1"/>
    <col min="8270" max="8270" width="0.5703125" style="221" customWidth="1"/>
    <col min="8271" max="8271" width="2.140625" style="221" customWidth="1"/>
    <col min="8272" max="8272" width="0.5703125" style="221" customWidth="1"/>
    <col min="8273" max="8273" width="2.140625" style="221" customWidth="1"/>
    <col min="8274" max="8274" width="0.5703125" style="221" customWidth="1"/>
    <col min="8275" max="8275" width="2.140625" style="221" customWidth="1"/>
    <col min="8276" max="8276" width="0.5703125" style="221" customWidth="1"/>
    <col min="8277" max="8277" width="2.140625" style="221" customWidth="1"/>
    <col min="8278" max="8278" width="0.5703125" style="221" customWidth="1"/>
    <col min="8279" max="8280" width="2.5703125" style="221" customWidth="1"/>
    <col min="8281"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7109375" style="221" customWidth="1"/>
    <col min="8454" max="8454" width="1.140625" style="221" customWidth="1"/>
    <col min="8455" max="8459" width="0.7109375" style="221" customWidth="1"/>
    <col min="8460" max="8460" width="0.5703125" style="221" customWidth="1"/>
    <col min="8461" max="8473" width="0.7109375" style="221" customWidth="1"/>
    <col min="8474" max="8474" width="1.4257812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 style="221" customWidth="1"/>
    <col min="8511" max="8512" width="0.5703125" style="221" customWidth="1"/>
    <col min="8513" max="8513" width="2.140625" style="221" customWidth="1"/>
    <col min="8514" max="8514" width="0.5703125" style="221" customWidth="1"/>
    <col min="8515" max="8515" width="2.140625" style="221" customWidth="1"/>
    <col min="8516" max="8516" width="0.5703125" style="221" customWidth="1"/>
    <col min="8517" max="8517" width="2.140625" style="221" customWidth="1"/>
    <col min="8518" max="8518" width="0.5703125" style="221" customWidth="1"/>
    <col min="8519" max="8519" width="2.140625" style="221" customWidth="1"/>
    <col min="8520" max="8520" width="0.5703125" style="221" customWidth="1"/>
    <col min="8521" max="8521" width="2.140625" style="221" customWidth="1"/>
    <col min="8522" max="8522" width="0.5703125" style="221" customWidth="1"/>
    <col min="8523" max="8523" width="2.140625" style="221" customWidth="1"/>
    <col min="8524" max="8524" width="0.5703125" style="221" customWidth="1"/>
    <col min="8525" max="8525" width="2.140625" style="221" customWidth="1"/>
    <col min="8526" max="8526" width="0.5703125" style="221" customWidth="1"/>
    <col min="8527" max="8527" width="2.140625" style="221" customWidth="1"/>
    <col min="8528" max="8528" width="0.5703125" style="221" customWidth="1"/>
    <col min="8529" max="8529" width="2.140625" style="221" customWidth="1"/>
    <col min="8530" max="8530" width="0.5703125" style="221" customWidth="1"/>
    <col min="8531" max="8531" width="2.140625" style="221" customWidth="1"/>
    <col min="8532" max="8532" width="0.5703125" style="221" customWidth="1"/>
    <col min="8533" max="8533" width="2.140625" style="221" customWidth="1"/>
    <col min="8534" max="8534" width="0.5703125" style="221" customWidth="1"/>
    <col min="8535" max="8536" width="2.5703125" style="221" customWidth="1"/>
    <col min="8537"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7109375" style="221" customWidth="1"/>
    <col min="8710" max="8710" width="1.140625" style="221" customWidth="1"/>
    <col min="8711" max="8715" width="0.7109375" style="221" customWidth="1"/>
    <col min="8716" max="8716" width="0.5703125" style="221" customWidth="1"/>
    <col min="8717" max="8729" width="0.7109375" style="221" customWidth="1"/>
    <col min="8730" max="8730" width="1.4257812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 style="221" customWidth="1"/>
    <col min="8767" max="8768" width="0.5703125" style="221" customWidth="1"/>
    <col min="8769" max="8769" width="2.140625" style="221" customWidth="1"/>
    <col min="8770" max="8770" width="0.5703125" style="221" customWidth="1"/>
    <col min="8771" max="8771" width="2.140625" style="221" customWidth="1"/>
    <col min="8772" max="8772" width="0.5703125" style="221" customWidth="1"/>
    <col min="8773" max="8773" width="2.140625" style="221" customWidth="1"/>
    <col min="8774" max="8774" width="0.5703125" style="221" customWidth="1"/>
    <col min="8775" max="8775" width="2.140625" style="221" customWidth="1"/>
    <col min="8776" max="8776" width="0.5703125" style="221" customWidth="1"/>
    <col min="8777" max="8777" width="2.140625" style="221" customWidth="1"/>
    <col min="8778" max="8778" width="0.5703125" style="221" customWidth="1"/>
    <col min="8779" max="8779" width="2.140625" style="221" customWidth="1"/>
    <col min="8780" max="8780" width="0.5703125" style="221" customWidth="1"/>
    <col min="8781" max="8781" width="2.140625" style="221" customWidth="1"/>
    <col min="8782" max="8782" width="0.5703125" style="221" customWidth="1"/>
    <col min="8783" max="8783" width="2.140625" style="221" customWidth="1"/>
    <col min="8784" max="8784" width="0.5703125" style="221" customWidth="1"/>
    <col min="8785" max="8785" width="2.140625" style="221" customWidth="1"/>
    <col min="8786" max="8786" width="0.5703125" style="221" customWidth="1"/>
    <col min="8787" max="8787" width="2.140625" style="221" customWidth="1"/>
    <col min="8788" max="8788" width="0.5703125" style="221" customWidth="1"/>
    <col min="8789" max="8789" width="2.140625" style="221" customWidth="1"/>
    <col min="8790" max="8790" width="0.5703125" style="221" customWidth="1"/>
    <col min="8791" max="8792" width="2.5703125" style="221" customWidth="1"/>
    <col min="8793"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7109375" style="221" customWidth="1"/>
    <col min="8966" max="8966" width="1.140625" style="221" customWidth="1"/>
    <col min="8967" max="8971" width="0.7109375" style="221" customWidth="1"/>
    <col min="8972" max="8972" width="0.5703125" style="221" customWidth="1"/>
    <col min="8973" max="8985" width="0.7109375" style="221" customWidth="1"/>
    <col min="8986" max="8986" width="1.4257812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 style="221" customWidth="1"/>
    <col min="9023" max="9024" width="0.5703125" style="221" customWidth="1"/>
    <col min="9025" max="9025" width="2.140625" style="221" customWidth="1"/>
    <col min="9026" max="9026" width="0.5703125" style="221" customWidth="1"/>
    <col min="9027" max="9027" width="2.140625" style="221" customWidth="1"/>
    <col min="9028" max="9028" width="0.5703125" style="221" customWidth="1"/>
    <col min="9029" max="9029" width="2.140625" style="221" customWidth="1"/>
    <col min="9030" max="9030" width="0.5703125" style="221" customWidth="1"/>
    <col min="9031" max="9031" width="2.140625" style="221" customWidth="1"/>
    <col min="9032" max="9032" width="0.5703125" style="221" customWidth="1"/>
    <col min="9033" max="9033" width="2.140625" style="221" customWidth="1"/>
    <col min="9034" max="9034" width="0.5703125" style="221" customWidth="1"/>
    <col min="9035" max="9035" width="2.140625" style="221" customWidth="1"/>
    <col min="9036" max="9036" width="0.5703125" style="221" customWidth="1"/>
    <col min="9037" max="9037" width="2.140625" style="221" customWidth="1"/>
    <col min="9038" max="9038" width="0.5703125" style="221" customWidth="1"/>
    <col min="9039" max="9039" width="2.140625" style="221" customWidth="1"/>
    <col min="9040" max="9040" width="0.5703125" style="221" customWidth="1"/>
    <col min="9041" max="9041" width="2.140625" style="221" customWidth="1"/>
    <col min="9042" max="9042" width="0.5703125" style="221" customWidth="1"/>
    <col min="9043" max="9043" width="2.140625" style="221" customWidth="1"/>
    <col min="9044" max="9044" width="0.5703125" style="221" customWidth="1"/>
    <col min="9045" max="9045" width="2.140625" style="221" customWidth="1"/>
    <col min="9046" max="9046" width="0.5703125" style="221" customWidth="1"/>
    <col min="9047" max="9048" width="2.5703125" style="221" customWidth="1"/>
    <col min="9049"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7109375" style="221" customWidth="1"/>
    <col min="9222" max="9222" width="1.140625" style="221" customWidth="1"/>
    <col min="9223" max="9227" width="0.7109375" style="221" customWidth="1"/>
    <col min="9228" max="9228" width="0.5703125" style="221" customWidth="1"/>
    <col min="9229" max="9241" width="0.7109375" style="221" customWidth="1"/>
    <col min="9242" max="9242" width="1.4257812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 style="221" customWidth="1"/>
    <col min="9279" max="9280" width="0.5703125" style="221" customWidth="1"/>
    <col min="9281" max="9281" width="2.140625" style="221" customWidth="1"/>
    <col min="9282" max="9282" width="0.5703125" style="221" customWidth="1"/>
    <col min="9283" max="9283" width="2.140625" style="221" customWidth="1"/>
    <col min="9284" max="9284" width="0.5703125" style="221" customWidth="1"/>
    <col min="9285" max="9285" width="2.140625" style="221" customWidth="1"/>
    <col min="9286" max="9286" width="0.5703125" style="221" customWidth="1"/>
    <col min="9287" max="9287" width="2.140625" style="221" customWidth="1"/>
    <col min="9288" max="9288" width="0.5703125" style="221" customWidth="1"/>
    <col min="9289" max="9289" width="2.140625" style="221" customWidth="1"/>
    <col min="9290" max="9290" width="0.5703125" style="221" customWidth="1"/>
    <col min="9291" max="9291" width="2.140625" style="221" customWidth="1"/>
    <col min="9292" max="9292" width="0.5703125" style="221" customWidth="1"/>
    <col min="9293" max="9293" width="2.140625" style="221" customWidth="1"/>
    <col min="9294" max="9294" width="0.5703125" style="221" customWidth="1"/>
    <col min="9295" max="9295" width="2.140625" style="221" customWidth="1"/>
    <col min="9296" max="9296" width="0.5703125" style="221" customWidth="1"/>
    <col min="9297" max="9297" width="2.140625" style="221" customWidth="1"/>
    <col min="9298" max="9298" width="0.5703125" style="221" customWidth="1"/>
    <col min="9299" max="9299" width="2.140625" style="221" customWidth="1"/>
    <col min="9300" max="9300" width="0.5703125" style="221" customWidth="1"/>
    <col min="9301" max="9301" width="2.140625" style="221" customWidth="1"/>
    <col min="9302" max="9302" width="0.5703125" style="221" customWidth="1"/>
    <col min="9303" max="9304" width="2.5703125" style="221" customWidth="1"/>
    <col min="9305"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7109375" style="221" customWidth="1"/>
    <col min="9478" max="9478" width="1.140625" style="221" customWidth="1"/>
    <col min="9479" max="9483" width="0.7109375" style="221" customWidth="1"/>
    <col min="9484" max="9484" width="0.5703125" style="221" customWidth="1"/>
    <col min="9485" max="9497" width="0.7109375" style="221" customWidth="1"/>
    <col min="9498" max="9498" width="1.4257812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 style="221" customWidth="1"/>
    <col min="9535" max="9536" width="0.5703125" style="221" customWidth="1"/>
    <col min="9537" max="9537" width="2.140625" style="221" customWidth="1"/>
    <col min="9538" max="9538" width="0.5703125" style="221" customWidth="1"/>
    <col min="9539" max="9539" width="2.140625" style="221" customWidth="1"/>
    <col min="9540" max="9540" width="0.5703125" style="221" customWidth="1"/>
    <col min="9541" max="9541" width="2.140625" style="221" customWidth="1"/>
    <col min="9542" max="9542" width="0.5703125" style="221" customWidth="1"/>
    <col min="9543" max="9543" width="2.140625" style="221" customWidth="1"/>
    <col min="9544" max="9544" width="0.5703125" style="221" customWidth="1"/>
    <col min="9545" max="9545" width="2.140625" style="221" customWidth="1"/>
    <col min="9546" max="9546" width="0.5703125" style="221" customWidth="1"/>
    <col min="9547" max="9547" width="2.140625" style="221" customWidth="1"/>
    <col min="9548" max="9548" width="0.5703125" style="221" customWidth="1"/>
    <col min="9549" max="9549" width="2.140625" style="221" customWidth="1"/>
    <col min="9550" max="9550" width="0.5703125" style="221" customWidth="1"/>
    <col min="9551" max="9551" width="2.140625" style="221" customWidth="1"/>
    <col min="9552" max="9552" width="0.5703125" style="221" customWidth="1"/>
    <col min="9553" max="9553" width="2.140625" style="221" customWidth="1"/>
    <col min="9554" max="9554" width="0.5703125" style="221" customWidth="1"/>
    <col min="9555" max="9555" width="2.140625" style="221" customWidth="1"/>
    <col min="9556" max="9556" width="0.5703125" style="221" customWidth="1"/>
    <col min="9557" max="9557" width="2.140625" style="221" customWidth="1"/>
    <col min="9558" max="9558" width="0.5703125" style="221" customWidth="1"/>
    <col min="9559" max="9560" width="2.5703125" style="221" customWidth="1"/>
    <col min="9561"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7109375" style="221" customWidth="1"/>
    <col min="9734" max="9734" width="1.140625" style="221" customWidth="1"/>
    <col min="9735" max="9739" width="0.7109375" style="221" customWidth="1"/>
    <col min="9740" max="9740" width="0.5703125" style="221" customWidth="1"/>
    <col min="9741" max="9753" width="0.7109375" style="221" customWidth="1"/>
    <col min="9754" max="9754" width="1.4257812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 style="221" customWidth="1"/>
    <col min="9791" max="9792" width="0.5703125" style="221" customWidth="1"/>
    <col min="9793" max="9793" width="2.140625" style="221" customWidth="1"/>
    <col min="9794" max="9794" width="0.5703125" style="221" customWidth="1"/>
    <col min="9795" max="9795" width="2.140625" style="221" customWidth="1"/>
    <col min="9796" max="9796" width="0.5703125" style="221" customWidth="1"/>
    <col min="9797" max="9797" width="2.140625" style="221" customWidth="1"/>
    <col min="9798" max="9798" width="0.5703125" style="221" customWidth="1"/>
    <col min="9799" max="9799" width="2.140625" style="221" customWidth="1"/>
    <col min="9800" max="9800" width="0.5703125" style="221" customWidth="1"/>
    <col min="9801" max="9801" width="2.140625" style="221" customWidth="1"/>
    <col min="9802" max="9802" width="0.5703125" style="221" customWidth="1"/>
    <col min="9803" max="9803" width="2.140625" style="221" customWidth="1"/>
    <col min="9804" max="9804" width="0.5703125" style="221" customWidth="1"/>
    <col min="9805" max="9805" width="2.140625" style="221" customWidth="1"/>
    <col min="9806" max="9806" width="0.5703125" style="221" customWidth="1"/>
    <col min="9807" max="9807" width="2.140625" style="221" customWidth="1"/>
    <col min="9808" max="9808" width="0.5703125" style="221" customWidth="1"/>
    <col min="9809" max="9809" width="2.140625" style="221" customWidth="1"/>
    <col min="9810" max="9810" width="0.5703125" style="221" customWidth="1"/>
    <col min="9811" max="9811" width="2.140625" style="221" customWidth="1"/>
    <col min="9812" max="9812" width="0.5703125" style="221" customWidth="1"/>
    <col min="9813" max="9813" width="2.140625" style="221" customWidth="1"/>
    <col min="9814" max="9814" width="0.5703125" style="221" customWidth="1"/>
    <col min="9815" max="9816" width="2.5703125" style="221" customWidth="1"/>
    <col min="9817"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7109375" style="221" customWidth="1"/>
    <col min="9990" max="9990" width="1.140625" style="221" customWidth="1"/>
    <col min="9991" max="9995" width="0.7109375" style="221" customWidth="1"/>
    <col min="9996" max="9996" width="0.5703125" style="221" customWidth="1"/>
    <col min="9997" max="10009" width="0.7109375" style="221" customWidth="1"/>
    <col min="10010" max="10010" width="1.4257812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 style="221" customWidth="1"/>
    <col min="10047" max="10048" width="0.5703125" style="221" customWidth="1"/>
    <col min="10049" max="10049" width="2.140625" style="221" customWidth="1"/>
    <col min="10050" max="10050" width="0.5703125" style="221" customWidth="1"/>
    <col min="10051" max="10051" width="2.140625" style="221" customWidth="1"/>
    <col min="10052" max="10052" width="0.5703125" style="221" customWidth="1"/>
    <col min="10053" max="10053" width="2.140625" style="221" customWidth="1"/>
    <col min="10054" max="10054" width="0.5703125" style="221" customWidth="1"/>
    <col min="10055" max="10055" width="2.140625" style="221" customWidth="1"/>
    <col min="10056" max="10056" width="0.5703125" style="221" customWidth="1"/>
    <col min="10057" max="10057" width="2.140625" style="221" customWidth="1"/>
    <col min="10058" max="10058" width="0.5703125" style="221" customWidth="1"/>
    <col min="10059" max="10059" width="2.140625" style="221" customWidth="1"/>
    <col min="10060" max="10060" width="0.5703125" style="221" customWidth="1"/>
    <col min="10061" max="10061" width="2.140625" style="221" customWidth="1"/>
    <col min="10062" max="10062" width="0.5703125" style="221" customWidth="1"/>
    <col min="10063" max="10063" width="2.140625" style="221" customWidth="1"/>
    <col min="10064" max="10064" width="0.5703125" style="221" customWidth="1"/>
    <col min="10065" max="10065" width="2.140625" style="221" customWidth="1"/>
    <col min="10066" max="10066" width="0.5703125" style="221" customWidth="1"/>
    <col min="10067" max="10067" width="2.140625" style="221" customWidth="1"/>
    <col min="10068" max="10068" width="0.5703125" style="221" customWidth="1"/>
    <col min="10069" max="10069" width="2.140625" style="221" customWidth="1"/>
    <col min="10070" max="10070" width="0.5703125" style="221" customWidth="1"/>
    <col min="10071" max="10072" width="2.5703125" style="221" customWidth="1"/>
    <col min="10073"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7109375" style="221" customWidth="1"/>
    <col min="10246" max="10246" width="1.140625" style="221" customWidth="1"/>
    <col min="10247" max="10251" width="0.7109375" style="221" customWidth="1"/>
    <col min="10252" max="10252" width="0.5703125" style="221" customWidth="1"/>
    <col min="10253" max="10265" width="0.7109375" style="221" customWidth="1"/>
    <col min="10266" max="10266" width="1.4257812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 style="221" customWidth="1"/>
    <col min="10303" max="10304" width="0.5703125" style="221" customWidth="1"/>
    <col min="10305" max="10305" width="2.140625" style="221" customWidth="1"/>
    <col min="10306" max="10306" width="0.5703125" style="221" customWidth="1"/>
    <col min="10307" max="10307" width="2.140625" style="221" customWidth="1"/>
    <col min="10308" max="10308" width="0.5703125" style="221" customWidth="1"/>
    <col min="10309" max="10309" width="2.140625" style="221" customWidth="1"/>
    <col min="10310" max="10310" width="0.5703125" style="221" customWidth="1"/>
    <col min="10311" max="10311" width="2.140625" style="221" customWidth="1"/>
    <col min="10312" max="10312" width="0.5703125" style="221" customWidth="1"/>
    <col min="10313" max="10313" width="2.140625" style="221" customWidth="1"/>
    <col min="10314" max="10314" width="0.5703125" style="221" customWidth="1"/>
    <col min="10315" max="10315" width="2.140625" style="221" customWidth="1"/>
    <col min="10316" max="10316" width="0.5703125" style="221" customWidth="1"/>
    <col min="10317" max="10317" width="2.140625" style="221" customWidth="1"/>
    <col min="10318" max="10318" width="0.5703125" style="221" customWidth="1"/>
    <col min="10319" max="10319" width="2.140625" style="221" customWidth="1"/>
    <col min="10320" max="10320" width="0.5703125" style="221" customWidth="1"/>
    <col min="10321" max="10321" width="2.140625" style="221" customWidth="1"/>
    <col min="10322" max="10322" width="0.5703125" style="221" customWidth="1"/>
    <col min="10323" max="10323" width="2.140625" style="221" customWidth="1"/>
    <col min="10324" max="10324" width="0.5703125" style="221" customWidth="1"/>
    <col min="10325" max="10325" width="2.140625" style="221" customWidth="1"/>
    <col min="10326" max="10326" width="0.5703125" style="221" customWidth="1"/>
    <col min="10327" max="10328" width="2.5703125" style="221" customWidth="1"/>
    <col min="10329"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7109375" style="221" customWidth="1"/>
    <col min="10502" max="10502" width="1.140625" style="221" customWidth="1"/>
    <col min="10503" max="10507" width="0.7109375" style="221" customWidth="1"/>
    <col min="10508" max="10508" width="0.5703125" style="221" customWidth="1"/>
    <col min="10509" max="10521" width="0.7109375" style="221" customWidth="1"/>
    <col min="10522" max="10522" width="1.4257812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 style="221" customWidth="1"/>
    <col min="10559" max="10560" width="0.5703125" style="221" customWidth="1"/>
    <col min="10561" max="10561" width="2.140625" style="221" customWidth="1"/>
    <col min="10562" max="10562" width="0.5703125" style="221" customWidth="1"/>
    <col min="10563" max="10563" width="2.140625" style="221" customWidth="1"/>
    <col min="10564" max="10564" width="0.5703125" style="221" customWidth="1"/>
    <col min="10565" max="10565" width="2.140625" style="221" customWidth="1"/>
    <col min="10566" max="10566" width="0.5703125" style="221" customWidth="1"/>
    <col min="10567" max="10567" width="2.140625" style="221" customWidth="1"/>
    <col min="10568" max="10568" width="0.5703125" style="221" customWidth="1"/>
    <col min="10569" max="10569" width="2.140625" style="221" customWidth="1"/>
    <col min="10570" max="10570" width="0.5703125" style="221" customWidth="1"/>
    <col min="10571" max="10571" width="2.140625" style="221" customWidth="1"/>
    <col min="10572" max="10572" width="0.5703125" style="221" customWidth="1"/>
    <col min="10573" max="10573" width="2.140625" style="221" customWidth="1"/>
    <col min="10574" max="10574" width="0.5703125" style="221" customWidth="1"/>
    <col min="10575" max="10575" width="2.140625" style="221" customWidth="1"/>
    <col min="10576" max="10576" width="0.5703125" style="221" customWidth="1"/>
    <col min="10577" max="10577" width="2.140625" style="221" customWidth="1"/>
    <col min="10578" max="10578" width="0.5703125" style="221" customWidth="1"/>
    <col min="10579" max="10579" width="2.140625" style="221" customWidth="1"/>
    <col min="10580" max="10580" width="0.5703125" style="221" customWidth="1"/>
    <col min="10581" max="10581" width="2.140625" style="221" customWidth="1"/>
    <col min="10582" max="10582" width="0.5703125" style="221" customWidth="1"/>
    <col min="10583" max="10584" width="2.5703125" style="221" customWidth="1"/>
    <col min="10585"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7109375" style="221" customWidth="1"/>
    <col min="10758" max="10758" width="1.140625" style="221" customWidth="1"/>
    <col min="10759" max="10763" width="0.7109375" style="221" customWidth="1"/>
    <col min="10764" max="10764" width="0.5703125" style="221" customWidth="1"/>
    <col min="10765" max="10777" width="0.7109375" style="221" customWidth="1"/>
    <col min="10778" max="10778" width="1.4257812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 style="221" customWidth="1"/>
    <col min="10815" max="10816" width="0.5703125" style="221" customWidth="1"/>
    <col min="10817" max="10817" width="2.140625" style="221" customWidth="1"/>
    <col min="10818" max="10818" width="0.5703125" style="221" customWidth="1"/>
    <col min="10819" max="10819" width="2.140625" style="221" customWidth="1"/>
    <col min="10820" max="10820" width="0.5703125" style="221" customWidth="1"/>
    <col min="10821" max="10821" width="2.140625" style="221" customWidth="1"/>
    <col min="10822" max="10822" width="0.5703125" style="221" customWidth="1"/>
    <col min="10823" max="10823" width="2.140625" style="221" customWidth="1"/>
    <col min="10824" max="10824" width="0.5703125" style="221" customWidth="1"/>
    <col min="10825" max="10825" width="2.140625" style="221" customWidth="1"/>
    <col min="10826" max="10826" width="0.5703125" style="221" customWidth="1"/>
    <col min="10827" max="10827" width="2.140625" style="221" customWidth="1"/>
    <col min="10828" max="10828" width="0.5703125" style="221" customWidth="1"/>
    <col min="10829" max="10829" width="2.140625" style="221" customWidth="1"/>
    <col min="10830" max="10830" width="0.5703125" style="221" customWidth="1"/>
    <col min="10831" max="10831" width="2.140625" style="221" customWidth="1"/>
    <col min="10832" max="10832" width="0.5703125" style="221" customWidth="1"/>
    <col min="10833" max="10833" width="2.140625" style="221" customWidth="1"/>
    <col min="10834" max="10834" width="0.5703125" style="221" customWidth="1"/>
    <col min="10835" max="10835" width="2.140625" style="221" customWidth="1"/>
    <col min="10836" max="10836" width="0.5703125" style="221" customWidth="1"/>
    <col min="10837" max="10837" width="2.140625" style="221" customWidth="1"/>
    <col min="10838" max="10838" width="0.5703125" style="221" customWidth="1"/>
    <col min="10839" max="10840" width="2.5703125" style="221" customWidth="1"/>
    <col min="10841"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7109375" style="221" customWidth="1"/>
    <col min="11014" max="11014" width="1.140625" style="221" customWidth="1"/>
    <col min="11015" max="11019" width="0.7109375" style="221" customWidth="1"/>
    <col min="11020" max="11020" width="0.5703125" style="221" customWidth="1"/>
    <col min="11021" max="11033" width="0.7109375" style="221" customWidth="1"/>
    <col min="11034" max="11034" width="1.4257812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 style="221" customWidth="1"/>
    <col min="11071" max="11072" width="0.5703125" style="221" customWidth="1"/>
    <col min="11073" max="11073" width="2.140625" style="221" customWidth="1"/>
    <col min="11074" max="11074" width="0.5703125" style="221" customWidth="1"/>
    <col min="11075" max="11075" width="2.140625" style="221" customWidth="1"/>
    <col min="11076" max="11076" width="0.5703125" style="221" customWidth="1"/>
    <col min="11077" max="11077" width="2.140625" style="221" customWidth="1"/>
    <col min="11078" max="11078" width="0.5703125" style="221" customWidth="1"/>
    <col min="11079" max="11079" width="2.140625" style="221" customWidth="1"/>
    <col min="11080" max="11080" width="0.5703125" style="221" customWidth="1"/>
    <col min="11081" max="11081" width="2.140625" style="221" customWidth="1"/>
    <col min="11082" max="11082" width="0.5703125" style="221" customWidth="1"/>
    <col min="11083" max="11083" width="2.140625" style="221" customWidth="1"/>
    <col min="11084" max="11084" width="0.5703125" style="221" customWidth="1"/>
    <col min="11085" max="11085" width="2.140625" style="221" customWidth="1"/>
    <col min="11086" max="11086" width="0.5703125" style="221" customWidth="1"/>
    <col min="11087" max="11087" width="2.140625" style="221" customWidth="1"/>
    <col min="11088" max="11088" width="0.5703125" style="221" customWidth="1"/>
    <col min="11089" max="11089" width="2.140625" style="221" customWidth="1"/>
    <col min="11090" max="11090" width="0.5703125" style="221" customWidth="1"/>
    <col min="11091" max="11091" width="2.140625" style="221" customWidth="1"/>
    <col min="11092" max="11092" width="0.5703125" style="221" customWidth="1"/>
    <col min="11093" max="11093" width="2.140625" style="221" customWidth="1"/>
    <col min="11094" max="11094" width="0.5703125" style="221" customWidth="1"/>
    <col min="11095" max="11096" width="2.5703125" style="221" customWidth="1"/>
    <col min="11097"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7109375" style="221" customWidth="1"/>
    <col min="11270" max="11270" width="1.140625" style="221" customWidth="1"/>
    <col min="11271" max="11275" width="0.7109375" style="221" customWidth="1"/>
    <col min="11276" max="11276" width="0.5703125" style="221" customWidth="1"/>
    <col min="11277" max="11289" width="0.7109375" style="221" customWidth="1"/>
    <col min="11290" max="11290" width="1.4257812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 style="221" customWidth="1"/>
    <col min="11327" max="11328" width="0.5703125" style="221" customWidth="1"/>
    <col min="11329" max="11329" width="2.140625" style="221" customWidth="1"/>
    <col min="11330" max="11330" width="0.5703125" style="221" customWidth="1"/>
    <col min="11331" max="11331" width="2.140625" style="221" customWidth="1"/>
    <col min="11332" max="11332" width="0.5703125" style="221" customWidth="1"/>
    <col min="11333" max="11333" width="2.140625" style="221" customWidth="1"/>
    <col min="11334" max="11334" width="0.5703125" style="221" customWidth="1"/>
    <col min="11335" max="11335" width="2.140625" style="221" customWidth="1"/>
    <col min="11336" max="11336" width="0.5703125" style="221" customWidth="1"/>
    <col min="11337" max="11337" width="2.140625" style="221" customWidth="1"/>
    <col min="11338" max="11338" width="0.5703125" style="221" customWidth="1"/>
    <col min="11339" max="11339" width="2.140625" style="221" customWidth="1"/>
    <col min="11340" max="11340" width="0.5703125" style="221" customWidth="1"/>
    <col min="11341" max="11341" width="2.140625" style="221" customWidth="1"/>
    <col min="11342" max="11342" width="0.5703125" style="221" customWidth="1"/>
    <col min="11343" max="11343" width="2.140625" style="221" customWidth="1"/>
    <col min="11344" max="11344" width="0.5703125" style="221" customWidth="1"/>
    <col min="11345" max="11345" width="2.140625" style="221" customWidth="1"/>
    <col min="11346" max="11346" width="0.5703125" style="221" customWidth="1"/>
    <col min="11347" max="11347" width="2.140625" style="221" customWidth="1"/>
    <col min="11348" max="11348" width="0.5703125" style="221" customWidth="1"/>
    <col min="11349" max="11349" width="2.140625" style="221" customWidth="1"/>
    <col min="11350" max="11350" width="0.5703125" style="221" customWidth="1"/>
    <col min="11351" max="11352" width="2.5703125" style="221" customWidth="1"/>
    <col min="11353"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7109375" style="221" customWidth="1"/>
    <col min="11526" max="11526" width="1.140625" style="221" customWidth="1"/>
    <col min="11527" max="11531" width="0.7109375" style="221" customWidth="1"/>
    <col min="11532" max="11532" width="0.5703125" style="221" customWidth="1"/>
    <col min="11533" max="11545" width="0.7109375" style="221" customWidth="1"/>
    <col min="11546" max="11546" width="1.4257812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 style="221" customWidth="1"/>
    <col min="11583" max="11584" width="0.5703125" style="221" customWidth="1"/>
    <col min="11585" max="11585" width="2.140625" style="221" customWidth="1"/>
    <col min="11586" max="11586" width="0.5703125" style="221" customWidth="1"/>
    <col min="11587" max="11587" width="2.140625" style="221" customWidth="1"/>
    <col min="11588" max="11588" width="0.5703125" style="221" customWidth="1"/>
    <col min="11589" max="11589" width="2.140625" style="221" customWidth="1"/>
    <col min="11590" max="11590" width="0.5703125" style="221" customWidth="1"/>
    <col min="11591" max="11591" width="2.140625" style="221" customWidth="1"/>
    <col min="11592" max="11592" width="0.5703125" style="221" customWidth="1"/>
    <col min="11593" max="11593" width="2.140625" style="221" customWidth="1"/>
    <col min="11594" max="11594" width="0.5703125" style="221" customWidth="1"/>
    <col min="11595" max="11595" width="2.140625" style="221" customWidth="1"/>
    <col min="11596" max="11596" width="0.5703125" style="221" customWidth="1"/>
    <col min="11597" max="11597" width="2.140625" style="221" customWidth="1"/>
    <col min="11598" max="11598" width="0.5703125" style="221" customWidth="1"/>
    <col min="11599" max="11599" width="2.140625" style="221" customWidth="1"/>
    <col min="11600" max="11600" width="0.5703125" style="221" customWidth="1"/>
    <col min="11601" max="11601" width="2.140625" style="221" customWidth="1"/>
    <col min="11602" max="11602" width="0.5703125" style="221" customWidth="1"/>
    <col min="11603" max="11603" width="2.140625" style="221" customWidth="1"/>
    <col min="11604" max="11604" width="0.5703125" style="221" customWidth="1"/>
    <col min="11605" max="11605" width="2.140625" style="221" customWidth="1"/>
    <col min="11606" max="11606" width="0.5703125" style="221" customWidth="1"/>
    <col min="11607" max="11608" width="2.5703125" style="221" customWidth="1"/>
    <col min="11609"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7109375" style="221" customWidth="1"/>
    <col min="11782" max="11782" width="1.140625" style="221" customWidth="1"/>
    <col min="11783" max="11787" width="0.7109375" style="221" customWidth="1"/>
    <col min="11788" max="11788" width="0.5703125" style="221" customWidth="1"/>
    <col min="11789" max="11801" width="0.7109375" style="221" customWidth="1"/>
    <col min="11802" max="11802" width="1.4257812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 style="221" customWidth="1"/>
    <col min="11839" max="11840" width="0.5703125" style="221" customWidth="1"/>
    <col min="11841" max="11841" width="2.140625" style="221" customWidth="1"/>
    <col min="11842" max="11842" width="0.5703125" style="221" customWidth="1"/>
    <col min="11843" max="11843" width="2.140625" style="221" customWidth="1"/>
    <col min="11844" max="11844" width="0.5703125" style="221" customWidth="1"/>
    <col min="11845" max="11845" width="2.140625" style="221" customWidth="1"/>
    <col min="11846" max="11846" width="0.5703125" style="221" customWidth="1"/>
    <col min="11847" max="11847" width="2.140625" style="221" customWidth="1"/>
    <col min="11848" max="11848" width="0.5703125" style="221" customWidth="1"/>
    <col min="11849" max="11849" width="2.140625" style="221" customWidth="1"/>
    <col min="11850" max="11850" width="0.5703125" style="221" customWidth="1"/>
    <col min="11851" max="11851" width="2.140625" style="221" customWidth="1"/>
    <col min="11852" max="11852" width="0.5703125" style="221" customWidth="1"/>
    <col min="11853" max="11853" width="2.140625" style="221" customWidth="1"/>
    <col min="11854" max="11854" width="0.5703125" style="221" customWidth="1"/>
    <col min="11855" max="11855" width="2.140625" style="221" customWidth="1"/>
    <col min="11856" max="11856" width="0.5703125" style="221" customWidth="1"/>
    <col min="11857" max="11857" width="2.140625" style="221" customWidth="1"/>
    <col min="11858" max="11858" width="0.5703125" style="221" customWidth="1"/>
    <col min="11859" max="11859" width="2.140625" style="221" customWidth="1"/>
    <col min="11860" max="11860" width="0.5703125" style="221" customWidth="1"/>
    <col min="11861" max="11861" width="2.140625" style="221" customWidth="1"/>
    <col min="11862" max="11862" width="0.5703125" style="221" customWidth="1"/>
    <col min="11863" max="11864" width="2.5703125" style="221" customWidth="1"/>
    <col min="11865"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7109375" style="221" customWidth="1"/>
    <col min="12038" max="12038" width="1.140625" style="221" customWidth="1"/>
    <col min="12039" max="12043" width="0.7109375" style="221" customWidth="1"/>
    <col min="12044" max="12044" width="0.5703125" style="221" customWidth="1"/>
    <col min="12045" max="12057" width="0.7109375" style="221" customWidth="1"/>
    <col min="12058" max="12058" width="1.4257812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 style="221" customWidth="1"/>
    <col min="12095" max="12096" width="0.5703125" style="221" customWidth="1"/>
    <col min="12097" max="12097" width="2.140625" style="221" customWidth="1"/>
    <col min="12098" max="12098" width="0.5703125" style="221" customWidth="1"/>
    <col min="12099" max="12099" width="2.140625" style="221" customWidth="1"/>
    <col min="12100" max="12100" width="0.5703125" style="221" customWidth="1"/>
    <col min="12101" max="12101" width="2.140625" style="221" customWidth="1"/>
    <col min="12102" max="12102" width="0.5703125" style="221" customWidth="1"/>
    <col min="12103" max="12103" width="2.140625" style="221" customWidth="1"/>
    <col min="12104" max="12104" width="0.5703125" style="221" customWidth="1"/>
    <col min="12105" max="12105" width="2.140625" style="221" customWidth="1"/>
    <col min="12106" max="12106" width="0.5703125" style="221" customWidth="1"/>
    <col min="12107" max="12107" width="2.140625" style="221" customWidth="1"/>
    <col min="12108" max="12108" width="0.5703125" style="221" customWidth="1"/>
    <col min="12109" max="12109" width="2.140625" style="221" customWidth="1"/>
    <col min="12110" max="12110" width="0.5703125" style="221" customWidth="1"/>
    <col min="12111" max="12111" width="2.140625" style="221" customWidth="1"/>
    <col min="12112" max="12112" width="0.5703125" style="221" customWidth="1"/>
    <col min="12113" max="12113" width="2.140625" style="221" customWidth="1"/>
    <col min="12114" max="12114" width="0.5703125" style="221" customWidth="1"/>
    <col min="12115" max="12115" width="2.140625" style="221" customWidth="1"/>
    <col min="12116" max="12116" width="0.5703125" style="221" customWidth="1"/>
    <col min="12117" max="12117" width="2.140625" style="221" customWidth="1"/>
    <col min="12118" max="12118" width="0.5703125" style="221" customWidth="1"/>
    <col min="12119" max="12120" width="2.5703125" style="221" customWidth="1"/>
    <col min="12121"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7109375" style="221" customWidth="1"/>
    <col min="12294" max="12294" width="1.140625" style="221" customWidth="1"/>
    <col min="12295" max="12299" width="0.7109375" style="221" customWidth="1"/>
    <col min="12300" max="12300" width="0.5703125" style="221" customWidth="1"/>
    <col min="12301" max="12313" width="0.7109375" style="221" customWidth="1"/>
    <col min="12314" max="12314" width="1.4257812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 style="221" customWidth="1"/>
    <col min="12351" max="12352" width="0.5703125" style="221" customWidth="1"/>
    <col min="12353" max="12353" width="2.140625" style="221" customWidth="1"/>
    <col min="12354" max="12354" width="0.5703125" style="221" customWidth="1"/>
    <col min="12355" max="12355" width="2.140625" style="221" customWidth="1"/>
    <col min="12356" max="12356" width="0.5703125" style="221" customWidth="1"/>
    <col min="12357" max="12357" width="2.140625" style="221" customWidth="1"/>
    <col min="12358" max="12358" width="0.5703125" style="221" customWidth="1"/>
    <col min="12359" max="12359" width="2.140625" style="221" customWidth="1"/>
    <col min="12360" max="12360" width="0.5703125" style="221" customWidth="1"/>
    <col min="12361" max="12361" width="2.140625" style="221" customWidth="1"/>
    <col min="12362" max="12362" width="0.5703125" style="221" customWidth="1"/>
    <col min="12363" max="12363" width="2.140625" style="221" customWidth="1"/>
    <col min="12364" max="12364" width="0.5703125" style="221" customWidth="1"/>
    <col min="12365" max="12365" width="2.140625" style="221" customWidth="1"/>
    <col min="12366" max="12366" width="0.5703125" style="221" customWidth="1"/>
    <col min="12367" max="12367" width="2.140625" style="221" customWidth="1"/>
    <col min="12368" max="12368" width="0.5703125" style="221" customWidth="1"/>
    <col min="12369" max="12369" width="2.140625" style="221" customWidth="1"/>
    <col min="12370" max="12370" width="0.5703125" style="221" customWidth="1"/>
    <col min="12371" max="12371" width="2.140625" style="221" customWidth="1"/>
    <col min="12372" max="12372" width="0.5703125" style="221" customWidth="1"/>
    <col min="12373" max="12373" width="2.140625" style="221" customWidth="1"/>
    <col min="12374" max="12374" width="0.5703125" style="221" customWidth="1"/>
    <col min="12375" max="12376" width="2.5703125" style="221" customWidth="1"/>
    <col min="12377"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7109375" style="221" customWidth="1"/>
    <col min="12550" max="12550" width="1.140625" style="221" customWidth="1"/>
    <col min="12551" max="12555" width="0.7109375" style="221" customWidth="1"/>
    <col min="12556" max="12556" width="0.5703125" style="221" customWidth="1"/>
    <col min="12557" max="12569" width="0.7109375" style="221" customWidth="1"/>
    <col min="12570" max="12570" width="1.4257812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 style="221" customWidth="1"/>
    <col min="12607" max="12608" width="0.5703125" style="221" customWidth="1"/>
    <col min="12609" max="12609" width="2.140625" style="221" customWidth="1"/>
    <col min="12610" max="12610" width="0.5703125" style="221" customWidth="1"/>
    <col min="12611" max="12611" width="2.140625" style="221" customWidth="1"/>
    <col min="12612" max="12612" width="0.5703125" style="221" customWidth="1"/>
    <col min="12613" max="12613" width="2.140625" style="221" customWidth="1"/>
    <col min="12614" max="12614" width="0.5703125" style="221" customWidth="1"/>
    <col min="12615" max="12615" width="2.140625" style="221" customWidth="1"/>
    <col min="12616" max="12616" width="0.5703125" style="221" customWidth="1"/>
    <col min="12617" max="12617" width="2.140625" style="221" customWidth="1"/>
    <col min="12618" max="12618" width="0.5703125" style="221" customWidth="1"/>
    <col min="12619" max="12619" width="2.140625" style="221" customWidth="1"/>
    <col min="12620" max="12620" width="0.5703125" style="221" customWidth="1"/>
    <col min="12621" max="12621" width="2.140625" style="221" customWidth="1"/>
    <col min="12622" max="12622" width="0.5703125" style="221" customWidth="1"/>
    <col min="12623" max="12623" width="2.140625" style="221" customWidth="1"/>
    <col min="12624" max="12624" width="0.5703125" style="221" customWidth="1"/>
    <col min="12625" max="12625" width="2.140625" style="221" customWidth="1"/>
    <col min="12626" max="12626" width="0.5703125" style="221" customWidth="1"/>
    <col min="12627" max="12627" width="2.140625" style="221" customWidth="1"/>
    <col min="12628" max="12628" width="0.5703125" style="221" customWidth="1"/>
    <col min="12629" max="12629" width="2.140625" style="221" customWidth="1"/>
    <col min="12630" max="12630" width="0.5703125" style="221" customWidth="1"/>
    <col min="12631" max="12632" width="2.5703125" style="221" customWidth="1"/>
    <col min="12633"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7109375" style="221" customWidth="1"/>
    <col min="12806" max="12806" width="1.140625" style="221" customWidth="1"/>
    <col min="12807" max="12811" width="0.7109375" style="221" customWidth="1"/>
    <col min="12812" max="12812" width="0.5703125" style="221" customWidth="1"/>
    <col min="12813" max="12825" width="0.7109375" style="221" customWidth="1"/>
    <col min="12826" max="12826" width="1.4257812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 style="221" customWidth="1"/>
    <col min="12863" max="12864" width="0.5703125" style="221" customWidth="1"/>
    <col min="12865" max="12865" width="2.140625" style="221" customWidth="1"/>
    <col min="12866" max="12866" width="0.5703125" style="221" customWidth="1"/>
    <col min="12867" max="12867" width="2.140625" style="221" customWidth="1"/>
    <col min="12868" max="12868" width="0.5703125" style="221" customWidth="1"/>
    <col min="12869" max="12869" width="2.140625" style="221" customWidth="1"/>
    <col min="12870" max="12870" width="0.5703125" style="221" customWidth="1"/>
    <col min="12871" max="12871" width="2.140625" style="221" customWidth="1"/>
    <col min="12872" max="12872" width="0.5703125" style="221" customWidth="1"/>
    <col min="12873" max="12873" width="2.140625" style="221" customWidth="1"/>
    <col min="12874" max="12874" width="0.5703125" style="221" customWidth="1"/>
    <col min="12875" max="12875" width="2.140625" style="221" customWidth="1"/>
    <col min="12876" max="12876" width="0.5703125" style="221" customWidth="1"/>
    <col min="12877" max="12877" width="2.140625" style="221" customWidth="1"/>
    <col min="12878" max="12878" width="0.5703125" style="221" customWidth="1"/>
    <col min="12879" max="12879" width="2.140625" style="221" customWidth="1"/>
    <col min="12880" max="12880" width="0.5703125" style="221" customWidth="1"/>
    <col min="12881" max="12881" width="2.140625" style="221" customWidth="1"/>
    <col min="12882" max="12882" width="0.5703125" style="221" customWidth="1"/>
    <col min="12883" max="12883" width="2.140625" style="221" customWidth="1"/>
    <col min="12884" max="12884" width="0.5703125" style="221" customWidth="1"/>
    <col min="12885" max="12885" width="2.140625" style="221" customWidth="1"/>
    <col min="12886" max="12886" width="0.5703125" style="221" customWidth="1"/>
    <col min="12887" max="12888" width="2.5703125" style="221" customWidth="1"/>
    <col min="12889"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7109375" style="221" customWidth="1"/>
    <col min="13062" max="13062" width="1.140625" style="221" customWidth="1"/>
    <col min="13063" max="13067" width="0.7109375" style="221" customWidth="1"/>
    <col min="13068" max="13068" width="0.5703125" style="221" customWidth="1"/>
    <col min="13069" max="13081" width="0.7109375" style="221" customWidth="1"/>
    <col min="13082" max="13082" width="1.4257812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 style="221" customWidth="1"/>
    <col min="13119" max="13120" width="0.5703125" style="221" customWidth="1"/>
    <col min="13121" max="13121" width="2.140625" style="221" customWidth="1"/>
    <col min="13122" max="13122" width="0.5703125" style="221" customWidth="1"/>
    <col min="13123" max="13123" width="2.140625" style="221" customWidth="1"/>
    <col min="13124" max="13124" width="0.5703125" style="221" customWidth="1"/>
    <col min="13125" max="13125" width="2.140625" style="221" customWidth="1"/>
    <col min="13126" max="13126" width="0.5703125" style="221" customWidth="1"/>
    <col min="13127" max="13127" width="2.140625" style="221" customWidth="1"/>
    <col min="13128" max="13128" width="0.5703125" style="221" customWidth="1"/>
    <col min="13129" max="13129" width="2.140625" style="221" customWidth="1"/>
    <col min="13130" max="13130" width="0.5703125" style="221" customWidth="1"/>
    <col min="13131" max="13131" width="2.140625" style="221" customWidth="1"/>
    <col min="13132" max="13132" width="0.5703125" style="221" customWidth="1"/>
    <col min="13133" max="13133" width="2.140625" style="221" customWidth="1"/>
    <col min="13134" max="13134" width="0.5703125" style="221" customWidth="1"/>
    <col min="13135" max="13135" width="2.140625" style="221" customWidth="1"/>
    <col min="13136" max="13136" width="0.5703125" style="221" customWidth="1"/>
    <col min="13137" max="13137" width="2.140625" style="221" customWidth="1"/>
    <col min="13138" max="13138" width="0.5703125" style="221" customWidth="1"/>
    <col min="13139" max="13139" width="2.140625" style="221" customWidth="1"/>
    <col min="13140" max="13140" width="0.5703125" style="221" customWidth="1"/>
    <col min="13141" max="13141" width="2.140625" style="221" customWidth="1"/>
    <col min="13142" max="13142" width="0.5703125" style="221" customWidth="1"/>
    <col min="13143" max="13144" width="2.5703125" style="221" customWidth="1"/>
    <col min="13145"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7109375" style="221" customWidth="1"/>
    <col min="13318" max="13318" width="1.140625" style="221" customWidth="1"/>
    <col min="13319" max="13323" width="0.7109375" style="221" customWidth="1"/>
    <col min="13324" max="13324" width="0.5703125" style="221" customWidth="1"/>
    <col min="13325" max="13337" width="0.7109375" style="221" customWidth="1"/>
    <col min="13338" max="13338" width="1.4257812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 style="221" customWidth="1"/>
    <col min="13375" max="13376" width="0.5703125" style="221" customWidth="1"/>
    <col min="13377" max="13377" width="2.140625" style="221" customWidth="1"/>
    <col min="13378" max="13378" width="0.5703125" style="221" customWidth="1"/>
    <col min="13379" max="13379" width="2.140625" style="221" customWidth="1"/>
    <col min="13380" max="13380" width="0.5703125" style="221" customWidth="1"/>
    <col min="13381" max="13381" width="2.140625" style="221" customWidth="1"/>
    <col min="13382" max="13382" width="0.5703125" style="221" customWidth="1"/>
    <col min="13383" max="13383" width="2.140625" style="221" customWidth="1"/>
    <col min="13384" max="13384" width="0.5703125" style="221" customWidth="1"/>
    <col min="13385" max="13385" width="2.140625" style="221" customWidth="1"/>
    <col min="13386" max="13386" width="0.5703125" style="221" customWidth="1"/>
    <col min="13387" max="13387" width="2.140625" style="221" customWidth="1"/>
    <col min="13388" max="13388" width="0.5703125" style="221" customWidth="1"/>
    <col min="13389" max="13389" width="2.140625" style="221" customWidth="1"/>
    <col min="13390" max="13390" width="0.5703125" style="221" customWidth="1"/>
    <col min="13391" max="13391" width="2.140625" style="221" customWidth="1"/>
    <col min="13392" max="13392" width="0.5703125" style="221" customWidth="1"/>
    <col min="13393" max="13393" width="2.140625" style="221" customWidth="1"/>
    <col min="13394" max="13394" width="0.5703125" style="221" customWidth="1"/>
    <col min="13395" max="13395" width="2.140625" style="221" customWidth="1"/>
    <col min="13396" max="13396" width="0.5703125" style="221" customWidth="1"/>
    <col min="13397" max="13397" width="2.140625" style="221" customWidth="1"/>
    <col min="13398" max="13398" width="0.5703125" style="221" customWidth="1"/>
    <col min="13399" max="13400" width="2.5703125" style="221" customWidth="1"/>
    <col min="13401"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7109375" style="221" customWidth="1"/>
    <col min="13574" max="13574" width="1.140625" style="221" customWidth="1"/>
    <col min="13575" max="13579" width="0.7109375" style="221" customWidth="1"/>
    <col min="13580" max="13580" width="0.5703125" style="221" customWidth="1"/>
    <col min="13581" max="13593" width="0.7109375" style="221" customWidth="1"/>
    <col min="13594" max="13594" width="1.4257812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 style="221" customWidth="1"/>
    <col min="13631" max="13632" width="0.5703125" style="221" customWidth="1"/>
    <col min="13633" max="13633" width="2.140625" style="221" customWidth="1"/>
    <col min="13634" max="13634" width="0.5703125" style="221" customWidth="1"/>
    <col min="13635" max="13635" width="2.140625" style="221" customWidth="1"/>
    <col min="13636" max="13636" width="0.5703125" style="221" customWidth="1"/>
    <col min="13637" max="13637" width="2.140625" style="221" customWidth="1"/>
    <col min="13638" max="13638" width="0.5703125" style="221" customWidth="1"/>
    <col min="13639" max="13639" width="2.140625" style="221" customWidth="1"/>
    <col min="13640" max="13640" width="0.5703125" style="221" customWidth="1"/>
    <col min="13641" max="13641" width="2.140625" style="221" customWidth="1"/>
    <col min="13642" max="13642" width="0.5703125" style="221" customWidth="1"/>
    <col min="13643" max="13643" width="2.140625" style="221" customWidth="1"/>
    <col min="13644" max="13644" width="0.5703125" style="221" customWidth="1"/>
    <col min="13645" max="13645" width="2.140625" style="221" customWidth="1"/>
    <col min="13646" max="13646" width="0.5703125" style="221" customWidth="1"/>
    <col min="13647" max="13647" width="2.140625" style="221" customWidth="1"/>
    <col min="13648" max="13648" width="0.5703125" style="221" customWidth="1"/>
    <col min="13649" max="13649" width="2.140625" style="221" customWidth="1"/>
    <col min="13650" max="13650" width="0.5703125" style="221" customWidth="1"/>
    <col min="13651" max="13651" width="2.140625" style="221" customWidth="1"/>
    <col min="13652" max="13652" width="0.5703125" style="221" customWidth="1"/>
    <col min="13653" max="13653" width="2.140625" style="221" customWidth="1"/>
    <col min="13654" max="13654" width="0.5703125" style="221" customWidth="1"/>
    <col min="13655" max="13656" width="2.5703125" style="221" customWidth="1"/>
    <col min="13657"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7109375" style="221" customWidth="1"/>
    <col min="13830" max="13830" width="1.140625" style="221" customWidth="1"/>
    <col min="13831" max="13835" width="0.7109375" style="221" customWidth="1"/>
    <col min="13836" max="13836" width="0.5703125" style="221" customWidth="1"/>
    <col min="13837" max="13849" width="0.7109375" style="221" customWidth="1"/>
    <col min="13850" max="13850" width="1.4257812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 style="221" customWidth="1"/>
    <col min="13887" max="13888" width="0.5703125" style="221" customWidth="1"/>
    <col min="13889" max="13889" width="2.140625" style="221" customWidth="1"/>
    <col min="13890" max="13890" width="0.5703125" style="221" customWidth="1"/>
    <col min="13891" max="13891" width="2.140625" style="221" customWidth="1"/>
    <col min="13892" max="13892" width="0.5703125" style="221" customWidth="1"/>
    <col min="13893" max="13893" width="2.140625" style="221" customWidth="1"/>
    <col min="13894" max="13894" width="0.5703125" style="221" customWidth="1"/>
    <col min="13895" max="13895" width="2.140625" style="221" customWidth="1"/>
    <col min="13896" max="13896" width="0.5703125" style="221" customWidth="1"/>
    <col min="13897" max="13897" width="2.140625" style="221" customWidth="1"/>
    <col min="13898" max="13898" width="0.5703125" style="221" customWidth="1"/>
    <col min="13899" max="13899" width="2.140625" style="221" customWidth="1"/>
    <col min="13900" max="13900" width="0.5703125" style="221" customWidth="1"/>
    <col min="13901" max="13901" width="2.140625" style="221" customWidth="1"/>
    <col min="13902" max="13902" width="0.5703125" style="221" customWidth="1"/>
    <col min="13903" max="13903" width="2.140625" style="221" customWidth="1"/>
    <col min="13904" max="13904" width="0.5703125" style="221" customWidth="1"/>
    <col min="13905" max="13905" width="2.140625" style="221" customWidth="1"/>
    <col min="13906" max="13906" width="0.5703125" style="221" customWidth="1"/>
    <col min="13907" max="13907" width="2.140625" style="221" customWidth="1"/>
    <col min="13908" max="13908" width="0.5703125" style="221" customWidth="1"/>
    <col min="13909" max="13909" width="2.140625" style="221" customWidth="1"/>
    <col min="13910" max="13910" width="0.5703125" style="221" customWidth="1"/>
    <col min="13911" max="13912" width="2.5703125" style="221" customWidth="1"/>
    <col min="13913"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7109375" style="221" customWidth="1"/>
    <col min="14086" max="14086" width="1.140625" style="221" customWidth="1"/>
    <col min="14087" max="14091" width="0.7109375" style="221" customWidth="1"/>
    <col min="14092" max="14092" width="0.5703125" style="221" customWidth="1"/>
    <col min="14093" max="14105" width="0.7109375" style="221" customWidth="1"/>
    <col min="14106" max="14106" width="1.4257812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 style="221" customWidth="1"/>
    <col min="14143" max="14144" width="0.5703125" style="221" customWidth="1"/>
    <col min="14145" max="14145" width="2.140625" style="221" customWidth="1"/>
    <col min="14146" max="14146" width="0.5703125" style="221" customWidth="1"/>
    <col min="14147" max="14147" width="2.140625" style="221" customWidth="1"/>
    <col min="14148" max="14148" width="0.5703125" style="221" customWidth="1"/>
    <col min="14149" max="14149" width="2.140625" style="221" customWidth="1"/>
    <col min="14150" max="14150" width="0.5703125" style="221" customWidth="1"/>
    <col min="14151" max="14151" width="2.140625" style="221" customWidth="1"/>
    <col min="14152" max="14152" width="0.5703125" style="221" customWidth="1"/>
    <col min="14153" max="14153" width="2.140625" style="221" customWidth="1"/>
    <col min="14154" max="14154" width="0.5703125" style="221" customWidth="1"/>
    <col min="14155" max="14155" width="2.140625" style="221" customWidth="1"/>
    <col min="14156" max="14156" width="0.5703125" style="221" customWidth="1"/>
    <col min="14157" max="14157" width="2.140625" style="221" customWidth="1"/>
    <col min="14158" max="14158" width="0.5703125" style="221" customWidth="1"/>
    <col min="14159" max="14159" width="2.140625" style="221" customWidth="1"/>
    <col min="14160" max="14160" width="0.5703125" style="221" customWidth="1"/>
    <col min="14161" max="14161" width="2.140625" style="221" customWidth="1"/>
    <col min="14162" max="14162" width="0.5703125" style="221" customWidth="1"/>
    <col min="14163" max="14163" width="2.140625" style="221" customWidth="1"/>
    <col min="14164" max="14164" width="0.5703125" style="221" customWidth="1"/>
    <col min="14165" max="14165" width="2.140625" style="221" customWidth="1"/>
    <col min="14166" max="14166" width="0.5703125" style="221" customWidth="1"/>
    <col min="14167" max="14168" width="2.5703125" style="221" customWidth="1"/>
    <col min="14169"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7109375" style="221" customWidth="1"/>
    <col min="14342" max="14342" width="1.140625" style="221" customWidth="1"/>
    <col min="14343" max="14347" width="0.7109375" style="221" customWidth="1"/>
    <col min="14348" max="14348" width="0.5703125" style="221" customWidth="1"/>
    <col min="14349" max="14361" width="0.7109375" style="221" customWidth="1"/>
    <col min="14362" max="14362" width="1.4257812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 style="221" customWidth="1"/>
    <col min="14399" max="14400" width="0.5703125" style="221" customWidth="1"/>
    <col min="14401" max="14401" width="2.140625" style="221" customWidth="1"/>
    <col min="14402" max="14402" width="0.5703125" style="221" customWidth="1"/>
    <col min="14403" max="14403" width="2.140625" style="221" customWidth="1"/>
    <col min="14404" max="14404" width="0.5703125" style="221" customWidth="1"/>
    <col min="14405" max="14405" width="2.140625" style="221" customWidth="1"/>
    <col min="14406" max="14406" width="0.5703125" style="221" customWidth="1"/>
    <col min="14407" max="14407" width="2.140625" style="221" customWidth="1"/>
    <col min="14408" max="14408" width="0.5703125" style="221" customWidth="1"/>
    <col min="14409" max="14409" width="2.140625" style="221" customWidth="1"/>
    <col min="14410" max="14410" width="0.5703125" style="221" customWidth="1"/>
    <col min="14411" max="14411" width="2.140625" style="221" customWidth="1"/>
    <col min="14412" max="14412" width="0.5703125" style="221" customWidth="1"/>
    <col min="14413" max="14413" width="2.140625" style="221" customWidth="1"/>
    <col min="14414" max="14414" width="0.5703125" style="221" customWidth="1"/>
    <col min="14415" max="14415" width="2.140625" style="221" customWidth="1"/>
    <col min="14416" max="14416" width="0.5703125" style="221" customWidth="1"/>
    <col min="14417" max="14417" width="2.140625" style="221" customWidth="1"/>
    <col min="14418" max="14418" width="0.5703125" style="221" customWidth="1"/>
    <col min="14419" max="14419" width="2.140625" style="221" customWidth="1"/>
    <col min="14420" max="14420" width="0.5703125" style="221" customWidth="1"/>
    <col min="14421" max="14421" width="2.140625" style="221" customWidth="1"/>
    <col min="14422" max="14422" width="0.5703125" style="221" customWidth="1"/>
    <col min="14423" max="14424" width="2.5703125" style="221" customWidth="1"/>
    <col min="14425"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7109375" style="221" customWidth="1"/>
    <col min="14598" max="14598" width="1.140625" style="221" customWidth="1"/>
    <col min="14599" max="14603" width="0.7109375" style="221" customWidth="1"/>
    <col min="14604" max="14604" width="0.5703125" style="221" customWidth="1"/>
    <col min="14605" max="14617" width="0.7109375" style="221" customWidth="1"/>
    <col min="14618" max="14618" width="1.4257812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 style="221" customWidth="1"/>
    <col min="14655" max="14656" width="0.5703125" style="221" customWidth="1"/>
    <col min="14657" max="14657" width="2.140625" style="221" customWidth="1"/>
    <col min="14658" max="14658" width="0.5703125" style="221" customWidth="1"/>
    <col min="14659" max="14659" width="2.140625" style="221" customWidth="1"/>
    <col min="14660" max="14660" width="0.5703125" style="221" customWidth="1"/>
    <col min="14661" max="14661" width="2.140625" style="221" customWidth="1"/>
    <col min="14662" max="14662" width="0.5703125" style="221" customWidth="1"/>
    <col min="14663" max="14663" width="2.140625" style="221" customWidth="1"/>
    <col min="14664" max="14664" width="0.5703125" style="221" customWidth="1"/>
    <col min="14665" max="14665" width="2.140625" style="221" customWidth="1"/>
    <col min="14666" max="14666" width="0.5703125" style="221" customWidth="1"/>
    <col min="14667" max="14667" width="2.140625" style="221" customWidth="1"/>
    <col min="14668" max="14668" width="0.5703125" style="221" customWidth="1"/>
    <col min="14669" max="14669" width="2.140625" style="221" customWidth="1"/>
    <col min="14670" max="14670" width="0.5703125" style="221" customWidth="1"/>
    <col min="14671" max="14671" width="2.140625" style="221" customWidth="1"/>
    <col min="14672" max="14672" width="0.5703125" style="221" customWidth="1"/>
    <col min="14673" max="14673" width="2.140625" style="221" customWidth="1"/>
    <col min="14674" max="14674" width="0.5703125" style="221" customWidth="1"/>
    <col min="14675" max="14675" width="2.140625" style="221" customWidth="1"/>
    <col min="14676" max="14676" width="0.5703125" style="221" customWidth="1"/>
    <col min="14677" max="14677" width="2.140625" style="221" customWidth="1"/>
    <col min="14678" max="14678" width="0.5703125" style="221" customWidth="1"/>
    <col min="14679" max="14680" width="2.5703125" style="221" customWidth="1"/>
    <col min="14681"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7109375" style="221" customWidth="1"/>
    <col min="14854" max="14854" width="1.140625" style="221" customWidth="1"/>
    <col min="14855" max="14859" width="0.7109375" style="221" customWidth="1"/>
    <col min="14860" max="14860" width="0.5703125" style="221" customWidth="1"/>
    <col min="14861" max="14873" width="0.7109375" style="221" customWidth="1"/>
    <col min="14874" max="14874" width="1.4257812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 style="221" customWidth="1"/>
    <col min="14911" max="14912" width="0.5703125" style="221" customWidth="1"/>
    <col min="14913" max="14913" width="2.140625" style="221" customWidth="1"/>
    <col min="14914" max="14914" width="0.5703125" style="221" customWidth="1"/>
    <col min="14915" max="14915" width="2.140625" style="221" customWidth="1"/>
    <col min="14916" max="14916" width="0.5703125" style="221" customWidth="1"/>
    <col min="14917" max="14917" width="2.140625" style="221" customWidth="1"/>
    <col min="14918" max="14918" width="0.5703125" style="221" customWidth="1"/>
    <col min="14919" max="14919" width="2.140625" style="221" customWidth="1"/>
    <col min="14920" max="14920" width="0.5703125" style="221" customWidth="1"/>
    <col min="14921" max="14921" width="2.140625" style="221" customWidth="1"/>
    <col min="14922" max="14922" width="0.5703125" style="221" customWidth="1"/>
    <col min="14923" max="14923" width="2.140625" style="221" customWidth="1"/>
    <col min="14924" max="14924" width="0.5703125" style="221" customWidth="1"/>
    <col min="14925" max="14925" width="2.140625" style="221" customWidth="1"/>
    <col min="14926" max="14926" width="0.5703125" style="221" customWidth="1"/>
    <col min="14927" max="14927" width="2.140625" style="221" customWidth="1"/>
    <col min="14928" max="14928" width="0.5703125" style="221" customWidth="1"/>
    <col min="14929" max="14929" width="2.140625" style="221" customWidth="1"/>
    <col min="14930" max="14930" width="0.5703125" style="221" customWidth="1"/>
    <col min="14931" max="14931" width="2.140625" style="221" customWidth="1"/>
    <col min="14932" max="14932" width="0.5703125" style="221" customWidth="1"/>
    <col min="14933" max="14933" width="2.140625" style="221" customWidth="1"/>
    <col min="14934" max="14934" width="0.5703125" style="221" customWidth="1"/>
    <col min="14935" max="14936" width="2.5703125" style="221" customWidth="1"/>
    <col min="14937"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7109375" style="221" customWidth="1"/>
    <col min="15110" max="15110" width="1.140625" style="221" customWidth="1"/>
    <col min="15111" max="15115" width="0.7109375" style="221" customWidth="1"/>
    <col min="15116" max="15116" width="0.5703125" style="221" customWidth="1"/>
    <col min="15117" max="15129" width="0.7109375" style="221" customWidth="1"/>
    <col min="15130" max="15130" width="1.4257812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 style="221" customWidth="1"/>
    <col min="15167" max="15168" width="0.5703125" style="221" customWidth="1"/>
    <col min="15169" max="15169" width="2.140625" style="221" customWidth="1"/>
    <col min="15170" max="15170" width="0.5703125" style="221" customWidth="1"/>
    <col min="15171" max="15171" width="2.140625" style="221" customWidth="1"/>
    <col min="15172" max="15172" width="0.5703125" style="221" customWidth="1"/>
    <col min="15173" max="15173" width="2.140625" style="221" customWidth="1"/>
    <col min="15174" max="15174" width="0.5703125" style="221" customWidth="1"/>
    <col min="15175" max="15175" width="2.140625" style="221" customWidth="1"/>
    <col min="15176" max="15176" width="0.5703125" style="221" customWidth="1"/>
    <col min="15177" max="15177" width="2.140625" style="221" customWidth="1"/>
    <col min="15178" max="15178" width="0.5703125" style="221" customWidth="1"/>
    <col min="15179" max="15179" width="2.140625" style="221" customWidth="1"/>
    <col min="15180" max="15180" width="0.5703125" style="221" customWidth="1"/>
    <col min="15181" max="15181" width="2.140625" style="221" customWidth="1"/>
    <col min="15182" max="15182" width="0.5703125" style="221" customWidth="1"/>
    <col min="15183" max="15183" width="2.140625" style="221" customWidth="1"/>
    <col min="15184" max="15184" width="0.5703125" style="221" customWidth="1"/>
    <col min="15185" max="15185" width="2.140625" style="221" customWidth="1"/>
    <col min="15186" max="15186" width="0.5703125" style="221" customWidth="1"/>
    <col min="15187" max="15187" width="2.140625" style="221" customWidth="1"/>
    <col min="15188" max="15188" width="0.5703125" style="221" customWidth="1"/>
    <col min="15189" max="15189" width="2.140625" style="221" customWidth="1"/>
    <col min="15190" max="15190" width="0.5703125" style="221" customWidth="1"/>
    <col min="15191" max="15192" width="2.5703125" style="221" customWidth="1"/>
    <col min="15193"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7109375" style="221" customWidth="1"/>
    <col min="15366" max="15366" width="1.140625" style="221" customWidth="1"/>
    <col min="15367" max="15371" width="0.7109375" style="221" customWidth="1"/>
    <col min="15372" max="15372" width="0.5703125" style="221" customWidth="1"/>
    <col min="15373" max="15385" width="0.7109375" style="221" customWidth="1"/>
    <col min="15386" max="15386" width="1.4257812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 style="221" customWidth="1"/>
    <col min="15423" max="15424" width="0.5703125" style="221" customWidth="1"/>
    <col min="15425" max="15425" width="2.140625" style="221" customWidth="1"/>
    <col min="15426" max="15426" width="0.5703125" style="221" customWidth="1"/>
    <col min="15427" max="15427" width="2.140625" style="221" customWidth="1"/>
    <col min="15428" max="15428" width="0.5703125" style="221" customWidth="1"/>
    <col min="15429" max="15429" width="2.140625" style="221" customWidth="1"/>
    <col min="15430" max="15430" width="0.5703125" style="221" customWidth="1"/>
    <col min="15431" max="15431" width="2.140625" style="221" customWidth="1"/>
    <col min="15432" max="15432" width="0.5703125" style="221" customWidth="1"/>
    <col min="15433" max="15433" width="2.140625" style="221" customWidth="1"/>
    <col min="15434" max="15434" width="0.5703125" style="221" customWidth="1"/>
    <col min="15435" max="15435" width="2.140625" style="221" customWidth="1"/>
    <col min="15436" max="15436" width="0.5703125" style="221" customWidth="1"/>
    <col min="15437" max="15437" width="2.140625" style="221" customWidth="1"/>
    <col min="15438" max="15438" width="0.5703125" style="221" customWidth="1"/>
    <col min="15439" max="15439" width="2.140625" style="221" customWidth="1"/>
    <col min="15440" max="15440" width="0.5703125" style="221" customWidth="1"/>
    <col min="15441" max="15441" width="2.140625" style="221" customWidth="1"/>
    <col min="15442" max="15442" width="0.5703125" style="221" customWidth="1"/>
    <col min="15443" max="15443" width="2.140625" style="221" customWidth="1"/>
    <col min="15444" max="15444" width="0.5703125" style="221" customWidth="1"/>
    <col min="15445" max="15445" width="2.140625" style="221" customWidth="1"/>
    <col min="15446" max="15446" width="0.5703125" style="221" customWidth="1"/>
    <col min="15447" max="15448" width="2.5703125" style="221" customWidth="1"/>
    <col min="15449"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7109375" style="221" customWidth="1"/>
    <col min="15622" max="15622" width="1.140625" style="221" customWidth="1"/>
    <col min="15623" max="15627" width="0.7109375" style="221" customWidth="1"/>
    <col min="15628" max="15628" width="0.5703125" style="221" customWidth="1"/>
    <col min="15629" max="15641" width="0.7109375" style="221" customWidth="1"/>
    <col min="15642" max="15642" width="1.4257812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 style="221" customWidth="1"/>
    <col min="15679" max="15680" width="0.5703125" style="221" customWidth="1"/>
    <col min="15681" max="15681" width="2.140625" style="221" customWidth="1"/>
    <col min="15682" max="15682" width="0.5703125" style="221" customWidth="1"/>
    <col min="15683" max="15683" width="2.140625" style="221" customWidth="1"/>
    <col min="15684" max="15684" width="0.5703125" style="221" customWidth="1"/>
    <col min="15685" max="15685" width="2.140625" style="221" customWidth="1"/>
    <col min="15686" max="15686" width="0.5703125" style="221" customWidth="1"/>
    <col min="15687" max="15687" width="2.140625" style="221" customWidth="1"/>
    <col min="15688" max="15688" width="0.5703125" style="221" customWidth="1"/>
    <col min="15689" max="15689" width="2.140625" style="221" customWidth="1"/>
    <col min="15690" max="15690" width="0.5703125" style="221" customWidth="1"/>
    <col min="15691" max="15691" width="2.140625" style="221" customWidth="1"/>
    <col min="15692" max="15692" width="0.5703125" style="221" customWidth="1"/>
    <col min="15693" max="15693" width="2.140625" style="221" customWidth="1"/>
    <col min="15694" max="15694" width="0.5703125" style="221" customWidth="1"/>
    <col min="15695" max="15695" width="2.140625" style="221" customWidth="1"/>
    <col min="15696" max="15696" width="0.5703125" style="221" customWidth="1"/>
    <col min="15697" max="15697" width="2.140625" style="221" customWidth="1"/>
    <col min="15698" max="15698" width="0.5703125" style="221" customWidth="1"/>
    <col min="15699" max="15699" width="2.140625" style="221" customWidth="1"/>
    <col min="15700" max="15700" width="0.5703125" style="221" customWidth="1"/>
    <col min="15701" max="15701" width="2.140625" style="221" customWidth="1"/>
    <col min="15702" max="15702" width="0.5703125" style="221" customWidth="1"/>
    <col min="15703" max="15704" width="2.5703125" style="221" customWidth="1"/>
    <col min="15705"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7109375" style="221" customWidth="1"/>
    <col min="15878" max="15878" width="1.140625" style="221" customWidth="1"/>
    <col min="15879" max="15883" width="0.7109375" style="221" customWidth="1"/>
    <col min="15884" max="15884" width="0.5703125" style="221" customWidth="1"/>
    <col min="15885" max="15897" width="0.7109375" style="221" customWidth="1"/>
    <col min="15898" max="15898" width="1.4257812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 style="221" customWidth="1"/>
    <col min="15935" max="15936" width="0.5703125" style="221" customWidth="1"/>
    <col min="15937" max="15937" width="2.140625" style="221" customWidth="1"/>
    <col min="15938" max="15938" width="0.5703125" style="221" customWidth="1"/>
    <col min="15939" max="15939" width="2.140625" style="221" customWidth="1"/>
    <col min="15940" max="15940" width="0.5703125" style="221" customWidth="1"/>
    <col min="15941" max="15941" width="2.140625" style="221" customWidth="1"/>
    <col min="15942" max="15942" width="0.5703125" style="221" customWidth="1"/>
    <col min="15943" max="15943" width="2.140625" style="221" customWidth="1"/>
    <col min="15944" max="15944" width="0.5703125" style="221" customWidth="1"/>
    <col min="15945" max="15945" width="2.140625" style="221" customWidth="1"/>
    <col min="15946" max="15946" width="0.5703125" style="221" customWidth="1"/>
    <col min="15947" max="15947" width="2.140625" style="221" customWidth="1"/>
    <col min="15948" max="15948" width="0.5703125" style="221" customWidth="1"/>
    <col min="15949" max="15949" width="2.140625" style="221" customWidth="1"/>
    <col min="15950" max="15950" width="0.5703125" style="221" customWidth="1"/>
    <col min="15951" max="15951" width="2.140625" style="221" customWidth="1"/>
    <col min="15952" max="15952" width="0.5703125" style="221" customWidth="1"/>
    <col min="15953" max="15953" width="2.140625" style="221" customWidth="1"/>
    <col min="15954" max="15954" width="0.5703125" style="221" customWidth="1"/>
    <col min="15955" max="15955" width="2.140625" style="221" customWidth="1"/>
    <col min="15956" max="15956" width="0.5703125" style="221" customWidth="1"/>
    <col min="15957" max="15957" width="2.140625" style="221" customWidth="1"/>
    <col min="15958" max="15958" width="0.5703125" style="221" customWidth="1"/>
    <col min="15959" max="15960" width="2.5703125" style="221" customWidth="1"/>
    <col min="15961"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7109375" style="221" customWidth="1"/>
    <col min="16134" max="16134" width="1.140625" style="221" customWidth="1"/>
    <col min="16135" max="16139" width="0.7109375" style="221" customWidth="1"/>
    <col min="16140" max="16140" width="0.5703125" style="221" customWidth="1"/>
    <col min="16141" max="16153" width="0.7109375" style="221" customWidth="1"/>
    <col min="16154" max="16154" width="1.4257812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 style="221" customWidth="1"/>
    <col min="16191" max="16192" width="0.5703125" style="221" customWidth="1"/>
    <col min="16193" max="16193" width="2.140625" style="221" customWidth="1"/>
    <col min="16194" max="16194" width="0.5703125" style="221" customWidth="1"/>
    <col min="16195" max="16195" width="2.140625" style="221" customWidth="1"/>
    <col min="16196" max="16196" width="0.5703125" style="221" customWidth="1"/>
    <col min="16197" max="16197" width="2.140625" style="221" customWidth="1"/>
    <col min="16198" max="16198" width="0.5703125" style="221" customWidth="1"/>
    <col min="16199" max="16199" width="2.140625" style="221" customWidth="1"/>
    <col min="16200" max="16200" width="0.5703125" style="221" customWidth="1"/>
    <col min="16201" max="16201" width="2.140625" style="221" customWidth="1"/>
    <col min="16202" max="16202" width="0.5703125" style="221" customWidth="1"/>
    <col min="16203" max="16203" width="2.140625" style="221" customWidth="1"/>
    <col min="16204" max="16204" width="0.5703125" style="221" customWidth="1"/>
    <col min="16205" max="16205" width="2.140625" style="221" customWidth="1"/>
    <col min="16206" max="16206" width="0.5703125" style="221" customWidth="1"/>
    <col min="16207" max="16207" width="2.140625" style="221" customWidth="1"/>
    <col min="16208" max="16208" width="0.5703125" style="221" customWidth="1"/>
    <col min="16209" max="16209" width="2.140625" style="221" customWidth="1"/>
    <col min="16210" max="16210" width="0.5703125" style="221" customWidth="1"/>
    <col min="16211" max="16211" width="2.140625" style="221" customWidth="1"/>
    <col min="16212" max="16212" width="0.5703125" style="221" customWidth="1"/>
    <col min="16213" max="16213" width="2.140625" style="221" customWidth="1"/>
    <col min="16214" max="16214" width="0.5703125" style="221" customWidth="1"/>
    <col min="16215" max="16216" width="2.5703125" style="221" customWidth="1"/>
    <col min="16217" max="16384" width="9.140625" style="221"/>
  </cols>
  <sheetData>
    <row r="1" spans="1:89" s="97" customFormat="1" ht="14.25" customHeight="1" thickBot="1">
      <c r="F1" s="98" t="s">
        <v>1740</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CK1" s="221"/>
    </row>
    <row r="2" spans="1:89" ht="7.5" customHeight="1" thickTop="1">
      <c r="C2" s="221"/>
      <c r="D2" s="220"/>
      <c r="E2" s="222"/>
      <c r="F2" s="220"/>
      <c r="G2" s="223"/>
      <c r="H2" s="1093" t="str">
        <f>Index!C431</f>
        <v>Výkaz ziskov a strát Úč POD 
2 - 01</v>
      </c>
      <c r="I2" s="1094"/>
      <c r="J2" s="1094"/>
      <c r="K2" s="1094"/>
      <c r="L2" s="1094"/>
      <c r="M2" s="1094"/>
      <c r="N2" s="1094"/>
      <c r="O2" s="1094"/>
      <c r="P2" s="1094"/>
      <c r="Q2" s="1094"/>
      <c r="R2" s="1094"/>
      <c r="S2" s="1094"/>
      <c r="T2" s="1094"/>
      <c r="U2" s="1094"/>
      <c r="V2" s="1094"/>
      <c r="W2" s="1094"/>
      <c r="X2" s="1095"/>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6"/>
      <c r="BT2" s="927"/>
      <c r="BU2" s="928"/>
      <c r="BV2" s="928"/>
      <c r="BW2" s="928"/>
      <c r="BX2" s="928"/>
      <c r="BY2" s="928"/>
      <c r="BZ2" s="928"/>
      <c r="CA2" s="928"/>
      <c r="CB2" s="928"/>
      <c r="CC2" s="928"/>
      <c r="CD2" s="928"/>
      <c r="CE2" s="928"/>
      <c r="CF2" s="220"/>
      <c r="CG2" s="220"/>
      <c r="CH2" s="220"/>
      <c r="CI2" s="220"/>
      <c r="CJ2" s="220"/>
    </row>
    <row r="3" spans="1:89" ht="3.75" customHeight="1" thickBot="1">
      <c r="C3" s="224"/>
      <c r="D3" s="224"/>
      <c r="E3" s="225"/>
      <c r="F3" s="220"/>
      <c r="G3" s="223"/>
      <c r="H3" s="1096"/>
      <c r="I3" s="1097"/>
      <c r="J3" s="1097"/>
      <c r="K3" s="1097"/>
      <c r="L3" s="1097"/>
      <c r="M3" s="1097"/>
      <c r="N3" s="1097"/>
      <c r="O3" s="1097"/>
      <c r="P3" s="1097"/>
      <c r="Q3" s="1097"/>
      <c r="R3" s="1097"/>
      <c r="S3" s="1097"/>
      <c r="T3" s="1097"/>
      <c r="U3" s="1097"/>
      <c r="V3" s="1097"/>
      <c r="W3" s="1097"/>
      <c r="X3" s="1098"/>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928"/>
      <c r="BT3" s="227"/>
      <c r="BU3" s="928"/>
      <c r="BV3" s="928"/>
      <c r="BW3" s="928"/>
      <c r="BX3" s="928"/>
      <c r="BY3" s="928"/>
      <c r="BZ3" s="928"/>
      <c r="CA3" s="928"/>
      <c r="CB3" s="928"/>
      <c r="CC3" s="928"/>
      <c r="CD3" s="928"/>
      <c r="CE3" s="928"/>
      <c r="CF3" s="220"/>
      <c r="CG3" s="220"/>
      <c r="CH3" s="220"/>
      <c r="CI3" s="220"/>
      <c r="CJ3" s="220"/>
    </row>
    <row r="4" spans="1:89" ht="16.5" customHeight="1" thickTop="1">
      <c r="C4" s="224"/>
      <c r="D4" s="224"/>
      <c r="E4" s="228"/>
      <c r="F4" s="220"/>
      <c r="G4" s="223"/>
      <c r="H4" s="1099"/>
      <c r="I4" s="1100"/>
      <c r="J4" s="1100"/>
      <c r="K4" s="1100"/>
      <c r="L4" s="1100"/>
      <c r="M4" s="1100"/>
      <c r="N4" s="1100"/>
      <c r="O4" s="1100"/>
      <c r="P4" s="1100"/>
      <c r="Q4" s="1100"/>
      <c r="R4" s="1100"/>
      <c r="S4" s="1100"/>
      <c r="T4" s="1100"/>
      <c r="U4" s="1100"/>
      <c r="V4" s="1100"/>
      <c r="W4" s="1100"/>
      <c r="X4" s="1101"/>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231"/>
      <c r="BM4" s="139" t="str">
        <f>'Závierka titulka'!K27</f>
        <v>2</v>
      </c>
      <c r="BN4" s="231"/>
      <c r="BO4" s="139" t="str">
        <f>'Závierka titulka'!M27</f>
        <v>9</v>
      </c>
      <c r="BP4" s="136"/>
      <c r="BQ4" s="139" t="str">
        <f>'Závierka titulka'!O27</f>
        <v>9</v>
      </c>
      <c r="BR4" s="136"/>
      <c r="BS4" s="139" t="str">
        <f>'Závierka titulka'!Q27</f>
        <v>1</v>
      </c>
      <c r="BT4" s="230"/>
      <c r="BU4" s="928"/>
      <c r="BV4" s="928"/>
      <c r="BW4" s="928"/>
      <c r="BX4" s="928"/>
      <c r="BY4" s="928"/>
      <c r="BZ4" s="928"/>
      <c r="CA4" s="928"/>
      <c r="CB4" s="928"/>
      <c r="CC4" s="928"/>
      <c r="CD4" s="928"/>
      <c r="CE4" s="928"/>
      <c r="CF4" s="220"/>
      <c r="CG4" s="232"/>
      <c r="CH4" s="233"/>
      <c r="CI4" s="220"/>
      <c r="CJ4" s="220"/>
    </row>
    <row r="5" spans="1:89" ht="3" customHeight="1">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7"/>
      <c r="BM5" s="234"/>
      <c r="BN5" s="237"/>
      <c r="BO5" s="234"/>
      <c r="BP5" s="234"/>
      <c r="BQ5" s="234"/>
      <c r="BR5" s="234"/>
      <c r="BS5" s="234"/>
      <c r="BT5" s="235"/>
      <c r="BU5" s="928"/>
      <c r="BV5" s="928"/>
      <c r="BW5" s="928"/>
      <c r="BX5" s="928"/>
      <c r="BY5" s="928"/>
      <c r="BZ5" s="928"/>
      <c r="CA5" s="928"/>
      <c r="CB5" s="928"/>
      <c r="CC5" s="928"/>
      <c r="CD5" s="928"/>
      <c r="CE5" s="928"/>
      <c r="CF5" s="220"/>
      <c r="CG5" s="220"/>
      <c r="CH5" s="238"/>
      <c r="CI5" s="220"/>
      <c r="CJ5" s="220"/>
    </row>
    <row r="6" spans="1:89" ht="4.5" customHeight="1" thickBot="1">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2"/>
      <c r="BY6" s="242"/>
      <c r="BZ6" s="242"/>
      <c r="CA6" s="242"/>
      <c r="CB6" s="242"/>
      <c r="CC6" s="242"/>
      <c r="CD6" s="242"/>
      <c r="CE6" s="242"/>
      <c r="CF6" s="242"/>
      <c r="CG6" s="242"/>
      <c r="CH6" s="242"/>
      <c r="CI6" s="220"/>
      <c r="CJ6" s="220"/>
    </row>
    <row r="7" spans="1:89" ht="12" customHeight="1">
      <c r="C7" s="224"/>
      <c r="D7" s="224"/>
      <c r="E7" s="1102" t="str">
        <f>Index!C410</f>
        <v>Ozna-čenie</v>
      </c>
      <c r="F7" s="1103"/>
      <c r="G7" s="1106" t="str">
        <f>Index!C435</f>
        <v>Text</v>
      </c>
      <c r="H7" s="1106"/>
      <c r="I7" s="1106"/>
      <c r="J7" s="1106"/>
      <c r="K7" s="1106"/>
      <c r="L7" s="1106"/>
      <c r="M7" s="1106"/>
      <c r="N7" s="1106"/>
      <c r="O7" s="1106"/>
      <c r="P7" s="1106"/>
      <c r="Q7" s="1106"/>
      <c r="R7" s="1106"/>
      <c r="S7" s="1106"/>
      <c r="T7" s="1106"/>
      <c r="U7" s="1106"/>
      <c r="V7" s="1106"/>
      <c r="W7" s="1106"/>
      <c r="X7" s="1106"/>
      <c r="Y7" s="1106"/>
      <c r="Z7" s="1106"/>
      <c r="AA7" s="1106"/>
      <c r="AB7" s="1106"/>
      <c r="AC7" s="1106"/>
      <c r="AD7" s="1106"/>
      <c r="AE7" s="1106"/>
      <c r="AF7" s="1106"/>
      <c r="AG7" s="1106"/>
      <c r="AH7" s="1106"/>
      <c r="AI7" s="1106"/>
      <c r="AJ7" s="1106"/>
      <c r="AK7" s="1108" t="str">
        <f>Index!C433</f>
        <v>Číslo riadku</v>
      </c>
      <c r="AL7" s="1109"/>
      <c r="AM7" s="1110"/>
      <c r="AN7" s="1117" t="str">
        <f>Index!C434</f>
        <v>Skutočnosť</v>
      </c>
      <c r="AO7" s="1118"/>
      <c r="AP7" s="1118"/>
      <c r="AQ7" s="1118"/>
      <c r="AR7" s="1118"/>
      <c r="AS7" s="1118"/>
      <c r="AT7" s="1118"/>
      <c r="AU7" s="1118"/>
      <c r="AV7" s="1118"/>
      <c r="AW7" s="1118"/>
      <c r="AX7" s="1118"/>
      <c r="AY7" s="1118"/>
      <c r="AZ7" s="1118"/>
      <c r="BA7" s="1118"/>
      <c r="BB7" s="1118"/>
      <c r="BC7" s="1118"/>
      <c r="BD7" s="1118"/>
      <c r="BE7" s="1118"/>
      <c r="BF7" s="1118"/>
      <c r="BG7" s="1118"/>
      <c r="BH7" s="1118"/>
      <c r="BI7" s="1118"/>
      <c r="BJ7" s="1118"/>
      <c r="BK7" s="1118"/>
      <c r="BL7" s="1118"/>
      <c r="BM7" s="1118"/>
      <c r="BN7" s="1118"/>
      <c r="BO7" s="1118"/>
      <c r="BP7" s="1118"/>
      <c r="BQ7" s="1118"/>
      <c r="BR7" s="1118"/>
      <c r="BS7" s="1118"/>
      <c r="BT7" s="1118"/>
      <c r="BU7" s="1118"/>
      <c r="BV7" s="1118"/>
      <c r="BW7" s="1118"/>
      <c r="BX7" s="1118"/>
      <c r="BY7" s="1118"/>
      <c r="BZ7" s="1118"/>
      <c r="CA7" s="1118"/>
      <c r="CB7" s="1118"/>
      <c r="CC7" s="1118"/>
      <c r="CD7" s="1118"/>
      <c r="CE7" s="1118"/>
      <c r="CF7" s="1118"/>
      <c r="CG7" s="1118"/>
      <c r="CH7" s="1119"/>
      <c r="CI7" s="220"/>
      <c r="CJ7" s="220"/>
    </row>
    <row r="8" spans="1:89" ht="12.75" customHeight="1" thickBot="1">
      <c r="C8" s="224"/>
      <c r="D8" s="224"/>
      <c r="E8" s="1104"/>
      <c r="F8" s="1105"/>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107"/>
      <c r="AE8" s="1107"/>
      <c r="AF8" s="1107"/>
      <c r="AG8" s="1107"/>
      <c r="AH8" s="1107"/>
      <c r="AI8" s="1107"/>
      <c r="AJ8" s="1107"/>
      <c r="AK8" s="1111"/>
      <c r="AL8" s="1112"/>
      <c r="AM8" s="1113"/>
      <c r="AN8" s="1120" t="str">
        <f>Index!C414</f>
        <v>Bežné účtovné obdobie</v>
      </c>
      <c r="AO8" s="1121"/>
      <c r="AP8" s="1121"/>
      <c r="AQ8" s="1121"/>
      <c r="AR8" s="1121"/>
      <c r="AS8" s="1121"/>
      <c r="AT8" s="1121"/>
      <c r="AU8" s="1121"/>
      <c r="AV8" s="1121"/>
      <c r="AW8" s="1121"/>
      <c r="AX8" s="1121"/>
      <c r="AY8" s="1121"/>
      <c r="AZ8" s="1121"/>
      <c r="BA8" s="1121"/>
      <c r="BB8" s="1121"/>
      <c r="BC8" s="1121"/>
      <c r="BD8" s="1121"/>
      <c r="BE8" s="1121"/>
      <c r="BF8" s="1121"/>
      <c r="BG8" s="1121"/>
      <c r="BH8" s="1121"/>
      <c r="BI8" s="1121"/>
      <c r="BJ8" s="1122"/>
      <c r="BK8" s="314"/>
      <c r="BL8" s="1124" t="str">
        <f>Index!C415</f>
        <v>Bezprostredne predchádzajúce účtovné obdobie</v>
      </c>
      <c r="BM8" s="1124"/>
      <c r="BN8" s="1124"/>
      <c r="BO8" s="1124"/>
      <c r="BP8" s="1124"/>
      <c r="BQ8" s="1124"/>
      <c r="BR8" s="1124"/>
      <c r="BS8" s="1124"/>
      <c r="BT8" s="1124"/>
      <c r="BU8" s="1124"/>
      <c r="BV8" s="1124"/>
      <c r="BW8" s="1124"/>
      <c r="BX8" s="1124"/>
      <c r="BY8" s="1124"/>
      <c r="BZ8" s="1124"/>
      <c r="CA8" s="1124"/>
      <c r="CB8" s="1124"/>
      <c r="CC8" s="1124"/>
      <c r="CD8" s="1124"/>
      <c r="CE8" s="1124"/>
      <c r="CF8" s="1124"/>
      <c r="CG8" s="1124"/>
      <c r="CH8" s="1124"/>
      <c r="CI8" s="220"/>
      <c r="CJ8" s="220"/>
    </row>
    <row r="9" spans="1:89" ht="11.25" customHeight="1">
      <c r="B9" s="878"/>
      <c r="C9" s="878"/>
      <c r="D9" s="878"/>
      <c r="E9" s="1104"/>
      <c r="F9" s="1105"/>
      <c r="G9" s="1107"/>
      <c r="H9" s="1107"/>
      <c r="I9" s="1107"/>
      <c r="J9" s="1107"/>
      <c r="K9" s="1107"/>
      <c r="L9" s="1107"/>
      <c r="M9" s="1107"/>
      <c r="N9" s="1107"/>
      <c r="O9" s="1107"/>
      <c r="P9" s="1107"/>
      <c r="Q9" s="1107"/>
      <c r="R9" s="1107"/>
      <c r="S9" s="1107"/>
      <c r="T9" s="1107"/>
      <c r="U9" s="1107"/>
      <c r="V9" s="1107"/>
      <c r="W9" s="1107"/>
      <c r="X9" s="1107"/>
      <c r="Y9" s="1107"/>
      <c r="Z9" s="1107"/>
      <c r="AA9" s="1107"/>
      <c r="AB9" s="1107"/>
      <c r="AC9" s="1107"/>
      <c r="AD9" s="1107"/>
      <c r="AE9" s="1107"/>
      <c r="AF9" s="1107"/>
      <c r="AG9" s="1107"/>
      <c r="AH9" s="1107"/>
      <c r="AI9" s="1107"/>
      <c r="AJ9" s="1107"/>
      <c r="AK9" s="1114"/>
      <c r="AL9" s="1115"/>
      <c r="AM9" s="1116"/>
      <c r="AN9" s="1123"/>
      <c r="AO9" s="1001"/>
      <c r="AP9" s="1001"/>
      <c r="AQ9" s="1001"/>
      <c r="AR9" s="1001"/>
      <c r="AS9" s="1001"/>
      <c r="AT9" s="1001"/>
      <c r="AU9" s="1001"/>
      <c r="AV9" s="1001"/>
      <c r="AW9" s="1001"/>
      <c r="AX9" s="1001"/>
      <c r="AY9" s="1001"/>
      <c r="AZ9" s="1001"/>
      <c r="BA9" s="1001"/>
      <c r="BB9" s="1001"/>
      <c r="BC9" s="1001"/>
      <c r="BD9" s="1001"/>
      <c r="BE9" s="1001"/>
      <c r="BF9" s="1001"/>
      <c r="BG9" s="1001"/>
      <c r="BH9" s="1001"/>
      <c r="BI9" s="1001"/>
      <c r="BJ9" s="1003"/>
      <c r="BK9" s="297"/>
      <c r="BL9" s="1004"/>
      <c r="BM9" s="1004"/>
      <c r="BN9" s="1004"/>
      <c r="BO9" s="1004"/>
      <c r="BP9" s="1004"/>
      <c r="BQ9" s="1004"/>
      <c r="BR9" s="1004"/>
      <c r="BS9" s="1004"/>
      <c r="BT9" s="1004"/>
      <c r="BU9" s="1004"/>
      <c r="BV9" s="1004"/>
      <c r="BW9" s="1004"/>
      <c r="BX9" s="1004"/>
      <c r="BY9" s="1004"/>
      <c r="BZ9" s="1004"/>
      <c r="CA9" s="1004"/>
      <c r="CB9" s="1004"/>
      <c r="CC9" s="1004"/>
      <c r="CD9" s="1004"/>
      <c r="CE9" s="1004"/>
      <c r="CF9" s="1004"/>
      <c r="CG9" s="1004"/>
      <c r="CH9" s="1004"/>
      <c r="CI9" s="220"/>
      <c r="CJ9" s="220"/>
    </row>
    <row r="10" spans="1:89" s="301" customFormat="1" ht="9" customHeight="1">
      <c r="A10" s="298"/>
      <c r="B10" s="996"/>
      <c r="C10" s="996"/>
      <c r="D10" s="298"/>
      <c r="E10" s="997" t="s">
        <v>491</v>
      </c>
      <c r="F10" s="997"/>
      <c r="G10" s="998" t="s">
        <v>492</v>
      </c>
      <c r="H10" s="998"/>
      <c r="I10" s="998"/>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t="s">
        <v>493</v>
      </c>
      <c r="AL10" s="998"/>
      <c r="AM10" s="998"/>
      <c r="AN10" s="998">
        <v>1</v>
      </c>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9"/>
      <c r="BK10" s="299"/>
      <c r="BL10" s="994">
        <v>2</v>
      </c>
      <c r="BM10" s="994"/>
      <c r="BN10" s="994"/>
      <c r="BO10" s="994"/>
      <c r="BP10" s="994"/>
      <c r="BQ10" s="994"/>
      <c r="BR10" s="994"/>
      <c r="BS10" s="994"/>
      <c r="BT10" s="994"/>
      <c r="BU10" s="994"/>
      <c r="BV10" s="994"/>
      <c r="BW10" s="994"/>
      <c r="BX10" s="994"/>
      <c r="BY10" s="994"/>
      <c r="BZ10" s="994"/>
      <c r="CA10" s="994"/>
      <c r="CB10" s="994"/>
      <c r="CC10" s="994"/>
      <c r="CD10" s="994"/>
      <c r="CE10" s="994"/>
      <c r="CF10" s="994"/>
      <c r="CG10" s="994"/>
      <c r="CH10" s="994"/>
      <c r="CI10" s="300"/>
      <c r="CJ10" s="300"/>
    </row>
    <row r="11" spans="1:89" s="307" customFormat="1" ht="3" customHeight="1">
      <c r="A11" s="302"/>
      <c r="B11" s="302"/>
      <c r="C11" s="303"/>
      <c r="D11" s="303"/>
      <c r="E11" s="995" t="s">
        <v>680</v>
      </c>
      <c r="F11" s="995"/>
      <c r="G11" s="992" t="str">
        <f>Index!C232</f>
        <v>Pridaná hodnota (r. 03 + r. 04 + r. 05 + r. 06 + r. 07) - (r. 11 + r. 12 + r. 13 + r. 14)</v>
      </c>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1069" t="s">
        <v>1571</v>
      </c>
      <c r="AL11" s="977"/>
      <c r="AM11" s="977"/>
      <c r="AN11" s="364"/>
      <c r="AO11" s="366"/>
      <c r="AP11" s="366"/>
      <c r="AQ11" s="366"/>
      <c r="AR11" s="366"/>
      <c r="AS11" s="366"/>
      <c r="AT11" s="366"/>
      <c r="AU11" s="366"/>
      <c r="AV11" s="366"/>
      <c r="AW11" s="366"/>
      <c r="AX11" s="366"/>
      <c r="AY11" s="366"/>
      <c r="AZ11" s="366"/>
      <c r="BA11" s="366"/>
      <c r="BB11" s="366"/>
      <c r="BC11" s="366"/>
      <c r="BD11" s="366"/>
      <c r="BE11" s="304"/>
      <c r="BF11" s="304"/>
      <c r="BG11" s="304"/>
      <c r="BH11" s="304"/>
      <c r="BI11" s="304"/>
      <c r="BJ11" s="304"/>
      <c r="BK11" s="304"/>
      <c r="BL11" s="867"/>
      <c r="BM11" s="867"/>
      <c r="BN11" s="867"/>
      <c r="BO11" s="867"/>
      <c r="BP11" s="867"/>
      <c r="BQ11" s="867"/>
      <c r="BR11" s="867"/>
      <c r="BS11" s="867"/>
      <c r="BT11" s="867"/>
      <c r="BU11" s="867"/>
      <c r="BV11" s="867"/>
      <c r="BW11" s="867"/>
      <c r="BX11" s="867"/>
      <c r="BY11" s="867"/>
      <c r="BZ11" s="867"/>
      <c r="CA11" s="867"/>
      <c r="CB11" s="867"/>
      <c r="CC11" s="304"/>
      <c r="CD11" s="304"/>
      <c r="CE11" s="304"/>
      <c r="CF11" s="304"/>
      <c r="CG11" s="304"/>
      <c r="CH11" s="305"/>
      <c r="CI11" s="306"/>
      <c r="CJ11" s="306"/>
    </row>
    <row r="12" spans="1:89" s="307" customFormat="1" ht="3" customHeight="1">
      <c r="A12" s="302"/>
      <c r="B12" s="302"/>
      <c r="C12" s="302"/>
      <c r="D12" s="302"/>
      <c r="E12" s="995"/>
      <c r="F12" s="995"/>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77"/>
      <c r="AL12" s="977"/>
      <c r="AM12" s="977"/>
      <c r="AN12" s="367"/>
      <c r="AO12" s="436"/>
      <c r="AP12" s="436"/>
      <c r="AQ12" s="436"/>
      <c r="AR12" s="435"/>
      <c r="AS12" s="433"/>
      <c r="AT12" s="433"/>
      <c r="AU12" s="433"/>
      <c r="AV12" s="433"/>
      <c r="AW12" s="433"/>
      <c r="AX12" s="434"/>
      <c r="AY12" s="1007"/>
      <c r="AZ12" s="1007"/>
      <c r="BA12" s="1007"/>
      <c r="BB12" s="1007"/>
      <c r="BC12" s="1007"/>
      <c r="BD12" s="1007"/>
      <c r="BE12" s="434"/>
      <c r="BF12" s="968"/>
      <c r="BG12" s="968"/>
      <c r="BH12" s="968"/>
      <c r="BI12" s="968"/>
      <c r="BJ12" s="968"/>
      <c r="BK12" s="851"/>
      <c r="BL12" s="826"/>
      <c r="BM12" s="820"/>
      <c r="BN12" s="820"/>
      <c r="BO12" s="820"/>
      <c r="BP12" s="435"/>
      <c r="BQ12" s="1007"/>
      <c r="BR12" s="1007"/>
      <c r="BS12" s="1007"/>
      <c r="BT12" s="1007"/>
      <c r="BU12" s="1007"/>
      <c r="BV12" s="1008"/>
      <c r="BW12" s="968"/>
      <c r="BX12" s="968"/>
      <c r="BY12" s="968"/>
      <c r="BZ12" s="968"/>
      <c r="CA12" s="968"/>
      <c r="CB12" s="1009"/>
      <c r="CC12" s="968"/>
      <c r="CD12" s="968"/>
      <c r="CE12" s="968"/>
      <c r="CF12" s="968"/>
      <c r="CG12" s="968"/>
      <c r="CH12" s="308"/>
      <c r="CI12" s="306"/>
      <c r="CJ12" s="306"/>
    </row>
    <row r="13" spans="1:89" s="309" customFormat="1" ht="15" customHeight="1">
      <c r="A13" s="302"/>
      <c r="B13" s="302"/>
      <c r="C13" s="302"/>
      <c r="E13" s="995"/>
      <c r="F13" s="995"/>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77"/>
      <c r="AL13" s="977"/>
      <c r="AM13" s="977"/>
      <c r="AN13" s="367"/>
      <c r="AO13" s="432" t="str">
        <f>IF(LEN(VLOOKUP(AK11,vysledovka!$D$8:$F$68,2,FALSE))&lt;11,"",LEFT(RIGHT(VLOOKUP(AK11,vysledovka!$D$8:$F$68,2,FALSE),11),1))</f>
        <v/>
      </c>
      <c r="AP13" s="255"/>
      <c r="AQ13" s="432" t="str">
        <f>IF(LEN(VLOOKUP(AK11,vysledovka!$D$8:$F$68,2,FALSE))&lt;10,"",LEFT(RIGHT(VLOOKUP(AK11,vysledovka!$D$8:$F$68,2,FALSE),10),1))</f>
        <v/>
      </c>
      <c r="AR13" s="434"/>
      <c r="AS13" s="432" t="str">
        <f>IF(LEN(VLOOKUP(AK11,vysledovka!$D$8:$F$68,2,FALSE))&lt;9,"",LEFT(RIGHT(VLOOKUP(AK11,vysledovka!$D$8:$F$68,2,FALSE),9),1))</f>
        <v/>
      </c>
      <c r="AT13" s="255"/>
      <c r="AU13" s="432" t="str">
        <f>IF(LEN(VLOOKUP(AK11,vysledovka!$D$8:$F$68,2,FALSE))&lt;8,"",LEFT(RIGHT(VLOOKUP(AK11,vysledovka!$D$8:$F$68,2,FALSE),8),1))</f>
        <v/>
      </c>
      <c r="AV13" s="434"/>
      <c r="AW13" s="432" t="str">
        <f>IF(LEN(VLOOKUP(AK11,vysledovka!$D$8:$F$68,2,FALSE))&lt;7,"",LEFT(RIGHT(VLOOKUP(AK11,vysledovka!$D$8:$F$68,2,FALSE),7),1))</f>
        <v>2</v>
      </c>
      <c r="AX13" s="434"/>
      <c r="AY13" s="432" t="str">
        <f>IF(LEN(VLOOKUP(AK11,vysledovka!$D$8:$F$68,2,FALSE))&lt;6,"",LEFT(RIGHT(VLOOKUP(AK11,vysledovka!$D$8:$F$68,2,FALSE),6),1))</f>
        <v>7</v>
      </c>
      <c r="AZ13" s="255"/>
      <c r="BA13" s="961" t="str">
        <f>IF(LEN(VLOOKUP(AK11,vysledovka!$D$8:$F$68,2,FALSE))&lt;5,"",LEFT(RIGHT(VLOOKUP(AK11,vysledovka!$D$8:$F$68,2,FALSE),5),1))</f>
        <v>0</v>
      </c>
      <c r="BB13" s="961"/>
      <c r="BC13" s="434"/>
      <c r="BD13" s="432" t="str">
        <f>IF(LEN(VLOOKUP(AK11,vysledovka!$D$8:$F$68,2,FALSE))&lt;4,"",LEFT(RIGHT(VLOOKUP(AK11,vysledovka!$D$8:$F$68,2,FALSE),4),1))</f>
        <v>7</v>
      </c>
      <c r="BE13" s="434"/>
      <c r="BF13" s="432" t="str">
        <f>IF(LEN(VLOOKUP(AK11,vysledovka!$D$8:$F$68,2,FALSE))&lt;3,"",LEFT(RIGHT(VLOOKUP(AK11,vysledovka!$D$8:$F$68,2,FALSE),3),1))</f>
        <v>2</v>
      </c>
      <c r="BG13" s="434"/>
      <c r="BH13" s="432" t="str">
        <f>IF(LEN(VLOOKUP(AK11,vysledovka!$D$8:$F$68,2,FALSE))&lt;2,"",LEFT(RIGHT(VLOOKUP(AK11,vysledovka!$D$8:$F$68,2,FALSE),2),1))</f>
        <v>6</v>
      </c>
      <c r="BI13" s="434"/>
      <c r="BJ13" s="432" t="str">
        <f>IF(VLOOKUP(AK11,vysledovka!$D$8:$F$68,2,FALSE)=0,"",IF(LEN(VLOOKUP(AK11,vysledovka!$D$8:$F$68,2,FALSE))&lt;1,"",LEFT(RIGHT(VLOOKUP(AK11,vysledovka!$D$8:$F$68,2,FALSE),1),1)))</f>
        <v>3</v>
      </c>
      <c r="BK13" s="851"/>
      <c r="BL13" s="826"/>
      <c r="BM13" s="432" t="str">
        <f>IF(LEN(VLOOKUP(AK11,vysledovka!$D$8:$F$68,3,FALSE))&lt;11,"",LEFT(RIGHT(VLOOKUP(AK11,vysledovka!$D$8:$F$68,3,FALSE),11),1))</f>
        <v/>
      </c>
      <c r="BN13" s="255"/>
      <c r="BO13" s="432" t="str">
        <f>IF(LEN(VLOOKUP(AK11,vysledovka!$D$8:$F$68,3,FALSE))&lt;10,"",LEFT(RIGHT(VLOOKUP(AK11,vysledovka!$D$8:$F$68,3,FALSE),10),1))</f>
        <v/>
      </c>
      <c r="BP13" s="434"/>
      <c r="BQ13" s="432" t="str">
        <f>IF(LEN(VLOOKUP(AK11,vysledovka!$D$8:$F$68,3,FALSE))&lt;9,"",LEFT(RIGHT(VLOOKUP(AK11,vysledovka!$D$8:$F$68,3,FALSE),9),1))</f>
        <v/>
      </c>
      <c r="BR13" s="255"/>
      <c r="BS13" s="432" t="str">
        <f>IF(LEN(VLOOKUP(AK11,vysledovka!$D$8:$F$68,3,FALSE))&lt;8,"",LEFT(RIGHT(VLOOKUP(AK11,vysledovka!$D$8:$F$68,3,FALSE),8),1))</f>
        <v/>
      </c>
      <c r="BT13" s="434"/>
      <c r="BU13" s="432" t="str">
        <f>IF(LEN(VLOOKUP(AK11,vysledovka!$D$8:$F$68,3,FALSE))&lt;7,"",LEFT(RIGHT(VLOOKUP(AK11,vysledovka!$D$8:$F$68,3,FALSE),7),1))</f>
        <v>2</v>
      </c>
      <c r="BV13" s="1008"/>
      <c r="BW13" s="432" t="str">
        <f>IF(LEN(VLOOKUP(AK11,vysledovka!$D$8:$F$68,3,FALSE))&lt;6,"",LEFT(RIGHT(VLOOKUP(AK11,vysledovka!$D$8:$F$68,3,FALSE),6),1))</f>
        <v>2</v>
      </c>
      <c r="BX13" s="434"/>
      <c r="BY13" s="432" t="str">
        <f>IF(LEN(VLOOKUP(AK11,vysledovka!$D$8:$F$68,3,FALSE))&lt;5,"",LEFT(RIGHT(VLOOKUP(AK11,vysledovka!$D$8:$F$68,3,FALSE),5),1))</f>
        <v>3</v>
      </c>
      <c r="BZ13" s="434"/>
      <c r="CA13" s="432" t="str">
        <f>IF(LEN(VLOOKUP(AK11,vysledovka!$D$8:$F$68,3,FALSE))&lt;4,"",LEFT(RIGHT(VLOOKUP(AK11,vysledovka!$D$8:$F$68,3,FALSE),4),1))</f>
        <v>3</v>
      </c>
      <c r="CB13" s="1009"/>
      <c r="CC13" s="432" t="str">
        <f>IF(LEN(VLOOKUP(AK11,vysledovka!$D$8:$F$68,3,FALSE))&lt;3,"",LEFT(RIGHT(VLOOKUP(AK11,vysledovka!$D$8:$F$68,3,FALSE),3),1))</f>
        <v>2</v>
      </c>
      <c r="CD13" s="434"/>
      <c r="CE13" s="432" t="str">
        <f>IF(LEN(VLOOKUP(AK11,vysledovka!$D$8:$F$68,3,FALSE))&lt;2,"",LEFT(RIGHT(VLOOKUP(AK11,vysledovka!$D$8:$F$68,3,FALSE),2),1))</f>
        <v>0</v>
      </c>
      <c r="CF13" s="434"/>
      <c r="CG13" s="432" t="str">
        <f>IF(VLOOKUP(AK11,vysledovka!$D$8:$F$68,3,FALSE)=0,"",IF(LEN(VLOOKUP(AK11,vysledovka!$D$8:$F$68,3,FALSE))&lt;1,"",LEFT(RIGHT(VLOOKUP(AK11,vysledovka!$D$8:$F$68,3,FALSE),1),1)))</f>
        <v>9</v>
      </c>
      <c r="CH13" s="308"/>
      <c r="CI13" s="302"/>
      <c r="CJ13" s="302"/>
    </row>
    <row r="14" spans="1:89" s="309" customFormat="1" ht="3" customHeight="1">
      <c r="A14" s="302"/>
      <c r="B14" s="302"/>
      <c r="C14" s="302"/>
      <c r="E14" s="995"/>
      <c r="F14" s="995"/>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992"/>
      <c r="AF14" s="992"/>
      <c r="AG14" s="992"/>
      <c r="AH14" s="992"/>
      <c r="AI14" s="992"/>
      <c r="AJ14" s="992"/>
      <c r="AK14" s="977"/>
      <c r="AL14" s="977"/>
      <c r="AM14" s="977"/>
      <c r="AN14" s="363"/>
      <c r="AO14" s="365"/>
      <c r="AP14" s="365"/>
      <c r="AQ14" s="365"/>
      <c r="AR14" s="365"/>
      <c r="AS14" s="365"/>
      <c r="AT14" s="365"/>
      <c r="AU14" s="365"/>
      <c r="AV14" s="365"/>
      <c r="AW14" s="365"/>
      <c r="AX14" s="365"/>
      <c r="AY14" s="365"/>
      <c r="AZ14" s="365"/>
      <c r="BA14" s="365"/>
      <c r="BB14" s="365"/>
      <c r="BC14" s="365"/>
      <c r="BD14" s="365"/>
      <c r="BE14" s="310"/>
      <c r="BF14" s="310"/>
      <c r="BG14" s="310"/>
      <c r="BH14" s="310"/>
      <c r="BI14" s="310"/>
      <c r="BJ14" s="310"/>
      <c r="BK14" s="310"/>
      <c r="BL14" s="846"/>
      <c r="BM14" s="846"/>
      <c r="BN14" s="846"/>
      <c r="BO14" s="846"/>
      <c r="BP14" s="846"/>
      <c r="BQ14" s="846"/>
      <c r="BR14" s="846"/>
      <c r="BS14" s="846"/>
      <c r="BT14" s="846"/>
      <c r="BU14" s="846"/>
      <c r="BV14" s="846"/>
      <c r="BW14" s="846"/>
      <c r="BX14" s="846"/>
      <c r="BY14" s="846"/>
      <c r="BZ14" s="846"/>
      <c r="CA14" s="846"/>
      <c r="CB14" s="846"/>
      <c r="CC14" s="310"/>
      <c r="CD14" s="310"/>
      <c r="CE14" s="310"/>
      <c r="CF14" s="310"/>
      <c r="CG14" s="310"/>
      <c r="CH14" s="311"/>
      <c r="CI14" s="302"/>
      <c r="CJ14" s="302"/>
    </row>
    <row r="15" spans="1:89" s="307" customFormat="1" ht="3" customHeight="1">
      <c r="A15" s="302"/>
      <c r="B15" s="302"/>
      <c r="C15" s="303"/>
      <c r="D15" s="303"/>
      <c r="E15" s="1068" t="s">
        <v>706</v>
      </c>
      <c r="F15" s="1068"/>
      <c r="G15" s="992" t="str">
        <f>Index!C233</f>
        <v>Výnosy z finančnej činnosti spolu (r. 30 + r. 31 + r. 35 + r. 39 + r. 42 + r. 43 + r. 44)</v>
      </c>
      <c r="H15" s="992"/>
      <c r="I15" s="992"/>
      <c r="J15" s="992"/>
      <c r="K15" s="992"/>
      <c r="L15" s="992"/>
      <c r="M15" s="992"/>
      <c r="N15" s="992"/>
      <c r="O15" s="992"/>
      <c r="P15" s="992"/>
      <c r="Q15" s="992"/>
      <c r="R15" s="992"/>
      <c r="S15" s="992"/>
      <c r="T15" s="992"/>
      <c r="U15" s="992"/>
      <c r="V15" s="992"/>
      <c r="W15" s="992"/>
      <c r="X15" s="992"/>
      <c r="Y15" s="992"/>
      <c r="Z15" s="992"/>
      <c r="AA15" s="992"/>
      <c r="AB15" s="992"/>
      <c r="AC15" s="992"/>
      <c r="AD15" s="992"/>
      <c r="AE15" s="992"/>
      <c r="AF15" s="992"/>
      <c r="AG15" s="992"/>
      <c r="AH15" s="992"/>
      <c r="AI15" s="992"/>
      <c r="AJ15" s="992"/>
      <c r="AK15" s="1069" t="s">
        <v>1575</v>
      </c>
      <c r="AL15" s="977"/>
      <c r="AM15" s="977"/>
      <c r="AN15" s="364"/>
      <c r="AO15" s="366"/>
      <c r="AP15" s="366"/>
      <c r="AQ15" s="366"/>
      <c r="AR15" s="366"/>
      <c r="AS15" s="366"/>
      <c r="AT15" s="366"/>
      <c r="AU15" s="366"/>
      <c r="AV15" s="366"/>
      <c r="AW15" s="366"/>
      <c r="AX15" s="366"/>
      <c r="AY15" s="366"/>
      <c r="AZ15" s="366"/>
      <c r="BA15" s="366"/>
      <c r="BB15" s="366"/>
      <c r="BC15" s="366"/>
      <c r="BD15" s="366"/>
      <c r="BE15" s="304"/>
      <c r="BF15" s="304"/>
      <c r="BG15" s="304"/>
      <c r="BH15" s="304"/>
      <c r="BI15" s="304"/>
      <c r="BJ15" s="304"/>
      <c r="BK15" s="304"/>
      <c r="BL15" s="867"/>
      <c r="BM15" s="867"/>
      <c r="BN15" s="867"/>
      <c r="BO15" s="867"/>
      <c r="BP15" s="867"/>
      <c r="BQ15" s="867"/>
      <c r="BR15" s="867"/>
      <c r="BS15" s="867"/>
      <c r="BT15" s="867"/>
      <c r="BU15" s="867"/>
      <c r="BV15" s="867"/>
      <c r="BW15" s="867"/>
      <c r="BX15" s="867"/>
      <c r="BY15" s="867"/>
      <c r="BZ15" s="867"/>
      <c r="CA15" s="867"/>
      <c r="CB15" s="867"/>
      <c r="CC15" s="304"/>
      <c r="CD15" s="304"/>
      <c r="CE15" s="304"/>
      <c r="CF15" s="304"/>
      <c r="CG15" s="304"/>
      <c r="CH15" s="305"/>
      <c r="CI15" s="306"/>
      <c r="CJ15" s="306"/>
    </row>
    <row r="16" spans="1:89" s="307" customFormat="1" ht="3" customHeight="1">
      <c r="A16" s="302"/>
      <c r="B16" s="302"/>
      <c r="C16" s="302"/>
      <c r="D16" s="302"/>
      <c r="E16" s="1068"/>
      <c r="F16" s="1068"/>
      <c r="G16" s="992"/>
      <c r="H16" s="992"/>
      <c r="I16" s="992"/>
      <c r="J16" s="992"/>
      <c r="K16" s="992"/>
      <c r="L16" s="992"/>
      <c r="M16" s="992"/>
      <c r="N16" s="992"/>
      <c r="O16" s="992"/>
      <c r="P16" s="992"/>
      <c r="Q16" s="992"/>
      <c r="R16" s="992"/>
      <c r="S16" s="992"/>
      <c r="T16" s="992"/>
      <c r="U16" s="992"/>
      <c r="V16" s="992"/>
      <c r="W16" s="992"/>
      <c r="X16" s="992"/>
      <c r="Y16" s="992"/>
      <c r="Z16" s="992"/>
      <c r="AA16" s="992"/>
      <c r="AB16" s="992"/>
      <c r="AC16" s="992"/>
      <c r="AD16" s="992"/>
      <c r="AE16" s="992"/>
      <c r="AF16" s="992"/>
      <c r="AG16" s="992"/>
      <c r="AH16" s="992"/>
      <c r="AI16" s="992"/>
      <c r="AJ16" s="992"/>
      <c r="AK16" s="977"/>
      <c r="AL16" s="977"/>
      <c r="AM16" s="977"/>
      <c r="AN16" s="367"/>
      <c r="AO16" s="436"/>
      <c r="AP16" s="436"/>
      <c r="AQ16" s="436"/>
      <c r="AR16" s="435"/>
      <c r="AS16" s="433"/>
      <c r="AT16" s="433"/>
      <c r="AU16" s="433"/>
      <c r="AV16" s="433"/>
      <c r="AW16" s="433"/>
      <c r="AX16" s="434"/>
      <c r="AY16" s="1007"/>
      <c r="AZ16" s="1007"/>
      <c r="BA16" s="1007"/>
      <c r="BB16" s="1007"/>
      <c r="BC16" s="1007"/>
      <c r="BD16" s="1007"/>
      <c r="BE16" s="434"/>
      <c r="BF16" s="968"/>
      <c r="BG16" s="968"/>
      <c r="BH16" s="968"/>
      <c r="BI16" s="968"/>
      <c r="BJ16" s="968"/>
      <c r="BK16" s="851"/>
      <c r="BL16" s="826"/>
      <c r="BM16" s="820"/>
      <c r="BN16" s="820"/>
      <c r="BO16" s="820"/>
      <c r="BP16" s="435"/>
      <c r="BQ16" s="1007"/>
      <c r="BR16" s="1007"/>
      <c r="BS16" s="1007"/>
      <c r="BT16" s="1007"/>
      <c r="BU16" s="1007"/>
      <c r="BV16" s="1008"/>
      <c r="BW16" s="968"/>
      <c r="BX16" s="968"/>
      <c r="BY16" s="968"/>
      <c r="BZ16" s="968"/>
      <c r="CA16" s="968"/>
      <c r="CB16" s="1009"/>
      <c r="CC16" s="968"/>
      <c r="CD16" s="968"/>
      <c r="CE16" s="968"/>
      <c r="CF16" s="968"/>
      <c r="CG16" s="968"/>
      <c r="CH16" s="308"/>
      <c r="CI16" s="306"/>
      <c r="CJ16" s="306"/>
    </row>
    <row r="17" spans="1:88" s="309" customFormat="1" ht="15" customHeight="1">
      <c r="A17" s="302"/>
      <c r="B17" s="302"/>
      <c r="C17" s="302"/>
      <c r="E17" s="1068"/>
      <c r="F17" s="1068"/>
      <c r="G17" s="992"/>
      <c r="H17" s="992"/>
      <c r="I17" s="992"/>
      <c r="J17" s="992"/>
      <c r="K17" s="992"/>
      <c r="L17" s="992"/>
      <c r="M17" s="992"/>
      <c r="N17" s="992"/>
      <c r="O17" s="992"/>
      <c r="P17" s="992"/>
      <c r="Q17" s="992"/>
      <c r="R17" s="992"/>
      <c r="S17" s="992"/>
      <c r="T17" s="992"/>
      <c r="U17" s="992"/>
      <c r="V17" s="992"/>
      <c r="W17" s="992"/>
      <c r="X17" s="992"/>
      <c r="Y17" s="992"/>
      <c r="Z17" s="992"/>
      <c r="AA17" s="992"/>
      <c r="AB17" s="992"/>
      <c r="AC17" s="992"/>
      <c r="AD17" s="992"/>
      <c r="AE17" s="992"/>
      <c r="AF17" s="992"/>
      <c r="AG17" s="992"/>
      <c r="AH17" s="992"/>
      <c r="AI17" s="992"/>
      <c r="AJ17" s="992"/>
      <c r="AK17" s="977"/>
      <c r="AL17" s="977"/>
      <c r="AM17" s="977"/>
      <c r="AN17" s="367"/>
      <c r="AO17" s="432" t="str">
        <f>IF(LEN(VLOOKUP(AK15,vysledovka!$D$8:$F$68,2,FALSE))&lt;11,"",LEFT(RIGHT(VLOOKUP(AK15,vysledovka!$D$8:$F$68,2,FALSE),11),1))</f>
        <v/>
      </c>
      <c r="AP17" s="255"/>
      <c r="AQ17" s="432" t="str">
        <f>IF(LEN(VLOOKUP(AK15,vysledovka!$D$8:$F$68,2,FALSE))&lt;10,"",LEFT(RIGHT(VLOOKUP(AK15,vysledovka!$D$8:$F$68,2,FALSE),10),1))</f>
        <v/>
      </c>
      <c r="AR17" s="434"/>
      <c r="AS17" s="432" t="str">
        <f>IF(LEN(VLOOKUP(AK15,vysledovka!$D$8:$F$68,2,FALSE))&lt;9,"",LEFT(RIGHT(VLOOKUP(AK15,vysledovka!$D$8:$F$68,2,FALSE),9),1))</f>
        <v/>
      </c>
      <c r="AT17" s="255"/>
      <c r="AU17" s="432" t="str">
        <f>IF(LEN(VLOOKUP(AK15,vysledovka!$D$8:$F$68,2,FALSE))&lt;8,"",LEFT(RIGHT(VLOOKUP(AK15,vysledovka!$D$8:$F$68,2,FALSE),8),1))</f>
        <v/>
      </c>
      <c r="AV17" s="434"/>
      <c r="AW17" s="432" t="str">
        <f>IF(LEN(VLOOKUP(AK15,vysledovka!$D$8:$F$68,2,FALSE))&lt;7,"",LEFT(RIGHT(VLOOKUP(AK15,vysledovka!$D$8:$F$68,2,FALSE),7),1))</f>
        <v/>
      </c>
      <c r="AX17" s="434"/>
      <c r="AY17" s="432" t="str">
        <f>IF(LEN(VLOOKUP(AK15,vysledovka!$D$8:$F$68,2,FALSE))&lt;6,"",LEFT(RIGHT(VLOOKUP(AK15,vysledovka!$D$8:$F$68,2,FALSE),6),1))</f>
        <v>9</v>
      </c>
      <c r="AZ17" s="255"/>
      <c r="BA17" s="961" t="str">
        <f>IF(LEN(VLOOKUP(AK15,vysledovka!$D$8:$F$68,2,FALSE))&lt;5,"",LEFT(RIGHT(VLOOKUP(AK15,vysledovka!$D$8:$F$68,2,FALSE),5),1))</f>
        <v>2</v>
      </c>
      <c r="BB17" s="961"/>
      <c r="BC17" s="434"/>
      <c r="BD17" s="432" t="str">
        <f>IF(LEN(VLOOKUP(AK15,vysledovka!$D$8:$F$68,2,FALSE))&lt;4,"",LEFT(RIGHT(VLOOKUP(AK15,vysledovka!$D$8:$F$68,2,FALSE),4),1))</f>
        <v>9</v>
      </c>
      <c r="BE17" s="434"/>
      <c r="BF17" s="432" t="str">
        <f>IF(LEN(VLOOKUP(AK15,vysledovka!$D$8:$F$68,2,FALSE))&lt;3,"",LEFT(RIGHT(VLOOKUP(AK15,vysledovka!$D$8:$F$68,2,FALSE),3),1))</f>
        <v>9</v>
      </c>
      <c r="BG17" s="434"/>
      <c r="BH17" s="432" t="str">
        <f>IF(LEN(VLOOKUP(AK15,vysledovka!$D$8:$F$68,2,FALSE))&lt;2,"",LEFT(RIGHT(VLOOKUP(AK15,vysledovka!$D$8:$F$68,2,FALSE),2),1))</f>
        <v>2</v>
      </c>
      <c r="BI17" s="434"/>
      <c r="BJ17" s="432" t="str">
        <f>IF(VLOOKUP(AK15,vysledovka!$D$8:$F$68,2,FALSE)=0,"",IF(LEN(VLOOKUP(AK15,vysledovka!$D$8:$F$68,2,FALSE))&lt;1,"",LEFT(RIGHT(VLOOKUP(AK15,vysledovka!$D$8:$F$68,2,FALSE),1),1)))</f>
        <v>2</v>
      </c>
      <c r="BK17" s="851"/>
      <c r="BL17" s="826"/>
      <c r="BM17" s="432" t="str">
        <f>IF(LEN(VLOOKUP(AK15,vysledovka!$D$8:$F$68,3,FALSE))&lt;11,"",LEFT(RIGHT(VLOOKUP(AK15,vysledovka!$D$8:$F$68,3,FALSE),11),1))</f>
        <v/>
      </c>
      <c r="BN17" s="255"/>
      <c r="BO17" s="432" t="str">
        <f>IF(LEN(VLOOKUP(AK15,vysledovka!$D$8:$F$68,3,FALSE))&lt;10,"",LEFT(RIGHT(VLOOKUP(AK15,vysledovka!$D$8:$F$68,3,FALSE),10),1))</f>
        <v/>
      </c>
      <c r="BP17" s="434"/>
      <c r="BQ17" s="432" t="str">
        <f>IF(LEN(VLOOKUP(AK15,vysledovka!$D$8:$F$68,3,FALSE))&lt;9,"",LEFT(RIGHT(VLOOKUP(AK15,vysledovka!$D$8:$F$68,3,FALSE),9),1))</f>
        <v/>
      </c>
      <c r="BR17" s="255"/>
      <c r="BS17" s="432" t="str">
        <f>IF(LEN(VLOOKUP(AK15,vysledovka!$D$8:$F$68,3,FALSE))&lt;8,"",LEFT(RIGHT(VLOOKUP(AK15,vysledovka!$D$8:$F$68,3,FALSE),8),1))</f>
        <v/>
      </c>
      <c r="BT17" s="434"/>
      <c r="BU17" s="432" t="str">
        <f>IF(LEN(VLOOKUP(AK15,vysledovka!$D$8:$F$68,3,FALSE))&lt;7,"",LEFT(RIGHT(VLOOKUP(AK15,vysledovka!$D$8:$F$68,3,FALSE),7),1))</f>
        <v>3</v>
      </c>
      <c r="BV17" s="1008"/>
      <c r="BW17" s="432" t="str">
        <f>IF(LEN(VLOOKUP(AK15,vysledovka!$D$8:$F$68,3,FALSE))&lt;6,"",LEFT(RIGHT(VLOOKUP(AK15,vysledovka!$D$8:$F$68,3,FALSE),6),1))</f>
        <v>9</v>
      </c>
      <c r="BX17" s="434"/>
      <c r="BY17" s="432" t="str">
        <f>IF(LEN(VLOOKUP(AK15,vysledovka!$D$8:$F$68,3,FALSE))&lt;5,"",LEFT(RIGHT(VLOOKUP(AK15,vysledovka!$D$8:$F$68,3,FALSE),5),1))</f>
        <v>0</v>
      </c>
      <c r="BZ17" s="434"/>
      <c r="CA17" s="432" t="str">
        <f>IF(LEN(VLOOKUP(AK15,vysledovka!$D$8:$F$68,3,FALSE))&lt;4,"",LEFT(RIGHT(VLOOKUP(AK15,vysledovka!$D$8:$F$68,3,FALSE),4),1))</f>
        <v>1</v>
      </c>
      <c r="CB17" s="1009"/>
      <c r="CC17" s="432" t="str">
        <f>IF(LEN(VLOOKUP(AK15,vysledovka!$D$8:$F$68,3,FALSE))&lt;3,"",LEFT(RIGHT(VLOOKUP(AK15,vysledovka!$D$8:$F$68,3,FALSE),3),1))</f>
        <v>9</v>
      </c>
      <c r="CD17" s="434"/>
      <c r="CE17" s="432" t="str">
        <f>IF(LEN(VLOOKUP(AK15,vysledovka!$D$8:$F$68,3,FALSE))&lt;2,"",LEFT(RIGHT(VLOOKUP(AK15,vysledovka!$D$8:$F$68,3,FALSE),2),1))</f>
        <v>0</v>
      </c>
      <c r="CF17" s="434"/>
      <c r="CG17" s="432" t="str">
        <f>IF(VLOOKUP(AK15,vysledovka!$D$8:$F$68,3,FALSE)=0,"",IF(LEN(VLOOKUP(AK15,vysledovka!$D$8:$F$68,3,FALSE))&lt;1,"",LEFT(RIGHT(VLOOKUP(AK15,vysledovka!$D$8:$F$68,3,FALSE),1),1)))</f>
        <v>6</v>
      </c>
      <c r="CH17" s="308"/>
      <c r="CI17" s="302"/>
      <c r="CJ17" s="302"/>
    </row>
    <row r="18" spans="1:88" s="309" customFormat="1" ht="3" customHeight="1">
      <c r="A18" s="302"/>
      <c r="B18" s="302"/>
      <c r="C18" s="302"/>
      <c r="E18" s="1068"/>
      <c r="F18" s="1068"/>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77"/>
      <c r="AL18" s="977"/>
      <c r="AM18" s="977"/>
      <c r="AN18" s="363"/>
      <c r="AO18" s="365"/>
      <c r="AP18" s="365"/>
      <c r="AQ18" s="365"/>
      <c r="AR18" s="365"/>
      <c r="AS18" s="365"/>
      <c r="AT18" s="365"/>
      <c r="AU18" s="365"/>
      <c r="AV18" s="365"/>
      <c r="AW18" s="365"/>
      <c r="AX18" s="365"/>
      <c r="AY18" s="365"/>
      <c r="AZ18" s="365"/>
      <c r="BA18" s="365"/>
      <c r="BB18" s="365"/>
      <c r="BC18" s="365"/>
      <c r="BD18" s="365"/>
      <c r="BE18" s="310"/>
      <c r="BF18" s="310"/>
      <c r="BG18" s="310"/>
      <c r="BH18" s="310"/>
      <c r="BI18" s="310"/>
      <c r="BJ18" s="310"/>
      <c r="BK18" s="310"/>
      <c r="BL18" s="846"/>
      <c r="BM18" s="846"/>
      <c r="BN18" s="846"/>
      <c r="BO18" s="846"/>
      <c r="BP18" s="846"/>
      <c r="BQ18" s="846"/>
      <c r="BR18" s="846"/>
      <c r="BS18" s="846"/>
      <c r="BT18" s="846"/>
      <c r="BU18" s="846"/>
      <c r="BV18" s="846"/>
      <c r="BW18" s="846"/>
      <c r="BX18" s="846"/>
      <c r="BY18" s="846"/>
      <c r="BZ18" s="846"/>
      <c r="CA18" s="846"/>
      <c r="CB18" s="846"/>
      <c r="CC18" s="310"/>
      <c r="CD18" s="310"/>
      <c r="CE18" s="310"/>
      <c r="CF18" s="310"/>
      <c r="CG18" s="310"/>
      <c r="CH18" s="311"/>
      <c r="CI18" s="302"/>
      <c r="CJ18" s="302"/>
    </row>
    <row r="19" spans="1:88" s="250" customFormat="1" ht="3" customHeight="1">
      <c r="A19" s="312"/>
      <c r="B19" s="312"/>
      <c r="C19" s="224"/>
      <c r="D19" s="224"/>
      <c r="E19" s="1070" t="s">
        <v>686</v>
      </c>
      <c r="F19" s="1071"/>
      <c r="G19" s="972" t="str">
        <f>Index!C234</f>
        <v>Tržby z predaja cenných papierov a podielov (661)</v>
      </c>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1056" t="s">
        <v>1577</v>
      </c>
      <c r="AL19" s="1014"/>
      <c r="AM19" s="1014"/>
      <c r="AN19" s="357"/>
      <c r="AO19" s="366"/>
      <c r="AP19" s="366"/>
      <c r="AQ19" s="366"/>
      <c r="AR19" s="366"/>
      <c r="AS19" s="366"/>
      <c r="AT19" s="366"/>
      <c r="AU19" s="366"/>
      <c r="AV19" s="366"/>
      <c r="AW19" s="366"/>
      <c r="AX19" s="366"/>
      <c r="AY19" s="366"/>
      <c r="AZ19" s="366"/>
      <c r="BA19" s="366"/>
      <c r="BB19" s="366"/>
      <c r="BC19" s="366"/>
      <c r="BD19" s="366"/>
      <c r="BE19" s="304"/>
      <c r="BF19" s="304"/>
      <c r="BG19" s="304"/>
      <c r="BH19" s="304"/>
      <c r="BI19" s="304"/>
      <c r="BJ19" s="304"/>
      <c r="BK19" s="304"/>
      <c r="BL19" s="867"/>
      <c r="BM19" s="867"/>
      <c r="BN19" s="867"/>
      <c r="BO19" s="867"/>
      <c r="BP19" s="867"/>
      <c r="BQ19" s="867"/>
      <c r="BR19" s="867"/>
      <c r="BS19" s="867"/>
      <c r="BT19" s="867"/>
      <c r="BU19" s="867"/>
      <c r="BV19" s="867"/>
      <c r="BW19" s="867"/>
      <c r="BX19" s="867"/>
      <c r="BY19" s="867"/>
      <c r="BZ19" s="867"/>
      <c r="CA19" s="867"/>
      <c r="CB19" s="867"/>
      <c r="CC19" s="304"/>
      <c r="CD19" s="304"/>
      <c r="CE19" s="304"/>
      <c r="CF19" s="304"/>
      <c r="CG19" s="304"/>
      <c r="CH19" s="284"/>
      <c r="CI19" s="288"/>
      <c r="CJ19" s="288"/>
    </row>
    <row r="20" spans="1:88" s="250" customFormat="1" ht="3" customHeight="1">
      <c r="A20" s="312"/>
      <c r="B20" s="312"/>
      <c r="C20" s="312"/>
      <c r="D20" s="312"/>
      <c r="E20" s="1072"/>
      <c r="F20" s="1073"/>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1014"/>
      <c r="AL20" s="1014"/>
      <c r="AM20" s="1014"/>
      <c r="AN20" s="355"/>
      <c r="AO20" s="436"/>
      <c r="AP20" s="436"/>
      <c r="AQ20" s="436"/>
      <c r="AR20" s="435"/>
      <c r="AS20" s="433"/>
      <c r="AT20" s="433"/>
      <c r="AU20" s="433"/>
      <c r="AV20" s="433"/>
      <c r="AW20" s="433"/>
      <c r="AX20" s="434"/>
      <c r="AY20" s="1007"/>
      <c r="AZ20" s="1007"/>
      <c r="BA20" s="1007"/>
      <c r="BB20" s="1007"/>
      <c r="BC20" s="1007"/>
      <c r="BD20" s="1007"/>
      <c r="BE20" s="434"/>
      <c r="BF20" s="968"/>
      <c r="BG20" s="968"/>
      <c r="BH20" s="968"/>
      <c r="BI20" s="968"/>
      <c r="BJ20" s="968"/>
      <c r="BK20" s="851"/>
      <c r="BL20" s="826"/>
      <c r="BM20" s="820"/>
      <c r="BN20" s="820"/>
      <c r="BO20" s="820"/>
      <c r="BP20" s="435"/>
      <c r="BQ20" s="1007"/>
      <c r="BR20" s="1007"/>
      <c r="BS20" s="1007"/>
      <c r="BT20" s="1007"/>
      <c r="BU20" s="1007"/>
      <c r="BV20" s="1008"/>
      <c r="BW20" s="968"/>
      <c r="BX20" s="968"/>
      <c r="BY20" s="968"/>
      <c r="BZ20" s="968"/>
      <c r="CA20" s="968"/>
      <c r="CB20" s="1009"/>
      <c r="CC20" s="968"/>
      <c r="CD20" s="968"/>
      <c r="CE20" s="968"/>
      <c r="CF20" s="968"/>
      <c r="CG20" s="968"/>
      <c r="CH20" s="285"/>
      <c r="CI20" s="288"/>
      <c r="CJ20" s="288"/>
    </row>
    <row r="21" spans="1:88" s="313" customFormat="1" ht="15" customHeight="1">
      <c r="A21" s="312"/>
      <c r="B21" s="312"/>
      <c r="C21" s="312"/>
      <c r="E21" s="1072"/>
      <c r="F21" s="1073"/>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1014"/>
      <c r="AL21" s="1014"/>
      <c r="AM21" s="1014"/>
      <c r="AN21" s="355"/>
      <c r="AO21" s="432" t="str">
        <f>IF(LEN(VLOOKUP(AK19,vysledovka!$D$8:$F$68,2,FALSE))&lt;11,"",LEFT(RIGHT(VLOOKUP(AK19,vysledovka!$D$8:$F$68,2,FALSE),11),1))</f>
        <v/>
      </c>
      <c r="AP21" s="255"/>
      <c r="AQ21" s="432" t="str">
        <f>IF(LEN(VLOOKUP(AK19,vysledovka!$D$8:$F$68,2,FALSE))&lt;10,"",LEFT(RIGHT(VLOOKUP(AK19,vysledovka!$D$8:$F$68,2,FALSE),10),1))</f>
        <v/>
      </c>
      <c r="AR21" s="434"/>
      <c r="AS21" s="432" t="str">
        <f>IF(LEN(VLOOKUP(AK19,vysledovka!$D$8:$F$68,2,FALSE))&lt;9,"",LEFT(RIGHT(VLOOKUP(AK19,vysledovka!$D$8:$F$68,2,FALSE),9),1))</f>
        <v/>
      </c>
      <c r="AT21" s="255"/>
      <c r="AU21" s="432" t="str">
        <f>IF(LEN(VLOOKUP(AK19,vysledovka!$D$8:$F$68,2,FALSE))&lt;8,"",LEFT(RIGHT(VLOOKUP(AK19,vysledovka!$D$8:$F$68,2,FALSE),8),1))</f>
        <v/>
      </c>
      <c r="AV21" s="434"/>
      <c r="AW21" s="432" t="str">
        <f>IF(LEN(VLOOKUP(AK19,vysledovka!$D$8:$F$68,2,FALSE))&lt;7,"",LEFT(RIGHT(VLOOKUP(AK19,vysledovka!$D$8:$F$68,2,FALSE),7),1))</f>
        <v/>
      </c>
      <c r="AX21" s="434"/>
      <c r="AY21" s="432" t="str">
        <f>IF(LEN(VLOOKUP(AK19,vysledovka!$D$8:$F$68,2,FALSE))&lt;6,"",LEFT(RIGHT(VLOOKUP(AK19,vysledovka!$D$8:$F$68,2,FALSE),6),1))</f>
        <v/>
      </c>
      <c r="AZ21" s="255"/>
      <c r="BA21" s="961" t="str">
        <f>IF(LEN(VLOOKUP(AK19,vysledovka!$D$8:$F$68,2,FALSE))&lt;5,"",LEFT(RIGHT(VLOOKUP(AK19,vysledovka!$D$8:$F$68,2,FALSE),5),1))</f>
        <v/>
      </c>
      <c r="BB21" s="961"/>
      <c r="BC21" s="434"/>
      <c r="BD21" s="432" t="str">
        <f>IF(LEN(VLOOKUP(AK19,vysledovka!$D$8:$F$68,2,FALSE))&lt;4,"",LEFT(RIGHT(VLOOKUP(AK19,vysledovka!$D$8:$F$68,2,FALSE),4),1))</f>
        <v/>
      </c>
      <c r="BE21" s="434"/>
      <c r="BF21" s="432" t="str">
        <f>IF(LEN(VLOOKUP(AK19,vysledovka!$D$8:$F$68,2,FALSE))&lt;3,"",LEFT(RIGHT(VLOOKUP(AK19,vysledovka!$D$8:$F$68,2,FALSE),3),1))</f>
        <v/>
      </c>
      <c r="BG21" s="434"/>
      <c r="BH21" s="432" t="str">
        <f>IF(LEN(VLOOKUP(AK19,vysledovka!$D$8:$F$68,2,FALSE))&lt;2,"",LEFT(RIGHT(VLOOKUP(AK19,vysledovka!$D$8:$F$68,2,FALSE),2),1))</f>
        <v/>
      </c>
      <c r="BI21" s="434"/>
      <c r="BJ21" s="432" t="str">
        <f>IF(VLOOKUP(AK19,vysledovka!$D$8:$F$68,2,FALSE)=0,"",IF(LEN(VLOOKUP(AK19,vysledovka!$D$8:$F$68,2,FALSE))&lt;1,"",LEFT(RIGHT(VLOOKUP(AK19,vysledovka!$D$8:$F$68,2,FALSE),1),1)))</f>
        <v/>
      </c>
      <c r="BK21" s="851"/>
      <c r="BL21" s="826"/>
      <c r="BM21" s="432" t="str">
        <f>IF(LEN(VLOOKUP(AK19,vysledovka!$D$8:$F$68,3,FALSE))&lt;11,"",LEFT(RIGHT(VLOOKUP(AK19,vysledovka!$D$8:$F$68,3,FALSE),11),1))</f>
        <v/>
      </c>
      <c r="BN21" s="255"/>
      <c r="BO21" s="432" t="str">
        <f>IF(LEN(VLOOKUP(AK19,vysledovka!$D$8:$F$68,3,FALSE))&lt;10,"",LEFT(RIGHT(VLOOKUP(AK19,vysledovka!$D$8:$F$68,3,FALSE),10),1))</f>
        <v/>
      </c>
      <c r="BP21" s="434"/>
      <c r="BQ21" s="432" t="str">
        <f>IF(LEN(VLOOKUP(AK19,vysledovka!$D$8:$F$68,3,FALSE))&lt;9,"",LEFT(RIGHT(VLOOKUP(AK19,vysledovka!$D$8:$F$68,3,FALSE),9),1))</f>
        <v/>
      </c>
      <c r="BR21" s="255"/>
      <c r="BS21" s="432" t="str">
        <f>IF(LEN(VLOOKUP(AK19,vysledovka!$D$8:$F$68,3,FALSE))&lt;8,"",LEFT(RIGHT(VLOOKUP(AK19,vysledovka!$D$8:$F$68,3,FALSE),8),1))</f>
        <v/>
      </c>
      <c r="BT21" s="434"/>
      <c r="BU21" s="432" t="str">
        <f>IF(LEN(VLOOKUP(AK19,vysledovka!$D$8:$F$68,3,FALSE))&lt;7,"",LEFT(RIGHT(VLOOKUP(AK19,vysledovka!$D$8:$F$68,3,FALSE),7),1))</f>
        <v>2</v>
      </c>
      <c r="BV21" s="1008"/>
      <c r="BW21" s="432" t="str">
        <f>IF(LEN(VLOOKUP(AK19,vysledovka!$D$8:$F$68,3,FALSE))&lt;6,"",LEFT(RIGHT(VLOOKUP(AK19,vysledovka!$D$8:$F$68,3,FALSE),6),1))</f>
        <v>8</v>
      </c>
      <c r="BX21" s="434"/>
      <c r="BY21" s="432" t="str">
        <f>IF(LEN(VLOOKUP(AK19,vysledovka!$D$8:$F$68,3,FALSE))&lt;5,"",LEFT(RIGHT(VLOOKUP(AK19,vysledovka!$D$8:$F$68,3,FALSE),5),1))</f>
        <v>0</v>
      </c>
      <c r="BZ21" s="434"/>
      <c r="CA21" s="432" t="str">
        <f>IF(LEN(VLOOKUP(AK19,vysledovka!$D$8:$F$68,3,FALSE))&lt;4,"",LEFT(RIGHT(VLOOKUP(AK19,vysledovka!$D$8:$F$68,3,FALSE),4),1))</f>
        <v>3</v>
      </c>
      <c r="CB21" s="1009"/>
      <c r="CC21" s="432" t="str">
        <f>IF(LEN(VLOOKUP(AK19,vysledovka!$D$8:$F$68,3,FALSE))&lt;3,"",LEFT(RIGHT(VLOOKUP(AK19,vysledovka!$D$8:$F$68,3,FALSE),3),1))</f>
        <v>7</v>
      </c>
      <c r="CD21" s="434"/>
      <c r="CE21" s="432" t="str">
        <f>IF(LEN(VLOOKUP(AK19,vysledovka!$D$8:$F$68,3,FALSE))&lt;2,"",LEFT(RIGHT(VLOOKUP(AK19,vysledovka!$D$8:$F$68,3,FALSE),2),1))</f>
        <v>7</v>
      </c>
      <c r="CF21" s="434"/>
      <c r="CG21" s="432" t="str">
        <f>IF(VLOOKUP(AK19,vysledovka!$D$8:$F$68,3,FALSE)=0,"",IF(LEN(VLOOKUP(AK19,vysledovka!$D$8:$F$68,3,FALSE))&lt;1,"",LEFT(RIGHT(VLOOKUP(AK19,vysledovka!$D$8:$F$68,3,FALSE),1),1)))</f>
        <v>0</v>
      </c>
      <c r="CH21" s="285"/>
      <c r="CI21" s="312"/>
      <c r="CJ21" s="312"/>
    </row>
    <row r="22" spans="1:88" s="313" customFormat="1" ht="3" customHeight="1">
      <c r="A22" s="312"/>
      <c r="B22" s="312"/>
      <c r="C22" s="312"/>
      <c r="E22" s="1074"/>
      <c r="F22" s="1075"/>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1014"/>
      <c r="AL22" s="1014"/>
      <c r="AM22" s="1014"/>
      <c r="AN22" s="358"/>
      <c r="AO22" s="365"/>
      <c r="AP22" s="365"/>
      <c r="AQ22" s="365"/>
      <c r="AR22" s="365"/>
      <c r="AS22" s="365"/>
      <c r="AT22" s="365"/>
      <c r="AU22" s="365"/>
      <c r="AV22" s="365"/>
      <c r="AW22" s="365"/>
      <c r="AX22" s="365"/>
      <c r="AY22" s="365"/>
      <c r="AZ22" s="365"/>
      <c r="BA22" s="365"/>
      <c r="BB22" s="365"/>
      <c r="BC22" s="365"/>
      <c r="BD22" s="365"/>
      <c r="BE22" s="310"/>
      <c r="BF22" s="310"/>
      <c r="BG22" s="310"/>
      <c r="BH22" s="310"/>
      <c r="BI22" s="310"/>
      <c r="BJ22" s="310"/>
      <c r="BK22" s="310"/>
      <c r="BL22" s="846"/>
      <c r="BM22" s="846"/>
      <c r="BN22" s="846"/>
      <c r="BO22" s="846"/>
      <c r="BP22" s="846"/>
      <c r="BQ22" s="846"/>
      <c r="BR22" s="846"/>
      <c r="BS22" s="846"/>
      <c r="BT22" s="846"/>
      <c r="BU22" s="846"/>
      <c r="BV22" s="846"/>
      <c r="BW22" s="846"/>
      <c r="BX22" s="846"/>
      <c r="BY22" s="846"/>
      <c r="BZ22" s="846"/>
      <c r="CA22" s="846"/>
      <c r="CB22" s="846"/>
      <c r="CC22" s="310"/>
      <c r="CD22" s="310"/>
      <c r="CE22" s="310"/>
      <c r="CF22" s="310"/>
      <c r="CG22" s="310"/>
      <c r="CH22" s="286"/>
      <c r="CI22" s="312"/>
      <c r="CJ22" s="312"/>
    </row>
    <row r="23" spans="1:88" s="250" customFormat="1" ht="3" customHeight="1">
      <c r="A23" s="312"/>
      <c r="B23" s="312"/>
      <c r="C23" s="224"/>
      <c r="D23" s="224"/>
      <c r="E23" s="1076" t="s">
        <v>689</v>
      </c>
      <c r="F23" s="1077"/>
      <c r="G23" s="1083" t="str">
        <f>Index!C235</f>
        <v>Výnosy z dlhodobého finančného majetku súčet (r. 32 až r. 34)</v>
      </c>
      <c r="H23" s="1084"/>
      <c r="I23" s="1084"/>
      <c r="J23" s="1084"/>
      <c r="K23" s="1084"/>
      <c r="L23" s="1084"/>
      <c r="M23" s="1084"/>
      <c r="N23" s="1084"/>
      <c r="O23" s="1084"/>
      <c r="P23" s="1084"/>
      <c r="Q23" s="1084"/>
      <c r="R23" s="1084"/>
      <c r="S23" s="1084"/>
      <c r="T23" s="1084"/>
      <c r="U23" s="1084"/>
      <c r="V23" s="1084"/>
      <c r="W23" s="1084"/>
      <c r="X23" s="1084"/>
      <c r="Y23" s="1084"/>
      <c r="Z23" s="1084"/>
      <c r="AA23" s="1084"/>
      <c r="AB23" s="1084"/>
      <c r="AC23" s="1084"/>
      <c r="AD23" s="1084"/>
      <c r="AE23" s="1084"/>
      <c r="AF23" s="1084"/>
      <c r="AG23" s="1084"/>
      <c r="AH23" s="1084"/>
      <c r="AI23" s="1084"/>
      <c r="AJ23" s="1085"/>
      <c r="AK23" s="1056" t="s">
        <v>1579</v>
      </c>
      <c r="AL23" s="1014"/>
      <c r="AM23" s="1014"/>
      <c r="AN23" s="357"/>
      <c r="AO23" s="366"/>
      <c r="AP23" s="366"/>
      <c r="AQ23" s="366"/>
      <c r="AR23" s="366"/>
      <c r="AS23" s="366"/>
      <c r="AT23" s="366"/>
      <c r="AU23" s="366"/>
      <c r="AV23" s="366"/>
      <c r="AW23" s="366"/>
      <c r="AX23" s="366"/>
      <c r="AY23" s="366"/>
      <c r="AZ23" s="366"/>
      <c r="BA23" s="366"/>
      <c r="BB23" s="366"/>
      <c r="BC23" s="366"/>
      <c r="BD23" s="366"/>
      <c r="BE23" s="304"/>
      <c r="BF23" s="304"/>
      <c r="BG23" s="304"/>
      <c r="BH23" s="304"/>
      <c r="BI23" s="304"/>
      <c r="BJ23" s="304"/>
      <c r="BK23" s="304"/>
      <c r="BL23" s="867"/>
      <c r="BM23" s="867"/>
      <c r="BN23" s="867"/>
      <c r="BO23" s="867"/>
      <c r="BP23" s="867"/>
      <c r="BQ23" s="867"/>
      <c r="BR23" s="867"/>
      <c r="BS23" s="867"/>
      <c r="BT23" s="867"/>
      <c r="BU23" s="867"/>
      <c r="BV23" s="867"/>
      <c r="BW23" s="867"/>
      <c r="BX23" s="867"/>
      <c r="BY23" s="867"/>
      <c r="BZ23" s="867"/>
      <c r="CA23" s="867"/>
      <c r="CB23" s="867"/>
      <c r="CC23" s="304"/>
      <c r="CD23" s="304"/>
      <c r="CE23" s="304"/>
      <c r="CF23" s="304"/>
      <c r="CG23" s="304"/>
      <c r="CH23" s="284"/>
      <c r="CI23" s="288"/>
      <c r="CJ23" s="288"/>
    </row>
    <row r="24" spans="1:88" s="250" customFormat="1" ht="3" customHeight="1">
      <c r="A24" s="312"/>
      <c r="B24" s="312"/>
      <c r="C24" s="312"/>
      <c r="D24" s="312"/>
      <c r="E24" s="1078"/>
      <c r="F24" s="1079"/>
      <c r="G24" s="1086"/>
      <c r="H24" s="1087"/>
      <c r="I24" s="1087"/>
      <c r="J24" s="1087"/>
      <c r="K24" s="1087"/>
      <c r="L24" s="1087"/>
      <c r="M24" s="1087"/>
      <c r="N24" s="1087"/>
      <c r="O24" s="1087"/>
      <c r="P24" s="1087"/>
      <c r="Q24" s="1087"/>
      <c r="R24" s="1087"/>
      <c r="S24" s="1087"/>
      <c r="T24" s="1087"/>
      <c r="U24" s="1087"/>
      <c r="V24" s="1087"/>
      <c r="W24" s="1087"/>
      <c r="X24" s="1087"/>
      <c r="Y24" s="1087"/>
      <c r="Z24" s="1087"/>
      <c r="AA24" s="1087"/>
      <c r="AB24" s="1087"/>
      <c r="AC24" s="1087"/>
      <c r="AD24" s="1087"/>
      <c r="AE24" s="1087"/>
      <c r="AF24" s="1087"/>
      <c r="AG24" s="1087"/>
      <c r="AH24" s="1087"/>
      <c r="AI24" s="1087"/>
      <c r="AJ24" s="1088"/>
      <c r="AK24" s="1014"/>
      <c r="AL24" s="1014"/>
      <c r="AM24" s="1014"/>
      <c r="AN24" s="355"/>
      <c r="AO24" s="436"/>
      <c r="AP24" s="436"/>
      <c r="AQ24" s="436"/>
      <c r="AR24" s="435"/>
      <c r="AS24" s="433"/>
      <c r="AT24" s="433"/>
      <c r="AU24" s="433"/>
      <c r="AV24" s="433"/>
      <c r="AW24" s="433"/>
      <c r="AX24" s="434"/>
      <c r="AY24" s="1007"/>
      <c r="AZ24" s="1007"/>
      <c r="BA24" s="1007"/>
      <c r="BB24" s="1007"/>
      <c r="BC24" s="1007"/>
      <c r="BD24" s="1007"/>
      <c r="BE24" s="434"/>
      <c r="BF24" s="968"/>
      <c r="BG24" s="968"/>
      <c r="BH24" s="968"/>
      <c r="BI24" s="968"/>
      <c r="BJ24" s="968"/>
      <c r="BK24" s="851"/>
      <c r="BL24" s="826"/>
      <c r="BM24" s="820"/>
      <c r="BN24" s="820"/>
      <c r="BO24" s="820"/>
      <c r="BP24" s="435"/>
      <c r="BQ24" s="1007"/>
      <c r="BR24" s="1007"/>
      <c r="BS24" s="1007"/>
      <c r="BT24" s="1007"/>
      <c r="BU24" s="1007"/>
      <c r="BV24" s="1008"/>
      <c r="BW24" s="968"/>
      <c r="BX24" s="968"/>
      <c r="BY24" s="968"/>
      <c r="BZ24" s="968"/>
      <c r="CA24" s="968"/>
      <c r="CB24" s="1009"/>
      <c r="CC24" s="968"/>
      <c r="CD24" s="968"/>
      <c r="CE24" s="968"/>
      <c r="CF24" s="968"/>
      <c r="CG24" s="968"/>
      <c r="CH24" s="285"/>
      <c r="CI24" s="288"/>
      <c r="CJ24" s="288"/>
    </row>
    <row r="25" spans="1:88" s="313" customFormat="1" ht="15" customHeight="1">
      <c r="A25" s="312"/>
      <c r="B25" s="312"/>
      <c r="C25" s="312"/>
      <c r="E25" s="1078"/>
      <c r="F25" s="1079"/>
      <c r="G25" s="1086"/>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8"/>
      <c r="AK25" s="1014"/>
      <c r="AL25" s="1014"/>
      <c r="AM25" s="1014"/>
      <c r="AN25" s="355"/>
      <c r="AO25" s="432" t="str">
        <f>IF(LEN(VLOOKUP(AK23,vysledovka!$D$8:$F$68,2,FALSE))&lt;11,"",LEFT(RIGHT(VLOOKUP(AK23,vysledovka!$D$8:$F$68,2,FALSE),11),1))</f>
        <v/>
      </c>
      <c r="AP25" s="255"/>
      <c r="AQ25" s="432" t="str">
        <f>IF(LEN(VLOOKUP(AK23,vysledovka!$D$8:$F$68,2,FALSE))&lt;10,"",LEFT(RIGHT(VLOOKUP(AK23,vysledovka!$D$8:$F$68,2,FALSE),10),1))</f>
        <v/>
      </c>
      <c r="AR25" s="434"/>
      <c r="AS25" s="432" t="str">
        <f>IF(LEN(VLOOKUP(AK23,vysledovka!$D$8:$F$68,2,FALSE))&lt;9,"",LEFT(RIGHT(VLOOKUP(AK23,vysledovka!$D$8:$F$68,2,FALSE),9),1))</f>
        <v/>
      </c>
      <c r="AT25" s="255"/>
      <c r="AU25" s="432" t="str">
        <f>IF(LEN(VLOOKUP(AK23,vysledovka!$D$8:$F$68,2,FALSE))&lt;8,"",LEFT(RIGHT(VLOOKUP(AK23,vysledovka!$D$8:$F$68,2,FALSE),8),1))</f>
        <v/>
      </c>
      <c r="AV25" s="434"/>
      <c r="AW25" s="432" t="str">
        <f>IF(LEN(VLOOKUP(AK23,vysledovka!$D$8:$F$68,2,FALSE))&lt;7,"",LEFT(RIGHT(VLOOKUP(AK23,vysledovka!$D$8:$F$68,2,FALSE),7),1))</f>
        <v/>
      </c>
      <c r="AX25" s="434"/>
      <c r="AY25" s="432" t="str">
        <f>IF(LEN(VLOOKUP(AK23,vysledovka!$D$8:$F$68,2,FALSE))&lt;6,"",LEFT(RIGHT(VLOOKUP(AK23,vysledovka!$D$8:$F$68,2,FALSE),6),1))</f>
        <v/>
      </c>
      <c r="AZ25" s="255"/>
      <c r="BA25" s="961" t="str">
        <f>IF(LEN(VLOOKUP(AK23,vysledovka!$D$8:$F$68,2,FALSE))&lt;5,"",LEFT(RIGHT(VLOOKUP(AK23,vysledovka!$D$8:$F$68,2,FALSE),5),1))</f>
        <v/>
      </c>
      <c r="BB25" s="961"/>
      <c r="BC25" s="434"/>
      <c r="BD25" s="432" t="str">
        <f>IF(LEN(VLOOKUP(AK23,vysledovka!$D$8:$F$68,2,FALSE))&lt;4,"",LEFT(RIGHT(VLOOKUP(AK23,vysledovka!$D$8:$F$68,2,FALSE),4),1))</f>
        <v/>
      </c>
      <c r="BE25" s="434"/>
      <c r="BF25" s="432" t="str">
        <f>IF(LEN(VLOOKUP(AK23,vysledovka!$D$8:$F$68,2,FALSE))&lt;3,"",LEFT(RIGHT(VLOOKUP(AK23,vysledovka!$D$8:$F$68,2,FALSE),3),1))</f>
        <v/>
      </c>
      <c r="BG25" s="434"/>
      <c r="BH25" s="432" t="str">
        <f>IF(LEN(VLOOKUP(AK23,vysledovka!$D$8:$F$68,2,FALSE))&lt;2,"",LEFT(RIGHT(VLOOKUP(AK23,vysledovka!$D$8:$F$68,2,FALSE),2),1))</f>
        <v/>
      </c>
      <c r="BI25" s="434"/>
      <c r="BJ25" s="432" t="str">
        <f>IF(VLOOKUP(AK23,vysledovka!$D$8:$F$68,2,FALSE)=0,"",IF(LEN(VLOOKUP(AK23,vysledovka!$D$8:$F$68,2,FALSE))&lt;1,"",LEFT(RIGHT(VLOOKUP(AK23,vysledovka!$D$8:$F$68,2,FALSE),1),1)))</f>
        <v/>
      </c>
      <c r="BK25" s="851"/>
      <c r="BL25" s="826"/>
      <c r="BM25" s="432" t="str">
        <f>IF(LEN(VLOOKUP(AK23,vysledovka!$D$8:$F$68,3,FALSE))&lt;11,"",LEFT(RIGHT(VLOOKUP(AK23,vysledovka!$D$8:$F$68,3,FALSE),11),1))</f>
        <v/>
      </c>
      <c r="BN25" s="255"/>
      <c r="BO25" s="432" t="str">
        <f>IF(LEN(VLOOKUP(AK23,vysledovka!$D$8:$F$68,3,FALSE))&lt;10,"",LEFT(RIGHT(VLOOKUP(AK23,vysledovka!$D$8:$F$68,3,FALSE),10),1))</f>
        <v/>
      </c>
      <c r="BP25" s="434"/>
      <c r="BQ25" s="432" t="str">
        <f>IF(LEN(VLOOKUP(AK23,vysledovka!$D$8:$F$68,3,FALSE))&lt;9,"",LEFT(RIGHT(VLOOKUP(AK23,vysledovka!$D$8:$F$68,3,FALSE),9),1))</f>
        <v/>
      </c>
      <c r="BR25" s="255"/>
      <c r="BS25" s="432" t="str">
        <f>IF(LEN(VLOOKUP(AK23,vysledovka!$D$8:$F$68,3,FALSE))&lt;8,"",LEFT(RIGHT(VLOOKUP(AK23,vysledovka!$D$8:$F$68,3,FALSE),8),1))</f>
        <v/>
      </c>
      <c r="BT25" s="434"/>
      <c r="BU25" s="432" t="str">
        <f>IF(LEN(VLOOKUP(AK23,vysledovka!$D$8:$F$68,3,FALSE))&lt;7,"",LEFT(RIGHT(VLOOKUP(AK23,vysledovka!$D$8:$F$68,3,FALSE),7),1))</f>
        <v/>
      </c>
      <c r="BV25" s="1008"/>
      <c r="BW25" s="432" t="str">
        <f>IF(LEN(VLOOKUP(AK23,vysledovka!$D$8:$F$68,3,FALSE))&lt;6,"",LEFT(RIGHT(VLOOKUP(AK23,vysledovka!$D$8:$F$68,3,FALSE),6),1))</f>
        <v/>
      </c>
      <c r="BX25" s="434"/>
      <c r="BY25" s="432" t="str">
        <f>IF(LEN(VLOOKUP(AK23,vysledovka!$D$8:$F$68,3,FALSE))&lt;5,"",LEFT(RIGHT(VLOOKUP(AK23,vysledovka!$D$8:$F$68,3,FALSE),5),1))</f>
        <v/>
      </c>
      <c r="BZ25" s="434"/>
      <c r="CA25" s="432" t="str">
        <f>IF(LEN(VLOOKUP(AK23,vysledovka!$D$8:$F$68,3,FALSE))&lt;4,"",LEFT(RIGHT(VLOOKUP(AK23,vysledovka!$D$8:$F$68,3,FALSE),4),1))</f>
        <v/>
      </c>
      <c r="CB25" s="1009"/>
      <c r="CC25" s="432" t="str">
        <f>IF(LEN(VLOOKUP(AK23,vysledovka!$D$8:$F$68,3,FALSE))&lt;3,"",LEFT(RIGHT(VLOOKUP(AK23,vysledovka!$D$8:$F$68,3,FALSE),3),1))</f>
        <v/>
      </c>
      <c r="CD25" s="434"/>
      <c r="CE25" s="432" t="str">
        <f>IF(LEN(VLOOKUP(AK23,vysledovka!$D$8:$F$68,3,FALSE))&lt;2,"",LEFT(RIGHT(VLOOKUP(AK23,vysledovka!$D$8:$F$68,3,FALSE),2),1))</f>
        <v/>
      </c>
      <c r="CF25" s="434"/>
      <c r="CG25" s="432" t="str">
        <f>IF(VLOOKUP(AK23,vysledovka!$D$8:$F$68,3,FALSE)=0,"",IF(LEN(VLOOKUP(AK23,vysledovka!$D$8:$F$68,3,FALSE))&lt;1,"",LEFT(RIGHT(VLOOKUP(AK23,vysledovka!$D$8:$F$68,3,FALSE),1),1)))</f>
        <v/>
      </c>
      <c r="CH25" s="285"/>
      <c r="CI25" s="312"/>
      <c r="CJ25" s="312"/>
    </row>
    <row r="26" spans="1:88" s="313" customFormat="1" ht="3" customHeight="1">
      <c r="A26" s="312"/>
      <c r="B26" s="312"/>
      <c r="C26" s="312"/>
      <c r="E26" s="1080"/>
      <c r="F26" s="1081"/>
      <c r="G26" s="1089"/>
      <c r="H26" s="1090"/>
      <c r="I26" s="1090"/>
      <c r="J26" s="1090"/>
      <c r="K26" s="1090"/>
      <c r="L26" s="1090"/>
      <c r="M26" s="1090"/>
      <c r="N26" s="1090"/>
      <c r="O26" s="1090"/>
      <c r="P26" s="1090"/>
      <c r="Q26" s="1090"/>
      <c r="R26" s="1090"/>
      <c r="S26" s="1090"/>
      <c r="T26" s="1090"/>
      <c r="U26" s="1090"/>
      <c r="V26" s="1090"/>
      <c r="W26" s="1090"/>
      <c r="X26" s="1090"/>
      <c r="Y26" s="1090"/>
      <c r="Z26" s="1090"/>
      <c r="AA26" s="1090"/>
      <c r="AB26" s="1090"/>
      <c r="AC26" s="1090"/>
      <c r="AD26" s="1090"/>
      <c r="AE26" s="1090"/>
      <c r="AF26" s="1090"/>
      <c r="AG26" s="1090"/>
      <c r="AH26" s="1090"/>
      <c r="AI26" s="1090"/>
      <c r="AJ26" s="1091"/>
      <c r="AK26" s="1014"/>
      <c r="AL26" s="1014"/>
      <c r="AM26" s="1014"/>
      <c r="AN26" s="358"/>
      <c r="AO26" s="365"/>
      <c r="AP26" s="365"/>
      <c r="AQ26" s="365"/>
      <c r="AR26" s="365"/>
      <c r="AS26" s="365"/>
      <c r="AT26" s="365"/>
      <c r="AU26" s="365"/>
      <c r="AV26" s="365"/>
      <c r="AW26" s="365"/>
      <c r="AX26" s="365"/>
      <c r="AY26" s="365"/>
      <c r="AZ26" s="365"/>
      <c r="BA26" s="365"/>
      <c r="BB26" s="365"/>
      <c r="BC26" s="365"/>
      <c r="BD26" s="365"/>
      <c r="BE26" s="310"/>
      <c r="BF26" s="310"/>
      <c r="BG26" s="310"/>
      <c r="BH26" s="310"/>
      <c r="BI26" s="310"/>
      <c r="BJ26" s="310"/>
      <c r="BK26" s="310"/>
      <c r="BL26" s="846"/>
      <c r="BM26" s="846"/>
      <c r="BN26" s="846"/>
      <c r="BO26" s="846"/>
      <c r="BP26" s="846"/>
      <c r="BQ26" s="846"/>
      <c r="BR26" s="846"/>
      <c r="BS26" s="846"/>
      <c r="BT26" s="846"/>
      <c r="BU26" s="846"/>
      <c r="BV26" s="846"/>
      <c r="BW26" s="846"/>
      <c r="BX26" s="846"/>
      <c r="BY26" s="846"/>
      <c r="BZ26" s="846"/>
      <c r="CA26" s="846"/>
      <c r="CB26" s="846"/>
      <c r="CC26" s="310"/>
      <c r="CD26" s="310"/>
      <c r="CE26" s="310"/>
      <c r="CF26" s="310"/>
      <c r="CG26" s="310"/>
      <c r="CH26" s="286"/>
      <c r="CI26" s="312"/>
      <c r="CJ26" s="312"/>
    </row>
    <row r="27" spans="1:88" s="250" customFormat="1" ht="3" customHeight="1">
      <c r="A27" s="312"/>
      <c r="B27" s="312"/>
      <c r="C27" s="224"/>
      <c r="D27" s="224"/>
      <c r="E27" s="1070" t="s">
        <v>1742</v>
      </c>
      <c r="F27" s="1071"/>
      <c r="G27" s="972" t="str">
        <f>Index!C236</f>
        <v>Výnosy z cenných papierov a podielov od prepojených účtovných jednotiek (665A)</v>
      </c>
      <c r="H27" s="972"/>
      <c r="I27" s="972"/>
      <c r="J27" s="972"/>
      <c r="K27" s="972"/>
      <c r="L27" s="972"/>
      <c r="M27" s="972"/>
      <c r="N27" s="972"/>
      <c r="O27" s="972"/>
      <c r="P27" s="972"/>
      <c r="Q27" s="972"/>
      <c r="R27" s="972"/>
      <c r="S27" s="972"/>
      <c r="T27" s="972"/>
      <c r="U27" s="972"/>
      <c r="V27" s="972"/>
      <c r="W27" s="972"/>
      <c r="X27" s="972"/>
      <c r="Y27" s="972"/>
      <c r="Z27" s="972"/>
      <c r="AA27" s="972"/>
      <c r="AB27" s="972"/>
      <c r="AC27" s="972"/>
      <c r="AD27" s="972"/>
      <c r="AE27" s="972"/>
      <c r="AF27" s="972"/>
      <c r="AG27" s="972"/>
      <c r="AH27" s="972"/>
      <c r="AI27" s="972"/>
      <c r="AJ27" s="972"/>
      <c r="AK27" s="1056" t="s">
        <v>1581</v>
      </c>
      <c r="AL27" s="1014"/>
      <c r="AM27" s="1014"/>
      <c r="AN27" s="357"/>
      <c r="AO27" s="366"/>
      <c r="AP27" s="366"/>
      <c r="AQ27" s="366"/>
      <c r="AR27" s="366"/>
      <c r="AS27" s="366"/>
      <c r="AT27" s="366"/>
      <c r="AU27" s="366"/>
      <c r="AV27" s="366"/>
      <c r="AW27" s="366"/>
      <c r="AX27" s="366"/>
      <c r="AY27" s="366"/>
      <c r="AZ27" s="366"/>
      <c r="BA27" s="366"/>
      <c r="BB27" s="366"/>
      <c r="BC27" s="366"/>
      <c r="BD27" s="366"/>
      <c r="BE27" s="304"/>
      <c r="BF27" s="304"/>
      <c r="BG27" s="304"/>
      <c r="BH27" s="304"/>
      <c r="BI27" s="304"/>
      <c r="BJ27" s="304"/>
      <c r="BK27" s="304"/>
      <c r="BL27" s="867"/>
      <c r="BM27" s="867"/>
      <c r="BN27" s="867"/>
      <c r="BO27" s="867"/>
      <c r="BP27" s="867"/>
      <c r="BQ27" s="867"/>
      <c r="BR27" s="867"/>
      <c r="BS27" s="867"/>
      <c r="BT27" s="867"/>
      <c r="BU27" s="867"/>
      <c r="BV27" s="867"/>
      <c r="BW27" s="867"/>
      <c r="BX27" s="867"/>
      <c r="BY27" s="867"/>
      <c r="BZ27" s="867"/>
      <c r="CA27" s="867"/>
      <c r="CB27" s="867"/>
      <c r="CC27" s="304"/>
      <c r="CD27" s="304"/>
      <c r="CE27" s="304"/>
      <c r="CF27" s="304"/>
      <c r="CG27" s="304"/>
      <c r="CH27" s="284"/>
      <c r="CI27" s="288"/>
      <c r="CJ27" s="288"/>
    </row>
    <row r="28" spans="1:88" s="250" customFormat="1" ht="3" customHeight="1">
      <c r="A28" s="312"/>
      <c r="B28" s="312"/>
      <c r="C28" s="312"/>
      <c r="D28" s="312"/>
      <c r="E28" s="1072"/>
      <c r="F28" s="1073"/>
      <c r="G28" s="972"/>
      <c r="H28" s="972"/>
      <c r="I28" s="972"/>
      <c r="J28" s="972"/>
      <c r="K28" s="972"/>
      <c r="L28" s="972"/>
      <c r="M28" s="972"/>
      <c r="N28" s="972"/>
      <c r="O28" s="972"/>
      <c r="P28" s="972"/>
      <c r="Q28" s="972"/>
      <c r="R28" s="972"/>
      <c r="S28" s="972"/>
      <c r="T28" s="972"/>
      <c r="U28" s="972"/>
      <c r="V28" s="972"/>
      <c r="W28" s="972"/>
      <c r="X28" s="972"/>
      <c r="Y28" s="972"/>
      <c r="Z28" s="972"/>
      <c r="AA28" s="972"/>
      <c r="AB28" s="972"/>
      <c r="AC28" s="972"/>
      <c r="AD28" s="972"/>
      <c r="AE28" s="972"/>
      <c r="AF28" s="972"/>
      <c r="AG28" s="972"/>
      <c r="AH28" s="972"/>
      <c r="AI28" s="972"/>
      <c r="AJ28" s="972"/>
      <c r="AK28" s="1014"/>
      <c r="AL28" s="1014"/>
      <c r="AM28" s="1014"/>
      <c r="AN28" s="355"/>
      <c r="AO28" s="436"/>
      <c r="AP28" s="436"/>
      <c r="AQ28" s="436"/>
      <c r="AR28" s="435"/>
      <c r="AS28" s="433"/>
      <c r="AT28" s="433"/>
      <c r="AU28" s="433"/>
      <c r="AV28" s="433"/>
      <c r="AW28" s="433"/>
      <c r="AX28" s="434"/>
      <c r="AY28" s="1007"/>
      <c r="AZ28" s="1007"/>
      <c r="BA28" s="1007"/>
      <c r="BB28" s="1007"/>
      <c r="BC28" s="1007"/>
      <c r="BD28" s="1007"/>
      <c r="BE28" s="434"/>
      <c r="BF28" s="968"/>
      <c r="BG28" s="968"/>
      <c r="BH28" s="968"/>
      <c r="BI28" s="968"/>
      <c r="BJ28" s="968"/>
      <c r="BK28" s="851"/>
      <c r="BL28" s="826"/>
      <c r="BM28" s="820"/>
      <c r="BN28" s="820"/>
      <c r="BO28" s="820"/>
      <c r="BP28" s="435"/>
      <c r="BQ28" s="1007"/>
      <c r="BR28" s="1007"/>
      <c r="BS28" s="1007"/>
      <c r="BT28" s="1007"/>
      <c r="BU28" s="1007"/>
      <c r="BV28" s="1008"/>
      <c r="BW28" s="968"/>
      <c r="BX28" s="968"/>
      <c r="BY28" s="968"/>
      <c r="BZ28" s="968"/>
      <c r="CA28" s="968"/>
      <c r="CB28" s="1009"/>
      <c r="CC28" s="968"/>
      <c r="CD28" s="968"/>
      <c r="CE28" s="968"/>
      <c r="CF28" s="968"/>
      <c r="CG28" s="968"/>
      <c r="CH28" s="285"/>
      <c r="CI28" s="288"/>
      <c r="CJ28" s="288"/>
    </row>
    <row r="29" spans="1:88" s="313" customFormat="1" ht="15" customHeight="1">
      <c r="A29" s="312"/>
      <c r="B29" s="312"/>
      <c r="C29" s="312"/>
      <c r="E29" s="1072"/>
      <c r="F29" s="1073"/>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1014"/>
      <c r="AL29" s="1014"/>
      <c r="AM29" s="1014"/>
      <c r="AN29" s="355"/>
      <c r="AO29" s="432" t="str">
        <f>IF(LEN(VLOOKUP(AK27,vysledovka!$D$8:$F$68,2,FALSE))&lt;11,"",LEFT(RIGHT(VLOOKUP(AK27,vysledovka!$D$8:$F$68,2,FALSE),11),1))</f>
        <v/>
      </c>
      <c r="AP29" s="255"/>
      <c r="AQ29" s="432" t="str">
        <f>IF(LEN(VLOOKUP(AK27,vysledovka!$D$8:$F$68,2,FALSE))&lt;10,"",LEFT(RIGHT(VLOOKUP(AK27,vysledovka!$D$8:$F$68,2,FALSE),10),1))</f>
        <v/>
      </c>
      <c r="AR29" s="434"/>
      <c r="AS29" s="432" t="str">
        <f>IF(LEN(VLOOKUP(AK27,vysledovka!$D$8:$F$68,2,FALSE))&lt;9,"",LEFT(RIGHT(VLOOKUP(AK27,vysledovka!$D$8:$F$68,2,FALSE),9),1))</f>
        <v/>
      </c>
      <c r="AT29" s="255"/>
      <c r="AU29" s="432" t="str">
        <f>IF(LEN(VLOOKUP(AK27,vysledovka!$D$8:$F$68,2,FALSE))&lt;8,"",LEFT(RIGHT(VLOOKUP(AK27,vysledovka!$D$8:$F$68,2,FALSE),8),1))</f>
        <v/>
      </c>
      <c r="AV29" s="434"/>
      <c r="AW29" s="432" t="str">
        <f>IF(LEN(VLOOKUP(AK27,vysledovka!$D$8:$F$68,2,FALSE))&lt;7,"",LEFT(RIGHT(VLOOKUP(AK27,vysledovka!$D$8:$F$68,2,FALSE),7),1))</f>
        <v/>
      </c>
      <c r="AX29" s="434"/>
      <c r="AY29" s="432" t="str">
        <f>IF(LEN(VLOOKUP(AK27,vysledovka!$D$8:$F$68,2,FALSE))&lt;6,"",LEFT(RIGHT(VLOOKUP(AK27,vysledovka!$D$8:$F$68,2,FALSE),6),1))</f>
        <v/>
      </c>
      <c r="AZ29" s="255"/>
      <c r="BA29" s="961" t="str">
        <f>IF(LEN(VLOOKUP(AK27,vysledovka!$D$8:$F$68,2,FALSE))&lt;5,"",LEFT(RIGHT(VLOOKUP(AK27,vysledovka!$D$8:$F$68,2,FALSE),5),1))</f>
        <v/>
      </c>
      <c r="BB29" s="961"/>
      <c r="BC29" s="434"/>
      <c r="BD29" s="432" t="str">
        <f>IF(LEN(VLOOKUP(AK27,vysledovka!$D$8:$F$68,2,FALSE))&lt;4,"",LEFT(RIGHT(VLOOKUP(AK27,vysledovka!$D$8:$F$68,2,FALSE),4),1))</f>
        <v/>
      </c>
      <c r="BE29" s="434"/>
      <c r="BF29" s="432" t="str">
        <f>IF(LEN(VLOOKUP(AK27,vysledovka!$D$8:$F$68,2,FALSE))&lt;3,"",LEFT(RIGHT(VLOOKUP(AK27,vysledovka!$D$8:$F$68,2,FALSE),3),1))</f>
        <v/>
      </c>
      <c r="BG29" s="434"/>
      <c r="BH29" s="432" t="str">
        <f>IF(LEN(VLOOKUP(AK27,vysledovka!$D$8:$F$68,2,FALSE))&lt;2,"",LEFT(RIGHT(VLOOKUP(AK27,vysledovka!$D$8:$F$68,2,FALSE),2),1))</f>
        <v/>
      </c>
      <c r="BI29" s="434"/>
      <c r="BJ29" s="432" t="str">
        <f>IF(VLOOKUP(AK27,vysledovka!$D$8:$F$68,2,FALSE)=0,"",IF(LEN(VLOOKUP(AK27,vysledovka!$D$8:$F$68,2,FALSE))&lt;1,"",LEFT(RIGHT(VLOOKUP(AK27,vysledovka!$D$8:$F$68,2,FALSE),1),1)))</f>
        <v/>
      </c>
      <c r="BK29" s="851"/>
      <c r="BL29" s="826"/>
      <c r="BM29" s="432" t="str">
        <f>IF(LEN(VLOOKUP(AK27,vysledovka!$D$8:$F$68,3,FALSE))&lt;11,"",LEFT(RIGHT(VLOOKUP(AK27,vysledovka!$D$8:$F$68,3,FALSE),11),1))</f>
        <v/>
      </c>
      <c r="BN29" s="255"/>
      <c r="BO29" s="432" t="str">
        <f>IF(LEN(VLOOKUP(AK27,vysledovka!$D$8:$F$68,3,FALSE))&lt;10,"",LEFT(RIGHT(VLOOKUP(AK27,vysledovka!$D$8:$F$68,3,FALSE),10),1))</f>
        <v/>
      </c>
      <c r="BP29" s="434"/>
      <c r="BQ29" s="432" t="str">
        <f>IF(LEN(VLOOKUP(AK27,vysledovka!$D$8:$F$68,3,FALSE))&lt;9,"",LEFT(RIGHT(VLOOKUP(AK27,vysledovka!$D$8:$F$68,3,FALSE),9),1))</f>
        <v/>
      </c>
      <c r="BR29" s="255"/>
      <c r="BS29" s="432" t="str">
        <f>IF(LEN(VLOOKUP(AK27,vysledovka!$D$8:$F$68,3,FALSE))&lt;8,"",LEFT(RIGHT(VLOOKUP(AK27,vysledovka!$D$8:$F$68,3,FALSE),8),1))</f>
        <v/>
      </c>
      <c r="BT29" s="434"/>
      <c r="BU29" s="432" t="str">
        <f>IF(LEN(VLOOKUP(AK27,vysledovka!$D$8:$F$68,3,FALSE))&lt;7,"",LEFT(RIGHT(VLOOKUP(AK27,vysledovka!$D$8:$F$68,3,FALSE),7),1))</f>
        <v/>
      </c>
      <c r="BV29" s="1008"/>
      <c r="BW29" s="432" t="str">
        <f>IF(LEN(VLOOKUP(AK27,vysledovka!$D$8:$F$68,3,FALSE))&lt;6,"",LEFT(RIGHT(VLOOKUP(AK27,vysledovka!$D$8:$F$68,3,FALSE),6),1))</f>
        <v/>
      </c>
      <c r="BX29" s="434"/>
      <c r="BY29" s="432" t="str">
        <f>IF(LEN(VLOOKUP(AK27,vysledovka!$D$8:$F$68,3,FALSE))&lt;5,"",LEFT(RIGHT(VLOOKUP(AK27,vysledovka!$D$8:$F$68,3,FALSE),5),1))</f>
        <v/>
      </c>
      <c r="BZ29" s="434"/>
      <c r="CA29" s="432" t="str">
        <f>IF(LEN(VLOOKUP(AK27,vysledovka!$D$8:$F$68,3,FALSE))&lt;4,"",LEFT(RIGHT(VLOOKUP(AK27,vysledovka!$D$8:$F$68,3,FALSE),4),1))</f>
        <v/>
      </c>
      <c r="CB29" s="1009"/>
      <c r="CC29" s="432" t="str">
        <f>IF(LEN(VLOOKUP(AK27,vysledovka!$D$8:$F$68,3,FALSE))&lt;3,"",LEFT(RIGHT(VLOOKUP(AK27,vysledovka!$D$8:$F$68,3,FALSE),3),1))</f>
        <v/>
      </c>
      <c r="CD29" s="434"/>
      <c r="CE29" s="432" t="str">
        <f>IF(LEN(VLOOKUP(AK27,vysledovka!$D$8:$F$68,3,FALSE))&lt;2,"",LEFT(RIGHT(VLOOKUP(AK27,vysledovka!$D$8:$F$68,3,FALSE),2),1))</f>
        <v/>
      </c>
      <c r="CF29" s="434"/>
      <c r="CG29" s="432" t="str">
        <f>IF(VLOOKUP(AK27,vysledovka!$D$8:$F$68,3,FALSE)=0,"",IF(LEN(VLOOKUP(AK27,vysledovka!$D$8:$F$68,3,FALSE))&lt;1,"",LEFT(RIGHT(VLOOKUP(AK27,vysledovka!$D$8:$F$68,3,FALSE),1),1)))</f>
        <v/>
      </c>
      <c r="CH29" s="285"/>
      <c r="CI29" s="312"/>
      <c r="CJ29" s="312"/>
    </row>
    <row r="30" spans="1:88" s="313" customFormat="1" ht="3" customHeight="1">
      <c r="A30" s="312"/>
      <c r="B30" s="312"/>
      <c r="C30" s="312"/>
      <c r="E30" s="1074"/>
      <c r="F30" s="1075"/>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1014"/>
      <c r="AL30" s="1014"/>
      <c r="AM30" s="1014"/>
      <c r="AN30" s="358"/>
      <c r="AO30" s="365"/>
      <c r="AP30" s="365"/>
      <c r="AQ30" s="365"/>
      <c r="AR30" s="365"/>
      <c r="AS30" s="365"/>
      <c r="AT30" s="365"/>
      <c r="AU30" s="365"/>
      <c r="AV30" s="365"/>
      <c r="AW30" s="365"/>
      <c r="AX30" s="365"/>
      <c r="AY30" s="365"/>
      <c r="AZ30" s="365"/>
      <c r="BA30" s="365"/>
      <c r="BB30" s="365"/>
      <c r="BC30" s="365"/>
      <c r="BD30" s="365"/>
      <c r="BE30" s="310"/>
      <c r="BF30" s="310"/>
      <c r="BG30" s="310"/>
      <c r="BH30" s="310"/>
      <c r="BI30" s="310"/>
      <c r="BJ30" s="310"/>
      <c r="BK30" s="310"/>
      <c r="BL30" s="846"/>
      <c r="BM30" s="846"/>
      <c r="BN30" s="846"/>
      <c r="BO30" s="846"/>
      <c r="BP30" s="846"/>
      <c r="BQ30" s="846"/>
      <c r="BR30" s="846"/>
      <c r="BS30" s="846"/>
      <c r="BT30" s="846"/>
      <c r="BU30" s="846"/>
      <c r="BV30" s="846"/>
      <c r="BW30" s="846"/>
      <c r="BX30" s="846"/>
      <c r="BY30" s="846"/>
      <c r="BZ30" s="846"/>
      <c r="CA30" s="846"/>
      <c r="CB30" s="846"/>
      <c r="CC30" s="310"/>
      <c r="CD30" s="310"/>
      <c r="CE30" s="310"/>
      <c r="CF30" s="310"/>
      <c r="CG30" s="310"/>
      <c r="CH30" s="286"/>
      <c r="CI30" s="312"/>
      <c r="CJ30" s="312"/>
    </row>
    <row r="31" spans="1:88" s="250" customFormat="1" ht="3" customHeight="1">
      <c r="A31" s="312"/>
      <c r="B31" s="312"/>
      <c r="C31" s="224"/>
      <c r="D31" s="224"/>
      <c r="E31" s="1129" t="s">
        <v>1542</v>
      </c>
      <c r="F31" s="1130"/>
      <c r="G31" s="1006" t="str">
        <f>Index!C237</f>
        <v>Výnosy z cenných papierov a podielov v podielovej účasti okrem výnosov prepojených účtovných jednotiek (665A)</v>
      </c>
      <c r="H31" s="1047"/>
      <c r="I31" s="1047"/>
      <c r="J31" s="1047"/>
      <c r="K31" s="1047"/>
      <c r="L31" s="1047"/>
      <c r="M31" s="1047"/>
      <c r="N31" s="1047"/>
      <c r="O31" s="1047"/>
      <c r="P31" s="1047"/>
      <c r="Q31" s="1047"/>
      <c r="R31" s="1047"/>
      <c r="S31" s="1047"/>
      <c r="T31" s="1047"/>
      <c r="U31" s="1047"/>
      <c r="V31" s="1047"/>
      <c r="W31" s="1047"/>
      <c r="X31" s="1047"/>
      <c r="Y31" s="1047"/>
      <c r="Z31" s="1047"/>
      <c r="AA31" s="1047"/>
      <c r="AB31" s="1047"/>
      <c r="AC31" s="1047"/>
      <c r="AD31" s="1047"/>
      <c r="AE31" s="1047"/>
      <c r="AF31" s="1047"/>
      <c r="AG31" s="1047"/>
      <c r="AH31" s="1047"/>
      <c r="AI31" s="1047"/>
      <c r="AJ31" s="1047"/>
      <c r="AK31" s="1056" t="s">
        <v>1582</v>
      </c>
      <c r="AL31" s="1014"/>
      <c r="AM31" s="1014"/>
      <c r="AN31" s="357"/>
      <c r="AO31" s="366"/>
      <c r="AP31" s="366"/>
      <c r="AQ31" s="366"/>
      <c r="AR31" s="366"/>
      <c r="AS31" s="366"/>
      <c r="AT31" s="366"/>
      <c r="AU31" s="366"/>
      <c r="AV31" s="366"/>
      <c r="AW31" s="366"/>
      <c r="AX31" s="366"/>
      <c r="AY31" s="366"/>
      <c r="AZ31" s="366"/>
      <c r="BA31" s="366"/>
      <c r="BB31" s="366"/>
      <c r="BC31" s="366"/>
      <c r="BD31" s="366"/>
      <c r="BE31" s="304"/>
      <c r="BF31" s="304"/>
      <c r="BG31" s="304"/>
      <c r="BH31" s="304"/>
      <c r="BI31" s="304"/>
      <c r="BJ31" s="304"/>
      <c r="BK31" s="304"/>
      <c r="BL31" s="867"/>
      <c r="BM31" s="867"/>
      <c r="BN31" s="867"/>
      <c r="BO31" s="867"/>
      <c r="BP31" s="867"/>
      <c r="BQ31" s="867"/>
      <c r="BR31" s="867"/>
      <c r="BS31" s="867"/>
      <c r="BT31" s="867"/>
      <c r="BU31" s="867"/>
      <c r="BV31" s="867"/>
      <c r="BW31" s="867"/>
      <c r="BX31" s="867"/>
      <c r="BY31" s="867"/>
      <c r="BZ31" s="867"/>
      <c r="CA31" s="867"/>
      <c r="CB31" s="867"/>
      <c r="CC31" s="304"/>
      <c r="CD31" s="304"/>
      <c r="CE31" s="304"/>
      <c r="CF31" s="304"/>
      <c r="CG31" s="304"/>
      <c r="CH31" s="284"/>
      <c r="CI31" s="288"/>
      <c r="CJ31" s="288"/>
    </row>
    <row r="32" spans="1:88" s="250" customFormat="1" ht="3" customHeight="1">
      <c r="A32" s="312"/>
      <c r="B32" s="312"/>
      <c r="C32" s="312"/>
      <c r="D32" s="312"/>
      <c r="E32" s="1131"/>
      <c r="F32" s="1132"/>
      <c r="G32" s="1047"/>
      <c r="H32" s="1047"/>
      <c r="I32" s="1047"/>
      <c r="J32" s="1047"/>
      <c r="K32" s="1047"/>
      <c r="L32" s="1047"/>
      <c r="M32" s="1047"/>
      <c r="N32" s="1047"/>
      <c r="O32" s="1047"/>
      <c r="P32" s="1047"/>
      <c r="Q32" s="1047"/>
      <c r="R32" s="1047"/>
      <c r="S32" s="1047"/>
      <c r="T32" s="1047"/>
      <c r="U32" s="1047"/>
      <c r="V32" s="1047"/>
      <c r="W32" s="1047"/>
      <c r="X32" s="1047"/>
      <c r="Y32" s="1047"/>
      <c r="Z32" s="1047"/>
      <c r="AA32" s="1047"/>
      <c r="AB32" s="1047"/>
      <c r="AC32" s="1047"/>
      <c r="AD32" s="1047"/>
      <c r="AE32" s="1047"/>
      <c r="AF32" s="1047"/>
      <c r="AG32" s="1047"/>
      <c r="AH32" s="1047"/>
      <c r="AI32" s="1047"/>
      <c r="AJ32" s="1047"/>
      <c r="AK32" s="1014"/>
      <c r="AL32" s="1014"/>
      <c r="AM32" s="1014"/>
      <c r="AN32" s="355"/>
      <c r="AO32" s="436"/>
      <c r="AP32" s="436"/>
      <c r="AQ32" s="436"/>
      <c r="AR32" s="435"/>
      <c r="AS32" s="433"/>
      <c r="AT32" s="433"/>
      <c r="AU32" s="433"/>
      <c r="AV32" s="433"/>
      <c r="AW32" s="433"/>
      <c r="AX32" s="434"/>
      <c r="AY32" s="1007"/>
      <c r="AZ32" s="1007"/>
      <c r="BA32" s="1007"/>
      <c r="BB32" s="1007"/>
      <c r="BC32" s="1007"/>
      <c r="BD32" s="1007"/>
      <c r="BE32" s="434"/>
      <c r="BF32" s="968"/>
      <c r="BG32" s="968"/>
      <c r="BH32" s="968"/>
      <c r="BI32" s="968"/>
      <c r="BJ32" s="968"/>
      <c r="BK32" s="851"/>
      <c r="BL32" s="826"/>
      <c r="BM32" s="820"/>
      <c r="BN32" s="820"/>
      <c r="BO32" s="820"/>
      <c r="BP32" s="435"/>
      <c r="BQ32" s="1007"/>
      <c r="BR32" s="1007"/>
      <c r="BS32" s="1007"/>
      <c r="BT32" s="1007"/>
      <c r="BU32" s="1007"/>
      <c r="BV32" s="1008"/>
      <c r="BW32" s="968"/>
      <c r="BX32" s="968"/>
      <c r="BY32" s="968"/>
      <c r="BZ32" s="968"/>
      <c r="CA32" s="968"/>
      <c r="CB32" s="1009"/>
      <c r="CC32" s="968"/>
      <c r="CD32" s="968"/>
      <c r="CE32" s="968"/>
      <c r="CF32" s="968"/>
      <c r="CG32" s="968"/>
      <c r="CH32" s="285"/>
      <c r="CI32" s="288"/>
      <c r="CJ32" s="288"/>
    </row>
    <row r="33" spans="1:88" s="313" customFormat="1" ht="15" customHeight="1">
      <c r="A33" s="312"/>
      <c r="B33" s="312"/>
      <c r="C33" s="312"/>
      <c r="E33" s="1131"/>
      <c r="F33" s="1132"/>
      <c r="G33" s="1047"/>
      <c r="H33" s="1047"/>
      <c r="I33" s="1047"/>
      <c r="J33" s="1047"/>
      <c r="K33" s="1047"/>
      <c r="L33" s="1047"/>
      <c r="M33" s="1047"/>
      <c r="N33" s="1047"/>
      <c r="O33" s="1047"/>
      <c r="P33" s="1047"/>
      <c r="Q33" s="1047"/>
      <c r="R33" s="1047"/>
      <c r="S33" s="1047"/>
      <c r="T33" s="1047"/>
      <c r="U33" s="1047"/>
      <c r="V33" s="1047"/>
      <c r="W33" s="1047"/>
      <c r="X33" s="1047"/>
      <c r="Y33" s="1047"/>
      <c r="Z33" s="1047"/>
      <c r="AA33" s="1047"/>
      <c r="AB33" s="1047"/>
      <c r="AC33" s="1047"/>
      <c r="AD33" s="1047"/>
      <c r="AE33" s="1047"/>
      <c r="AF33" s="1047"/>
      <c r="AG33" s="1047"/>
      <c r="AH33" s="1047"/>
      <c r="AI33" s="1047"/>
      <c r="AJ33" s="1047"/>
      <c r="AK33" s="1014"/>
      <c r="AL33" s="1014"/>
      <c r="AM33" s="1014"/>
      <c r="AN33" s="355"/>
      <c r="AO33" s="432" t="str">
        <f>IF(LEN(VLOOKUP(AK31,vysledovka!$D$8:$F$68,2,FALSE))&lt;11,"",LEFT(RIGHT(VLOOKUP(AK31,vysledovka!$D$8:$F$68,2,FALSE),11),1))</f>
        <v/>
      </c>
      <c r="AP33" s="255"/>
      <c r="AQ33" s="432" t="str">
        <f>IF(LEN(VLOOKUP(AK31,vysledovka!$D$8:$F$68,2,FALSE))&lt;10,"",LEFT(RIGHT(VLOOKUP(AK31,vysledovka!$D$8:$F$68,2,FALSE),10),1))</f>
        <v/>
      </c>
      <c r="AR33" s="434"/>
      <c r="AS33" s="432" t="str">
        <f>IF(LEN(VLOOKUP(AK31,vysledovka!$D$8:$F$68,2,FALSE))&lt;9,"",LEFT(RIGHT(VLOOKUP(AK31,vysledovka!$D$8:$F$68,2,FALSE),9),1))</f>
        <v/>
      </c>
      <c r="AT33" s="255"/>
      <c r="AU33" s="432" t="str">
        <f>IF(LEN(VLOOKUP(AK31,vysledovka!$D$8:$F$68,2,FALSE))&lt;8,"",LEFT(RIGHT(VLOOKUP(AK31,vysledovka!$D$8:$F$68,2,FALSE),8),1))</f>
        <v/>
      </c>
      <c r="AV33" s="434"/>
      <c r="AW33" s="432" t="str">
        <f>IF(LEN(VLOOKUP(AK31,vysledovka!$D$8:$F$68,2,FALSE))&lt;7,"",LEFT(RIGHT(VLOOKUP(AK31,vysledovka!$D$8:$F$68,2,FALSE),7),1))</f>
        <v/>
      </c>
      <c r="AX33" s="434"/>
      <c r="AY33" s="432" t="str">
        <f>IF(LEN(VLOOKUP(AK31,vysledovka!$D$8:$F$68,2,FALSE))&lt;6,"",LEFT(RIGHT(VLOOKUP(AK31,vysledovka!$D$8:$F$68,2,FALSE),6),1))</f>
        <v/>
      </c>
      <c r="AZ33" s="255"/>
      <c r="BA33" s="961" t="str">
        <f>IF(LEN(VLOOKUP(AK31,vysledovka!$D$8:$F$68,2,FALSE))&lt;5,"",LEFT(RIGHT(VLOOKUP(AK31,vysledovka!$D$8:$F$68,2,FALSE),5),1))</f>
        <v/>
      </c>
      <c r="BB33" s="961"/>
      <c r="BC33" s="434"/>
      <c r="BD33" s="432" t="str">
        <f>IF(LEN(VLOOKUP(AK31,vysledovka!$D$8:$F$68,2,FALSE))&lt;4,"",LEFT(RIGHT(VLOOKUP(AK31,vysledovka!$D$8:$F$68,2,FALSE),4),1))</f>
        <v/>
      </c>
      <c r="BE33" s="434"/>
      <c r="BF33" s="432" t="str">
        <f>IF(LEN(VLOOKUP(AK31,vysledovka!$D$8:$F$68,2,FALSE))&lt;3,"",LEFT(RIGHT(VLOOKUP(AK31,vysledovka!$D$8:$F$68,2,FALSE),3),1))</f>
        <v/>
      </c>
      <c r="BG33" s="434"/>
      <c r="BH33" s="432" t="str">
        <f>IF(LEN(VLOOKUP(AK31,vysledovka!$D$8:$F$68,2,FALSE))&lt;2,"",LEFT(RIGHT(VLOOKUP(AK31,vysledovka!$D$8:$F$68,2,FALSE),2),1))</f>
        <v/>
      </c>
      <c r="BI33" s="434"/>
      <c r="BJ33" s="432" t="str">
        <f>IF(VLOOKUP(AK31,vysledovka!$D$8:$F$68,2,FALSE)=0,"",IF(LEN(VLOOKUP(AK31,vysledovka!$D$8:$F$68,2,FALSE))&lt;1,"",LEFT(RIGHT(VLOOKUP(AK31,vysledovka!$D$8:$F$68,2,FALSE),1),1)))</f>
        <v/>
      </c>
      <c r="BK33" s="851"/>
      <c r="BL33" s="826"/>
      <c r="BM33" s="432" t="str">
        <f>IF(LEN(VLOOKUP(AK31,vysledovka!$D$8:$F$68,3,FALSE))&lt;11,"",LEFT(RIGHT(VLOOKUP(AK31,vysledovka!$D$8:$F$68,3,FALSE),11),1))</f>
        <v/>
      </c>
      <c r="BN33" s="255"/>
      <c r="BO33" s="432" t="str">
        <f>IF(LEN(VLOOKUP(AK31,vysledovka!$D$8:$F$68,3,FALSE))&lt;10,"",LEFT(RIGHT(VLOOKUP(AK31,vysledovka!$D$8:$F$68,3,FALSE),10),1))</f>
        <v/>
      </c>
      <c r="BP33" s="434"/>
      <c r="BQ33" s="432" t="str">
        <f>IF(LEN(VLOOKUP(AK31,vysledovka!$D$8:$F$68,3,FALSE))&lt;9,"",LEFT(RIGHT(VLOOKUP(AK31,vysledovka!$D$8:$F$68,3,FALSE),9),1))</f>
        <v/>
      </c>
      <c r="BR33" s="255"/>
      <c r="BS33" s="432" t="str">
        <f>IF(LEN(VLOOKUP(AK31,vysledovka!$D$8:$F$68,3,FALSE))&lt;8,"",LEFT(RIGHT(VLOOKUP(AK31,vysledovka!$D$8:$F$68,3,FALSE),8),1))</f>
        <v/>
      </c>
      <c r="BT33" s="434"/>
      <c r="BU33" s="432" t="str">
        <f>IF(LEN(VLOOKUP(AK31,vysledovka!$D$8:$F$68,3,FALSE))&lt;7,"",LEFT(RIGHT(VLOOKUP(AK31,vysledovka!$D$8:$F$68,3,FALSE),7),1))</f>
        <v/>
      </c>
      <c r="BV33" s="1008"/>
      <c r="BW33" s="432" t="str">
        <f>IF(LEN(VLOOKUP(AK31,vysledovka!$D$8:$F$68,3,FALSE))&lt;6,"",LEFT(RIGHT(VLOOKUP(AK31,vysledovka!$D$8:$F$68,3,FALSE),6),1))</f>
        <v/>
      </c>
      <c r="BX33" s="434"/>
      <c r="BY33" s="432" t="str">
        <f>IF(LEN(VLOOKUP(AK31,vysledovka!$D$8:$F$68,3,FALSE))&lt;5,"",LEFT(RIGHT(VLOOKUP(AK31,vysledovka!$D$8:$F$68,3,FALSE),5),1))</f>
        <v/>
      </c>
      <c r="BZ33" s="434"/>
      <c r="CA33" s="432" t="str">
        <f>IF(LEN(VLOOKUP(AK31,vysledovka!$D$8:$F$68,3,FALSE))&lt;4,"",LEFT(RIGHT(VLOOKUP(AK31,vysledovka!$D$8:$F$68,3,FALSE),4),1))</f>
        <v/>
      </c>
      <c r="CB33" s="1009"/>
      <c r="CC33" s="432" t="str">
        <f>IF(LEN(VLOOKUP(AK31,vysledovka!$D$8:$F$68,3,FALSE))&lt;3,"",LEFT(RIGHT(VLOOKUP(AK31,vysledovka!$D$8:$F$68,3,FALSE),3),1))</f>
        <v/>
      </c>
      <c r="CD33" s="434"/>
      <c r="CE33" s="432" t="str">
        <f>IF(LEN(VLOOKUP(AK31,vysledovka!$D$8:$F$68,3,FALSE))&lt;2,"",LEFT(RIGHT(VLOOKUP(AK31,vysledovka!$D$8:$F$68,3,FALSE),2),1))</f>
        <v/>
      </c>
      <c r="CF33" s="434"/>
      <c r="CG33" s="432" t="str">
        <f>IF(VLOOKUP(AK31,vysledovka!$D$8:$F$68,3,FALSE)=0,"",IF(LEN(VLOOKUP(AK31,vysledovka!$D$8:$F$68,3,FALSE))&lt;1,"",LEFT(RIGHT(VLOOKUP(AK31,vysledovka!$D$8:$F$68,3,FALSE),1),1)))</f>
        <v/>
      </c>
      <c r="CH33" s="285"/>
      <c r="CI33" s="312"/>
      <c r="CJ33" s="312"/>
    </row>
    <row r="34" spans="1:88" s="313" customFormat="1" ht="3" customHeight="1">
      <c r="A34" s="312"/>
      <c r="B34" s="312"/>
      <c r="C34" s="312"/>
      <c r="E34" s="1133"/>
      <c r="F34" s="1134"/>
      <c r="G34" s="1047"/>
      <c r="H34" s="1047"/>
      <c r="I34" s="1047"/>
      <c r="J34" s="1047"/>
      <c r="K34" s="1047"/>
      <c r="L34" s="1047"/>
      <c r="M34" s="1047"/>
      <c r="N34" s="1047"/>
      <c r="O34" s="1047"/>
      <c r="P34" s="1047"/>
      <c r="Q34" s="1047"/>
      <c r="R34" s="1047"/>
      <c r="S34" s="1047"/>
      <c r="T34" s="1047"/>
      <c r="U34" s="1047"/>
      <c r="V34" s="1047"/>
      <c r="W34" s="1047"/>
      <c r="X34" s="1047"/>
      <c r="Y34" s="1047"/>
      <c r="Z34" s="1047"/>
      <c r="AA34" s="1047"/>
      <c r="AB34" s="1047"/>
      <c r="AC34" s="1047"/>
      <c r="AD34" s="1047"/>
      <c r="AE34" s="1047"/>
      <c r="AF34" s="1047"/>
      <c r="AG34" s="1047"/>
      <c r="AH34" s="1047"/>
      <c r="AI34" s="1047"/>
      <c r="AJ34" s="1047"/>
      <c r="AK34" s="1014"/>
      <c r="AL34" s="1014"/>
      <c r="AM34" s="1014"/>
      <c r="AN34" s="358"/>
      <c r="AO34" s="365"/>
      <c r="AP34" s="365"/>
      <c r="AQ34" s="365"/>
      <c r="AR34" s="365"/>
      <c r="AS34" s="365"/>
      <c r="AT34" s="365"/>
      <c r="AU34" s="365"/>
      <c r="AV34" s="365"/>
      <c r="AW34" s="365"/>
      <c r="AX34" s="365"/>
      <c r="AY34" s="365"/>
      <c r="AZ34" s="365"/>
      <c r="BA34" s="365"/>
      <c r="BB34" s="365"/>
      <c r="BC34" s="365"/>
      <c r="BD34" s="365"/>
      <c r="BE34" s="310"/>
      <c r="BF34" s="310"/>
      <c r="BG34" s="310"/>
      <c r="BH34" s="310"/>
      <c r="BI34" s="310"/>
      <c r="BJ34" s="310"/>
      <c r="BK34" s="310"/>
      <c r="BL34" s="846"/>
      <c r="BM34" s="846"/>
      <c r="BN34" s="846"/>
      <c r="BO34" s="846"/>
      <c r="BP34" s="846"/>
      <c r="BQ34" s="846"/>
      <c r="BR34" s="846"/>
      <c r="BS34" s="846"/>
      <c r="BT34" s="846"/>
      <c r="BU34" s="846"/>
      <c r="BV34" s="846"/>
      <c r="BW34" s="846"/>
      <c r="BX34" s="846"/>
      <c r="BY34" s="846"/>
      <c r="BZ34" s="846"/>
      <c r="CA34" s="846"/>
      <c r="CB34" s="846"/>
      <c r="CC34" s="310"/>
      <c r="CD34" s="310"/>
      <c r="CE34" s="310"/>
      <c r="CF34" s="310"/>
      <c r="CG34" s="310"/>
      <c r="CH34" s="286"/>
      <c r="CI34" s="312"/>
      <c r="CJ34" s="312"/>
    </row>
    <row r="35" spans="1:88" s="250" customFormat="1" ht="3" customHeight="1">
      <c r="A35" s="220"/>
      <c r="B35" s="220"/>
      <c r="C35" s="224"/>
      <c r="D35" s="224"/>
      <c r="E35" s="1033" t="s">
        <v>1543</v>
      </c>
      <c r="F35" s="1034"/>
      <c r="G35" s="972" t="str">
        <f>Index!C238</f>
        <v>Ostatné výnosy z cenných papierov a podielov (665A)</v>
      </c>
      <c r="H35" s="984"/>
      <c r="I35" s="984"/>
      <c r="J35" s="984"/>
      <c r="K35" s="984"/>
      <c r="L35" s="984"/>
      <c r="M35" s="984"/>
      <c r="N35" s="984"/>
      <c r="O35" s="984"/>
      <c r="P35" s="984"/>
      <c r="Q35" s="984"/>
      <c r="R35" s="984"/>
      <c r="S35" s="984"/>
      <c r="T35" s="984"/>
      <c r="U35" s="984"/>
      <c r="V35" s="984"/>
      <c r="W35" s="984"/>
      <c r="X35" s="984"/>
      <c r="Y35" s="984"/>
      <c r="Z35" s="984"/>
      <c r="AA35" s="984"/>
      <c r="AB35" s="984"/>
      <c r="AC35" s="984"/>
      <c r="AD35" s="984"/>
      <c r="AE35" s="984"/>
      <c r="AF35" s="984"/>
      <c r="AG35" s="984"/>
      <c r="AH35" s="984"/>
      <c r="AI35" s="984"/>
      <c r="AJ35" s="984"/>
      <c r="AK35" s="1056" t="s">
        <v>1583</v>
      </c>
      <c r="AL35" s="1014"/>
      <c r="AM35" s="1014"/>
      <c r="AN35" s="357"/>
      <c r="AO35" s="366"/>
      <c r="AP35" s="366"/>
      <c r="AQ35" s="366"/>
      <c r="AR35" s="366"/>
      <c r="AS35" s="366"/>
      <c r="AT35" s="366"/>
      <c r="AU35" s="366"/>
      <c r="AV35" s="366"/>
      <c r="AW35" s="366"/>
      <c r="AX35" s="366"/>
      <c r="AY35" s="366"/>
      <c r="AZ35" s="366"/>
      <c r="BA35" s="366"/>
      <c r="BB35" s="366"/>
      <c r="BC35" s="366"/>
      <c r="BD35" s="366"/>
      <c r="BE35" s="304"/>
      <c r="BF35" s="304"/>
      <c r="BG35" s="304"/>
      <c r="BH35" s="304"/>
      <c r="BI35" s="304"/>
      <c r="BJ35" s="304"/>
      <c r="BK35" s="304"/>
      <c r="BL35" s="867"/>
      <c r="BM35" s="867"/>
      <c r="BN35" s="867"/>
      <c r="BO35" s="867"/>
      <c r="BP35" s="867"/>
      <c r="BQ35" s="867"/>
      <c r="BR35" s="867"/>
      <c r="BS35" s="867"/>
      <c r="BT35" s="867"/>
      <c r="BU35" s="867"/>
      <c r="BV35" s="867"/>
      <c r="BW35" s="867"/>
      <c r="BX35" s="867"/>
      <c r="BY35" s="867"/>
      <c r="BZ35" s="867"/>
      <c r="CA35" s="867"/>
      <c r="CB35" s="867"/>
      <c r="CC35" s="304"/>
      <c r="CD35" s="304"/>
      <c r="CE35" s="304"/>
      <c r="CF35" s="304"/>
      <c r="CG35" s="304"/>
      <c r="CH35" s="284"/>
      <c r="CI35" s="288"/>
      <c r="CJ35" s="288"/>
    </row>
    <row r="36" spans="1:88" s="250" customFormat="1" ht="3" customHeight="1">
      <c r="A36" s="220"/>
      <c r="B36" s="220"/>
      <c r="C36" s="220"/>
      <c r="D36" s="220"/>
      <c r="E36" s="1035"/>
      <c r="F36" s="1036"/>
      <c r="G36" s="984"/>
      <c r="H36" s="984"/>
      <c r="I36" s="984"/>
      <c r="J36" s="984"/>
      <c r="K36" s="984"/>
      <c r="L36" s="984"/>
      <c r="M36" s="984"/>
      <c r="N36" s="984"/>
      <c r="O36" s="984"/>
      <c r="P36" s="984"/>
      <c r="Q36" s="984"/>
      <c r="R36" s="984"/>
      <c r="S36" s="984"/>
      <c r="T36" s="984"/>
      <c r="U36" s="984"/>
      <c r="V36" s="984"/>
      <c r="W36" s="984"/>
      <c r="X36" s="984"/>
      <c r="Y36" s="984"/>
      <c r="Z36" s="984"/>
      <c r="AA36" s="984"/>
      <c r="AB36" s="984"/>
      <c r="AC36" s="984"/>
      <c r="AD36" s="984"/>
      <c r="AE36" s="984"/>
      <c r="AF36" s="984"/>
      <c r="AG36" s="984"/>
      <c r="AH36" s="984"/>
      <c r="AI36" s="984"/>
      <c r="AJ36" s="984"/>
      <c r="AK36" s="1014"/>
      <c r="AL36" s="1014"/>
      <c r="AM36" s="1014"/>
      <c r="AN36" s="355"/>
      <c r="AO36" s="436"/>
      <c r="AP36" s="436"/>
      <c r="AQ36" s="436"/>
      <c r="AR36" s="435"/>
      <c r="AS36" s="439"/>
      <c r="AT36" s="439"/>
      <c r="AU36" s="439"/>
      <c r="AV36" s="439"/>
      <c r="AW36" s="439"/>
      <c r="AX36" s="440"/>
      <c r="AY36" s="821"/>
      <c r="AZ36" s="821"/>
      <c r="BA36" s="821"/>
      <c r="BB36" s="821"/>
      <c r="BC36" s="821"/>
      <c r="BD36" s="821"/>
      <c r="BE36" s="434"/>
      <c r="BF36" s="968"/>
      <c r="BG36" s="968"/>
      <c r="BH36" s="968"/>
      <c r="BI36" s="968"/>
      <c r="BJ36" s="968"/>
      <c r="BK36" s="851"/>
      <c r="BL36" s="826"/>
      <c r="BM36" s="820"/>
      <c r="BN36" s="820"/>
      <c r="BO36" s="820"/>
      <c r="BP36" s="435"/>
      <c r="BQ36" s="821"/>
      <c r="BR36" s="821"/>
      <c r="BS36" s="821"/>
      <c r="BT36" s="821"/>
      <c r="BU36" s="821"/>
      <c r="BV36" s="818"/>
      <c r="BW36" s="822"/>
      <c r="BX36" s="822"/>
      <c r="BY36" s="822"/>
      <c r="BZ36" s="822"/>
      <c r="CA36" s="822"/>
      <c r="CB36" s="819"/>
      <c r="CC36" s="822"/>
      <c r="CD36" s="822"/>
      <c r="CE36" s="822"/>
      <c r="CF36" s="822"/>
      <c r="CG36" s="822"/>
      <c r="CH36" s="285"/>
      <c r="CI36" s="288"/>
      <c r="CJ36" s="288"/>
    </row>
    <row r="37" spans="1:88" ht="15" customHeight="1">
      <c r="E37" s="1035"/>
      <c r="F37" s="1036"/>
      <c r="G37" s="984"/>
      <c r="H37" s="984"/>
      <c r="I37" s="984"/>
      <c r="J37" s="984"/>
      <c r="K37" s="984"/>
      <c r="L37" s="984"/>
      <c r="M37" s="984"/>
      <c r="N37" s="984"/>
      <c r="O37" s="984"/>
      <c r="P37" s="984"/>
      <c r="Q37" s="984"/>
      <c r="R37" s="984"/>
      <c r="S37" s="984"/>
      <c r="T37" s="984"/>
      <c r="U37" s="984"/>
      <c r="V37" s="984"/>
      <c r="W37" s="984"/>
      <c r="X37" s="984"/>
      <c r="Y37" s="984"/>
      <c r="Z37" s="984"/>
      <c r="AA37" s="984"/>
      <c r="AB37" s="984"/>
      <c r="AC37" s="984"/>
      <c r="AD37" s="984"/>
      <c r="AE37" s="984"/>
      <c r="AF37" s="984"/>
      <c r="AG37" s="984"/>
      <c r="AH37" s="984"/>
      <c r="AI37" s="984"/>
      <c r="AJ37" s="984"/>
      <c r="AK37" s="1014"/>
      <c r="AL37" s="1014"/>
      <c r="AM37" s="1014"/>
      <c r="AN37" s="355"/>
      <c r="AO37" s="432" t="str">
        <f>IF(LEN(VLOOKUP(AK35,vysledovka!$D$8:$F$68,2,FALSE))&lt;11,"",LEFT(RIGHT(VLOOKUP(AK35,vysledovka!$D$8:$F$68,2,FALSE),11),1))</f>
        <v/>
      </c>
      <c r="AP37" s="255"/>
      <c r="AQ37" s="432" t="str">
        <f>IF(LEN(VLOOKUP(AK35,vysledovka!$D$8:$F$68,2,FALSE))&lt;10,"",LEFT(RIGHT(VLOOKUP(AK35,vysledovka!$D$8:$F$68,2,FALSE),10),1))</f>
        <v/>
      </c>
      <c r="AR37" s="434"/>
      <c r="AS37" s="432" t="str">
        <f>IF(LEN(VLOOKUP(AK35,vysledovka!$D$8:$F$68,2,FALSE))&lt;9,"",LEFT(RIGHT(VLOOKUP(AK35,vysledovka!$D$8:$F$68,2,FALSE),9),1))</f>
        <v/>
      </c>
      <c r="AT37" s="255"/>
      <c r="AU37" s="432" t="str">
        <f>IF(LEN(VLOOKUP(AK35,vysledovka!$D$8:$F$68,2,FALSE))&lt;8,"",LEFT(RIGHT(VLOOKUP(AK35,vysledovka!$D$8:$F$68,2,FALSE),8),1))</f>
        <v/>
      </c>
      <c r="AV37" s="434"/>
      <c r="AW37" s="432" t="str">
        <f>IF(LEN(VLOOKUP(AK35,vysledovka!$D$8:$F$68,2,FALSE))&lt;7,"",LEFT(RIGHT(VLOOKUP(AK35,vysledovka!$D$8:$F$68,2,FALSE),7),1))</f>
        <v/>
      </c>
      <c r="AX37" s="440"/>
      <c r="AY37" s="432" t="str">
        <f>IF(LEN(VLOOKUP(AK35,vysledovka!$D$8:$F$68,2,FALSE))&lt;6,"",LEFT(RIGHT(VLOOKUP(AK35,vysledovka!$D$8:$F$68,2,FALSE),6),1))</f>
        <v/>
      </c>
      <c r="AZ37" s="255"/>
      <c r="BA37" s="961" t="str">
        <f>IF(LEN(VLOOKUP(AK35,vysledovka!$D$8:$F$68,2,FALSE))&lt;5,"",LEFT(RIGHT(VLOOKUP(AK35,vysledovka!$D$8:$F$68,2,FALSE),5),1))</f>
        <v/>
      </c>
      <c r="BB37" s="961"/>
      <c r="BC37" s="434"/>
      <c r="BD37" s="432" t="str">
        <f>IF(LEN(VLOOKUP(AK35,vysledovka!$D$8:$F$68,2,FALSE))&lt;4,"",LEFT(RIGHT(VLOOKUP(AK35,vysledovka!$D$8:$F$68,2,FALSE),4),1))</f>
        <v/>
      </c>
      <c r="BE37" s="434"/>
      <c r="BF37" s="432" t="str">
        <f>IF(LEN(VLOOKUP(AK35,vysledovka!$D$8:$F$68,2,FALSE))&lt;3,"",LEFT(RIGHT(VLOOKUP(AK35,vysledovka!$D$8:$F$68,2,FALSE),3),1))</f>
        <v/>
      </c>
      <c r="BG37" s="434"/>
      <c r="BH37" s="432" t="str">
        <f>IF(LEN(VLOOKUP(AK35,vysledovka!$D$8:$F$68,2,FALSE))&lt;2,"",LEFT(RIGHT(VLOOKUP(AK35,vysledovka!$D$8:$F$68,2,FALSE),2),1))</f>
        <v/>
      </c>
      <c r="BI37" s="434"/>
      <c r="BJ37" s="432" t="str">
        <f>IF(VLOOKUP(AK35,vysledovka!$D$8:$F$68,2,FALSE)=0,"",IF(LEN(VLOOKUP(AK35,vysledovka!$D$8:$F$68,2,FALSE))&lt;1,"",LEFT(RIGHT(VLOOKUP(AK35,vysledovka!$D$8:$F$68,2,FALSE),1),1)))</f>
        <v/>
      </c>
      <c r="BK37" s="851"/>
      <c r="BL37" s="826"/>
      <c r="BM37" s="432" t="str">
        <f>IF(LEN(VLOOKUP(AK35,vysledovka!$D$8:$F$68,3,FALSE))&lt;11,"",LEFT(RIGHT(VLOOKUP(AK35,vysledovka!$D$8:$F$68,3,FALSE),11),1))</f>
        <v/>
      </c>
      <c r="BN37" s="255"/>
      <c r="BO37" s="432" t="str">
        <f>IF(LEN(VLOOKUP(AK35,vysledovka!$D$8:$F$68,3,FALSE))&lt;10,"",LEFT(RIGHT(VLOOKUP(AK35,vysledovka!$D$8:$F$68,3,FALSE),10),1))</f>
        <v/>
      </c>
      <c r="BP37" s="434"/>
      <c r="BQ37" s="432" t="str">
        <f>IF(LEN(VLOOKUP(AK35,vysledovka!$D$8:$F$68,3,FALSE))&lt;9,"",LEFT(RIGHT(VLOOKUP(AK35,vysledovka!$D$8:$F$68,3,FALSE),9),1))</f>
        <v/>
      </c>
      <c r="BR37" s="255"/>
      <c r="BS37" s="432" t="str">
        <f>IF(LEN(VLOOKUP(AK35,vysledovka!$D$8:$F$68,3,FALSE))&lt;8,"",LEFT(RIGHT(VLOOKUP(AK35,vysledovka!$D$8:$F$68,3,FALSE),8),1))</f>
        <v/>
      </c>
      <c r="BT37" s="434"/>
      <c r="BU37" s="432" t="str">
        <f>IF(LEN(VLOOKUP(AK35,vysledovka!$D$8:$F$68,3,FALSE))&lt;7,"",LEFT(RIGHT(VLOOKUP(AK35,vysledovka!$D$8:$F$68,3,FALSE),7),1))</f>
        <v/>
      </c>
      <c r="BV37" s="818"/>
      <c r="BW37" s="432" t="str">
        <f>IF(LEN(VLOOKUP(AK35,vysledovka!$D$8:$F$68,3,FALSE))&lt;6,"",LEFT(RIGHT(VLOOKUP(AK35,vysledovka!$D$8:$F$68,3,FALSE),6),1))</f>
        <v/>
      </c>
      <c r="BX37" s="434"/>
      <c r="BY37" s="432" t="str">
        <f>IF(LEN(VLOOKUP(AK35,vysledovka!$D$8:$F$68,3,FALSE))&lt;5,"",LEFT(RIGHT(VLOOKUP(AK35,vysledovka!$D$8:$F$68,3,FALSE),5),1))</f>
        <v/>
      </c>
      <c r="BZ37" s="434"/>
      <c r="CA37" s="432" t="str">
        <f>IF(LEN(VLOOKUP(AK35,vysledovka!$D$8:$F$68,3,FALSE))&lt;4,"",LEFT(RIGHT(VLOOKUP(AK35,vysledovka!$D$8:$F$68,3,FALSE),4),1))</f>
        <v/>
      </c>
      <c r="CB37" s="819"/>
      <c r="CC37" s="432" t="str">
        <f>IF(LEN(VLOOKUP(AK35,vysledovka!$D$8:$F$68,3,FALSE))&lt;3,"",LEFT(RIGHT(VLOOKUP(AK35,vysledovka!$D$8:$F$68,3,FALSE),3),1))</f>
        <v/>
      </c>
      <c r="CD37" s="434"/>
      <c r="CE37" s="432" t="str">
        <f>IF(LEN(VLOOKUP(AK35,vysledovka!$D$8:$F$68,3,FALSE))&lt;2,"",LEFT(RIGHT(VLOOKUP(AK35,vysledovka!$D$8:$F$68,3,FALSE),2),1))</f>
        <v/>
      </c>
      <c r="CF37" s="434"/>
      <c r="CG37" s="432" t="str">
        <f>IF(VLOOKUP(AK35,vysledovka!$D$8:$F$68,3,FALSE)=0,"",IF(LEN(VLOOKUP(AK35,vysledovka!$D$8:$F$68,3,FALSE))&lt;1,"",LEFT(RIGHT(VLOOKUP(AK35,vysledovka!$D$8:$F$68,3,FALSE),1),1)))</f>
        <v/>
      </c>
      <c r="CH37" s="285"/>
      <c r="CI37" s="220"/>
      <c r="CJ37" s="220"/>
    </row>
    <row r="38" spans="1:88" ht="2.25" customHeight="1">
      <c r="E38" s="1037"/>
      <c r="F38" s="1038"/>
      <c r="G38" s="984"/>
      <c r="H38" s="984"/>
      <c r="I38" s="984"/>
      <c r="J38" s="984"/>
      <c r="K38" s="984"/>
      <c r="L38" s="984"/>
      <c r="M38" s="984"/>
      <c r="N38" s="984"/>
      <c r="O38" s="984"/>
      <c r="P38" s="984"/>
      <c r="Q38" s="984"/>
      <c r="R38" s="984"/>
      <c r="S38" s="984"/>
      <c r="T38" s="984"/>
      <c r="U38" s="984"/>
      <c r="V38" s="984"/>
      <c r="W38" s="984"/>
      <c r="X38" s="984"/>
      <c r="Y38" s="984"/>
      <c r="Z38" s="984"/>
      <c r="AA38" s="984"/>
      <c r="AB38" s="984"/>
      <c r="AC38" s="984"/>
      <c r="AD38" s="984"/>
      <c r="AE38" s="984"/>
      <c r="AF38" s="984"/>
      <c r="AG38" s="984"/>
      <c r="AH38" s="984"/>
      <c r="AI38" s="984"/>
      <c r="AJ38" s="984"/>
      <c r="AK38" s="1014"/>
      <c r="AL38" s="1014"/>
      <c r="AM38" s="1014"/>
      <c r="AN38" s="358"/>
      <c r="AO38" s="365"/>
      <c r="AP38" s="365"/>
      <c r="AQ38" s="365"/>
      <c r="AR38" s="365"/>
      <c r="AS38" s="365"/>
      <c r="AT38" s="365"/>
      <c r="AU38" s="365"/>
      <c r="AV38" s="365"/>
      <c r="AW38" s="365"/>
      <c r="AX38" s="365"/>
      <c r="AY38" s="365"/>
      <c r="AZ38" s="365"/>
      <c r="BA38" s="365"/>
      <c r="BB38" s="365"/>
      <c r="BC38" s="365"/>
      <c r="BD38" s="365"/>
      <c r="BE38" s="310"/>
      <c r="BF38" s="310"/>
      <c r="BG38" s="310"/>
      <c r="BH38" s="310"/>
      <c r="BI38" s="310"/>
      <c r="BJ38" s="310"/>
      <c r="BK38" s="310"/>
      <c r="BL38" s="846"/>
      <c r="BM38" s="846"/>
      <c r="BN38" s="846"/>
      <c r="BO38" s="846"/>
      <c r="BP38" s="846"/>
      <c r="BQ38" s="846"/>
      <c r="BR38" s="846"/>
      <c r="BS38" s="846"/>
      <c r="BT38" s="846"/>
      <c r="BU38" s="846"/>
      <c r="BV38" s="846"/>
      <c r="BW38" s="846"/>
      <c r="BX38" s="846"/>
      <c r="BY38" s="846"/>
      <c r="BZ38" s="846"/>
      <c r="CA38" s="846"/>
      <c r="CB38" s="846"/>
      <c r="CC38" s="310"/>
      <c r="CD38" s="310"/>
      <c r="CE38" s="310"/>
      <c r="CF38" s="310"/>
      <c r="CG38" s="310"/>
      <c r="CH38" s="286"/>
      <c r="CI38" s="220"/>
      <c r="CJ38" s="220"/>
    </row>
    <row r="39" spans="1:88" s="250" customFormat="1" ht="3" customHeight="1">
      <c r="A39" s="312"/>
      <c r="B39" s="312"/>
      <c r="C39" s="224"/>
      <c r="D39" s="224"/>
      <c r="E39" s="1076" t="s">
        <v>694</v>
      </c>
      <c r="F39" s="1077"/>
      <c r="G39" s="1061" t="str">
        <f>Index!C239</f>
        <v>Výnosy z krátkodobého finančného majetku súčet (r. 36 až r. 38)</v>
      </c>
      <c r="H39" s="1082"/>
      <c r="I39" s="1082"/>
      <c r="J39" s="1082"/>
      <c r="K39" s="1082"/>
      <c r="L39" s="1082"/>
      <c r="M39" s="1082"/>
      <c r="N39" s="1082"/>
      <c r="O39" s="1082"/>
      <c r="P39" s="1082"/>
      <c r="Q39" s="1082"/>
      <c r="R39" s="1082"/>
      <c r="S39" s="1082"/>
      <c r="T39" s="1082"/>
      <c r="U39" s="1082"/>
      <c r="V39" s="1082"/>
      <c r="W39" s="1082"/>
      <c r="X39" s="1082"/>
      <c r="Y39" s="1082"/>
      <c r="Z39" s="1082"/>
      <c r="AA39" s="1082"/>
      <c r="AB39" s="1082"/>
      <c r="AC39" s="1082"/>
      <c r="AD39" s="1082"/>
      <c r="AE39" s="1082"/>
      <c r="AF39" s="1082"/>
      <c r="AG39" s="1082"/>
      <c r="AH39" s="1082"/>
      <c r="AI39" s="1082"/>
      <c r="AJ39" s="1082"/>
      <c r="AK39" s="1056" t="s">
        <v>1584</v>
      </c>
      <c r="AL39" s="1014"/>
      <c r="AM39" s="1014"/>
      <c r="AN39" s="357"/>
      <c r="AO39" s="366"/>
      <c r="AP39" s="366"/>
      <c r="AQ39" s="366"/>
      <c r="AR39" s="366"/>
      <c r="AS39" s="366"/>
      <c r="AT39" s="366"/>
      <c r="AU39" s="366"/>
      <c r="AV39" s="366"/>
      <c r="AW39" s="366"/>
      <c r="AX39" s="366"/>
      <c r="AY39" s="366"/>
      <c r="AZ39" s="366"/>
      <c r="BA39" s="366"/>
      <c r="BB39" s="366"/>
      <c r="BC39" s="366"/>
      <c r="BD39" s="366"/>
      <c r="BE39" s="304"/>
      <c r="BF39" s="304"/>
      <c r="BG39" s="304"/>
      <c r="BH39" s="304"/>
      <c r="BI39" s="304"/>
      <c r="BJ39" s="304"/>
      <c r="BK39" s="304"/>
      <c r="BL39" s="867"/>
      <c r="BM39" s="867"/>
      <c r="BN39" s="867"/>
      <c r="BO39" s="867"/>
      <c r="BP39" s="867"/>
      <c r="BQ39" s="867"/>
      <c r="BR39" s="867"/>
      <c r="BS39" s="867"/>
      <c r="BT39" s="867"/>
      <c r="BU39" s="867"/>
      <c r="BV39" s="867"/>
      <c r="BW39" s="867"/>
      <c r="BX39" s="867"/>
      <c r="BY39" s="867"/>
      <c r="BZ39" s="867"/>
      <c r="CA39" s="867"/>
      <c r="CB39" s="867"/>
      <c r="CC39" s="304"/>
      <c r="CD39" s="304"/>
      <c r="CE39" s="304"/>
      <c r="CF39" s="304"/>
      <c r="CG39" s="304"/>
      <c r="CH39" s="284"/>
      <c r="CI39" s="288"/>
      <c r="CJ39" s="288"/>
    </row>
    <row r="40" spans="1:88" s="250" customFormat="1" ht="3" customHeight="1">
      <c r="A40" s="312"/>
      <c r="B40" s="312"/>
      <c r="C40" s="312"/>
      <c r="D40" s="312"/>
      <c r="E40" s="1078"/>
      <c r="F40" s="1079"/>
      <c r="G40" s="1082"/>
      <c r="H40" s="1082"/>
      <c r="I40" s="1082"/>
      <c r="J40" s="1082"/>
      <c r="K40" s="1082"/>
      <c r="L40" s="1082"/>
      <c r="M40" s="1082"/>
      <c r="N40" s="1082"/>
      <c r="O40" s="1082"/>
      <c r="P40" s="1082"/>
      <c r="Q40" s="1082"/>
      <c r="R40" s="1082"/>
      <c r="S40" s="1082"/>
      <c r="T40" s="1082"/>
      <c r="U40" s="1082"/>
      <c r="V40" s="1082"/>
      <c r="W40" s="1082"/>
      <c r="X40" s="1082"/>
      <c r="Y40" s="1082"/>
      <c r="Z40" s="1082"/>
      <c r="AA40" s="1082"/>
      <c r="AB40" s="1082"/>
      <c r="AC40" s="1082"/>
      <c r="AD40" s="1082"/>
      <c r="AE40" s="1082"/>
      <c r="AF40" s="1082"/>
      <c r="AG40" s="1082"/>
      <c r="AH40" s="1082"/>
      <c r="AI40" s="1082"/>
      <c r="AJ40" s="1082"/>
      <c r="AK40" s="1014"/>
      <c r="AL40" s="1014"/>
      <c r="AM40" s="1014"/>
      <c r="AN40" s="355"/>
      <c r="AO40" s="436"/>
      <c r="AP40" s="436"/>
      <c r="AQ40" s="436"/>
      <c r="AR40" s="435"/>
      <c r="AS40" s="433"/>
      <c r="AT40" s="433"/>
      <c r="AU40" s="433"/>
      <c r="AV40" s="433"/>
      <c r="AW40" s="433"/>
      <c r="AX40" s="434"/>
      <c r="AY40" s="1007"/>
      <c r="AZ40" s="1007"/>
      <c r="BA40" s="1007"/>
      <c r="BB40" s="1007"/>
      <c r="BC40" s="1007"/>
      <c r="BD40" s="1007"/>
      <c r="BE40" s="434"/>
      <c r="BF40" s="968"/>
      <c r="BG40" s="968"/>
      <c r="BH40" s="968"/>
      <c r="BI40" s="968"/>
      <c r="BJ40" s="968"/>
      <c r="BK40" s="851"/>
      <c r="BL40" s="826"/>
      <c r="BM40" s="820"/>
      <c r="BN40" s="820"/>
      <c r="BO40" s="820"/>
      <c r="BP40" s="435"/>
      <c r="BQ40" s="1007"/>
      <c r="BR40" s="1007"/>
      <c r="BS40" s="1007"/>
      <c r="BT40" s="1007"/>
      <c r="BU40" s="1007"/>
      <c r="BV40" s="1008"/>
      <c r="BW40" s="968"/>
      <c r="BX40" s="968"/>
      <c r="BY40" s="968"/>
      <c r="BZ40" s="968"/>
      <c r="CA40" s="968"/>
      <c r="CB40" s="1009"/>
      <c r="CC40" s="968"/>
      <c r="CD40" s="968"/>
      <c r="CE40" s="968"/>
      <c r="CF40" s="968"/>
      <c r="CG40" s="968"/>
      <c r="CH40" s="285"/>
      <c r="CI40" s="288"/>
      <c r="CJ40" s="288"/>
    </row>
    <row r="41" spans="1:88" s="313" customFormat="1" ht="15" customHeight="1">
      <c r="A41" s="312"/>
      <c r="B41" s="312"/>
      <c r="C41" s="312"/>
      <c r="E41" s="1078"/>
      <c r="F41" s="1079"/>
      <c r="G41" s="1082"/>
      <c r="H41" s="1082"/>
      <c r="I41" s="1082"/>
      <c r="J41" s="1082"/>
      <c r="K41" s="1082"/>
      <c r="L41" s="1082"/>
      <c r="M41" s="1082"/>
      <c r="N41" s="1082"/>
      <c r="O41" s="1082"/>
      <c r="P41" s="1082"/>
      <c r="Q41" s="1082"/>
      <c r="R41" s="1082"/>
      <c r="S41" s="1082"/>
      <c r="T41" s="1082"/>
      <c r="U41" s="1082"/>
      <c r="V41" s="1082"/>
      <c r="W41" s="1082"/>
      <c r="X41" s="1082"/>
      <c r="Y41" s="1082"/>
      <c r="Z41" s="1082"/>
      <c r="AA41" s="1082"/>
      <c r="AB41" s="1082"/>
      <c r="AC41" s="1082"/>
      <c r="AD41" s="1082"/>
      <c r="AE41" s="1082"/>
      <c r="AF41" s="1082"/>
      <c r="AG41" s="1082"/>
      <c r="AH41" s="1082"/>
      <c r="AI41" s="1082"/>
      <c r="AJ41" s="1082"/>
      <c r="AK41" s="1014"/>
      <c r="AL41" s="1014"/>
      <c r="AM41" s="1014"/>
      <c r="AN41" s="355"/>
      <c r="AO41" s="432" t="str">
        <f>IF(LEN(VLOOKUP(AK39,vysledovka!$D$8:$F$68,2,FALSE))&lt;11,"",LEFT(RIGHT(VLOOKUP(AK39,vysledovka!$D$8:$F$68,2,FALSE),11),1))</f>
        <v/>
      </c>
      <c r="AP41" s="255"/>
      <c r="AQ41" s="432" t="str">
        <f>IF(LEN(VLOOKUP(AK39,vysledovka!$D$8:$F$68,2,FALSE))&lt;10,"",LEFT(RIGHT(VLOOKUP(AK39,vysledovka!$D$8:$F$68,2,FALSE),10),1))</f>
        <v/>
      </c>
      <c r="AR41" s="434"/>
      <c r="AS41" s="432" t="str">
        <f>IF(LEN(VLOOKUP(AK39,vysledovka!$D$8:$F$68,2,FALSE))&lt;9,"",LEFT(RIGHT(VLOOKUP(AK39,vysledovka!$D$8:$F$68,2,FALSE),9),1))</f>
        <v/>
      </c>
      <c r="AT41" s="255"/>
      <c r="AU41" s="432" t="str">
        <f>IF(LEN(VLOOKUP(AK39,vysledovka!$D$8:$F$68,2,FALSE))&lt;8,"",LEFT(RIGHT(VLOOKUP(AK39,vysledovka!$D$8:$F$68,2,FALSE),8),1))</f>
        <v/>
      </c>
      <c r="AV41" s="434"/>
      <c r="AW41" s="432" t="str">
        <f>IF(LEN(VLOOKUP(AK39,vysledovka!$D$8:$F$68,2,FALSE))&lt;7,"",LEFT(RIGHT(VLOOKUP(AK39,vysledovka!$D$8:$F$68,2,FALSE),7),1))</f>
        <v/>
      </c>
      <c r="AX41" s="434"/>
      <c r="AY41" s="432" t="str">
        <f>IF(LEN(VLOOKUP(AK39,vysledovka!$D$8:$F$68,2,FALSE))&lt;6,"",LEFT(RIGHT(VLOOKUP(AK39,vysledovka!$D$8:$F$68,2,FALSE),6),1))</f>
        <v/>
      </c>
      <c r="AZ41" s="255"/>
      <c r="BA41" s="961" t="str">
        <f>IF(LEN(VLOOKUP(AK39,vysledovka!$D$8:$F$68,2,FALSE))&lt;5,"",LEFT(RIGHT(VLOOKUP(AK39,vysledovka!$D$8:$F$68,2,FALSE),5),1))</f>
        <v/>
      </c>
      <c r="BB41" s="961"/>
      <c r="BC41" s="434"/>
      <c r="BD41" s="432" t="str">
        <f>IF(LEN(VLOOKUP(AK39,vysledovka!$D$8:$F$68,2,FALSE))&lt;4,"",LEFT(RIGHT(VLOOKUP(AK39,vysledovka!$D$8:$F$68,2,FALSE),4),1))</f>
        <v/>
      </c>
      <c r="BE41" s="434"/>
      <c r="BF41" s="432" t="str">
        <f>IF(LEN(VLOOKUP(AK39,vysledovka!$D$8:$F$68,2,FALSE))&lt;3,"",LEFT(RIGHT(VLOOKUP(AK39,vysledovka!$D$8:$F$68,2,FALSE),3),1))</f>
        <v/>
      </c>
      <c r="BG41" s="434"/>
      <c r="BH41" s="432" t="str">
        <f>IF(LEN(VLOOKUP(AK39,vysledovka!$D$8:$F$68,2,FALSE))&lt;2,"",LEFT(RIGHT(VLOOKUP(AK39,vysledovka!$D$8:$F$68,2,FALSE),2),1))</f>
        <v/>
      </c>
      <c r="BI41" s="434"/>
      <c r="BJ41" s="432" t="str">
        <f>IF(VLOOKUP(AK39,vysledovka!$D$8:$F$68,2,FALSE)=0,"",IF(LEN(VLOOKUP(AK39,vysledovka!$D$8:$F$68,2,FALSE))&lt;1,"",LEFT(RIGHT(VLOOKUP(AK39,vysledovka!$D$8:$F$68,2,FALSE),1),1)))</f>
        <v/>
      </c>
      <c r="BK41" s="851"/>
      <c r="BL41" s="826"/>
      <c r="BM41" s="432" t="str">
        <f>IF(LEN(VLOOKUP(AK39,vysledovka!$D$8:$F$68,3,FALSE))&lt;11,"",LEFT(RIGHT(VLOOKUP(AK39,vysledovka!$D$8:$F$68,3,FALSE),11),1))</f>
        <v/>
      </c>
      <c r="BN41" s="255"/>
      <c r="BO41" s="432" t="str">
        <f>IF(LEN(VLOOKUP(AK39,vysledovka!$D$8:$F$68,3,FALSE))&lt;10,"",LEFT(RIGHT(VLOOKUP(AK39,vysledovka!$D$8:$F$68,3,FALSE),10),1))</f>
        <v/>
      </c>
      <c r="BP41" s="434"/>
      <c r="BQ41" s="432" t="str">
        <f>IF(LEN(VLOOKUP(AK39,vysledovka!$D$8:$F$68,3,FALSE))&lt;9,"",LEFT(RIGHT(VLOOKUP(AK39,vysledovka!$D$8:$F$68,3,FALSE),9),1))</f>
        <v/>
      </c>
      <c r="BR41" s="255"/>
      <c r="BS41" s="432" t="str">
        <f>IF(LEN(VLOOKUP(AK39,vysledovka!$D$8:$F$68,3,FALSE))&lt;8,"",LEFT(RIGHT(VLOOKUP(AK39,vysledovka!$D$8:$F$68,3,FALSE),8),1))</f>
        <v/>
      </c>
      <c r="BT41" s="434"/>
      <c r="BU41" s="432" t="str">
        <f>IF(LEN(VLOOKUP(AK39,vysledovka!$D$8:$F$68,3,FALSE))&lt;7,"",LEFT(RIGHT(VLOOKUP(AK39,vysledovka!$D$8:$F$68,3,FALSE),7),1))</f>
        <v/>
      </c>
      <c r="BV41" s="1008"/>
      <c r="BW41" s="432" t="str">
        <f>IF(LEN(VLOOKUP(AK39,vysledovka!$D$8:$F$68,3,FALSE))&lt;6,"",LEFT(RIGHT(VLOOKUP(AK39,vysledovka!$D$8:$F$68,3,FALSE),6),1))</f>
        <v/>
      </c>
      <c r="BX41" s="434"/>
      <c r="BY41" s="432" t="str">
        <f>IF(LEN(VLOOKUP(AK39,vysledovka!$D$8:$F$68,3,FALSE))&lt;5,"",LEFT(RIGHT(VLOOKUP(AK39,vysledovka!$D$8:$F$68,3,FALSE),5),1))</f>
        <v/>
      </c>
      <c r="BZ41" s="434"/>
      <c r="CA41" s="432" t="str">
        <f>IF(LEN(VLOOKUP(AK39,vysledovka!$D$8:$F$68,3,FALSE))&lt;4,"",LEFT(RIGHT(VLOOKUP(AK39,vysledovka!$D$8:$F$68,3,FALSE),4),1))</f>
        <v/>
      </c>
      <c r="CB41" s="1009"/>
      <c r="CC41" s="432" t="str">
        <f>IF(LEN(VLOOKUP(AK39,vysledovka!$D$8:$F$68,3,FALSE))&lt;3,"",LEFT(RIGHT(VLOOKUP(AK39,vysledovka!$D$8:$F$68,3,FALSE),3),1))</f>
        <v/>
      </c>
      <c r="CD41" s="434"/>
      <c r="CE41" s="432" t="str">
        <f>IF(LEN(VLOOKUP(AK39,vysledovka!$D$8:$F$68,3,FALSE))&lt;2,"",LEFT(RIGHT(VLOOKUP(AK39,vysledovka!$D$8:$F$68,3,FALSE),2),1))</f>
        <v/>
      </c>
      <c r="CF41" s="434"/>
      <c r="CG41" s="432" t="str">
        <f>IF(VLOOKUP(AK39,vysledovka!$D$8:$F$68,3,FALSE)=0,"",IF(LEN(VLOOKUP(AK39,vysledovka!$D$8:$F$68,3,FALSE))&lt;1,"",LEFT(RIGHT(VLOOKUP(AK39,vysledovka!$D$8:$F$68,3,FALSE),1),1)))</f>
        <v/>
      </c>
      <c r="CH41" s="285"/>
      <c r="CI41" s="312"/>
      <c r="CJ41" s="312"/>
    </row>
    <row r="42" spans="1:88" s="313" customFormat="1" ht="3" customHeight="1">
      <c r="A42" s="312"/>
      <c r="B42" s="312"/>
      <c r="C42" s="312"/>
      <c r="E42" s="1080"/>
      <c r="F42" s="1081"/>
      <c r="G42" s="1082"/>
      <c r="H42" s="1082"/>
      <c r="I42" s="1082"/>
      <c r="J42" s="1082"/>
      <c r="K42" s="1082"/>
      <c r="L42" s="1082"/>
      <c r="M42" s="1082"/>
      <c r="N42" s="1082"/>
      <c r="O42" s="1082"/>
      <c r="P42" s="1082"/>
      <c r="Q42" s="1082"/>
      <c r="R42" s="1082"/>
      <c r="S42" s="1082"/>
      <c r="T42" s="1082"/>
      <c r="U42" s="1082"/>
      <c r="V42" s="1082"/>
      <c r="W42" s="1082"/>
      <c r="X42" s="1082"/>
      <c r="Y42" s="1082"/>
      <c r="Z42" s="1082"/>
      <c r="AA42" s="1082"/>
      <c r="AB42" s="1082"/>
      <c r="AC42" s="1082"/>
      <c r="AD42" s="1082"/>
      <c r="AE42" s="1082"/>
      <c r="AF42" s="1082"/>
      <c r="AG42" s="1082"/>
      <c r="AH42" s="1082"/>
      <c r="AI42" s="1082"/>
      <c r="AJ42" s="1082"/>
      <c r="AK42" s="1014"/>
      <c r="AL42" s="1014"/>
      <c r="AM42" s="1014"/>
      <c r="AN42" s="358"/>
      <c r="AO42" s="365"/>
      <c r="AP42" s="365"/>
      <c r="AQ42" s="365"/>
      <c r="AR42" s="365"/>
      <c r="AS42" s="365"/>
      <c r="AT42" s="365"/>
      <c r="AU42" s="365"/>
      <c r="AV42" s="365"/>
      <c r="AW42" s="365"/>
      <c r="AX42" s="365"/>
      <c r="AY42" s="365"/>
      <c r="AZ42" s="365"/>
      <c r="BA42" s="365"/>
      <c r="BB42" s="365"/>
      <c r="BC42" s="365"/>
      <c r="BD42" s="365"/>
      <c r="BE42" s="310"/>
      <c r="BF42" s="310"/>
      <c r="BG42" s="310"/>
      <c r="BH42" s="310"/>
      <c r="BI42" s="310"/>
      <c r="BJ42" s="310"/>
      <c r="BK42" s="310"/>
      <c r="BL42" s="846"/>
      <c r="BM42" s="846"/>
      <c r="BN42" s="846"/>
      <c r="BO42" s="846"/>
      <c r="BP42" s="846"/>
      <c r="BQ42" s="846"/>
      <c r="BR42" s="846"/>
      <c r="BS42" s="846"/>
      <c r="BT42" s="846"/>
      <c r="BU42" s="846"/>
      <c r="BV42" s="846"/>
      <c r="BW42" s="846"/>
      <c r="BX42" s="846"/>
      <c r="BY42" s="846"/>
      <c r="BZ42" s="846"/>
      <c r="CA42" s="846"/>
      <c r="CB42" s="846"/>
      <c r="CC42" s="310"/>
      <c r="CD42" s="310"/>
      <c r="CE42" s="310"/>
      <c r="CF42" s="310"/>
      <c r="CG42" s="310"/>
      <c r="CH42" s="286"/>
      <c r="CI42" s="312"/>
      <c r="CJ42" s="312"/>
    </row>
    <row r="43" spans="1:88" s="250" customFormat="1" ht="3" customHeight="1">
      <c r="A43" s="312"/>
      <c r="B43" s="312"/>
      <c r="C43" s="224"/>
      <c r="D43" s="224"/>
      <c r="E43" s="1070" t="s">
        <v>1745</v>
      </c>
      <c r="F43" s="1071"/>
      <c r="G43" s="1061" t="str">
        <f>Index!C240</f>
        <v>Výnosy z krátkodobého finančného majetku od prepojených účtovných jednotiek (666A)</v>
      </c>
      <c r="H43" s="1082"/>
      <c r="I43" s="1082"/>
      <c r="J43" s="1082"/>
      <c r="K43" s="1082"/>
      <c r="L43" s="1082"/>
      <c r="M43" s="1082"/>
      <c r="N43" s="1082"/>
      <c r="O43" s="1082"/>
      <c r="P43" s="1082"/>
      <c r="Q43" s="1082"/>
      <c r="R43" s="1082"/>
      <c r="S43" s="1082"/>
      <c r="T43" s="1082"/>
      <c r="U43" s="1082"/>
      <c r="V43" s="1082"/>
      <c r="W43" s="1082"/>
      <c r="X43" s="1082"/>
      <c r="Y43" s="1082"/>
      <c r="Z43" s="1082"/>
      <c r="AA43" s="1082"/>
      <c r="AB43" s="1082"/>
      <c r="AC43" s="1082"/>
      <c r="AD43" s="1082"/>
      <c r="AE43" s="1082"/>
      <c r="AF43" s="1082"/>
      <c r="AG43" s="1082"/>
      <c r="AH43" s="1082"/>
      <c r="AI43" s="1082"/>
      <c r="AJ43" s="1082"/>
      <c r="AK43" s="1056" t="s">
        <v>1585</v>
      </c>
      <c r="AL43" s="1014"/>
      <c r="AM43" s="1014"/>
      <c r="AN43" s="357"/>
      <c r="AO43" s="366"/>
      <c r="AP43" s="366"/>
      <c r="AQ43" s="366"/>
      <c r="AR43" s="366"/>
      <c r="AS43" s="366"/>
      <c r="AT43" s="366"/>
      <c r="AU43" s="366"/>
      <c r="AV43" s="366"/>
      <c r="AW43" s="366"/>
      <c r="AX43" s="366"/>
      <c r="AY43" s="366"/>
      <c r="AZ43" s="366"/>
      <c r="BA43" s="366"/>
      <c r="BB43" s="366"/>
      <c r="BC43" s="366"/>
      <c r="BD43" s="366"/>
      <c r="BE43" s="304"/>
      <c r="BF43" s="304"/>
      <c r="BG43" s="304"/>
      <c r="BH43" s="304"/>
      <c r="BI43" s="304"/>
      <c r="BJ43" s="304"/>
      <c r="BK43" s="304"/>
      <c r="BL43" s="867"/>
      <c r="BM43" s="867"/>
      <c r="BN43" s="867"/>
      <c r="BO43" s="867"/>
      <c r="BP43" s="867"/>
      <c r="BQ43" s="867"/>
      <c r="BR43" s="867"/>
      <c r="BS43" s="867"/>
      <c r="BT43" s="867"/>
      <c r="BU43" s="867"/>
      <c r="BV43" s="867"/>
      <c r="BW43" s="867"/>
      <c r="BX43" s="867"/>
      <c r="BY43" s="867"/>
      <c r="BZ43" s="867"/>
      <c r="CA43" s="867"/>
      <c r="CB43" s="867"/>
      <c r="CC43" s="304"/>
      <c r="CD43" s="304"/>
      <c r="CE43" s="304"/>
      <c r="CF43" s="304"/>
      <c r="CG43" s="304"/>
      <c r="CH43" s="284"/>
      <c r="CI43" s="288"/>
      <c r="CJ43" s="288"/>
    </row>
    <row r="44" spans="1:88" s="250" customFormat="1" ht="3" customHeight="1">
      <c r="A44" s="312"/>
      <c r="B44" s="312"/>
      <c r="C44" s="312"/>
      <c r="D44" s="312"/>
      <c r="E44" s="1072"/>
      <c r="F44" s="1073"/>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82"/>
      <c r="AE44" s="1082"/>
      <c r="AF44" s="1082"/>
      <c r="AG44" s="1082"/>
      <c r="AH44" s="1082"/>
      <c r="AI44" s="1082"/>
      <c r="AJ44" s="1082"/>
      <c r="AK44" s="1014"/>
      <c r="AL44" s="1014"/>
      <c r="AM44" s="1014"/>
      <c r="AN44" s="355"/>
      <c r="AO44" s="436"/>
      <c r="AP44" s="436"/>
      <c r="AQ44" s="436"/>
      <c r="AR44" s="435"/>
      <c r="AS44" s="433"/>
      <c r="AT44" s="433"/>
      <c r="AU44" s="433"/>
      <c r="AV44" s="433"/>
      <c r="AW44" s="433"/>
      <c r="AX44" s="434"/>
      <c r="AY44" s="1007"/>
      <c r="AZ44" s="1007"/>
      <c r="BA44" s="1007"/>
      <c r="BB44" s="1007"/>
      <c r="BC44" s="1007"/>
      <c r="BD44" s="1007"/>
      <c r="BE44" s="434"/>
      <c r="BF44" s="968"/>
      <c r="BG44" s="968"/>
      <c r="BH44" s="968"/>
      <c r="BI44" s="968"/>
      <c r="BJ44" s="968"/>
      <c r="BK44" s="851"/>
      <c r="BL44" s="826"/>
      <c r="BM44" s="820"/>
      <c r="BN44" s="820"/>
      <c r="BO44" s="820"/>
      <c r="BP44" s="435"/>
      <c r="BQ44" s="1007"/>
      <c r="BR44" s="1007"/>
      <c r="BS44" s="1007"/>
      <c r="BT44" s="1007"/>
      <c r="BU44" s="1007"/>
      <c r="BV44" s="1008"/>
      <c r="BW44" s="968"/>
      <c r="BX44" s="968"/>
      <c r="BY44" s="968"/>
      <c r="BZ44" s="968"/>
      <c r="CA44" s="968"/>
      <c r="CB44" s="1009"/>
      <c r="CC44" s="968"/>
      <c r="CD44" s="968"/>
      <c r="CE44" s="968"/>
      <c r="CF44" s="968"/>
      <c r="CG44" s="968"/>
      <c r="CH44" s="285"/>
      <c r="CI44" s="288"/>
      <c r="CJ44" s="288"/>
    </row>
    <row r="45" spans="1:88" s="313" customFormat="1" ht="15" customHeight="1">
      <c r="A45" s="312"/>
      <c r="B45" s="312"/>
      <c r="C45" s="312"/>
      <c r="E45" s="1072"/>
      <c r="F45" s="1073"/>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c r="AD45" s="1082"/>
      <c r="AE45" s="1082"/>
      <c r="AF45" s="1082"/>
      <c r="AG45" s="1082"/>
      <c r="AH45" s="1082"/>
      <c r="AI45" s="1082"/>
      <c r="AJ45" s="1082"/>
      <c r="AK45" s="1014"/>
      <c r="AL45" s="1014"/>
      <c r="AM45" s="1014"/>
      <c r="AN45" s="355"/>
      <c r="AO45" s="432" t="str">
        <f>IF(LEN(VLOOKUP(AK43,vysledovka!$D$8:$F$68,2,FALSE))&lt;11,"",LEFT(RIGHT(VLOOKUP(AK43,vysledovka!$D$8:$F$68,2,FALSE),11),1))</f>
        <v/>
      </c>
      <c r="AP45" s="255"/>
      <c r="AQ45" s="432" t="str">
        <f>IF(LEN(VLOOKUP(AK43,vysledovka!$D$8:$F$68,2,FALSE))&lt;10,"",LEFT(RIGHT(VLOOKUP(AK43,vysledovka!$D$8:$F$68,2,FALSE),10),1))</f>
        <v/>
      </c>
      <c r="AR45" s="434"/>
      <c r="AS45" s="432" t="str">
        <f>IF(LEN(VLOOKUP(AK43,vysledovka!$D$8:$F$68,2,FALSE))&lt;9,"",LEFT(RIGHT(VLOOKUP(AK43,vysledovka!$D$8:$F$68,2,FALSE),9),1))</f>
        <v/>
      </c>
      <c r="AT45" s="255"/>
      <c r="AU45" s="432" t="str">
        <f>IF(LEN(VLOOKUP(AK43,vysledovka!$D$8:$F$68,2,FALSE))&lt;8,"",LEFT(RIGHT(VLOOKUP(AK43,vysledovka!$D$8:$F$68,2,FALSE),8),1))</f>
        <v/>
      </c>
      <c r="AV45" s="434"/>
      <c r="AW45" s="432" t="str">
        <f>IF(LEN(VLOOKUP(AK43,vysledovka!$D$8:$F$68,2,FALSE))&lt;7,"",LEFT(RIGHT(VLOOKUP(AK43,vysledovka!$D$8:$F$68,2,FALSE),7),1))</f>
        <v/>
      </c>
      <c r="AX45" s="434"/>
      <c r="AY45" s="432" t="str">
        <f>IF(LEN(VLOOKUP(AK43,vysledovka!$D$8:$F$68,2,FALSE))&lt;6,"",LEFT(RIGHT(VLOOKUP(AK43,vysledovka!$D$8:$F$68,2,FALSE),6),1))</f>
        <v/>
      </c>
      <c r="AZ45" s="255"/>
      <c r="BA45" s="961" t="str">
        <f>IF(LEN(VLOOKUP(AK43,vysledovka!$D$8:$F$68,2,FALSE))&lt;5,"",LEFT(RIGHT(VLOOKUP(AK43,vysledovka!$D$8:$F$68,2,FALSE),5),1))</f>
        <v/>
      </c>
      <c r="BB45" s="961"/>
      <c r="BC45" s="434"/>
      <c r="BD45" s="432" t="str">
        <f>IF(LEN(VLOOKUP(AK43,vysledovka!$D$8:$F$68,2,FALSE))&lt;4,"",LEFT(RIGHT(VLOOKUP(AK43,vysledovka!$D$8:$F$68,2,FALSE),4),1))</f>
        <v/>
      </c>
      <c r="BE45" s="434"/>
      <c r="BF45" s="432" t="str">
        <f>IF(LEN(VLOOKUP(AK43,vysledovka!$D$8:$F$68,2,FALSE))&lt;3,"",LEFT(RIGHT(VLOOKUP(AK43,vysledovka!$D$8:$F$68,2,FALSE),3),1))</f>
        <v/>
      </c>
      <c r="BG45" s="434"/>
      <c r="BH45" s="432" t="str">
        <f>IF(LEN(VLOOKUP(AK43,vysledovka!$D$8:$F$68,2,FALSE))&lt;2,"",LEFT(RIGHT(VLOOKUP(AK43,vysledovka!$D$8:$F$68,2,FALSE),2),1))</f>
        <v/>
      </c>
      <c r="BI45" s="434"/>
      <c r="BJ45" s="432" t="str">
        <f>IF(VLOOKUP(AK43,vysledovka!$D$8:$F$68,2,FALSE)=0,"",IF(LEN(VLOOKUP(AK43,vysledovka!$D$8:$F$68,2,FALSE))&lt;1,"",LEFT(RIGHT(VLOOKUP(AK43,vysledovka!$D$8:$F$68,2,FALSE),1),1)))</f>
        <v/>
      </c>
      <c r="BK45" s="851"/>
      <c r="BL45" s="826"/>
      <c r="BM45" s="432" t="str">
        <f>IF(LEN(VLOOKUP(AK43,vysledovka!$D$8:$F$68,3,FALSE))&lt;11,"",LEFT(RIGHT(VLOOKUP(AK43,vysledovka!$D$8:$F$68,3,FALSE),11),1))</f>
        <v/>
      </c>
      <c r="BN45" s="255"/>
      <c r="BO45" s="432" t="str">
        <f>IF(LEN(VLOOKUP(AK43,vysledovka!$D$8:$F$68,3,FALSE))&lt;10,"",LEFT(RIGHT(VLOOKUP(AK43,vysledovka!$D$8:$F$68,3,FALSE),10),1))</f>
        <v/>
      </c>
      <c r="BP45" s="434"/>
      <c r="BQ45" s="432" t="str">
        <f>IF(LEN(VLOOKUP(AK43,vysledovka!$D$8:$F$68,3,FALSE))&lt;9,"",LEFT(RIGHT(VLOOKUP(AK43,vysledovka!$D$8:$F$68,3,FALSE),9),1))</f>
        <v/>
      </c>
      <c r="BR45" s="255"/>
      <c r="BS45" s="432" t="str">
        <f>IF(LEN(VLOOKUP(AK43,vysledovka!$D$8:$F$68,3,FALSE))&lt;8,"",LEFT(RIGHT(VLOOKUP(AK43,vysledovka!$D$8:$F$68,3,FALSE),8),1))</f>
        <v/>
      </c>
      <c r="BT45" s="434"/>
      <c r="BU45" s="432" t="str">
        <f>IF(LEN(VLOOKUP(AK43,vysledovka!$D$8:$F$68,3,FALSE))&lt;7,"",LEFT(RIGHT(VLOOKUP(AK43,vysledovka!$D$8:$F$68,3,FALSE),7),1))</f>
        <v/>
      </c>
      <c r="BV45" s="1008"/>
      <c r="BW45" s="432" t="str">
        <f>IF(LEN(VLOOKUP(AK43,vysledovka!$D$8:$F$68,3,FALSE))&lt;6,"",LEFT(RIGHT(VLOOKUP(AK43,vysledovka!$D$8:$F$68,3,FALSE),6),1))</f>
        <v/>
      </c>
      <c r="BX45" s="434"/>
      <c r="BY45" s="432" t="str">
        <f>IF(LEN(VLOOKUP(AK43,vysledovka!$D$8:$F$68,3,FALSE))&lt;5,"",LEFT(RIGHT(VLOOKUP(AK43,vysledovka!$D$8:$F$68,3,FALSE),5),1))</f>
        <v/>
      </c>
      <c r="BZ45" s="434"/>
      <c r="CA45" s="432" t="str">
        <f>IF(LEN(VLOOKUP(AK43,vysledovka!$D$8:$F$68,3,FALSE))&lt;4,"",LEFT(RIGHT(VLOOKUP(AK43,vysledovka!$D$8:$F$68,3,FALSE),4),1))</f>
        <v/>
      </c>
      <c r="CB45" s="1009"/>
      <c r="CC45" s="432" t="str">
        <f>IF(LEN(VLOOKUP(AK43,vysledovka!$D$8:$F$68,3,FALSE))&lt;3,"",LEFT(RIGHT(VLOOKUP(AK43,vysledovka!$D$8:$F$68,3,FALSE),3),1))</f>
        <v/>
      </c>
      <c r="CD45" s="434"/>
      <c r="CE45" s="432" t="str">
        <f>IF(LEN(VLOOKUP(AK43,vysledovka!$D$8:$F$68,3,FALSE))&lt;2,"",LEFT(RIGHT(VLOOKUP(AK43,vysledovka!$D$8:$F$68,3,FALSE),2),1))</f>
        <v/>
      </c>
      <c r="CF45" s="434"/>
      <c r="CG45" s="432" t="str">
        <f>IF(VLOOKUP(AK43,vysledovka!$D$8:$F$68,3,FALSE)=0,"",IF(LEN(VLOOKUP(AK43,vysledovka!$D$8:$F$68,3,FALSE))&lt;1,"",LEFT(RIGHT(VLOOKUP(AK43,vysledovka!$D$8:$F$68,3,FALSE),1),1)))</f>
        <v/>
      </c>
      <c r="CH45" s="285"/>
      <c r="CI45" s="312"/>
      <c r="CJ45" s="312"/>
    </row>
    <row r="46" spans="1:88" s="313" customFormat="1" ht="3" customHeight="1">
      <c r="A46" s="312"/>
      <c r="B46" s="312"/>
      <c r="C46" s="312"/>
      <c r="E46" s="1074"/>
      <c r="F46" s="1075"/>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2"/>
      <c r="AG46" s="1082"/>
      <c r="AH46" s="1082"/>
      <c r="AI46" s="1082"/>
      <c r="AJ46" s="1082"/>
      <c r="AK46" s="1014"/>
      <c r="AL46" s="1014"/>
      <c r="AM46" s="1014"/>
      <c r="AN46" s="358"/>
      <c r="AO46" s="365"/>
      <c r="AP46" s="365"/>
      <c r="AQ46" s="365"/>
      <c r="AR46" s="365"/>
      <c r="AS46" s="365"/>
      <c r="AT46" s="365"/>
      <c r="AU46" s="365"/>
      <c r="AV46" s="365"/>
      <c r="AW46" s="365"/>
      <c r="AX46" s="365"/>
      <c r="AY46" s="365"/>
      <c r="AZ46" s="365"/>
      <c r="BA46" s="365"/>
      <c r="BB46" s="365"/>
      <c r="BC46" s="365"/>
      <c r="BD46" s="365"/>
      <c r="BE46" s="310"/>
      <c r="BF46" s="310"/>
      <c r="BG46" s="310"/>
      <c r="BH46" s="310"/>
      <c r="BI46" s="310"/>
      <c r="BJ46" s="310"/>
      <c r="BK46" s="310"/>
      <c r="BL46" s="846"/>
      <c r="BM46" s="846"/>
      <c r="BN46" s="846"/>
      <c r="BO46" s="846"/>
      <c r="BP46" s="846"/>
      <c r="BQ46" s="846"/>
      <c r="BR46" s="846"/>
      <c r="BS46" s="846"/>
      <c r="BT46" s="846"/>
      <c r="BU46" s="846"/>
      <c r="BV46" s="846"/>
      <c r="BW46" s="846"/>
      <c r="BX46" s="846"/>
      <c r="BY46" s="846"/>
      <c r="BZ46" s="846"/>
      <c r="CA46" s="846"/>
      <c r="CB46" s="846"/>
      <c r="CC46" s="310"/>
      <c r="CD46" s="310"/>
      <c r="CE46" s="310"/>
      <c r="CF46" s="310"/>
      <c r="CG46" s="310"/>
      <c r="CH46" s="286"/>
      <c r="CI46" s="312"/>
      <c r="CJ46" s="312"/>
    </row>
    <row r="47" spans="1:88" s="250" customFormat="1" ht="3" customHeight="1">
      <c r="A47" s="312"/>
      <c r="B47" s="312"/>
      <c r="C47" s="224"/>
      <c r="D47" s="224"/>
      <c r="E47" s="1033" t="s">
        <v>1542</v>
      </c>
      <c r="F47" s="1034"/>
      <c r="G47" s="1061" t="str">
        <f>Index!C241</f>
        <v>Výnosy z krátkodobého finančného majetku v podielovej účasti okrem výnosov prepojených účtovných jednotiek (666A)</v>
      </c>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56" t="s">
        <v>1586</v>
      </c>
      <c r="AL47" s="1014"/>
      <c r="AM47" s="1014"/>
      <c r="AN47" s="357"/>
      <c r="AO47" s="366"/>
      <c r="AP47" s="366"/>
      <c r="AQ47" s="366"/>
      <c r="AR47" s="366"/>
      <c r="AS47" s="366"/>
      <c r="AT47" s="366"/>
      <c r="AU47" s="366"/>
      <c r="AV47" s="366"/>
      <c r="AW47" s="366"/>
      <c r="AX47" s="366"/>
      <c r="AY47" s="366"/>
      <c r="AZ47" s="366"/>
      <c r="BA47" s="366"/>
      <c r="BB47" s="366"/>
      <c r="BC47" s="366"/>
      <c r="BD47" s="366"/>
      <c r="BE47" s="304"/>
      <c r="BF47" s="304"/>
      <c r="BG47" s="304"/>
      <c r="BH47" s="304"/>
      <c r="BI47" s="304"/>
      <c r="BJ47" s="304"/>
      <c r="BK47" s="304"/>
      <c r="BL47" s="867"/>
      <c r="BM47" s="867"/>
      <c r="BN47" s="867"/>
      <c r="BO47" s="867"/>
      <c r="BP47" s="867"/>
      <c r="BQ47" s="867"/>
      <c r="BR47" s="867"/>
      <c r="BS47" s="867"/>
      <c r="BT47" s="867"/>
      <c r="BU47" s="867"/>
      <c r="BV47" s="867"/>
      <c r="BW47" s="867"/>
      <c r="BX47" s="867"/>
      <c r="BY47" s="867"/>
      <c r="BZ47" s="867"/>
      <c r="CA47" s="867"/>
      <c r="CB47" s="867"/>
      <c r="CC47" s="304"/>
      <c r="CD47" s="304"/>
      <c r="CE47" s="304"/>
      <c r="CF47" s="304"/>
      <c r="CG47" s="304"/>
      <c r="CH47" s="284"/>
      <c r="CI47" s="288"/>
      <c r="CJ47" s="288"/>
    </row>
    <row r="48" spans="1:88" s="250" customFormat="1" ht="3" customHeight="1">
      <c r="A48" s="312"/>
      <c r="B48" s="312"/>
      <c r="C48" s="312"/>
      <c r="D48" s="312"/>
      <c r="E48" s="1035"/>
      <c r="F48" s="1036"/>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14"/>
      <c r="AL48" s="1014"/>
      <c r="AM48" s="1014"/>
      <c r="AN48" s="355"/>
      <c r="AO48" s="436"/>
      <c r="AP48" s="436"/>
      <c r="AQ48" s="436"/>
      <c r="AR48" s="435"/>
      <c r="AS48" s="433"/>
      <c r="AT48" s="433"/>
      <c r="AU48" s="433"/>
      <c r="AV48" s="433"/>
      <c r="AW48" s="433"/>
      <c r="AX48" s="434"/>
      <c r="AY48" s="1007"/>
      <c r="AZ48" s="1007"/>
      <c r="BA48" s="1007"/>
      <c r="BB48" s="1007"/>
      <c r="BC48" s="1007"/>
      <c r="BD48" s="1007"/>
      <c r="BE48" s="434"/>
      <c r="BF48" s="968"/>
      <c r="BG48" s="968"/>
      <c r="BH48" s="968"/>
      <c r="BI48" s="968"/>
      <c r="BJ48" s="968"/>
      <c r="BK48" s="851"/>
      <c r="BL48" s="826"/>
      <c r="BM48" s="820"/>
      <c r="BN48" s="820"/>
      <c r="BO48" s="820"/>
      <c r="BP48" s="435"/>
      <c r="BQ48" s="1007"/>
      <c r="BR48" s="1007"/>
      <c r="BS48" s="1007"/>
      <c r="BT48" s="1007"/>
      <c r="BU48" s="1007"/>
      <c r="BV48" s="1008"/>
      <c r="BW48" s="968"/>
      <c r="BX48" s="968"/>
      <c r="BY48" s="968"/>
      <c r="BZ48" s="968"/>
      <c r="CA48" s="968"/>
      <c r="CB48" s="1009"/>
      <c r="CC48" s="968"/>
      <c r="CD48" s="968"/>
      <c r="CE48" s="968"/>
      <c r="CF48" s="968"/>
      <c r="CG48" s="968"/>
      <c r="CH48" s="285"/>
      <c r="CI48" s="288"/>
      <c r="CJ48" s="288"/>
    </row>
    <row r="49" spans="1:88" s="313" customFormat="1" ht="15" customHeight="1">
      <c r="A49" s="312"/>
      <c r="B49" s="312"/>
      <c r="C49" s="312"/>
      <c r="E49" s="1035"/>
      <c r="F49" s="1036"/>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82"/>
      <c r="AE49" s="1082"/>
      <c r="AF49" s="1082"/>
      <c r="AG49" s="1082"/>
      <c r="AH49" s="1082"/>
      <c r="AI49" s="1082"/>
      <c r="AJ49" s="1082"/>
      <c r="AK49" s="1014"/>
      <c r="AL49" s="1014"/>
      <c r="AM49" s="1014"/>
      <c r="AN49" s="355"/>
      <c r="AO49" s="432" t="str">
        <f>IF(LEN(VLOOKUP(AK47,vysledovka!$D$8:$F$68,2,FALSE))&lt;11,"",LEFT(RIGHT(VLOOKUP(AK47,vysledovka!$D$8:$F$68,2,FALSE),11),1))</f>
        <v/>
      </c>
      <c r="AP49" s="255"/>
      <c r="AQ49" s="432" t="str">
        <f>IF(LEN(VLOOKUP(AK47,vysledovka!$D$8:$F$68,2,FALSE))&lt;10,"",LEFT(RIGHT(VLOOKUP(AK47,vysledovka!$D$8:$F$68,2,FALSE),10),1))</f>
        <v/>
      </c>
      <c r="AR49" s="434"/>
      <c r="AS49" s="432" t="str">
        <f>IF(LEN(VLOOKUP(AK47,vysledovka!$D$8:$F$68,2,FALSE))&lt;9,"",LEFT(RIGHT(VLOOKUP(AK47,vysledovka!$D$8:$F$68,2,FALSE),9),1))</f>
        <v/>
      </c>
      <c r="AT49" s="255"/>
      <c r="AU49" s="432" t="str">
        <f>IF(LEN(VLOOKUP(AK47,vysledovka!$D$8:$F$68,2,FALSE))&lt;8,"",LEFT(RIGHT(VLOOKUP(AK47,vysledovka!$D$8:$F$68,2,FALSE),8),1))</f>
        <v/>
      </c>
      <c r="AV49" s="434"/>
      <c r="AW49" s="432" t="str">
        <f>IF(LEN(VLOOKUP(AK47,vysledovka!$D$8:$F$68,2,FALSE))&lt;7,"",LEFT(RIGHT(VLOOKUP(AK47,vysledovka!$D$8:$F$68,2,FALSE),7),1))</f>
        <v/>
      </c>
      <c r="AX49" s="434"/>
      <c r="AY49" s="432" t="str">
        <f>IF(LEN(VLOOKUP(AK47,vysledovka!$D$8:$F$68,2,FALSE))&lt;6,"",LEFT(RIGHT(VLOOKUP(AK47,vysledovka!$D$8:$F$68,2,FALSE),6),1))</f>
        <v/>
      </c>
      <c r="AZ49" s="255"/>
      <c r="BA49" s="961" t="str">
        <f>IF(LEN(VLOOKUP(AK47,vysledovka!$D$8:$F$68,2,FALSE))&lt;5,"",LEFT(RIGHT(VLOOKUP(AK47,vysledovka!$D$8:$F$68,2,FALSE),5),1))</f>
        <v/>
      </c>
      <c r="BB49" s="961"/>
      <c r="BC49" s="434"/>
      <c r="BD49" s="432" t="str">
        <f>IF(LEN(VLOOKUP(AK47,vysledovka!$D$8:$F$68,2,FALSE))&lt;4,"",LEFT(RIGHT(VLOOKUP(AK47,vysledovka!$D$8:$F$68,2,FALSE),4),1))</f>
        <v/>
      </c>
      <c r="BE49" s="434"/>
      <c r="BF49" s="432" t="str">
        <f>IF(LEN(VLOOKUP(AK47,vysledovka!$D$8:$F$68,2,FALSE))&lt;3,"",LEFT(RIGHT(VLOOKUP(AK47,vysledovka!$D$8:$F$68,2,FALSE),3),1))</f>
        <v/>
      </c>
      <c r="BG49" s="434"/>
      <c r="BH49" s="432" t="str">
        <f>IF(LEN(VLOOKUP(AK47,vysledovka!$D$8:$F$68,2,FALSE))&lt;2,"",LEFT(RIGHT(VLOOKUP(AK47,vysledovka!$D$8:$F$68,2,FALSE),2),1))</f>
        <v/>
      </c>
      <c r="BI49" s="434"/>
      <c r="BJ49" s="432" t="str">
        <f>IF(VLOOKUP(AK47,vysledovka!$D$8:$F$68,2,FALSE)=0,"",IF(LEN(VLOOKUP(AK47,vysledovka!$D$8:$F$68,2,FALSE))&lt;1,"",LEFT(RIGHT(VLOOKUP(AK47,vysledovka!$D$8:$F$68,2,FALSE),1),1)))</f>
        <v/>
      </c>
      <c r="BK49" s="851"/>
      <c r="BL49" s="826"/>
      <c r="BM49" s="432" t="str">
        <f>IF(LEN(VLOOKUP(AK47,vysledovka!$D$8:$F$68,3,FALSE))&lt;11,"",LEFT(RIGHT(VLOOKUP(AK47,vysledovka!$D$8:$F$68,3,FALSE),11),1))</f>
        <v/>
      </c>
      <c r="BN49" s="255"/>
      <c r="BO49" s="432" t="str">
        <f>IF(LEN(VLOOKUP(AK47,vysledovka!$D$8:$F$68,3,FALSE))&lt;10,"",LEFT(RIGHT(VLOOKUP(AK47,vysledovka!$D$8:$F$68,3,FALSE),10),1))</f>
        <v/>
      </c>
      <c r="BP49" s="434"/>
      <c r="BQ49" s="432" t="str">
        <f>IF(LEN(VLOOKUP(AK47,vysledovka!$D$8:$F$68,3,FALSE))&lt;9,"",LEFT(RIGHT(VLOOKUP(AK47,vysledovka!$D$8:$F$68,3,FALSE),9),1))</f>
        <v/>
      </c>
      <c r="BR49" s="255"/>
      <c r="BS49" s="432" t="str">
        <f>IF(LEN(VLOOKUP(AK47,vysledovka!$D$8:$F$68,3,FALSE))&lt;8,"",LEFT(RIGHT(VLOOKUP(AK47,vysledovka!$D$8:$F$68,3,FALSE),8),1))</f>
        <v/>
      </c>
      <c r="BT49" s="434"/>
      <c r="BU49" s="432" t="str">
        <f>IF(LEN(VLOOKUP(AK47,vysledovka!$D$8:$F$68,3,FALSE))&lt;7,"",LEFT(RIGHT(VLOOKUP(AK47,vysledovka!$D$8:$F$68,3,FALSE),7),1))</f>
        <v/>
      </c>
      <c r="BV49" s="1008"/>
      <c r="BW49" s="432" t="str">
        <f>IF(LEN(VLOOKUP(AK47,vysledovka!$D$8:$F$68,3,FALSE))&lt;6,"",LEFT(RIGHT(VLOOKUP(AK47,vysledovka!$D$8:$F$68,3,FALSE),6),1))</f>
        <v/>
      </c>
      <c r="BX49" s="434"/>
      <c r="BY49" s="432" t="str">
        <f>IF(LEN(VLOOKUP(AK47,vysledovka!$D$8:$F$68,3,FALSE))&lt;5,"",LEFT(RIGHT(VLOOKUP(AK47,vysledovka!$D$8:$F$68,3,FALSE),5),1))</f>
        <v/>
      </c>
      <c r="BZ49" s="434"/>
      <c r="CA49" s="432" t="str">
        <f>IF(LEN(VLOOKUP(AK47,vysledovka!$D$8:$F$68,3,FALSE))&lt;4,"",LEFT(RIGHT(VLOOKUP(AK47,vysledovka!$D$8:$F$68,3,FALSE),4),1))</f>
        <v/>
      </c>
      <c r="CB49" s="1009"/>
      <c r="CC49" s="432" t="str">
        <f>IF(LEN(VLOOKUP(AK47,vysledovka!$D$8:$F$68,3,FALSE))&lt;3,"",LEFT(RIGHT(VLOOKUP(AK47,vysledovka!$D$8:$F$68,3,FALSE),3),1))</f>
        <v/>
      </c>
      <c r="CD49" s="434"/>
      <c r="CE49" s="432" t="str">
        <f>IF(LEN(VLOOKUP(AK47,vysledovka!$D$8:$F$68,3,FALSE))&lt;2,"",LEFT(RIGHT(VLOOKUP(AK47,vysledovka!$D$8:$F$68,3,FALSE),2),1))</f>
        <v/>
      </c>
      <c r="CF49" s="434"/>
      <c r="CG49" s="432" t="str">
        <f>IF(VLOOKUP(AK47,vysledovka!$D$8:$F$68,3,FALSE)=0,"",IF(LEN(VLOOKUP(AK47,vysledovka!$D$8:$F$68,3,FALSE))&lt;1,"",LEFT(RIGHT(VLOOKUP(AK47,vysledovka!$D$8:$F$68,3,FALSE),1),1)))</f>
        <v/>
      </c>
      <c r="CH49" s="285"/>
      <c r="CI49" s="312"/>
      <c r="CJ49" s="312"/>
    </row>
    <row r="50" spans="1:88" s="313" customFormat="1">
      <c r="A50" s="312"/>
      <c r="B50" s="312"/>
      <c r="C50" s="312"/>
      <c r="E50" s="1037"/>
      <c r="F50" s="1038"/>
      <c r="G50" s="1082"/>
      <c r="H50" s="1082"/>
      <c r="I50" s="1082"/>
      <c r="J50" s="1082"/>
      <c r="K50" s="1082"/>
      <c r="L50" s="1082"/>
      <c r="M50" s="1082"/>
      <c r="N50" s="1082"/>
      <c r="O50" s="1082"/>
      <c r="P50" s="1082"/>
      <c r="Q50" s="1082"/>
      <c r="R50" s="1082"/>
      <c r="S50" s="1082"/>
      <c r="T50" s="1082"/>
      <c r="U50" s="1082"/>
      <c r="V50" s="1082"/>
      <c r="W50" s="1082"/>
      <c r="X50" s="1082"/>
      <c r="Y50" s="1082"/>
      <c r="Z50" s="1082"/>
      <c r="AA50" s="1082"/>
      <c r="AB50" s="1082"/>
      <c r="AC50" s="1082"/>
      <c r="AD50" s="1082"/>
      <c r="AE50" s="1082"/>
      <c r="AF50" s="1082"/>
      <c r="AG50" s="1082"/>
      <c r="AH50" s="1082"/>
      <c r="AI50" s="1082"/>
      <c r="AJ50" s="1082"/>
      <c r="AK50" s="1014"/>
      <c r="AL50" s="1014"/>
      <c r="AM50" s="1014"/>
      <c r="AN50" s="358"/>
      <c r="AO50" s="365"/>
      <c r="AP50" s="365"/>
      <c r="AQ50" s="365"/>
      <c r="AR50" s="365"/>
      <c r="AS50" s="365"/>
      <c r="AT50" s="365"/>
      <c r="AU50" s="365"/>
      <c r="AV50" s="365"/>
      <c r="AW50" s="365"/>
      <c r="AX50" s="365"/>
      <c r="AY50" s="365"/>
      <c r="AZ50" s="365"/>
      <c r="BA50" s="365"/>
      <c r="BB50" s="365"/>
      <c r="BC50" s="365"/>
      <c r="BD50" s="365"/>
      <c r="BE50" s="310"/>
      <c r="BF50" s="310"/>
      <c r="BG50" s="310"/>
      <c r="BH50" s="310"/>
      <c r="BI50" s="310"/>
      <c r="BJ50" s="310"/>
      <c r="BK50" s="310"/>
      <c r="BL50" s="846"/>
      <c r="BM50" s="846"/>
      <c r="BN50" s="846"/>
      <c r="BO50" s="846"/>
      <c r="BP50" s="846"/>
      <c r="BQ50" s="846"/>
      <c r="BR50" s="846"/>
      <c r="BS50" s="846"/>
      <c r="BT50" s="846"/>
      <c r="BU50" s="846"/>
      <c r="BV50" s="846"/>
      <c r="BW50" s="846"/>
      <c r="BX50" s="846"/>
      <c r="BY50" s="846"/>
      <c r="BZ50" s="846"/>
      <c r="CA50" s="846"/>
      <c r="CB50" s="846"/>
      <c r="CC50" s="310"/>
      <c r="CD50" s="310"/>
      <c r="CE50" s="310"/>
      <c r="CF50" s="310"/>
      <c r="CG50" s="310"/>
      <c r="CH50" s="286"/>
      <c r="CI50" s="312"/>
      <c r="CJ50" s="312"/>
    </row>
    <row r="51" spans="1:88" s="250" customFormat="1" ht="3" customHeight="1">
      <c r="A51" s="312"/>
      <c r="B51" s="312"/>
      <c r="C51" s="224"/>
      <c r="D51" s="224"/>
      <c r="E51" s="1059" t="s">
        <v>1543</v>
      </c>
      <c r="F51" s="1060"/>
      <c r="G51" s="972" t="str">
        <f>Index!C242</f>
        <v>Ostatné výnosy z krátkodobého finančného majetku (666A)</v>
      </c>
      <c r="H51" s="984"/>
      <c r="I51" s="984"/>
      <c r="J51" s="984"/>
      <c r="K51" s="984"/>
      <c r="L51" s="984"/>
      <c r="M51" s="984"/>
      <c r="N51" s="984"/>
      <c r="O51" s="984"/>
      <c r="P51" s="984"/>
      <c r="Q51" s="984"/>
      <c r="R51" s="984"/>
      <c r="S51" s="984"/>
      <c r="T51" s="984"/>
      <c r="U51" s="984"/>
      <c r="V51" s="984"/>
      <c r="W51" s="984"/>
      <c r="X51" s="984"/>
      <c r="Y51" s="984"/>
      <c r="Z51" s="984"/>
      <c r="AA51" s="984"/>
      <c r="AB51" s="984"/>
      <c r="AC51" s="984"/>
      <c r="AD51" s="984"/>
      <c r="AE51" s="984"/>
      <c r="AF51" s="984"/>
      <c r="AG51" s="984"/>
      <c r="AH51" s="984"/>
      <c r="AI51" s="984"/>
      <c r="AJ51" s="984"/>
      <c r="AK51" s="1056" t="s">
        <v>1587</v>
      </c>
      <c r="AL51" s="1014"/>
      <c r="AM51" s="1014"/>
      <c r="AN51" s="357"/>
      <c r="AO51" s="366"/>
      <c r="AP51" s="366"/>
      <c r="AQ51" s="366"/>
      <c r="AR51" s="366"/>
      <c r="AS51" s="366"/>
      <c r="AT51" s="366"/>
      <c r="AU51" s="366"/>
      <c r="AV51" s="366"/>
      <c r="AW51" s="366"/>
      <c r="AX51" s="366"/>
      <c r="AY51" s="366"/>
      <c r="AZ51" s="366"/>
      <c r="BA51" s="366"/>
      <c r="BB51" s="366"/>
      <c r="BC51" s="366"/>
      <c r="BD51" s="366"/>
      <c r="BE51" s="304"/>
      <c r="BF51" s="304"/>
      <c r="BG51" s="304"/>
      <c r="BH51" s="304"/>
      <c r="BI51" s="304"/>
      <c r="BJ51" s="304"/>
      <c r="BK51" s="304"/>
      <c r="BL51" s="867"/>
      <c r="BM51" s="867"/>
      <c r="BN51" s="867"/>
      <c r="BO51" s="867"/>
      <c r="BP51" s="867"/>
      <c r="BQ51" s="867"/>
      <c r="BR51" s="867"/>
      <c r="BS51" s="867"/>
      <c r="BT51" s="867"/>
      <c r="BU51" s="867"/>
      <c r="BV51" s="867"/>
      <c r="BW51" s="867"/>
      <c r="BX51" s="867"/>
      <c r="BY51" s="867"/>
      <c r="BZ51" s="867"/>
      <c r="CA51" s="867"/>
      <c r="CB51" s="867"/>
      <c r="CC51" s="304"/>
      <c r="CD51" s="304"/>
      <c r="CE51" s="304"/>
      <c r="CF51" s="304"/>
      <c r="CG51" s="304"/>
      <c r="CH51" s="284"/>
      <c r="CI51" s="288"/>
      <c r="CJ51" s="288"/>
    </row>
    <row r="52" spans="1:88" s="250" customFormat="1" ht="3" customHeight="1">
      <c r="A52" s="312"/>
      <c r="B52" s="312"/>
      <c r="C52" s="312"/>
      <c r="D52" s="312"/>
      <c r="E52" s="1059"/>
      <c r="F52" s="1060"/>
      <c r="G52" s="984"/>
      <c r="H52" s="984"/>
      <c r="I52" s="984"/>
      <c r="J52" s="984"/>
      <c r="K52" s="984"/>
      <c r="L52" s="984"/>
      <c r="M52" s="984"/>
      <c r="N52" s="984"/>
      <c r="O52" s="984"/>
      <c r="P52" s="984"/>
      <c r="Q52" s="984"/>
      <c r="R52" s="984"/>
      <c r="S52" s="984"/>
      <c r="T52" s="984"/>
      <c r="U52" s="984"/>
      <c r="V52" s="984"/>
      <c r="W52" s="984"/>
      <c r="X52" s="984"/>
      <c r="Y52" s="984"/>
      <c r="Z52" s="984"/>
      <c r="AA52" s="984"/>
      <c r="AB52" s="984"/>
      <c r="AC52" s="984"/>
      <c r="AD52" s="984"/>
      <c r="AE52" s="984"/>
      <c r="AF52" s="984"/>
      <c r="AG52" s="984"/>
      <c r="AH52" s="984"/>
      <c r="AI52" s="984"/>
      <c r="AJ52" s="984"/>
      <c r="AK52" s="1014"/>
      <c r="AL52" s="1014"/>
      <c r="AM52" s="1014"/>
      <c r="AN52" s="355"/>
      <c r="AO52" s="436"/>
      <c r="AP52" s="436"/>
      <c r="AQ52" s="436"/>
      <c r="AR52" s="435"/>
      <c r="AS52" s="433"/>
      <c r="AT52" s="433"/>
      <c r="AU52" s="433"/>
      <c r="AV52" s="433"/>
      <c r="AW52" s="433"/>
      <c r="AX52" s="434"/>
      <c r="AY52" s="1007"/>
      <c r="AZ52" s="1007"/>
      <c r="BA52" s="1007"/>
      <c r="BB52" s="1007"/>
      <c r="BC52" s="1007"/>
      <c r="BD52" s="1007"/>
      <c r="BE52" s="434"/>
      <c r="BF52" s="968"/>
      <c r="BG52" s="968"/>
      <c r="BH52" s="968"/>
      <c r="BI52" s="968"/>
      <c r="BJ52" s="968"/>
      <c r="BK52" s="851"/>
      <c r="BL52" s="826"/>
      <c r="BM52" s="820"/>
      <c r="BN52" s="820"/>
      <c r="BO52" s="820"/>
      <c r="BP52" s="435"/>
      <c r="BQ52" s="1007"/>
      <c r="BR52" s="1007"/>
      <c r="BS52" s="1007"/>
      <c r="BT52" s="1007"/>
      <c r="BU52" s="1007"/>
      <c r="BV52" s="1008"/>
      <c r="BW52" s="968"/>
      <c r="BX52" s="968"/>
      <c r="BY52" s="968"/>
      <c r="BZ52" s="968"/>
      <c r="CA52" s="968"/>
      <c r="CB52" s="1009"/>
      <c r="CC52" s="968"/>
      <c r="CD52" s="968"/>
      <c r="CE52" s="968"/>
      <c r="CF52" s="968"/>
      <c r="CG52" s="968"/>
      <c r="CH52" s="285"/>
      <c r="CI52" s="288"/>
      <c r="CJ52" s="288"/>
    </row>
    <row r="53" spans="1:88" s="313" customFormat="1" ht="15" customHeight="1">
      <c r="A53" s="312"/>
      <c r="B53" s="312"/>
      <c r="C53" s="312"/>
      <c r="E53" s="1059"/>
      <c r="F53" s="1060"/>
      <c r="G53" s="984"/>
      <c r="H53" s="984"/>
      <c r="I53" s="984"/>
      <c r="J53" s="984"/>
      <c r="K53" s="984"/>
      <c r="L53" s="984"/>
      <c r="M53" s="984"/>
      <c r="N53" s="984"/>
      <c r="O53" s="984"/>
      <c r="P53" s="984"/>
      <c r="Q53" s="984"/>
      <c r="R53" s="984"/>
      <c r="S53" s="984"/>
      <c r="T53" s="984"/>
      <c r="U53" s="984"/>
      <c r="V53" s="984"/>
      <c r="W53" s="984"/>
      <c r="X53" s="984"/>
      <c r="Y53" s="984"/>
      <c r="Z53" s="984"/>
      <c r="AA53" s="984"/>
      <c r="AB53" s="984"/>
      <c r="AC53" s="984"/>
      <c r="AD53" s="984"/>
      <c r="AE53" s="984"/>
      <c r="AF53" s="984"/>
      <c r="AG53" s="984"/>
      <c r="AH53" s="984"/>
      <c r="AI53" s="984"/>
      <c r="AJ53" s="984"/>
      <c r="AK53" s="1014"/>
      <c r="AL53" s="1014"/>
      <c r="AM53" s="1014"/>
      <c r="AN53" s="355"/>
      <c r="AO53" s="432" t="str">
        <f>IF(LEN(VLOOKUP(AK51,vysledovka!$D$8:$F$68,2,FALSE))&lt;11,"",LEFT(RIGHT(VLOOKUP(AK51,vysledovka!$D$8:$F$68,2,FALSE),11),1))</f>
        <v/>
      </c>
      <c r="AP53" s="255"/>
      <c r="AQ53" s="432" t="str">
        <f>IF(LEN(VLOOKUP(AK51,vysledovka!$D$8:$F$68,2,FALSE))&lt;10,"",LEFT(RIGHT(VLOOKUP(AK51,vysledovka!$D$8:$F$68,2,FALSE),10),1))</f>
        <v/>
      </c>
      <c r="AR53" s="434"/>
      <c r="AS53" s="432" t="str">
        <f>IF(LEN(VLOOKUP(AK51,vysledovka!$D$8:$F$68,2,FALSE))&lt;9,"",LEFT(RIGHT(VLOOKUP(AK51,vysledovka!$D$8:$F$68,2,FALSE),9),1))</f>
        <v/>
      </c>
      <c r="AT53" s="255"/>
      <c r="AU53" s="432" t="str">
        <f>IF(LEN(VLOOKUP(AK51,vysledovka!$D$8:$F$68,2,FALSE))&lt;8,"",LEFT(RIGHT(VLOOKUP(AK51,vysledovka!$D$8:$F$68,2,FALSE),8),1))</f>
        <v/>
      </c>
      <c r="AV53" s="434"/>
      <c r="AW53" s="432" t="str">
        <f>IF(LEN(VLOOKUP(AK51,vysledovka!$D$8:$F$68,2,FALSE))&lt;7,"",LEFT(RIGHT(VLOOKUP(AK51,vysledovka!$D$8:$F$68,2,FALSE),7),1))</f>
        <v/>
      </c>
      <c r="AX53" s="434"/>
      <c r="AY53" s="432" t="str">
        <f>IF(LEN(VLOOKUP(AK51,vysledovka!$D$8:$F$68,2,FALSE))&lt;6,"",LEFT(RIGHT(VLOOKUP(AK51,vysledovka!$D$8:$F$68,2,FALSE),6),1))</f>
        <v/>
      </c>
      <c r="AZ53" s="255"/>
      <c r="BA53" s="961" t="str">
        <f>IF(LEN(VLOOKUP(AK51,vysledovka!$D$8:$F$68,2,FALSE))&lt;5,"",LEFT(RIGHT(VLOOKUP(AK51,vysledovka!$D$8:$F$68,2,FALSE),5),1))</f>
        <v/>
      </c>
      <c r="BB53" s="961"/>
      <c r="BC53" s="434"/>
      <c r="BD53" s="432" t="str">
        <f>IF(LEN(VLOOKUP(AK51,vysledovka!$D$8:$F$68,2,FALSE))&lt;4,"",LEFT(RIGHT(VLOOKUP(AK51,vysledovka!$D$8:$F$68,2,FALSE),4),1))</f>
        <v/>
      </c>
      <c r="BE53" s="434"/>
      <c r="BF53" s="432" t="str">
        <f>IF(LEN(VLOOKUP(AK51,vysledovka!$D$8:$F$68,2,FALSE))&lt;3,"",LEFT(RIGHT(VLOOKUP(AK51,vysledovka!$D$8:$F$68,2,FALSE),3),1))</f>
        <v/>
      </c>
      <c r="BG53" s="434"/>
      <c r="BH53" s="432" t="str">
        <f>IF(LEN(VLOOKUP(AK51,vysledovka!$D$8:$F$68,2,FALSE))&lt;2,"",LEFT(RIGHT(VLOOKUP(AK51,vysledovka!$D$8:$F$68,2,FALSE),2),1))</f>
        <v/>
      </c>
      <c r="BI53" s="434"/>
      <c r="BJ53" s="432" t="str">
        <f>IF(VLOOKUP(AK51,vysledovka!$D$8:$F$68,2,FALSE)=0,"",IF(LEN(VLOOKUP(AK51,vysledovka!$D$8:$F$68,2,FALSE))&lt;1,"",LEFT(RIGHT(VLOOKUP(AK51,vysledovka!$D$8:$F$68,2,FALSE),1),1)))</f>
        <v/>
      </c>
      <c r="BK53" s="851"/>
      <c r="BL53" s="826"/>
      <c r="BM53" s="432" t="str">
        <f>IF(LEN(VLOOKUP(AK51,vysledovka!$D$8:$F$68,3,FALSE))&lt;11,"",LEFT(RIGHT(VLOOKUP(AK51,vysledovka!$D$8:$F$68,3,FALSE),11),1))</f>
        <v/>
      </c>
      <c r="BN53" s="255"/>
      <c r="BO53" s="432" t="str">
        <f>IF(LEN(VLOOKUP(AK51,vysledovka!$D$8:$F$68,3,FALSE))&lt;10,"",LEFT(RIGHT(VLOOKUP(AK51,vysledovka!$D$8:$F$68,3,FALSE),10),1))</f>
        <v/>
      </c>
      <c r="BP53" s="434"/>
      <c r="BQ53" s="432" t="str">
        <f>IF(LEN(VLOOKUP(AK51,vysledovka!$D$8:$F$68,3,FALSE))&lt;9,"",LEFT(RIGHT(VLOOKUP(AK51,vysledovka!$D$8:$F$68,3,FALSE),9),1))</f>
        <v/>
      </c>
      <c r="BR53" s="255"/>
      <c r="BS53" s="432" t="str">
        <f>IF(LEN(VLOOKUP(AK51,vysledovka!$D$8:$F$68,3,FALSE))&lt;8,"",LEFT(RIGHT(VLOOKUP(AK51,vysledovka!$D$8:$F$68,3,FALSE),8),1))</f>
        <v/>
      </c>
      <c r="BT53" s="434"/>
      <c r="BU53" s="432" t="str">
        <f>IF(LEN(VLOOKUP(AK51,vysledovka!$D$8:$F$68,3,FALSE))&lt;7,"",LEFT(RIGHT(VLOOKUP(AK51,vysledovka!$D$8:$F$68,3,FALSE),7),1))</f>
        <v/>
      </c>
      <c r="BV53" s="1008"/>
      <c r="BW53" s="432" t="str">
        <f>IF(LEN(VLOOKUP(AK51,vysledovka!$D$8:$F$68,3,FALSE))&lt;6,"",LEFT(RIGHT(VLOOKUP(AK51,vysledovka!$D$8:$F$68,3,FALSE),6),1))</f>
        <v/>
      </c>
      <c r="BX53" s="434"/>
      <c r="BY53" s="432" t="str">
        <f>IF(LEN(VLOOKUP(AK51,vysledovka!$D$8:$F$68,3,FALSE))&lt;5,"",LEFT(RIGHT(VLOOKUP(AK51,vysledovka!$D$8:$F$68,3,FALSE),5),1))</f>
        <v/>
      </c>
      <c r="BZ53" s="434"/>
      <c r="CA53" s="432" t="str">
        <f>IF(LEN(VLOOKUP(AK51,vysledovka!$D$8:$F$68,3,FALSE))&lt;4,"",LEFT(RIGHT(VLOOKUP(AK51,vysledovka!$D$8:$F$68,3,FALSE),4),1))</f>
        <v/>
      </c>
      <c r="CB53" s="1009"/>
      <c r="CC53" s="432" t="str">
        <f>IF(LEN(VLOOKUP(AK51,vysledovka!$D$8:$F$68,3,FALSE))&lt;3,"",LEFT(RIGHT(VLOOKUP(AK51,vysledovka!$D$8:$F$68,3,FALSE),3),1))</f>
        <v/>
      </c>
      <c r="CD53" s="434"/>
      <c r="CE53" s="432" t="str">
        <f>IF(LEN(VLOOKUP(AK51,vysledovka!$D$8:$F$68,3,FALSE))&lt;2,"",LEFT(RIGHT(VLOOKUP(AK51,vysledovka!$D$8:$F$68,3,FALSE),2),1))</f>
        <v/>
      </c>
      <c r="CF53" s="434"/>
      <c r="CG53" s="432" t="str">
        <f>IF(VLOOKUP(AK51,vysledovka!$D$8:$F$68,3,FALSE)=0,"",IF(LEN(VLOOKUP(AK51,vysledovka!$D$8:$F$68,3,FALSE))&lt;1,"",LEFT(RIGHT(VLOOKUP(AK51,vysledovka!$D$8:$F$68,3,FALSE),1),1)))</f>
        <v/>
      </c>
      <c r="CH53" s="285"/>
      <c r="CI53" s="312"/>
      <c r="CJ53" s="312"/>
    </row>
    <row r="54" spans="1:88" s="313" customFormat="1" ht="3" customHeight="1">
      <c r="A54" s="312"/>
      <c r="B54" s="312"/>
      <c r="C54" s="312"/>
      <c r="E54" s="1059"/>
      <c r="F54" s="1060"/>
      <c r="G54" s="984"/>
      <c r="H54" s="984"/>
      <c r="I54" s="984"/>
      <c r="J54" s="984"/>
      <c r="K54" s="984"/>
      <c r="L54" s="984"/>
      <c r="M54" s="984"/>
      <c r="N54" s="984"/>
      <c r="O54" s="984"/>
      <c r="P54" s="984"/>
      <c r="Q54" s="984"/>
      <c r="R54" s="984"/>
      <c r="S54" s="984"/>
      <c r="T54" s="984"/>
      <c r="U54" s="984"/>
      <c r="V54" s="984"/>
      <c r="W54" s="984"/>
      <c r="X54" s="984"/>
      <c r="Y54" s="984"/>
      <c r="Z54" s="984"/>
      <c r="AA54" s="984"/>
      <c r="AB54" s="984"/>
      <c r="AC54" s="984"/>
      <c r="AD54" s="984"/>
      <c r="AE54" s="984"/>
      <c r="AF54" s="984"/>
      <c r="AG54" s="984"/>
      <c r="AH54" s="984"/>
      <c r="AI54" s="984"/>
      <c r="AJ54" s="984"/>
      <c r="AK54" s="1014"/>
      <c r="AL54" s="1014"/>
      <c r="AM54" s="1014"/>
      <c r="AN54" s="358"/>
      <c r="AO54" s="365"/>
      <c r="AP54" s="365"/>
      <c r="AQ54" s="365"/>
      <c r="AR54" s="365"/>
      <c r="AS54" s="365"/>
      <c r="AT54" s="365"/>
      <c r="AU54" s="365"/>
      <c r="AV54" s="365"/>
      <c r="AW54" s="365"/>
      <c r="AX54" s="365"/>
      <c r="AY54" s="365"/>
      <c r="AZ54" s="365"/>
      <c r="BA54" s="365"/>
      <c r="BB54" s="365"/>
      <c r="BC54" s="365"/>
      <c r="BD54" s="365"/>
      <c r="BE54" s="310"/>
      <c r="BF54" s="310"/>
      <c r="BG54" s="310"/>
      <c r="BH54" s="310"/>
      <c r="BI54" s="310"/>
      <c r="BJ54" s="310"/>
      <c r="BK54" s="310"/>
      <c r="BL54" s="846"/>
      <c r="BM54" s="846"/>
      <c r="BN54" s="846"/>
      <c r="BO54" s="846"/>
      <c r="BP54" s="846"/>
      <c r="BQ54" s="846"/>
      <c r="BR54" s="846"/>
      <c r="BS54" s="846"/>
      <c r="BT54" s="846"/>
      <c r="BU54" s="846"/>
      <c r="BV54" s="846"/>
      <c r="BW54" s="846"/>
      <c r="BX54" s="846"/>
      <c r="BY54" s="846"/>
      <c r="BZ54" s="846"/>
      <c r="CA54" s="846"/>
      <c r="CB54" s="846"/>
      <c r="CC54" s="310"/>
      <c r="CD54" s="310"/>
      <c r="CE54" s="310"/>
      <c r="CF54" s="310"/>
      <c r="CG54" s="310"/>
      <c r="CH54" s="286"/>
      <c r="CI54" s="312"/>
      <c r="CJ54" s="312"/>
    </row>
    <row r="55" spans="1:88" s="250" customFormat="1" ht="3" customHeight="1">
      <c r="A55" s="312"/>
      <c r="B55" s="312"/>
      <c r="C55" s="224"/>
      <c r="D55" s="224"/>
      <c r="E55" s="1055" t="s">
        <v>696</v>
      </c>
      <c r="F55" s="1055"/>
      <c r="G55" s="1062" t="str">
        <f>Index!C243</f>
        <v>Výnosové úroky (r. 40 + r. 41)</v>
      </c>
      <c r="H55" s="1063"/>
      <c r="I55" s="1063"/>
      <c r="J55" s="1063"/>
      <c r="K55" s="1063"/>
      <c r="L55" s="1063"/>
      <c r="M55" s="1063"/>
      <c r="N55" s="1063"/>
      <c r="O55" s="1063"/>
      <c r="P55" s="1063"/>
      <c r="Q55" s="1063"/>
      <c r="R55" s="1063"/>
      <c r="S55" s="1063"/>
      <c r="T55" s="1063"/>
      <c r="U55" s="1063"/>
      <c r="V55" s="1063"/>
      <c r="W55" s="1063"/>
      <c r="X55" s="1063"/>
      <c r="Y55" s="1063"/>
      <c r="Z55" s="1063"/>
      <c r="AA55" s="1063"/>
      <c r="AB55" s="1063"/>
      <c r="AC55" s="1063"/>
      <c r="AD55" s="1063"/>
      <c r="AE55" s="1063"/>
      <c r="AF55" s="1063"/>
      <c r="AG55" s="1063"/>
      <c r="AH55" s="1063"/>
      <c r="AI55" s="1063"/>
      <c r="AJ55" s="1064"/>
      <c r="AK55" s="1056" t="s">
        <v>1588</v>
      </c>
      <c r="AL55" s="1014"/>
      <c r="AM55" s="1014"/>
      <c r="AN55" s="357"/>
      <c r="AO55" s="366"/>
      <c r="AP55" s="366"/>
      <c r="AQ55" s="366"/>
      <c r="AR55" s="366"/>
      <c r="AS55" s="366"/>
      <c r="AT55" s="366"/>
      <c r="AU55" s="366"/>
      <c r="AV55" s="366"/>
      <c r="AW55" s="366"/>
      <c r="AX55" s="366"/>
      <c r="AY55" s="366"/>
      <c r="AZ55" s="366"/>
      <c r="BA55" s="366"/>
      <c r="BB55" s="366"/>
      <c r="BC55" s="366"/>
      <c r="BD55" s="366"/>
      <c r="BE55" s="304"/>
      <c r="BF55" s="304"/>
      <c r="BG55" s="304"/>
      <c r="BH55" s="304"/>
      <c r="BI55" s="304"/>
      <c r="BJ55" s="304"/>
      <c r="BK55" s="304"/>
      <c r="BL55" s="867"/>
      <c r="BM55" s="867"/>
      <c r="BN55" s="867"/>
      <c r="BO55" s="867"/>
      <c r="BP55" s="867"/>
      <c r="BQ55" s="867"/>
      <c r="BR55" s="867"/>
      <c r="BS55" s="867"/>
      <c r="BT55" s="867"/>
      <c r="BU55" s="867"/>
      <c r="BV55" s="867"/>
      <c r="BW55" s="867"/>
      <c r="BX55" s="867"/>
      <c r="BY55" s="867"/>
      <c r="BZ55" s="867"/>
      <c r="CA55" s="867"/>
      <c r="CB55" s="867"/>
      <c r="CC55" s="304"/>
      <c r="CD55" s="304"/>
      <c r="CE55" s="304"/>
      <c r="CF55" s="304"/>
      <c r="CG55" s="304"/>
      <c r="CH55" s="284"/>
      <c r="CI55" s="288"/>
      <c r="CJ55" s="288"/>
    </row>
    <row r="56" spans="1:88" s="250" customFormat="1" ht="3" customHeight="1">
      <c r="A56" s="312"/>
      <c r="B56" s="312"/>
      <c r="C56" s="312"/>
      <c r="D56" s="312"/>
      <c r="E56" s="1055"/>
      <c r="F56" s="1055"/>
      <c r="G56" s="1062"/>
      <c r="H56" s="1063"/>
      <c r="I56" s="1063"/>
      <c r="J56" s="1063"/>
      <c r="K56" s="1063"/>
      <c r="L56" s="1063"/>
      <c r="M56" s="1063"/>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4"/>
      <c r="AK56" s="1014"/>
      <c r="AL56" s="1014"/>
      <c r="AM56" s="1014"/>
      <c r="AN56" s="355"/>
      <c r="AO56" s="436"/>
      <c r="AP56" s="436"/>
      <c r="AQ56" s="436"/>
      <c r="AR56" s="435"/>
      <c r="AS56" s="433"/>
      <c r="AT56" s="433"/>
      <c r="AU56" s="433"/>
      <c r="AV56" s="433"/>
      <c r="AW56" s="433"/>
      <c r="AX56" s="434"/>
      <c r="AY56" s="1007"/>
      <c r="AZ56" s="1007"/>
      <c r="BA56" s="1007"/>
      <c r="BB56" s="1007"/>
      <c r="BC56" s="1007"/>
      <c r="BD56" s="1007"/>
      <c r="BE56" s="434"/>
      <c r="BF56" s="968"/>
      <c r="BG56" s="968"/>
      <c r="BH56" s="968"/>
      <c r="BI56" s="968"/>
      <c r="BJ56" s="968"/>
      <c r="BK56" s="851"/>
      <c r="BL56" s="826"/>
      <c r="BM56" s="820"/>
      <c r="BN56" s="820"/>
      <c r="BO56" s="820"/>
      <c r="BP56" s="435"/>
      <c r="BQ56" s="1007"/>
      <c r="BR56" s="1007"/>
      <c r="BS56" s="1007"/>
      <c r="BT56" s="1007"/>
      <c r="BU56" s="1007"/>
      <c r="BV56" s="1008"/>
      <c r="BW56" s="968"/>
      <c r="BX56" s="968"/>
      <c r="BY56" s="968"/>
      <c r="BZ56" s="968"/>
      <c r="CA56" s="968"/>
      <c r="CB56" s="1009"/>
      <c r="CC56" s="968"/>
      <c r="CD56" s="968"/>
      <c r="CE56" s="968"/>
      <c r="CF56" s="968"/>
      <c r="CG56" s="968"/>
      <c r="CH56" s="285"/>
      <c r="CI56" s="288"/>
      <c r="CJ56" s="288"/>
    </row>
    <row r="57" spans="1:88" s="313" customFormat="1" ht="15" customHeight="1">
      <c r="A57" s="312"/>
      <c r="B57" s="312"/>
      <c r="C57" s="312"/>
      <c r="E57" s="1055"/>
      <c r="F57" s="1055"/>
      <c r="G57" s="1062"/>
      <c r="H57" s="1063"/>
      <c r="I57" s="1063"/>
      <c r="J57" s="1063"/>
      <c r="K57" s="1063"/>
      <c r="L57" s="1063"/>
      <c r="M57" s="1063"/>
      <c r="N57" s="1063"/>
      <c r="O57" s="1063"/>
      <c r="P57" s="1063"/>
      <c r="Q57" s="1063"/>
      <c r="R57" s="1063"/>
      <c r="S57" s="1063"/>
      <c r="T57" s="1063"/>
      <c r="U57" s="1063"/>
      <c r="V57" s="1063"/>
      <c r="W57" s="1063"/>
      <c r="X57" s="1063"/>
      <c r="Y57" s="1063"/>
      <c r="Z57" s="1063"/>
      <c r="AA57" s="1063"/>
      <c r="AB57" s="1063"/>
      <c r="AC57" s="1063"/>
      <c r="AD57" s="1063"/>
      <c r="AE57" s="1063"/>
      <c r="AF57" s="1063"/>
      <c r="AG57" s="1063"/>
      <c r="AH57" s="1063"/>
      <c r="AI57" s="1063"/>
      <c r="AJ57" s="1064"/>
      <c r="AK57" s="1014"/>
      <c r="AL57" s="1014"/>
      <c r="AM57" s="1014"/>
      <c r="AN57" s="355"/>
      <c r="AO57" s="432" t="str">
        <f>IF(LEN(VLOOKUP(AK55,vysledovka!$D$8:$F$68,2,FALSE))&lt;11,"",LEFT(RIGHT(VLOOKUP(AK55,vysledovka!$D$8:$F$68,2,FALSE),11),1))</f>
        <v/>
      </c>
      <c r="AP57" s="255"/>
      <c r="AQ57" s="432" t="str">
        <f>IF(LEN(VLOOKUP(AK55,vysledovka!$D$8:$F$68,2,FALSE))&lt;10,"",LEFT(RIGHT(VLOOKUP(AK55,vysledovka!$D$8:$F$68,2,FALSE),10),1))</f>
        <v/>
      </c>
      <c r="AR57" s="434"/>
      <c r="AS57" s="432" t="str">
        <f>IF(LEN(VLOOKUP(AK55,vysledovka!$D$8:$F$68,2,FALSE))&lt;9,"",LEFT(RIGHT(VLOOKUP(AK55,vysledovka!$D$8:$F$68,2,FALSE),9),1))</f>
        <v/>
      </c>
      <c r="AT57" s="255"/>
      <c r="AU57" s="432" t="str">
        <f>IF(LEN(VLOOKUP(AK55,vysledovka!$D$8:$F$68,2,FALSE))&lt;8,"",LEFT(RIGHT(VLOOKUP(AK55,vysledovka!$D$8:$F$68,2,FALSE),8),1))</f>
        <v/>
      </c>
      <c r="AV57" s="434"/>
      <c r="AW57" s="432" t="str">
        <f>IF(LEN(VLOOKUP(AK55,vysledovka!$D$8:$F$68,2,FALSE))&lt;7,"",LEFT(RIGHT(VLOOKUP(AK55,vysledovka!$D$8:$F$68,2,FALSE),7),1))</f>
        <v/>
      </c>
      <c r="AX57" s="434"/>
      <c r="AY57" s="432" t="str">
        <f>IF(LEN(VLOOKUP(AK55,vysledovka!$D$8:$F$68,2,FALSE))&lt;6,"",LEFT(RIGHT(VLOOKUP(AK55,vysledovka!$D$8:$F$68,2,FALSE),6),1))</f>
        <v>6</v>
      </c>
      <c r="AZ57" s="255"/>
      <c r="BA57" s="961" t="str">
        <f>IF(LEN(VLOOKUP(AK55,vysledovka!$D$8:$F$68,2,FALSE))&lt;5,"",LEFT(RIGHT(VLOOKUP(AK55,vysledovka!$D$8:$F$68,2,FALSE),5),1))</f>
        <v>5</v>
      </c>
      <c r="BB57" s="961"/>
      <c r="BC57" s="434"/>
      <c r="BD57" s="432" t="str">
        <f>IF(LEN(VLOOKUP(AK55,vysledovka!$D$8:$F$68,2,FALSE))&lt;4,"",LEFT(RIGHT(VLOOKUP(AK55,vysledovka!$D$8:$F$68,2,FALSE),4),1))</f>
        <v>5</v>
      </c>
      <c r="BE57" s="434"/>
      <c r="BF57" s="432" t="str">
        <f>IF(LEN(VLOOKUP(AK55,vysledovka!$D$8:$F$68,2,FALSE))&lt;3,"",LEFT(RIGHT(VLOOKUP(AK55,vysledovka!$D$8:$F$68,2,FALSE),3),1))</f>
        <v>1</v>
      </c>
      <c r="BG57" s="434"/>
      <c r="BH57" s="432" t="str">
        <f>IF(LEN(VLOOKUP(AK55,vysledovka!$D$8:$F$68,2,FALSE))&lt;2,"",LEFT(RIGHT(VLOOKUP(AK55,vysledovka!$D$8:$F$68,2,FALSE),2),1))</f>
        <v>7</v>
      </c>
      <c r="BI57" s="434"/>
      <c r="BJ57" s="432" t="str">
        <f>IF(VLOOKUP(AK55,vysledovka!$D$8:$F$68,2,FALSE)=0,"",IF(LEN(VLOOKUP(AK55,vysledovka!$D$8:$F$68,2,FALSE))&lt;1,"",LEFT(RIGHT(VLOOKUP(AK55,vysledovka!$D$8:$F$68,2,FALSE),1),1)))</f>
        <v>6</v>
      </c>
      <c r="BK57" s="851"/>
      <c r="BL57" s="826"/>
      <c r="BM57" s="432" t="str">
        <f>IF(LEN(VLOOKUP(AK55,vysledovka!$D$8:$F$68,3,FALSE))&lt;11,"",LEFT(RIGHT(VLOOKUP(AK55,vysledovka!$D$8:$F$68,3,FALSE),11),1))</f>
        <v/>
      </c>
      <c r="BN57" s="255"/>
      <c r="BO57" s="432" t="str">
        <f>IF(LEN(VLOOKUP(AK55,vysledovka!$D$8:$F$68,3,FALSE))&lt;10,"",LEFT(RIGHT(VLOOKUP(AK55,vysledovka!$D$8:$F$68,3,FALSE),10),1))</f>
        <v/>
      </c>
      <c r="BP57" s="434"/>
      <c r="BQ57" s="432" t="str">
        <f>IF(LEN(VLOOKUP(AK55,vysledovka!$D$8:$F$68,3,FALSE))&lt;9,"",LEFT(RIGHT(VLOOKUP(AK55,vysledovka!$D$8:$F$68,3,FALSE),9),1))</f>
        <v/>
      </c>
      <c r="BR57" s="255"/>
      <c r="BS57" s="432" t="str">
        <f>IF(LEN(VLOOKUP(AK55,vysledovka!$D$8:$F$68,3,FALSE))&lt;8,"",LEFT(RIGHT(VLOOKUP(AK55,vysledovka!$D$8:$F$68,3,FALSE),8),1))</f>
        <v/>
      </c>
      <c r="BT57" s="434"/>
      <c r="BU57" s="432" t="str">
        <f>IF(LEN(VLOOKUP(AK55,vysledovka!$D$8:$F$68,3,FALSE))&lt;7,"",LEFT(RIGHT(VLOOKUP(AK55,vysledovka!$D$8:$F$68,3,FALSE),7),1))</f>
        <v/>
      </c>
      <c r="BV57" s="1008"/>
      <c r="BW57" s="432" t="str">
        <f>IF(LEN(VLOOKUP(AK55,vysledovka!$D$8:$F$68,3,FALSE))&lt;6,"",LEFT(RIGHT(VLOOKUP(AK55,vysledovka!$D$8:$F$68,3,FALSE),6),1))</f>
        <v>3</v>
      </c>
      <c r="BX57" s="434"/>
      <c r="BY57" s="432" t="str">
        <f>IF(LEN(VLOOKUP(AK55,vysledovka!$D$8:$F$68,3,FALSE))&lt;5,"",LEFT(RIGHT(VLOOKUP(AK55,vysledovka!$D$8:$F$68,3,FALSE),5),1))</f>
        <v>9</v>
      </c>
      <c r="BZ57" s="434"/>
      <c r="CA57" s="432" t="str">
        <f>IF(LEN(VLOOKUP(AK55,vysledovka!$D$8:$F$68,3,FALSE))&lt;4,"",LEFT(RIGHT(VLOOKUP(AK55,vysledovka!$D$8:$F$68,3,FALSE),4),1))</f>
        <v>4</v>
      </c>
      <c r="CB57" s="1009"/>
      <c r="CC57" s="432" t="str">
        <f>IF(LEN(VLOOKUP(AK55,vysledovka!$D$8:$F$68,3,FALSE))&lt;3,"",LEFT(RIGHT(VLOOKUP(AK55,vysledovka!$D$8:$F$68,3,FALSE),3),1))</f>
        <v>1</v>
      </c>
      <c r="CD57" s="434"/>
      <c r="CE57" s="432" t="str">
        <f>IF(LEN(VLOOKUP(AK55,vysledovka!$D$8:$F$68,3,FALSE))&lt;2,"",LEFT(RIGHT(VLOOKUP(AK55,vysledovka!$D$8:$F$68,3,FALSE),2),1))</f>
        <v>5</v>
      </c>
      <c r="CF57" s="434"/>
      <c r="CG57" s="432" t="str">
        <f>IF(VLOOKUP(AK55,vysledovka!$D$8:$F$68,3,FALSE)=0,"",IF(LEN(VLOOKUP(AK55,vysledovka!$D$8:$F$68,3,FALSE))&lt;1,"",LEFT(RIGHT(VLOOKUP(AK55,vysledovka!$D$8:$F$68,3,FALSE),1),1)))</f>
        <v>7</v>
      </c>
      <c r="CH57" s="285"/>
      <c r="CI57" s="312"/>
      <c r="CJ57" s="312"/>
    </row>
    <row r="58" spans="1:88" s="313" customFormat="1" ht="3" customHeight="1">
      <c r="A58" s="312"/>
      <c r="B58" s="312"/>
      <c r="C58" s="312"/>
      <c r="E58" s="1055"/>
      <c r="F58" s="1055"/>
      <c r="G58" s="1062"/>
      <c r="H58" s="1063"/>
      <c r="I58" s="1063"/>
      <c r="J58" s="1063"/>
      <c r="K58" s="1063"/>
      <c r="L58" s="1063"/>
      <c r="M58" s="1063"/>
      <c r="N58" s="1063"/>
      <c r="O58" s="1063"/>
      <c r="P58" s="1063"/>
      <c r="Q58" s="1063"/>
      <c r="R58" s="1063"/>
      <c r="S58" s="1063"/>
      <c r="T58" s="1063"/>
      <c r="U58" s="1063"/>
      <c r="V58" s="1063"/>
      <c r="W58" s="1063"/>
      <c r="X58" s="1063"/>
      <c r="Y58" s="1063"/>
      <c r="Z58" s="1063"/>
      <c r="AA58" s="1063"/>
      <c r="AB58" s="1063"/>
      <c r="AC58" s="1063"/>
      <c r="AD58" s="1063"/>
      <c r="AE58" s="1063"/>
      <c r="AF58" s="1063"/>
      <c r="AG58" s="1063"/>
      <c r="AH58" s="1063"/>
      <c r="AI58" s="1063"/>
      <c r="AJ58" s="1064"/>
      <c r="AK58" s="1014"/>
      <c r="AL58" s="1014"/>
      <c r="AM58" s="1014"/>
      <c r="AN58" s="358"/>
      <c r="AO58" s="365"/>
      <c r="AP58" s="365"/>
      <c r="AQ58" s="365"/>
      <c r="AR58" s="365"/>
      <c r="AS58" s="365"/>
      <c r="AT58" s="365"/>
      <c r="AU58" s="365"/>
      <c r="AV58" s="365"/>
      <c r="AW58" s="365"/>
      <c r="AX58" s="365"/>
      <c r="AY58" s="365"/>
      <c r="AZ58" s="365"/>
      <c r="BA58" s="365"/>
      <c r="BB58" s="365"/>
      <c r="BC58" s="365"/>
      <c r="BD58" s="365"/>
      <c r="BE58" s="310"/>
      <c r="BF58" s="310"/>
      <c r="BG58" s="310"/>
      <c r="BH58" s="310"/>
      <c r="BI58" s="310"/>
      <c r="BJ58" s="310"/>
      <c r="BK58" s="310"/>
      <c r="BL58" s="846"/>
      <c r="BM58" s="846"/>
      <c r="BN58" s="846"/>
      <c r="BO58" s="846"/>
      <c r="BP58" s="846"/>
      <c r="BQ58" s="846"/>
      <c r="BR58" s="846"/>
      <c r="BS58" s="846"/>
      <c r="BT58" s="846"/>
      <c r="BU58" s="846"/>
      <c r="BV58" s="846"/>
      <c r="BW58" s="846"/>
      <c r="BX58" s="846"/>
      <c r="BY58" s="846"/>
      <c r="BZ58" s="846"/>
      <c r="CA58" s="846"/>
      <c r="CB58" s="846"/>
      <c r="CC58" s="310"/>
      <c r="CD58" s="310"/>
      <c r="CE58" s="310"/>
      <c r="CF58" s="310"/>
      <c r="CG58" s="310"/>
      <c r="CH58" s="286"/>
      <c r="CI58" s="312"/>
      <c r="CJ58" s="312"/>
    </row>
    <row r="59" spans="1:88" s="250" customFormat="1" ht="3" customHeight="1">
      <c r="A59" s="312"/>
      <c r="B59" s="312"/>
      <c r="C59" s="224"/>
      <c r="D59" s="224"/>
      <c r="E59" s="1055" t="s">
        <v>1749</v>
      </c>
      <c r="F59" s="1055"/>
      <c r="G59" s="1062" t="str">
        <f>Index!C244</f>
        <v>Výnosové úroky od prepojených účtovných jednotiek (662A)</v>
      </c>
      <c r="H59" s="1063"/>
      <c r="I59" s="1063"/>
      <c r="J59" s="1063"/>
      <c r="K59" s="1063"/>
      <c r="L59" s="1063"/>
      <c r="M59" s="1063"/>
      <c r="N59" s="1063"/>
      <c r="O59" s="1063"/>
      <c r="P59" s="1063"/>
      <c r="Q59" s="1063"/>
      <c r="R59" s="1063"/>
      <c r="S59" s="1063"/>
      <c r="T59" s="1063"/>
      <c r="U59" s="1063"/>
      <c r="V59" s="1063"/>
      <c r="W59" s="1063"/>
      <c r="X59" s="1063"/>
      <c r="Y59" s="1063"/>
      <c r="Z59" s="1063"/>
      <c r="AA59" s="1063"/>
      <c r="AB59" s="1063"/>
      <c r="AC59" s="1063"/>
      <c r="AD59" s="1063"/>
      <c r="AE59" s="1063"/>
      <c r="AF59" s="1063"/>
      <c r="AG59" s="1063"/>
      <c r="AH59" s="1063"/>
      <c r="AI59" s="1063"/>
      <c r="AJ59" s="1064"/>
      <c r="AK59" s="1056" t="s">
        <v>1589</v>
      </c>
      <c r="AL59" s="1014"/>
      <c r="AM59" s="1014"/>
      <c r="AN59" s="357"/>
      <c r="AO59" s="366"/>
      <c r="AP59" s="366"/>
      <c r="AQ59" s="366"/>
      <c r="AR59" s="366"/>
      <c r="AS59" s="366"/>
      <c r="AT59" s="366"/>
      <c r="AU59" s="366"/>
      <c r="AV59" s="366"/>
      <c r="AW59" s="366"/>
      <c r="AX59" s="366"/>
      <c r="AY59" s="366"/>
      <c r="AZ59" s="366"/>
      <c r="BA59" s="366"/>
      <c r="BB59" s="366"/>
      <c r="BC59" s="366"/>
      <c r="BD59" s="366"/>
      <c r="BE59" s="304"/>
      <c r="BF59" s="304"/>
      <c r="BG59" s="304"/>
      <c r="BH59" s="304"/>
      <c r="BI59" s="304"/>
      <c r="BJ59" s="304"/>
      <c r="BK59" s="304"/>
      <c r="BL59" s="867"/>
      <c r="BM59" s="867"/>
      <c r="BN59" s="867"/>
      <c r="BO59" s="867"/>
      <c r="BP59" s="867"/>
      <c r="BQ59" s="867"/>
      <c r="BR59" s="867"/>
      <c r="BS59" s="867"/>
      <c r="BT59" s="867"/>
      <c r="BU59" s="867"/>
      <c r="BV59" s="867"/>
      <c r="BW59" s="867"/>
      <c r="BX59" s="867"/>
      <c r="BY59" s="867"/>
      <c r="BZ59" s="867"/>
      <c r="CA59" s="867"/>
      <c r="CB59" s="867"/>
      <c r="CC59" s="304"/>
      <c r="CD59" s="304"/>
      <c r="CE59" s="304"/>
      <c r="CF59" s="304"/>
      <c r="CG59" s="304"/>
      <c r="CH59" s="284"/>
      <c r="CI59" s="288"/>
      <c r="CJ59" s="288"/>
    </row>
    <row r="60" spans="1:88" s="250" customFormat="1" ht="3" customHeight="1">
      <c r="A60" s="312"/>
      <c r="B60" s="312"/>
      <c r="C60" s="312"/>
      <c r="D60" s="312"/>
      <c r="E60" s="1055"/>
      <c r="F60" s="1055"/>
      <c r="G60" s="1062"/>
      <c r="H60" s="1063"/>
      <c r="I60" s="1063"/>
      <c r="J60" s="1063"/>
      <c r="K60" s="1063"/>
      <c r="L60" s="1063"/>
      <c r="M60" s="1063"/>
      <c r="N60" s="1063"/>
      <c r="O60" s="1063"/>
      <c r="P60" s="1063"/>
      <c r="Q60" s="1063"/>
      <c r="R60" s="1063"/>
      <c r="S60" s="1063"/>
      <c r="T60" s="1063"/>
      <c r="U60" s="1063"/>
      <c r="V60" s="1063"/>
      <c r="W60" s="1063"/>
      <c r="X60" s="1063"/>
      <c r="Y60" s="1063"/>
      <c r="Z60" s="1063"/>
      <c r="AA60" s="1063"/>
      <c r="AB60" s="1063"/>
      <c r="AC60" s="1063"/>
      <c r="AD60" s="1063"/>
      <c r="AE60" s="1063"/>
      <c r="AF60" s="1063"/>
      <c r="AG60" s="1063"/>
      <c r="AH60" s="1063"/>
      <c r="AI60" s="1063"/>
      <c r="AJ60" s="1064"/>
      <c r="AK60" s="1014"/>
      <c r="AL60" s="1014"/>
      <c r="AM60" s="1014"/>
      <c r="AN60" s="355"/>
      <c r="AO60" s="436"/>
      <c r="AP60" s="436"/>
      <c r="AQ60" s="436"/>
      <c r="AR60" s="435"/>
      <c r="AS60" s="433"/>
      <c r="AT60" s="433"/>
      <c r="AU60" s="433"/>
      <c r="AV60" s="433"/>
      <c r="AW60" s="433"/>
      <c r="AX60" s="434"/>
      <c r="AY60" s="1007"/>
      <c r="AZ60" s="1007"/>
      <c r="BA60" s="1007"/>
      <c r="BB60" s="1007"/>
      <c r="BC60" s="1007"/>
      <c r="BD60" s="1007"/>
      <c r="BE60" s="434"/>
      <c r="BF60" s="968"/>
      <c r="BG60" s="968"/>
      <c r="BH60" s="968"/>
      <c r="BI60" s="968"/>
      <c r="BJ60" s="968"/>
      <c r="BK60" s="851"/>
      <c r="BL60" s="826"/>
      <c r="BM60" s="820"/>
      <c r="BN60" s="820"/>
      <c r="BO60" s="820"/>
      <c r="BP60" s="435"/>
      <c r="BQ60" s="1007"/>
      <c r="BR60" s="1007"/>
      <c r="BS60" s="1007"/>
      <c r="BT60" s="1007"/>
      <c r="BU60" s="1007"/>
      <c r="BV60" s="1008"/>
      <c r="BW60" s="968"/>
      <c r="BX60" s="968"/>
      <c r="BY60" s="968"/>
      <c r="BZ60" s="968"/>
      <c r="CA60" s="968"/>
      <c r="CB60" s="1009"/>
      <c r="CC60" s="968"/>
      <c r="CD60" s="968"/>
      <c r="CE60" s="968"/>
      <c r="CF60" s="968"/>
      <c r="CG60" s="968"/>
      <c r="CH60" s="285"/>
      <c r="CI60" s="288"/>
      <c r="CJ60" s="288"/>
    </row>
    <row r="61" spans="1:88" s="313" customFormat="1" ht="15" customHeight="1">
      <c r="A61" s="312"/>
      <c r="B61" s="312"/>
      <c r="C61" s="312"/>
      <c r="E61" s="1055"/>
      <c r="F61" s="1055"/>
      <c r="G61" s="1062"/>
      <c r="H61" s="1063"/>
      <c r="I61" s="1063"/>
      <c r="J61" s="1063"/>
      <c r="K61" s="1063"/>
      <c r="L61" s="1063"/>
      <c r="M61" s="1063"/>
      <c r="N61" s="1063"/>
      <c r="O61" s="1063"/>
      <c r="P61" s="1063"/>
      <c r="Q61" s="1063"/>
      <c r="R61" s="1063"/>
      <c r="S61" s="1063"/>
      <c r="T61" s="1063"/>
      <c r="U61" s="1063"/>
      <c r="V61" s="1063"/>
      <c r="W61" s="1063"/>
      <c r="X61" s="1063"/>
      <c r="Y61" s="1063"/>
      <c r="Z61" s="1063"/>
      <c r="AA61" s="1063"/>
      <c r="AB61" s="1063"/>
      <c r="AC61" s="1063"/>
      <c r="AD61" s="1063"/>
      <c r="AE61" s="1063"/>
      <c r="AF61" s="1063"/>
      <c r="AG61" s="1063"/>
      <c r="AH61" s="1063"/>
      <c r="AI61" s="1063"/>
      <c r="AJ61" s="1064"/>
      <c r="AK61" s="1014"/>
      <c r="AL61" s="1014"/>
      <c r="AM61" s="1014"/>
      <c r="AN61" s="355"/>
      <c r="AO61" s="432" t="str">
        <f>IF(LEN(VLOOKUP(AK59,vysledovka!$D$8:$F$68,2,FALSE))&lt;11,"",LEFT(RIGHT(VLOOKUP(AK59,vysledovka!$D$8:$F$68,2,FALSE),11),1))</f>
        <v/>
      </c>
      <c r="AP61" s="255"/>
      <c r="AQ61" s="432" t="str">
        <f>IF(LEN(VLOOKUP(AK59,vysledovka!$D$8:$F$68,2,FALSE))&lt;10,"",LEFT(RIGHT(VLOOKUP(AK59,vysledovka!$D$8:$F$68,2,FALSE),10),1))</f>
        <v/>
      </c>
      <c r="AR61" s="434"/>
      <c r="AS61" s="432" t="str">
        <f>IF(LEN(VLOOKUP(AK59,vysledovka!$D$8:$F$68,2,FALSE))&lt;9,"",LEFT(RIGHT(VLOOKUP(AK59,vysledovka!$D$8:$F$68,2,FALSE),9),1))</f>
        <v/>
      </c>
      <c r="AT61" s="255"/>
      <c r="AU61" s="432" t="str">
        <f>IF(LEN(VLOOKUP(AK59,vysledovka!$D$8:$F$68,2,FALSE))&lt;8,"",LEFT(RIGHT(VLOOKUP(AK59,vysledovka!$D$8:$F$68,2,FALSE),8),1))</f>
        <v/>
      </c>
      <c r="AV61" s="434"/>
      <c r="AW61" s="432" t="str">
        <f>IF(LEN(VLOOKUP(AK59,vysledovka!$D$8:$F$68,2,FALSE))&lt;7,"",LEFT(RIGHT(VLOOKUP(AK59,vysledovka!$D$8:$F$68,2,FALSE),7),1))</f>
        <v/>
      </c>
      <c r="AX61" s="434"/>
      <c r="AY61" s="432" t="str">
        <f>IF(LEN(VLOOKUP(AK59,vysledovka!$D$8:$F$68,2,FALSE))&lt;6,"",LEFT(RIGHT(VLOOKUP(AK59,vysledovka!$D$8:$F$68,2,FALSE),6),1))</f>
        <v>5</v>
      </c>
      <c r="AZ61" s="255"/>
      <c r="BA61" s="961" t="str">
        <f>IF(LEN(VLOOKUP(AK59,vysledovka!$D$8:$F$68,2,FALSE))&lt;5,"",LEFT(RIGHT(VLOOKUP(AK59,vysledovka!$D$8:$F$68,2,FALSE),5),1))</f>
        <v>6</v>
      </c>
      <c r="BB61" s="961"/>
      <c r="BC61" s="434"/>
      <c r="BD61" s="432" t="str">
        <f>IF(LEN(VLOOKUP(AK59,vysledovka!$D$8:$F$68,2,FALSE))&lt;4,"",LEFT(RIGHT(VLOOKUP(AK59,vysledovka!$D$8:$F$68,2,FALSE),4),1))</f>
        <v>6</v>
      </c>
      <c r="BE61" s="434"/>
      <c r="BF61" s="432" t="str">
        <f>IF(LEN(VLOOKUP(AK59,vysledovka!$D$8:$F$68,2,FALSE))&lt;3,"",LEFT(RIGHT(VLOOKUP(AK59,vysledovka!$D$8:$F$68,2,FALSE),3),1))</f>
        <v>0</v>
      </c>
      <c r="BG61" s="434"/>
      <c r="BH61" s="432" t="str">
        <f>IF(LEN(VLOOKUP(AK59,vysledovka!$D$8:$F$68,2,FALSE))&lt;2,"",LEFT(RIGHT(VLOOKUP(AK59,vysledovka!$D$8:$F$68,2,FALSE),2),1))</f>
        <v>1</v>
      </c>
      <c r="BI61" s="434"/>
      <c r="BJ61" s="432" t="str">
        <f>IF(VLOOKUP(AK59,vysledovka!$D$8:$F$68,2,FALSE)=0,"",IF(LEN(VLOOKUP(AK59,vysledovka!$D$8:$F$68,2,FALSE))&lt;1,"",LEFT(RIGHT(VLOOKUP(AK59,vysledovka!$D$8:$F$68,2,FALSE),1),1)))</f>
        <v>9</v>
      </c>
      <c r="BK61" s="851"/>
      <c r="BL61" s="826"/>
      <c r="BM61" s="432" t="str">
        <f>IF(LEN(VLOOKUP(AK59,vysledovka!$D$8:$F$68,3,FALSE))&lt;11,"",LEFT(RIGHT(VLOOKUP(AK59,vysledovka!$D$8:$F$68,3,FALSE),11),1))</f>
        <v/>
      </c>
      <c r="BN61" s="255"/>
      <c r="BO61" s="432" t="str">
        <f>IF(LEN(VLOOKUP(AK59,vysledovka!$D$8:$F$68,3,FALSE))&lt;10,"",LEFT(RIGHT(VLOOKUP(AK59,vysledovka!$D$8:$F$68,3,FALSE),10),1))</f>
        <v/>
      </c>
      <c r="BP61" s="434"/>
      <c r="BQ61" s="432" t="str">
        <f>IF(LEN(VLOOKUP(AK59,vysledovka!$D$8:$F$68,3,FALSE))&lt;9,"",LEFT(RIGHT(VLOOKUP(AK59,vysledovka!$D$8:$F$68,3,FALSE),9),1))</f>
        <v/>
      </c>
      <c r="BR61" s="255"/>
      <c r="BS61" s="432" t="str">
        <f>IF(LEN(VLOOKUP(AK59,vysledovka!$D$8:$F$68,3,FALSE))&lt;8,"",LEFT(RIGHT(VLOOKUP(AK59,vysledovka!$D$8:$F$68,3,FALSE),8),1))</f>
        <v/>
      </c>
      <c r="BT61" s="434"/>
      <c r="BU61" s="432" t="str">
        <f>IF(LEN(VLOOKUP(AK59,vysledovka!$D$8:$F$68,3,FALSE))&lt;7,"",LEFT(RIGHT(VLOOKUP(AK59,vysledovka!$D$8:$F$68,3,FALSE),7),1))</f>
        <v/>
      </c>
      <c r="BV61" s="1008"/>
      <c r="BW61" s="432" t="str">
        <f>IF(LEN(VLOOKUP(AK59,vysledovka!$D$8:$F$68,3,FALSE))&lt;6,"",LEFT(RIGHT(VLOOKUP(AK59,vysledovka!$D$8:$F$68,3,FALSE),6),1))</f>
        <v>1</v>
      </c>
      <c r="BX61" s="434"/>
      <c r="BY61" s="432" t="str">
        <f>IF(LEN(VLOOKUP(AK59,vysledovka!$D$8:$F$68,3,FALSE))&lt;5,"",LEFT(RIGHT(VLOOKUP(AK59,vysledovka!$D$8:$F$68,3,FALSE),5),1))</f>
        <v>8</v>
      </c>
      <c r="BZ61" s="434"/>
      <c r="CA61" s="432" t="str">
        <f>IF(LEN(VLOOKUP(AK59,vysledovka!$D$8:$F$68,3,FALSE))&lt;4,"",LEFT(RIGHT(VLOOKUP(AK59,vysledovka!$D$8:$F$68,3,FALSE),4),1))</f>
        <v>8</v>
      </c>
      <c r="CB61" s="1009"/>
      <c r="CC61" s="432" t="str">
        <f>IF(LEN(VLOOKUP(AK59,vysledovka!$D$8:$F$68,3,FALSE))&lt;3,"",LEFT(RIGHT(VLOOKUP(AK59,vysledovka!$D$8:$F$68,3,FALSE),3),1))</f>
        <v>9</v>
      </c>
      <c r="CD61" s="434"/>
      <c r="CE61" s="432" t="str">
        <f>IF(LEN(VLOOKUP(AK59,vysledovka!$D$8:$F$68,3,FALSE))&lt;2,"",LEFT(RIGHT(VLOOKUP(AK59,vysledovka!$D$8:$F$68,3,FALSE),2),1))</f>
        <v>5</v>
      </c>
      <c r="CF61" s="434"/>
      <c r="CG61" s="432" t="str">
        <f>IF(VLOOKUP(AK59,vysledovka!$D$8:$F$68,3,FALSE)=0,"",IF(LEN(VLOOKUP(AK59,vysledovka!$D$8:$F$68,3,FALSE))&lt;1,"",LEFT(RIGHT(VLOOKUP(AK59,vysledovka!$D$8:$F$68,3,FALSE),1),1)))</f>
        <v>5</v>
      </c>
      <c r="CH61" s="285"/>
      <c r="CI61" s="312"/>
      <c r="CJ61" s="312"/>
    </row>
    <row r="62" spans="1:88" s="313" customFormat="1" ht="3" customHeight="1">
      <c r="A62" s="312"/>
      <c r="B62" s="312"/>
      <c r="C62" s="312"/>
      <c r="E62" s="1055"/>
      <c r="F62" s="1055"/>
      <c r="G62" s="1062"/>
      <c r="H62" s="1063"/>
      <c r="I62" s="1063"/>
      <c r="J62" s="1063"/>
      <c r="K62" s="1063"/>
      <c r="L62" s="1063"/>
      <c r="M62" s="1063"/>
      <c r="N62" s="1063"/>
      <c r="O62" s="1063"/>
      <c r="P62" s="1063"/>
      <c r="Q62" s="1063"/>
      <c r="R62" s="1063"/>
      <c r="S62" s="1063"/>
      <c r="T62" s="1063"/>
      <c r="U62" s="1063"/>
      <c r="V62" s="1063"/>
      <c r="W62" s="1063"/>
      <c r="X62" s="1063"/>
      <c r="Y62" s="1063"/>
      <c r="Z62" s="1063"/>
      <c r="AA62" s="1063"/>
      <c r="AB62" s="1063"/>
      <c r="AC62" s="1063"/>
      <c r="AD62" s="1063"/>
      <c r="AE62" s="1063"/>
      <c r="AF62" s="1063"/>
      <c r="AG62" s="1063"/>
      <c r="AH62" s="1063"/>
      <c r="AI62" s="1063"/>
      <c r="AJ62" s="1064"/>
      <c r="AK62" s="1014"/>
      <c r="AL62" s="1014"/>
      <c r="AM62" s="1014"/>
      <c r="AN62" s="358"/>
      <c r="AO62" s="365"/>
      <c r="AP62" s="365"/>
      <c r="AQ62" s="365"/>
      <c r="AR62" s="365"/>
      <c r="AS62" s="365"/>
      <c r="AT62" s="365"/>
      <c r="AU62" s="365"/>
      <c r="AV62" s="365"/>
      <c r="AW62" s="365"/>
      <c r="AX62" s="365"/>
      <c r="AY62" s="365"/>
      <c r="AZ62" s="365"/>
      <c r="BA62" s="365"/>
      <c r="BB62" s="365"/>
      <c r="BC62" s="365"/>
      <c r="BD62" s="365"/>
      <c r="BE62" s="310"/>
      <c r="BF62" s="310"/>
      <c r="BG62" s="310"/>
      <c r="BH62" s="310"/>
      <c r="BI62" s="310"/>
      <c r="BJ62" s="310"/>
      <c r="BK62" s="310"/>
      <c r="BL62" s="846"/>
      <c r="BM62" s="846"/>
      <c r="BN62" s="846"/>
      <c r="BO62" s="846"/>
      <c r="BP62" s="846"/>
      <c r="BQ62" s="846"/>
      <c r="BR62" s="846"/>
      <c r="BS62" s="846"/>
      <c r="BT62" s="846"/>
      <c r="BU62" s="846"/>
      <c r="BV62" s="846"/>
      <c r="BW62" s="846"/>
      <c r="BX62" s="846"/>
      <c r="BY62" s="846"/>
      <c r="BZ62" s="846"/>
      <c r="CA62" s="846"/>
      <c r="CB62" s="846"/>
      <c r="CC62" s="310"/>
      <c r="CD62" s="310"/>
      <c r="CE62" s="310"/>
      <c r="CF62" s="310"/>
      <c r="CG62" s="310"/>
      <c r="CH62" s="286"/>
      <c r="CI62" s="312"/>
      <c r="CJ62" s="312"/>
    </row>
    <row r="63" spans="1:88" s="250" customFormat="1" ht="3" customHeight="1">
      <c r="A63" s="312"/>
      <c r="B63" s="312"/>
      <c r="C63" s="224"/>
      <c r="D63" s="224"/>
      <c r="E63" s="1059" t="s">
        <v>1542</v>
      </c>
      <c r="F63" s="1060"/>
      <c r="G63" s="1062" t="str">
        <f>Index!C245</f>
        <v>Ostatné výnosové úroky (662A)</v>
      </c>
      <c r="H63" s="1063"/>
      <c r="I63" s="1063"/>
      <c r="J63" s="1063"/>
      <c r="K63" s="1063"/>
      <c r="L63" s="1063"/>
      <c r="M63" s="1063"/>
      <c r="N63" s="1063"/>
      <c r="O63" s="1063"/>
      <c r="P63" s="1063"/>
      <c r="Q63" s="1063"/>
      <c r="R63" s="1063"/>
      <c r="S63" s="1063"/>
      <c r="T63" s="1063"/>
      <c r="U63" s="1063"/>
      <c r="V63" s="1063"/>
      <c r="W63" s="1063"/>
      <c r="X63" s="1063"/>
      <c r="Y63" s="1063"/>
      <c r="Z63" s="1063"/>
      <c r="AA63" s="1063"/>
      <c r="AB63" s="1063"/>
      <c r="AC63" s="1063"/>
      <c r="AD63" s="1063"/>
      <c r="AE63" s="1063"/>
      <c r="AF63" s="1063"/>
      <c r="AG63" s="1063"/>
      <c r="AH63" s="1063"/>
      <c r="AI63" s="1063"/>
      <c r="AJ63" s="1064"/>
      <c r="AK63" s="1056" t="s">
        <v>1590</v>
      </c>
      <c r="AL63" s="1014"/>
      <c r="AM63" s="1014"/>
      <c r="AN63" s="357"/>
      <c r="AO63" s="366"/>
      <c r="AP63" s="366"/>
      <c r="AQ63" s="366"/>
      <c r="AR63" s="366"/>
      <c r="AS63" s="366"/>
      <c r="AT63" s="366"/>
      <c r="AU63" s="366"/>
      <c r="AV63" s="366"/>
      <c r="AW63" s="366"/>
      <c r="AX63" s="366"/>
      <c r="AY63" s="366"/>
      <c r="AZ63" s="366"/>
      <c r="BA63" s="366"/>
      <c r="BB63" s="366"/>
      <c r="BC63" s="366"/>
      <c r="BD63" s="366"/>
      <c r="BE63" s="304"/>
      <c r="BF63" s="304"/>
      <c r="BG63" s="304"/>
      <c r="BH63" s="304"/>
      <c r="BI63" s="304"/>
      <c r="BJ63" s="304"/>
      <c r="BK63" s="304"/>
      <c r="BL63" s="867"/>
      <c r="BM63" s="867"/>
      <c r="BN63" s="867"/>
      <c r="BO63" s="867"/>
      <c r="BP63" s="867"/>
      <c r="BQ63" s="867"/>
      <c r="BR63" s="867"/>
      <c r="BS63" s="867"/>
      <c r="BT63" s="867"/>
      <c r="BU63" s="867"/>
      <c r="BV63" s="867"/>
      <c r="BW63" s="867"/>
      <c r="BX63" s="867"/>
      <c r="BY63" s="867"/>
      <c r="BZ63" s="867"/>
      <c r="CA63" s="867"/>
      <c r="CB63" s="867"/>
      <c r="CC63" s="304"/>
      <c r="CD63" s="304"/>
      <c r="CE63" s="304"/>
      <c r="CF63" s="304"/>
      <c r="CG63" s="304"/>
      <c r="CH63" s="284"/>
      <c r="CI63" s="288"/>
      <c r="CJ63" s="288"/>
    </row>
    <row r="64" spans="1:88" s="250" customFormat="1" ht="3" customHeight="1">
      <c r="A64" s="312"/>
      <c r="B64" s="312"/>
      <c r="C64" s="312"/>
      <c r="D64" s="312"/>
      <c r="E64" s="1059"/>
      <c r="F64" s="1060"/>
      <c r="G64" s="1062"/>
      <c r="H64" s="1063"/>
      <c r="I64" s="1063"/>
      <c r="J64" s="1063"/>
      <c r="K64" s="1063"/>
      <c r="L64" s="1063"/>
      <c r="M64" s="1063"/>
      <c r="N64" s="1063"/>
      <c r="O64" s="1063"/>
      <c r="P64" s="1063"/>
      <c r="Q64" s="1063"/>
      <c r="R64" s="1063"/>
      <c r="S64" s="1063"/>
      <c r="T64" s="1063"/>
      <c r="U64" s="1063"/>
      <c r="V64" s="1063"/>
      <c r="W64" s="1063"/>
      <c r="X64" s="1063"/>
      <c r="Y64" s="1063"/>
      <c r="Z64" s="1063"/>
      <c r="AA64" s="1063"/>
      <c r="AB64" s="1063"/>
      <c r="AC64" s="1063"/>
      <c r="AD64" s="1063"/>
      <c r="AE64" s="1063"/>
      <c r="AF64" s="1063"/>
      <c r="AG64" s="1063"/>
      <c r="AH64" s="1063"/>
      <c r="AI64" s="1063"/>
      <c r="AJ64" s="1064"/>
      <c r="AK64" s="1014"/>
      <c r="AL64" s="1014"/>
      <c r="AM64" s="1014"/>
      <c r="AN64" s="355"/>
      <c r="AO64" s="436"/>
      <c r="AP64" s="436"/>
      <c r="AQ64" s="436"/>
      <c r="AR64" s="435"/>
      <c r="AS64" s="433"/>
      <c r="AT64" s="433"/>
      <c r="AU64" s="433"/>
      <c r="AV64" s="433"/>
      <c r="AW64" s="433"/>
      <c r="AX64" s="434"/>
      <c r="AY64" s="1007"/>
      <c r="AZ64" s="1007"/>
      <c r="BA64" s="1007"/>
      <c r="BB64" s="1007"/>
      <c r="BC64" s="1007"/>
      <c r="BD64" s="1007"/>
      <c r="BE64" s="434"/>
      <c r="BF64" s="968"/>
      <c r="BG64" s="968"/>
      <c r="BH64" s="968"/>
      <c r="BI64" s="968"/>
      <c r="BJ64" s="968"/>
      <c r="BK64" s="851"/>
      <c r="BL64" s="826"/>
      <c r="BM64" s="820"/>
      <c r="BN64" s="820"/>
      <c r="BO64" s="820"/>
      <c r="BP64" s="435"/>
      <c r="BQ64" s="1007"/>
      <c r="BR64" s="1007"/>
      <c r="BS64" s="1007"/>
      <c r="BT64" s="1007"/>
      <c r="BU64" s="1007"/>
      <c r="BV64" s="1008"/>
      <c r="BW64" s="968"/>
      <c r="BX64" s="968"/>
      <c r="BY64" s="968"/>
      <c r="BZ64" s="968"/>
      <c r="CA64" s="968"/>
      <c r="CB64" s="1009"/>
      <c r="CC64" s="968"/>
      <c r="CD64" s="968"/>
      <c r="CE64" s="968"/>
      <c r="CF64" s="968"/>
      <c r="CG64" s="968"/>
      <c r="CH64" s="285"/>
      <c r="CI64" s="288"/>
      <c r="CJ64" s="288"/>
    </row>
    <row r="65" spans="1:88" s="313" customFormat="1" ht="15" customHeight="1">
      <c r="A65" s="312"/>
      <c r="B65" s="312"/>
      <c r="C65" s="312"/>
      <c r="E65" s="1059"/>
      <c r="F65" s="1060"/>
      <c r="G65" s="1062"/>
      <c r="H65" s="1063"/>
      <c r="I65" s="1063"/>
      <c r="J65" s="1063"/>
      <c r="K65" s="1063"/>
      <c r="L65" s="1063"/>
      <c r="M65" s="1063"/>
      <c r="N65" s="1063"/>
      <c r="O65" s="1063"/>
      <c r="P65" s="1063"/>
      <c r="Q65" s="1063"/>
      <c r="R65" s="1063"/>
      <c r="S65" s="1063"/>
      <c r="T65" s="1063"/>
      <c r="U65" s="1063"/>
      <c r="V65" s="1063"/>
      <c r="W65" s="1063"/>
      <c r="X65" s="1063"/>
      <c r="Y65" s="1063"/>
      <c r="Z65" s="1063"/>
      <c r="AA65" s="1063"/>
      <c r="AB65" s="1063"/>
      <c r="AC65" s="1063"/>
      <c r="AD65" s="1063"/>
      <c r="AE65" s="1063"/>
      <c r="AF65" s="1063"/>
      <c r="AG65" s="1063"/>
      <c r="AH65" s="1063"/>
      <c r="AI65" s="1063"/>
      <c r="AJ65" s="1064"/>
      <c r="AK65" s="1014"/>
      <c r="AL65" s="1014"/>
      <c r="AM65" s="1014"/>
      <c r="AN65" s="355"/>
      <c r="AO65" s="432" t="str">
        <f>IF(LEN(VLOOKUP(AK63,vysledovka!$D$8:$F$68,2,FALSE))&lt;11,"",LEFT(RIGHT(VLOOKUP(AK63,vysledovka!$D$8:$F$68,2,FALSE),11),1))</f>
        <v/>
      </c>
      <c r="AP65" s="255"/>
      <c r="AQ65" s="432" t="str">
        <f>IF(LEN(VLOOKUP(AK63,vysledovka!$D$8:$F$68,2,FALSE))&lt;10,"",LEFT(RIGHT(VLOOKUP(AK63,vysledovka!$D$8:$F$68,2,FALSE),10),1))</f>
        <v/>
      </c>
      <c r="AR65" s="434"/>
      <c r="AS65" s="432" t="str">
        <f>IF(LEN(VLOOKUP(AK63,vysledovka!$D$8:$F$68,2,FALSE))&lt;9,"",LEFT(RIGHT(VLOOKUP(AK63,vysledovka!$D$8:$F$68,2,FALSE),9),1))</f>
        <v/>
      </c>
      <c r="AT65" s="255"/>
      <c r="AU65" s="432" t="str">
        <f>IF(LEN(VLOOKUP(AK63,vysledovka!$D$8:$F$68,2,FALSE))&lt;8,"",LEFT(RIGHT(VLOOKUP(AK63,vysledovka!$D$8:$F$68,2,FALSE),8),1))</f>
        <v/>
      </c>
      <c r="AV65" s="434"/>
      <c r="AW65" s="432" t="str">
        <f>IF(LEN(VLOOKUP(AK63,vysledovka!$D$8:$F$68,2,FALSE))&lt;7,"",LEFT(RIGHT(VLOOKUP(AK63,vysledovka!$D$8:$F$68,2,FALSE),7),1))</f>
        <v/>
      </c>
      <c r="AX65" s="434"/>
      <c r="AY65" s="432" t="str">
        <f>IF(LEN(VLOOKUP(AK63,vysledovka!$D$8:$F$68,2,FALSE))&lt;6,"",LEFT(RIGHT(VLOOKUP(AK63,vysledovka!$D$8:$F$68,2,FALSE),6),1))</f>
        <v/>
      </c>
      <c r="AZ65" s="255"/>
      <c r="BA65" s="961" t="str">
        <f>IF(LEN(VLOOKUP(AK63,vysledovka!$D$8:$F$68,2,FALSE))&lt;5,"",LEFT(RIGHT(VLOOKUP(AK63,vysledovka!$D$8:$F$68,2,FALSE),5),1))</f>
        <v>8</v>
      </c>
      <c r="BB65" s="961"/>
      <c r="BC65" s="434"/>
      <c r="BD65" s="432" t="str">
        <f>IF(LEN(VLOOKUP(AK63,vysledovka!$D$8:$F$68,2,FALSE))&lt;4,"",LEFT(RIGHT(VLOOKUP(AK63,vysledovka!$D$8:$F$68,2,FALSE),4),1))</f>
        <v>9</v>
      </c>
      <c r="BE65" s="434"/>
      <c r="BF65" s="432" t="str">
        <f>IF(LEN(VLOOKUP(AK63,vysledovka!$D$8:$F$68,2,FALSE))&lt;3,"",LEFT(RIGHT(VLOOKUP(AK63,vysledovka!$D$8:$F$68,2,FALSE),3),1))</f>
        <v>1</v>
      </c>
      <c r="BG65" s="434"/>
      <c r="BH65" s="432" t="str">
        <f>IF(LEN(VLOOKUP(AK63,vysledovka!$D$8:$F$68,2,FALSE))&lt;2,"",LEFT(RIGHT(VLOOKUP(AK63,vysledovka!$D$8:$F$68,2,FALSE),2),1))</f>
        <v>5</v>
      </c>
      <c r="BI65" s="434"/>
      <c r="BJ65" s="432" t="str">
        <f>IF(VLOOKUP(AK63,vysledovka!$D$8:$F$68,2,FALSE)=0,"",IF(LEN(VLOOKUP(AK63,vysledovka!$D$8:$F$68,2,FALSE))&lt;1,"",LEFT(RIGHT(VLOOKUP(AK63,vysledovka!$D$8:$F$68,2,FALSE),1),1)))</f>
        <v>7</v>
      </c>
      <c r="BK65" s="851"/>
      <c r="BL65" s="826"/>
      <c r="BM65" s="432" t="str">
        <f>IF(LEN(VLOOKUP(AK63,vysledovka!$D$8:$F$68,3,FALSE))&lt;11,"",LEFT(RIGHT(VLOOKUP(AK63,vysledovka!$D$8:$F$68,3,FALSE),11),1))</f>
        <v/>
      </c>
      <c r="BN65" s="255"/>
      <c r="BO65" s="432" t="str">
        <f>IF(LEN(VLOOKUP(AK63,vysledovka!$D$8:$F$68,3,FALSE))&lt;10,"",LEFT(RIGHT(VLOOKUP(AK63,vysledovka!$D$8:$F$68,3,FALSE),10),1))</f>
        <v/>
      </c>
      <c r="BP65" s="434"/>
      <c r="BQ65" s="432" t="str">
        <f>IF(LEN(VLOOKUP(AK63,vysledovka!$D$8:$F$68,3,FALSE))&lt;9,"",LEFT(RIGHT(VLOOKUP(AK63,vysledovka!$D$8:$F$68,3,FALSE),9),1))</f>
        <v/>
      </c>
      <c r="BR65" s="255"/>
      <c r="BS65" s="432" t="str">
        <f>IF(LEN(VLOOKUP(AK63,vysledovka!$D$8:$F$68,3,FALSE))&lt;8,"",LEFT(RIGHT(VLOOKUP(AK63,vysledovka!$D$8:$F$68,3,FALSE),8),1))</f>
        <v/>
      </c>
      <c r="BT65" s="434"/>
      <c r="BU65" s="432" t="str">
        <f>IF(LEN(VLOOKUP(AK63,vysledovka!$D$8:$F$68,3,FALSE))&lt;7,"",LEFT(RIGHT(VLOOKUP(AK63,vysledovka!$D$8:$F$68,3,FALSE),7),1))</f>
        <v/>
      </c>
      <c r="BV65" s="1008"/>
      <c r="BW65" s="432" t="str">
        <f>IF(LEN(VLOOKUP(AK63,vysledovka!$D$8:$F$68,3,FALSE))&lt;6,"",LEFT(RIGHT(VLOOKUP(AK63,vysledovka!$D$8:$F$68,3,FALSE),6),1))</f>
        <v>2</v>
      </c>
      <c r="BX65" s="434"/>
      <c r="BY65" s="432" t="str">
        <f>IF(LEN(VLOOKUP(AK63,vysledovka!$D$8:$F$68,3,FALSE))&lt;5,"",LEFT(RIGHT(VLOOKUP(AK63,vysledovka!$D$8:$F$68,3,FALSE),5),1))</f>
        <v>0</v>
      </c>
      <c r="BZ65" s="434"/>
      <c r="CA65" s="432" t="str">
        <f>IF(LEN(VLOOKUP(AK63,vysledovka!$D$8:$F$68,3,FALSE))&lt;4,"",LEFT(RIGHT(VLOOKUP(AK63,vysledovka!$D$8:$F$68,3,FALSE),4),1))</f>
        <v>5</v>
      </c>
      <c r="CB65" s="1009"/>
      <c r="CC65" s="432" t="str">
        <f>IF(LEN(VLOOKUP(AK63,vysledovka!$D$8:$F$68,3,FALSE))&lt;3,"",LEFT(RIGHT(VLOOKUP(AK63,vysledovka!$D$8:$F$68,3,FALSE),3),1))</f>
        <v>2</v>
      </c>
      <c r="CD65" s="434"/>
      <c r="CE65" s="432" t="str">
        <f>IF(LEN(VLOOKUP(AK63,vysledovka!$D$8:$F$68,3,FALSE))&lt;2,"",LEFT(RIGHT(VLOOKUP(AK63,vysledovka!$D$8:$F$68,3,FALSE),2),1))</f>
        <v>0</v>
      </c>
      <c r="CF65" s="434"/>
      <c r="CG65" s="432" t="str">
        <f>IF(VLOOKUP(AK63,vysledovka!$D$8:$F$68,3,FALSE)=0,"",IF(LEN(VLOOKUP(AK63,vysledovka!$D$8:$F$68,3,FALSE))&lt;1,"",LEFT(RIGHT(VLOOKUP(AK63,vysledovka!$D$8:$F$68,3,FALSE),1),1)))</f>
        <v>2</v>
      </c>
      <c r="CH65" s="285"/>
      <c r="CI65" s="312"/>
      <c r="CJ65" s="312"/>
    </row>
    <row r="66" spans="1:88" s="313" customFormat="1" ht="3" customHeight="1">
      <c r="A66" s="312"/>
      <c r="B66" s="312"/>
      <c r="C66" s="312"/>
      <c r="E66" s="1059"/>
      <c r="F66" s="1060"/>
      <c r="G66" s="1062"/>
      <c r="H66" s="1063"/>
      <c r="I66" s="1063"/>
      <c r="J66" s="1063"/>
      <c r="K66" s="1063"/>
      <c r="L66" s="1063"/>
      <c r="M66" s="1063"/>
      <c r="N66" s="1063"/>
      <c r="O66" s="1063"/>
      <c r="P66" s="1063"/>
      <c r="Q66" s="1063"/>
      <c r="R66" s="1063"/>
      <c r="S66" s="1063"/>
      <c r="T66" s="1063"/>
      <c r="U66" s="1063"/>
      <c r="V66" s="1063"/>
      <c r="W66" s="1063"/>
      <c r="X66" s="1063"/>
      <c r="Y66" s="1063"/>
      <c r="Z66" s="1063"/>
      <c r="AA66" s="1063"/>
      <c r="AB66" s="1063"/>
      <c r="AC66" s="1063"/>
      <c r="AD66" s="1063"/>
      <c r="AE66" s="1063"/>
      <c r="AF66" s="1063"/>
      <c r="AG66" s="1063"/>
      <c r="AH66" s="1063"/>
      <c r="AI66" s="1063"/>
      <c r="AJ66" s="1064"/>
      <c r="AK66" s="1014"/>
      <c r="AL66" s="1014"/>
      <c r="AM66" s="1014"/>
      <c r="AN66" s="358"/>
      <c r="AO66" s="365"/>
      <c r="AP66" s="365"/>
      <c r="AQ66" s="365"/>
      <c r="AR66" s="365"/>
      <c r="AS66" s="365"/>
      <c r="AT66" s="365"/>
      <c r="AU66" s="365"/>
      <c r="AV66" s="365"/>
      <c r="AW66" s="365"/>
      <c r="AX66" s="365"/>
      <c r="AY66" s="365"/>
      <c r="AZ66" s="365"/>
      <c r="BA66" s="365"/>
      <c r="BB66" s="365"/>
      <c r="BC66" s="365"/>
      <c r="BD66" s="365"/>
      <c r="BE66" s="310"/>
      <c r="BF66" s="310"/>
      <c r="BG66" s="310"/>
      <c r="BH66" s="310"/>
      <c r="BI66" s="310"/>
      <c r="BJ66" s="310"/>
      <c r="BK66" s="310"/>
      <c r="BL66" s="846"/>
      <c r="BM66" s="846"/>
      <c r="BN66" s="846"/>
      <c r="BO66" s="846"/>
      <c r="BP66" s="846"/>
      <c r="BQ66" s="846"/>
      <c r="BR66" s="846"/>
      <c r="BS66" s="846"/>
      <c r="BT66" s="846"/>
      <c r="BU66" s="846"/>
      <c r="BV66" s="846"/>
      <c r="BW66" s="846"/>
      <c r="BX66" s="846"/>
      <c r="BY66" s="846"/>
      <c r="BZ66" s="846"/>
      <c r="CA66" s="846"/>
      <c r="CB66" s="846"/>
      <c r="CC66" s="310"/>
      <c r="CD66" s="310"/>
      <c r="CE66" s="310"/>
      <c r="CF66" s="310"/>
      <c r="CG66" s="310"/>
      <c r="CH66" s="286"/>
      <c r="CI66" s="312"/>
      <c r="CJ66" s="312"/>
    </row>
    <row r="67" spans="1:88" s="250" customFormat="1" ht="3" customHeight="1">
      <c r="A67" s="220"/>
      <c r="B67" s="220"/>
      <c r="C67" s="224"/>
      <c r="D67" s="224"/>
      <c r="E67" s="1055" t="s">
        <v>700</v>
      </c>
      <c r="F67" s="1055"/>
      <c r="G67" s="1062" t="str">
        <f>Index!C246</f>
        <v>Kurzové zisky (663)</v>
      </c>
      <c r="H67" s="1063"/>
      <c r="I67" s="1063"/>
      <c r="J67" s="1063"/>
      <c r="K67" s="1063"/>
      <c r="L67" s="1063"/>
      <c r="M67" s="1063"/>
      <c r="N67" s="1063"/>
      <c r="O67" s="1063"/>
      <c r="P67" s="1063"/>
      <c r="Q67" s="1063"/>
      <c r="R67" s="1063"/>
      <c r="S67" s="1063"/>
      <c r="T67" s="1063"/>
      <c r="U67" s="1063"/>
      <c r="V67" s="1063"/>
      <c r="W67" s="1063"/>
      <c r="X67" s="1063"/>
      <c r="Y67" s="1063"/>
      <c r="Z67" s="1063"/>
      <c r="AA67" s="1063"/>
      <c r="AB67" s="1063"/>
      <c r="AC67" s="1063"/>
      <c r="AD67" s="1063"/>
      <c r="AE67" s="1063"/>
      <c r="AF67" s="1063"/>
      <c r="AG67" s="1063"/>
      <c r="AH67" s="1063"/>
      <c r="AI67" s="1063"/>
      <c r="AJ67" s="1064"/>
      <c r="AK67" s="1056" t="s">
        <v>1593</v>
      </c>
      <c r="AL67" s="1014"/>
      <c r="AM67" s="1014"/>
      <c r="AN67" s="357"/>
      <c r="AO67" s="366"/>
      <c r="AP67" s="366"/>
      <c r="AQ67" s="366"/>
      <c r="AR67" s="366"/>
      <c r="AS67" s="366"/>
      <c r="AT67" s="366"/>
      <c r="AU67" s="366"/>
      <c r="AV67" s="366"/>
      <c r="AW67" s="366"/>
      <c r="AX67" s="366"/>
      <c r="AY67" s="366"/>
      <c r="AZ67" s="366"/>
      <c r="BA67" s="366"/>
      <c r="BB67" s="366"/>
      <c r="BC67" s="366"/>
      <c r="BD67" s="366"/>
      <c r="BE67" s="304"/>
      <c r="BF67" s="304"/>
      <c r="BG67" s="304"/>
      <c r="BH67" s="304"/>
      <c r="BI67" s="304"/>
      <c r="BJ67" s="304"/>
      <c r="BK67" s="304"/>
      <c r="BL67" s="867"/>
      <c r="BM67" s="867"/>
      <c r="BN67" s="867"/>
      <c r="BO67" s="867"/>
      <c r="BP67" s="867"/>
      <c r="BQ67" s="867"/>
      <c r="BR67" s="867"/>
      <c r="BS67" s="867"/>
      <c r="BT67" s="867"/>
      <c r="BU67" s="867"/>
      <c r="BV67" s="867"/>
      <c r="BW67" s="867"/>
      <c r="BX67" s="867"/>
      <c r="BY67" s="867"/>
      <c r="BZ67" s="867"/>
      <c r="CA67" s="867"/>
      <c r="CB67" s="867"/>
      <c r="CC67" s="304"/>
      <c r="CD67" s="304"/>
      <c r="CE67" s="304"/>
      <c r="CF67" s="304"/>
      <c r="CG67" s="304"/>
      <c r="CH67" s="284"/>
      <c r="CI67" s="288"/>
      <c r="CJ67" s="288"/>
    </row>
    <row r="68" spans="1:88" s="250" customFormat="1" ht="3" customHeight="1">
      <c r="A68" s="220"/>
      <c r="B68" s="220"/>
      <c r="C68" s="220"/>
      <c r="D68" s="220"/>
      <c r="E68" s="1055"/>
      <c r="F68" s="1055"/>
      <c r="G68" s="1062"/>
      <c r="H68" s="1063"/>
      <c r="I68" s="1063"/>
      <c r="J68" s="1063"/>
      <c r="K68" s="1063"/>
      <c r="L68" s="1063"/>
      <c r="M68" s="1063"/>
      <c r="N68" s="1063"/>
      <c r="O68" s="1063"/>
      <c r="P68" s="1063"/>
      <c r="Q68" s="1063"/>
      <c r="R68" s="1063"/>
      <c r="S68" s="1063"/>
      <c r="T68" s="1063"/>
      <c r="U68" s="1063"/>
      <c r="V68" s="1063"/>
      <c r="W68" s="1063"/>
      <c r="X68" s="1063"/>
      <c r="Y68" s="1063"/>
      <c r="Z68" s="1063"/>
      <c r="AA68" s="1063"/>
      <c r="AB68" s="1063"/>
      <c r="AC68" s="1063"/>
      <c r="AD68" s="1063"/>
      <c r="AE68" s="1063"/>
      <c r="AF68" s="1063"/>
      <c r="AG68" s="1063"/>
      <c r="AH68" s="1063"/>
      <c r="AI68" s="1063"/>
      <c r="AJ68" s="1064"/>
      <c r="AK68" s="1014"/>
      <c r="AL68" s="1014"/>
      <c r="AM68" s="1014"/>
      <c r="AN68" s="355"/>
      <c r="AO68" s="436"/>
      <c r="AP68" s="436"/>
      <c r="AQ68" s="436"/>
      <c r="AR68" s="435"/>
      <c r="AS68" s="439"/>
      <c r="AT68" s="439"/>
      <c r="AU68" s="439"/>
      <c r="AV68" s="439"/>
      <c r="AW68" s="439"/>
      <c r="AX68" s="440"/>
      <c r="AY68" s="821"/>
      <c r="AZ68" s="821"/>
      <c r="BA68" s="821"/>
      <c r="BB68" s="821"/>
      <c r="BC68" s="821"/>
      <c r="BD68" s="821"/>
      <c r="BE68" s="434"/>
      <c r="BF68" s="968"/>
      <c r="BG68" s="968"/>
      <c r="BH68" s="968"/>
      <c r="BI68" s="968"/>
      <c r="BJ68" s="968"/>
      <c r="BK68" s="851"/>
      <c r="BL68" s="826"/>
      <c r="BM68" s="820"/>
      <c r="BN68" s="820"/>
      <c r="BO68" s="820"/>
      <c r="BP68" s="435"/>
      <c r="BQ68" s="821"/>
      <c r="BR68" s="821"/>
      <c r="BS68" s="821"/>
      <c r="BT68" s="821"/>
      <c r="BU68" s="821"/>
      <c r="BV68" s="818"/>
      <c r="BW68" s="822"/>
      <c r="BX68" s="822"/>
      <c r="BY68" s="822"/>
      <c r="BZ68" s="822"/>
      <c r="CA68" s="822"/>
      <c r="CB68" s="819"/>
      <c r="CC68" s="822"/>
      <c r="CD68" s="822"/>
      <c r="CE68" s="822"/>
      <c r="CF68" s="822"/>
      <c r="CG68" s="822"/>
      <c r="CH68" s="285"/>
      <c r="CI68" s="288"/>
      <c r="CJ68" s="288"/>
    </row>
    <row r="69" spans="1:88" ht="15" customHeight="1">
      <c r="E69" s="1055"/>
      <c r="F69" s="1055"/>
      <c r="G69" s="1062"/>
      <c r="H69" s="1063"/>
      <c r="I69" s="1063"/>
      <c r="J69" s="1063"/>
      <c r="K69" s="1063"/>
      <c r="L69" s="1063"/>
      <c r="M69" s="1063"/>
      <c r="N69" s="1063"/>
      <c r="O69" s="1063"/>
      <c r="P69" s="1063"/>
      <c r="Q69" s="1063"/>
      <c r="R69" s="1063"/>
      <c r="S69" s="1063"/>
      <c r="T69" s="1063"/>
      <c r="U69" s="1063"/>
      <c r="V69" s="1063"/>
      <c r="W69" s="1063"/>
      <c r="X69" s="1063"/>
      <c r="Y69" s="1063"/>
      <c r="Z69" s="1063"/>
      <c r="AA69" s="1063"/>
      <c r="AB69" s="1063"/>
      <c r="AC69" s="1063"/>
      <c r="AD69" s="1063"/>
      <c r="AE69" s="1063"/>
      <c r="AF69" s="1063"/>
      <c r="AG69" s="1063"/>
      <c r="AH69" s="1063"/>
      <c r="AI69" s="1063"/>
      <c r="AJ69" s="1064"/>
      <c r="AK69" s="1014"/>
      <c r="AL69" s="1014"/>
      <c r="AM69" s="1014"/>
      <c r="AN69" s="355"/>
      <c r="AO69" s="432" t="str">
        <f>IF(LEN(VLOOKUP(AK67,vysledovka!$D$8:$F$68,2,FALSE))&lt;11,"",LEFT(RIGHT(VLOOKUP(AK67,vysledovka!$D$8:$F$68,2,FALSE),11),1))</f>
        <v/>
      </c>
      <c r="AP69" s="255"/>
      <c r="AQ69" s="432" t="str">
        <f>IF(LEN(VLOOKUP(AK67,vysledovka!$D$8:$F$68,2,FALSE))&lt;10,"",LEFT(RIGHT(VLOOKUP(AK67,vysledovka!$D$8:$F$68,2,FALSE),10),1))</f>
        <v/>
      </c>
      <c r="AR69" s="434"/>
      <c r="AS69" s="432" t="str">
        <f>IF(LEN(VLOOKUP(AK67,vysledovka!$D$8:$F$68,2,FALSE))&lt;9,"",LEFT(RIGHT(VLOOKUP(AK67,vysledovka!$D$8:$F$68,2,FALSE),9),1))</f>
        <v/>
      </c>
      <c r="AT69" s="255"/>
      <c r="AU69" s="432" t="str">
        <f>IF(LEN(VLOOKUP(AK67,vysledovka!$D$8:$F$68,2,FALSE))&lt;8,"",LEFT(RIGHT(VLOOKUP(AK67,vysledovka!$D$8:$F$68,2,FALSE),8),1))</f>
        <v/>
      </c>
      <c r="AV69" s="434"/>
      <c r="AW69" s="432" t="str">
        <f>IF(LEN(VLOOKUP(AK67,vysledovka!$D$8:$F$68,2,FALSE))&lt;7,"",LEFT(RIGHT(VLOOKUP(AK67,vysledovka!$D$8:$F$68,2,FALSE),7),1))</f>
        <v/>
      </c>
      <c r="AX69" s="440"/>
      <c r="AY69" s="432" t="str">
        <f>IF(LEN(VLOOKUP(AK67,vysledovka!$D$8:$F$68,2,FALSE))&lt;6,"",LEFT(RIGHT(VLOOKUP(AK67,vysledovka!$D$8:$F$68,2,FALSE),6),1))</f>
        <v>1</v>
      </c>
      <c r="AZ69" s="255"/>
      <c r="BA69" s="961" t="str">
        <f>IF(LEN(VLOOKUP(AK67,vysledovka!$D$8:$F$68,2,FALSE))&lt;5,"",LEFT(RIGHT(VLOOKUP(AK67,vysledovka!$D$8:$F$68,2,FALSE),5),1))</f>
        <v>8</v>
      </c>
      <c r="BB69" s="961"/>
      <c r="BC69" s="434"/>
      <c r="BD69" s="432" t="str">
        <f>IF(LEN(VLOOKUP(AK67,vysledovka!$D$8:$F$68,2,FALSE))&lt;4,"",LEFT(RIGHT(VLOOKUP(AK67,vysledovka!$D$8:$F$68,2,FALSE),4),1))</f>
        <v>5</v>
      </c>
      <c r="BE69" s="434"/>
      <c r="BF69" s="432" t="str">
        <f>IF(LEN(VLOOKUP(AK67,vysledovka!$D$8:$F$68,2,FALSE))&lt;3,"",LEFT(RIGHT(VLOOKUP(AK67,vysledovka!$D$8:$F$68,2,FALSE),3),1))</f>
        <v>3</v>
      </c>
      <c r="BG69" s="434"/>
      <c r="BH69" s="432" t="str">
        <f>IF(LEN(VLOOKUP(AK67,vysledovka!$D$8:$F$68,2,FALSE))&lt;2,"",LEFT(RIGHT(VLOOKUP(AK67,vysledovka!$D$8:$F$68,2,FALSE),2),1))</f>
        <v>3</v>
      </c>
      <c r="BI69" s="434"/>
      <c r="BJ69" s="432" t="str">
        <f>IF(VLOOKUP(AK67,vysledovka!$D$8:$F$68,2,FALSE)=0,"",IF(LEN(VLOOKUP(AK67,vysledovka!$D$8:$F$68,2,FALSE))&lt;1,"",LEFT(RIGHT(VLOOKUP(AK67,vysledovka!$D$8:$F$68,2,FALSE),1),1)))</f>
        <v>0</v>
      </c>
      <c r="BK69" s="851"/>
      <c r="BL69" s="826"/>
      <c r="BM69" s="432" t="str">
        <f>IF(LEN(VLOOKUP(AK67,vysledovka!$D$8:$F$68,3,FALSE))&lt;11,"",LEFT(RIGHT(VLOOKUP(AK67,vysledovka!$D$8:$F$68,3,FALSE),11),1))</f>
        <v/>
      </c>
      <c r="BN69" s="255"/>
      <c r="BO69" s="432" t="str">
        <f>IF(LEN(VLOOKUP(AK67,vysledovka!$D$8:$F$68,3,FALSE))&lt;10,"",LEFT(RIGHT(VLOOKUP(AK67,vysledovka!$D$8:$F$68,3,FALSE),10),1))</f>
        <v/>
      </c>
      <c r="BP69" s="434"/>
      <c r="BQ69" s="432" t="str">
        <f>IF(LEN(VLOOKUP(AK67,vysledovka!$D$8:$F$68,3,FALSE))&lt;9,"",LEFT(RIGHT(VLOOKUP(AK67,vysledovka!$D$8:$F$68,3,FALSE),9),1))</f>
        <v/>
      </c>
      <c r="BR69" s="255"/>
      <c r="BS69" s="432" t="str">
        <f>IF(LEN(VLOOKUP(AK67,vysledovka!$D$8:$F$68,3,FALSE))&lt;8,"",LEFT(RIGHT(VLOOKUP(AK67,vysledovka!$D$8:$F$68,3,FALSE),8),1))</f>
        <v/>
      </c>
      <c r="BT69" s="434"/>
      <c r="BU69" s="432" t="str">
        <f>IF(LEN(VLOOKUP(AK67,vysledovka!$D$8:$F$68,3,FALSE))&lt;7,"",LEFT(RIGHT(VLOOKUP(AK67,vysledovka!$D$8:$F$68,3,FALSE),7),1))</f>
        <v/>
      </c>
      <c r="BV69" s="818"/>
      <c r="BW69" s="432" t="str">
        <f>IF(LEN(VLOOKUP(AK67,vysledovka!$D$8:$F$68,3,FALSE))&lt;6,"",LEFT(RIGHT(VLOOKUP(AK67,vysledovka!$D$8:$F$68,3,FALSE),6),1))</f>
        <v>5</v>
      </c>
      <c r="BX69" s="434"/>
      <c r="BY69" s="432" t="str">
        <f>IF(LEN(VLOOKUP(AK67,vysledovka!$D$8:$F$68,3,FALSE))&lt;5,"",LEFT(RIGHT(VLOOKUP(AK67,vysledovka!$D$8:$F$68,3,FALSE),5),1))</f>
        <v>9</v>
      </c>
      <c r="BZ69" s="434"/>
      <c r="CA69" s="432" t="str">
        <f>IF(LEN(VLOOKUP(AK67,vysledovka!$D$8:$F$68,3,FALSE))&lt;4,"",LEFT(RIGHT(VLOOKUP(AK67,vysledovka!$D$8:$F$68,3,FALSE),4),1))</f>
        <v>9</v>
      </c>
      <c r="CB69" s="819"/>
      <c r="CC69" s="432" t="str">
        <f>IF(LEN(VLOOKUP(AK67,vysledovka!$D$8:$F$68,3,FALSE))&lt;3,"",LEFT(RIGHT(VLOOKUP(AK67,vysledovka!$D$8:$F$68,3,FALSE),3),1))</f>
        <v>4</v>
      </c>
      <c r="CD69" s="434"/>
      <c r="CE69" s="432" t="str">
        <f>IF(LEN(VLOOKUP(AK67,vysledovka!$D$8:$F$68,3,FALSE))&lt;2,"",LEFT(RIGHT(VLOOKUP(AK67,vysledovka!$D$8:$F$68,3,FALSE),2),1))</f>
        <v>7</v>
      </c>
      <c r="CF69" s="434"/>
      <c r="CG69" s="432" t="str">
        <f>IF(VLOOKUP(AK67,vysledovka!$D$8:$F$68,3,FALSE)=0,"",IF(LEN(VLOOKUP(AK67,vysledovka!$D$8:$F$68,3,FALSE))&lt;1,"",LEFT(RIGHT(VLOOKUP(AK67,vysledovka!$D$8:$F$68,3,FALSE),1),1)))</f>
        <v>0</v>
      </c>
      <c r="CH69" s="285"/>
      <c r="CI69" s="220"/>
      <c r="CJ69" s="220"/>
    </row>
    <row r="70" spans="1:88" ht="3" customHeight="1">
      <c r="E70" s="1055"/>
      <c r="F70" s="1055"/>
      <c r="G70" s="1062"/>
      <c r="H70" s="1063"/>
      <c r="I70" s="1063"/>
      <c r="J70" s="1063"/>
      <c r="K70" s="1063"/>
      <c r="L70" s="1063"/>
      <c r="M70" s="1063"/>
      <c r="N70" s="1063"/>
      <c r="O70" s="1063"/>
      <c r="P70" s="1063"/>
      <c r="Q70" s="1063"/>
      <c r="R70" s="1063"/>
      <c r="S70" s="1063"/>
      <c r="T70" s="1063"/>
      <c r="U70" s="1063"/>
      <c r="V70" s="1063"/>
      <c r="W70" s="1063"/>
      <c r="X70" s="1063"/>
      <c r="Y70" s="1063"/>
      <c r="Z70" s="1063"/>
      <c r="AA70" s="1063"/>
      <c r="AB70" s="1063"/>
      <c r="AC70" s="1063"/>
      <c r="AD70" s="1063"/>
      <c r="AE70" s="1063"/>
      <c r="AF70" s="1063"/>
      <c r="AG70" s="1063"/>
      <c r="AH70" s="1063"/>
      <c r="AI70" s="1063"/>
      <c r="AJ70" s="1064"/>
      <c r="AK70" s="1014"/>
      <c r="AL70" s="1014"/>
      <c r="AM70" s="1014"/>
      <c r="AN70" s="358"/>
      <c r="AO70" s="365"/>
      <c r="AP70" s="365"/>
      <c r="AQ70" s="365"/>
      <c r="AR70" s="365"/>
      <c r="AS70" s="365"/>
      <c r="AT70" s="365"/>
      <c r="AU70" s="365"/>
      <c r="AV70" s="365"/>
      <c r="AW70" s="365"/>
      <c r="AX70" s="365"/>
      <c r="AY70" s="365"/>
      <c r="AZ70" s="365"/>
      <c r="BA70" s="365"/>
      <c r="BB70" s="365"/>
      <c r="BC70" s="365"/>
      <c r="BD70" s="365"/>
      <c r="BE70" s="310"/>
      <c r="BF70" s="310"/>
      <c r="BG70" s="310"/>
      <c r="BH70" s="310"/>
      <c r="BI70" s="310"/>
      <c r="BJ70" s="310"/>
      <c r="BK70" s="310"/>
      <c r="BL70" s="846"/>
      <c r="BM70" s="846"/>
      <c r="BN70" s="846"/>
      <c r="BO70" s="846"/>
      <c r="BP70" s="846"/>
      <c r="BQ70" s="846"/>
      <c r="BR70" s="846"/>
      <c r="BS70" s="846"/>
      <c r="BT70" s="846"/>
      <c r="BU70" s="846"/>
      <c r="BV70" s="846"/>
      <c r="BW70" s="846"/>
      <c r="BX70" s="846"/>
      <c r="BY70" s="846"/>
      <c r="BZ70" s="846"/>
      <c r="CA70" s="846"/>
      <c r="CB70" s="846"/>
      <c r="CC70" s="310"/>
      <c r="CD70" s="310"/>
      <c r="CE70" s="310"/>
      <c r="CF70" s="310"/>
      <c r="CG70" s="310"/>
      <c r="CH70" s="286"/>
      <c r="CI70" s="220"/>
      <c r="CJ70" s="220"/>
    </row>
    <row r="71" spans="1:88" s="250" customFormat="1" ht="3" customHeight="1">
      <c r="A71" s="220"/>
      <c r="B71" s="220"/>
      <c r="C71" s="224"/>
      <c r="D71" s="224"/>
      <c r="E71" s="1055" t="s">
        <v>704</v>
      </c>
      <c r="F71" s="1055"/>
      <c r="G71" s="1062" t="str">
        <f>Index!C247</f>
        <v>Výnosy z precenenia cenných papierov a výnosy z derivátových operácií (664, 667)</v>
      </c>
      <c r="H71" s="1063"/>
      <c r="I71" s="1063"/>
      <c r="J71" s="1063"/>
      <c r="K71" s="1063"/>
      <c r="L71" s="1063"/>
      <c r="M71" s="1063"/>
      <c r="N71" s="1063"/>
      <c r="O71" s="1063"/>
      <c r="P71" s="1063"/>
      <c r="Q71" s="1063"/>
      <c r="R71" s="1063"/>
      <c r="S71" s="1063"/>
      <c r="T71" s="1063"/>
      <c r="U71" s="1063"/>
      <c r="V71" s="1063"/>
      <c r="W71" s="1063"/>
      <c r="X71" s="1063"/>
      <c r="Y71" s="1063"/>
      <c r="Z71" s="1063"/>
      <c r="AA71" s="1063"/>
      <c r="AB71" s="1063"/>
      <c r="AC71" s="1063"/>
      <c r="AD71" s="1063"/>
      <c r="AE71" s="1063"/>
      <c r="AF71" s="1063"/>
      <c r="AG71" s="1063"/>
      <c r="AH71" s="1063"/>
      <c r="AI71" s="1063"/>
      <c r="AJ71" s="1064"/>
      <c r="AK71" s="1056" t="s">
        <v>1597</v>
      </c>
      <c r="AL71" s="1014"/>
      <c r="AM71" s="1014"/>
      <c r="AN71" s="357"/>
      <c r="AO71" s="366"/>
      <c r="AP71" s="366"/>
      <c r="AQ71" s="366"/>
      <c r="AR71" s="366"/>
      <c r="AS71" s="366"/>
      <c r="AT71" s="366"/>
      <c r="AU71" s="366"/>
      <c r="AV71" s="366"/>
      <c r="AW71" s="366"/>
      <c r="AX71" s="366"/>
      <c r="AY71" s="366"/>
      <c r="AZ71" s="366"/>
      <c r="BA71" s="366"/>
      <c r="BB71" s="366"/>
      <c r="BC71" s="366"/>
      <c r="BD71" s="366"/>
      <c r="BE71" s="304"/>
      <c r="BF71" s="304"/>
      <c r="BG71" s="304"/>
      <c r="BH71" s="304"/>
      <c r="BI71" s="304"/>
      <c r="BJ71" s="304"/>
      <c r="BK71" s="304"/>
      <c r="BL71" s="867"/>
      <c r="BM71" s="867"/>
      <c r="BN71" s="867"/>
      <c r="BO71" s="867"/>
      <c r="BP71" s="867"/>
      <c r="BQ71" s="867"/>
      <c r="BR71" s="867"/>
      <c r="BS71" s="867"/>
      <c r="BT71" s="867"/>
      <c r="BU71" s="867"/>
      <c r="BV71" s="867"/>
      <c r="BW71" s="867"/>
      <c r="BX71" s="867"/>
      <c r="BY71" s="867"/>
      <c r="BZ71" s="867"/>
      <c r="CA71" s="867"/>
      <c r="CB71" s="867"/>
      <c r="CC71" s="304"/>
      <c r="CD71" s="304"/>
      <c r="CE71" s="304"/>
      <c r="CF71" s="304"/>
      <c r="CG71" s="304"/>
      <c r="CH71" s="284"/>
      <c r="CI71" s="288"/>
      <c r="CJ71" s="288"/>
    </row>
    <row r="72" spans="1:88" s="250" customFormat="1" ht="3" customHeight="1">
      <c r="A72" s="220"/>
      <c r="B72" s="220"/>
      <c r="C72" s="220"/>
      <c r="D72" s="220"/>
      <c r="E72" s="1055"/>
      <c r="F72" s="1055"/>
      <c r="G72" s="1062"/>
      <c r="H72" s="1063"/>
      <c r="I72" s="1063"/>
      <c r="J72" s="1063"/>
      <c r="K72" s="1063"/>
      <c r="L72" s="1063"/>
      <c r="M72" s="1063"/>
      <c r="N72" s="1063"/>
      <c r="O72" s="1063"/>
      <c r="P72" s="1063"/>
      <c r="Q72" s="1063"/>
      <c r="R72" s="1063"/>
      <c r="S72" s="1063"/>
      <c r="T72" s="1063"/>
      <c r="U72" s="1063"/>
      <c r="V72" s="1063"/>
      <c r="W72" s="1063"/>
      <c r="X72" s="1063"/>
      <c r="Y72" s="1063"/>
      <c r="Z72" s="1063"/>
      <c r="AA72" s="1063"/>
      <c r="AB72" s="1063"/>
      <c r="AC72" s="1063"/>
      <c r="AD72" s="1063"/>
      <c r="AE72" s="1063"/>
      <c r="AF72" s="1063"/>
      <c r="AG72" s="1063"/>
      <c r="AH72" s="1063"/>
      <c r="AI72" s="1063"/>
      <c r="AJ72" s="1064"/>
      <c r="AK72" s="1014"/>
      <c r="AL72" s="1014"/>
      <c r="AM72" s="1014"/>
      <c r="AN72" s="355"/>
      <c r="AO72" s="436"/>
      <c r="AP72" s="436"/>
      <c r="AQ72" s="436"/>
      <c r="AR72" s="435"/>
      <c r="AS72" s="439"/>
      <c r="AT72" s="439"/>
      <c r="AU72" s="439"/>
      <c r="AV72" s="439"/>
      <c r="AW72" s="439"/>
      <c r="AX72" s="440"/>
      <c r="AY72" s="821"/>
      <c r="AZ72" s="821"/>
      <c r="BA72" s="821"/>
      <c r="BB72" s="821"/>
      <c r="BC72" s="821"/>
      <c r="BD72" s="821"/>
      <c r="BE72" s="434"/>
      <c r="BF72" s="968"/>
      <c r="BG72" s="968"/>
      <c r="BH72" s="968"/>
      <c r="BI72" s="968"/>
      <c r="BJ72" s="968"/>
      <c r="BK72" s="851"/>
      <c r="BL72" s="826"/>
      <c r="BM72" s="820"/>
      <c r="BN72" s="820"/>
      <c r="BO72" s="820"/>
      <c r="BP72" s="435"/>
      <c r="BQ72" s="821"/>
      <c r="BR72" s="821"/>
      <c r="BS72" s="821"/>
      <c r="BT72" s="821"/>
      <c r="BU72" s="821"/>
      <c r="BV72" s="818"/>
      <c r="BW72" s="822"/>
      <c r="BX72" s="822"/>
      <c r="BY72" s="822"/>
      <c r="BZ72" s="822"/>
      <c r="CA72" s="822"/>
      <c r="CB72" s="819"/>
      <c r="CC72" s="822"/>
      <c r="CD72" s="822"/>
      <c r="CE72" s="822"/>
      <c r="CF72" s="822"/>
      <c r="CG72" s="822"/>
      <c r="CH72" s="285"/>
      <c r="CI72" s="288"/>
      <c r="CJ72" s="288"/>
    </row>
    <row r="73" spans="1:88" ht="15" customHeight="1">
      <c r="E73" s="1055"/>
      <c r="F73" s="1055"/>
      <c r="G73" s="1062"/>
      <c r="H73" s="1063"/>
      <c r="I73" s="1063"/>
      <c r="J73" s="1063"/>
      <c r="K73" s="1063"/>
      <c r="L73" s="1063"/>
      <c r="M73" s="1063"/>
      <c r="N73" s="1063"/>
      <c r="O73" s="1063"/>
      <c r="P73" s="1063"/>
      <c r="Q73" s="1063"/>
      <c r="R73" s="1063"/>
      <c r="S73" s="1063"/>
      <c r="T73" s="1063"/>
      <c r="U73" s="1063"/>
      <c r="V73" s="1063"/>
      <c r="W73" s="1063"/>
      <c r="X73" s="1063"/>
      <c r="Y73" s="1063"/>
      <c r="Z73" s="1063"/>
      <c r="AA73" s="1063"/>
      <c r="AB73" s="1063"/>
      <c r="AC73" s="1063"/>
      <c r="AD73" s="1063"/>
      <c r="AE73" s="1063"/>
      <c r="AF73" s="1063"/>
      <c r="AG73" s="1063"/>
      <c r="AH73" s="1063"/>
      <c r="AI73" s="1063"/>
      <c r="AJ73" s="1064"/>
      <c r="AK73" s="1014"/>
      <c r="AL73" s="1014"/>
      <c r="AM73" s="1014"/>
      <c r="AN73" s="355"/>
      <c r="AO73" s="432" t="str">
        <f>IF(LEN(VLOOKUP(AK71,vysledovka!$D$8:$F$68,2,FALSE))&lt;11,"",LEFT(RIGHT(VLOOKUP(AK71,vysledovka!$D$8:$F$68,2,FALSE),11),1))</f>
        <v/>
      </c>
      <c r="AP73" s="255"/>
      <c r="AQ73" s="432" t="str">
        <f>IF(LEN(VLOOKUP(AK71,vysledovka!$D$8:$F$68,2,FALSE))&lt;10,"",LEFT(RIGHT(VLOOKUP(AK71,vysledovka!$D$8:$F$68,2,FALSE),10),1))</f>
        <v/>
      </c>
      <c r="AR73" s="434"/>
      <c r="AS73" s="432" t="str">
        <f>IF(LEN(VLOOKUP(AK71,vysledovka!$D$8:$F$68,2,FALSE))&lt;9,"",LEFT(RIGHT(VLOOKUP(AK71,vysledovka!$D$8:$F$68,2,FALSE),9),1))</f>
        <v/>
      </c>
      <c r="AT73" s="255"/>
      <c r="AU73" s="432" t="str">
        <f>IF(LEN(VLOOKUP(AK71,vysledovka!$D$8:$F$68,2,FALSE))&lt;8,"",LEFT(RIGHT(VLOOKUP(AK71,vysledovka!$D$8:$F$68,2,FALSE),8),1))</f>
        <v/>
      </c>
      <c r="AV73" s="434"/>
      <c r="AW73" s="432" t="str">
        <f>IF(LEN(VLOOKUP(AK71,vysledovka!$D$8:$F$68,2,FALSE))&lt;7,"",LEFT(RIGHT(VLOOKUP(AK71,vysledovka!$D$8:$F$68,2,FALSE),7),1))</f>
        <v/>
      </c>
      <c r="AX73" s="440"/>
      <c r="AY73" s="432" t="str">
        <f>IF(LEN(VLOOKUP(AK71,vysledovka!$D$8:$F$68,2,FALSE))&lt;6,"",LEFT(RIGHT(VLOOKUP(AK71,vysledovka!$D$8:$F$68,2,FALSE),6),1))</f>
        <v/>
      </c>
      <c r="AZ73" s="255"/>
      <c r="BA73" s="961" t="str">
        <f>IF(LEN(VLOOKUP(AK71,vysledovka!$D$8:$F$68,2,FALSE))&lt;5,"",LEFT(RIGHT(VLOOKUP(AK71,vysledovka!$D$8:$F$68,2,FALSE),5),1))</f>
        <v/>
      </c>
      <c r="BB73" s="961"/>
      <c r="BC73" s="434"/>
      <c r="BD73" s="432" t="str">
        <f>IF(LEN(VLOOKUP(AK71,vysledovka!$D$8:$F$68,2,FALSE))&lt;4,"",LEFT(RIGHT(VLOOKUP(AK71,vysledovka!$D$8:$F$68,2,FALSE),4),1))</f>
        <v/>
      </c>
      <c r="BE73" s="434"/>
      <c r="BF73" s="432" t="str">
        <f>IF(LEN(VLOOKUP(AK71,vysledovka!$D$8:$F$68,2,FALSE))&lt;3,"",LEFT(RIGHT(VLOOKUP(AK71,vysledovka!$D$8:$F$68,2,FALSE),3),1))</f>
        <v/>
      </c>
      <c r="BG73" s="434"/>
      <c r="BH73" s="432" t="str">
        <f>IF(LEN(VLOOKUP(AK71,vysledovka!$D$8:$F$68,2,FALSE))&lt;2,"",LEFT(RIGHT(VLOOKUP(AK71,vysledovka!$D$8:$F$68,2,FALSE),2),1))</f>
        <v/>
      </c>
      <c r="BI73" s="434"/>
      <c r="BJ73" s="432" t="str">
        <f>IF(VLOOKUP(AK71,vysledovka!$D$8:$F$68,2,FALSE)=0,"",IF(LEN(VLOOKUP(AK71,vysledovka!$D$8:$F$68,2,FALSE))&lt;1,"",LEFT(RIGHT(VLOOKUP(AK71,vysledovka!$D$8:$F$68,2,FALSE),1),1)))</f>
        <v/>
      </c>
      <c r="BK73" s="851"/>
      <c r="BL73" s="826"/>
      <c r="BM73" s="432" t="str">
        <f>IF(LEN(VLOOKUP(AK71,vysledovka!$D$8:$F$68,3,FALSE))&lt;11,"",LEFT(RIGHT(VLOOKUP(AK71,vysledovka!$D$8:$F$68,3,FALSE),11),1))</f>
        <v/>
      </c>
      <c r="BN73" s="255"/>
      <c r="BO73" s="432" t="str">
        <f>IF(LEN(VLOOKUP(AK71,vysledovka!$D$8:$F$68,3,FALSE))&lt;10,"",LEFT(RIGHT(VLOOKUP(AK71,vysledovka!$D$8:$F$68,3,FALSE),10),1))</f>
        <v/>
      </c>
      <c r="BP73" s="434"/>
      <c r="BQ73" s="432" t="str">
        <f>IF(LEN(VLOOKUP(AK71,vysledovka!$D$8:$F$68,3,FALSE))&lt;9,"",LEFT(RIGHT(VLOOKUP(AK71,vysledovka!$D$8:$F$68,3,FALSE),9),1))</f>
        <v/>
      </c>
      <c r="BR73" s="255"/>
      <c r="BS73" s="432" t="str">
        <f>IF(LEN(VLOOKUP(AK71,vysledovka!$D$8:$F$68,3,FALSE))&lt;8,"",LEFT(RIGHT(VLOOKUP(AK71,vysledovka!$D$8:$F$68,3,FALSE),8),1))</f>
        <v/>
      </c>
      <c r="BT73" s="434"/>
      <c r="BU73" s="432" t="str">
        <f>IF(LEN(VLOOKUP(AK71,vysledovka!$D$8:$F$68,3,FALSE))&lt;7,"",LEFT(RIGHT(VLOOKUP(AK71,vysledovka!$D$8:$F$68,3,FALSE),7),1))</f>
        <v/>
      </c>
      <c r="BV73" s="818"/>
      <c r="BW73" s="432" t="str">
        <f>IF(LEN(VLOOKUP(AK71,vysledovka!$D$8:$F$68,3,FALSE))&lt;6,"",LEFT(RIGHT(VLOOKUP(AK71,vysledovka!$D$8:$F$68,3,FALSE),6),1))</f>
        <v/>
      </c>
      <c r="BX73" s="434"/>
      <c r="BY73" s="432" t="str">
        <f>IF(LEN(VLOOKUP(AK71,vysledovka!$D$8:$F$68,3,FALSE))&lt;5,"",LEFT(RIGHT(VLOOKUP(AK71,vysledovka!$D$8:$F$68,3,FALSE),5),1))</f>
        <v/>
      </c>
      <c r="BZ73" s="434"/>
      <c r="CA73" s="432" t="str">
        <f>IF(LEN(VLOOKUP(AK71,vysledovka!$D$8:$F$68,3,FALSE))&lt;4,"",LEFT(RIGHT(VLOOKUP(AK71,vysledovka!$D$8:$F$68,3,FALSE),4),1))</f>
        <v/>
      </c>
      <c r="CB73" s="819"/>
      <c r="CC73" s="432" t="str">
        <f>IF(LEN(VLOOKUP(AK71,vysledovka!$D$8:$F$68,3,FALSE))&lt;3,"",LEFT(RIGHT(VLOOKUP(AK71,vysledovka!$D$8:$F$68,3,FALSE),3),1))</f>
        <v/>
      </c>
      <c r="CD73" s="434"/>
      <c r="CE73" s="432" t="str">
        <f>IF(LEN(VLOOKUP(AK71,vysledovka!$D$8:$F$68,3,FALSE))&lt;2,"",LEFT(RIGHT(VLOOKUP(AK71,vysledovka!$D$8:$F$68,3,FALSE),2),1))</f>
        <v/>
      </c>
      <c r="CF73" s="434"/>
      <c r="CG73" s="432" t="str">
        <f>IF(VLOOKUP(AK71,vysledovka!$D$8:$F$68,3,FALSE)=0,"",IF(LEN(VLOOKUP(AK71,vysledovka!$D$8:$F$68,3,FALSE))&lt;1,"",LEFT(RIGHT(VLOOKUP(AK71,vysledovka!$D$8:$F$68,3,FALSE),1),1)))</f>
        <v/>
      </c>
      <c r="CH73" s="285"/>
      <c r="CI73" s="220"/>
      <c r="CJ73" s="220"/>
    </row>
    <row r="74" spans="1:88" ht="3" customHeight="1">
      <c r="E74" s="1055"/>
      <c r="F74" s="1055"/>
      <c r="G74" s="1062"/>
      <c r="H74" s="1063"/>
      <c r="I74" s="1063"/>
      <c r="J74" s="1063"/>
      <c r="K74" s="1063"/>
      <c r="L74" s="1063"/>
      <c r="M74" s="1063"/>
      <c r="N74" s="1063"/>
      <c r="O74" s="1063"/>
      <c r="P74" s="1063"/>
      <c r="Q74" s="1063"/>
      <c r="R74" s="1063"/>
      <c r="S74" s="1063"/>
      <c r="T74" s="1063"/>
      <c r="U74" s="1063"/>
      <c r="V74" s="1063"/>
      <c r="W74" s="1063"/>
      <c r="X74" s="1063"/>
      <c r="Y74" s="1063"/>
      <c r="Z74" s="1063"/>
      <c r="AA74" s="1063"/>
      <c r="AB74" s="1063"/>
      <c r="AC74" s="1063"/>
      <c r="AD74" s="1063"/>
      <c r="AE74" s="1063"/>
      <c r="AF74" s="1063"/>
      <c r="AG74" s="1063"/>
      <c r="AH74" s="1063"/>
      <c r="AI74" s="1063"/>
      <c r="AJ74" s="1064"/>
      <c r="AK74" s="1014"/>
      <c r="AL74" s="1014"/>
      <c r="AM74" s="1014"/>
      <c r="AN74" s="358"/>
      <c r="AO74" s="365"/>
      <c r="AP74" s="365"/>
      <c r="AQ74" s="365"/>
      <c r="AR74" s="365"/>
      <c r="AS74" s="365"/>
      <c r="AT74" s="365"/>
      <c r="AU74" s="365"/>
      <c r="AV74" s="365"/>
      <c r="AW74" s="365"/>
      <c r="AX74" s="365"/>
      <c r="AY74" s="365"/>
      <c r="AZ74" s="365"/>
      <c r="BA74" s="365"/>
      <c r="BB74" s="365"/>
      <c r="BC74" s="365"/>
      <c r="BD74" s="365"/>
      <c r="BE74" s="310"/>
      <c r="BF74" s="310"/>
      <c r="BG74" s="310"/>
      <c r="BH74" s="310"/>
      <c r="BI74" s="310"/>
      <c r="BJ74" s="310"/>
      <c r="BK74" s="310"/>
      <c r="BL74" s="846"/>
      <c r="BM74" s="846"/>
      <c r="BN74" s="846"/>
      <c r="BO74" s="846"/>
      <c r="BP74" s="846"/>
      <c r="BQ74" s="846"/>
      <c r="BR74" s="846"/>
      <c r="BS74" s="846"/>
      <c r="BT74" s="846"/>
      <c r="BU74" s="846"/>
      <c r="BV74" s="846"/>
      <c r="BW74" s="846"/>
      <c r="BX74" s="846"/>
      <c r="BY74" s="846"/>
      <c r="BZ74" s="846"/>
      <c r="CA74" s="846"/>
      <c r="CB74" s="846"/>
      <c r="CC74" s="310"/>
      <c r="CD74" s="310"/>
      <c r="CE74" s="310"/>
      <c r="CF74" s="310"/>
      <c r="CG74" s="310"/>
      <c r="CH74" s="286"/>
      <c r="CI74" s="220"/>
      <c r="CJ74" s="220"/>
    </row>
    <row r="75" spans="1:88" s="250" customFormat="1" ht="3" customHeight="1">
      <c r="A75" s="220"/>
      <c r="B75" s="220"/>
      <c r="C75" s="224"/>
      <c r="D75" s="224"/>
      <c r="E75" s="1055" t="s">
        <v>708</v>
      </c>
      <c r="F75" s="1055"/>
      <c r="G75" s="972" t="str">
        <f>Index!C248</f>
        <v>Ostatné výnosy z finančnej činnosti (668)</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1056" t="s">
        <v>1599</v>
      </c>
      <c r="AL75" s="1014"/>
      <c r="AM75" s="1014"/>
      <c r="AN75" s="357"/>
      <c r="AO75" s="366"/>
      <c r="AP75" s="366"/>
      <c r="AQ75" s="366"/>
      <c r="AR75" s="366"/>
      <c r="AS75" s="366"/>
      <c r="AT75" s="366"/>
      <c r="AU75" s="366"/>
      <c r="AV75" s="366"/>
      <c r="AW75" s="366"/>
      <c r="AX75" s="366"/>
      <c r="AY75" s="366"/>
      <c r="AZ75" s="366"/>
      <c r="BA75" s="366"/>
      <c r="BB75" s="366"/>
      <c r="BC75" s="366"/>
      <c r="BD75" s="366"/>
      <c r="BE75" s="304"/>
      <c r="BF75" s="304"/>
      <c r="BG75" s="304"/>
      <c r="BH75" s="304"/>
      <c r="BI75" s="304"/>
      <c r="BJ75" s="304"/>
      <c r="BK75" s="304"/>
      <c r="BL75" s="867"/>
      <c r="BM75" s="867"/>
      <c r="BN75" s="867"/>
      <c r="BO75" s="867"/>
      <c r="BP75" s="867"/>
      <c r="BQ75" s="867"/>
      <c r="BR75" s="867"/>
      <c r="BS75" s="867"/>
      <c r="BT75" s="867"/>
      <c r="BU75" s="867"/>
      <c r="BV75" s="867"/>
      <c r="BW75" s="867"/>
      <c r="BX75" s="867"/>
      <c r="BY75" s="867"/>
      <c r="BZ75" s="867"/>
      <c r="CA75" s="867"/>
      <c r="CB75" s="867"/>
      <c r="CC75" s="304"/>
      <c r="CD75" s="304"/>
      <c r="CE75" s="304"/>
      <c r="CF75" s="304"/>
      <c r="CG75" s="304"/>
      <c r="CH75" s="284"/>
      <c r="CI75" s="288"/>
      <c r="CJ75" s="288"/>
    </row>
    <row r="76" spans="1:88" s="250" customFormat="1" ht="3" customHeight="1">
      <c r="A76" s="220"/>
      <c r="B76" s="220"/>
      <c r="C76" s="220"/>
      <c r="D76" s="220"/>
      <c r="E76" s="1055"/>
      <c r="F76" s="105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1014"/>
      <c r="AL76" s="1014"/>
      <c r="AM76" s="1014"/>
      <c r="AN76" s="355"/>
      <c r="AO76" s="436"/>
      <c r="AP76" s="436"/>
      <c r="AQ76" s="436"/>
      <c r="AR76" s="435"/>
      <c r="AS76" s="439"/>
      <c r="AT76" s="439"/>
      <c r="AU76" s="439"/>
      <c r="AV76" s="439"/>
      <c r="AW76" s="439"/>
      <c r="AX76" s="440"/>
      <c r="AY76" s="821"/>
      <c r="AZ76" s="821"/>
      <c r="BA76" s="821"/>
      <c r="BB76" s="821"/>
      <c r="BC76" s="821"/>
      <c r="BD76" s="821"/>
      <c r="BE76" s="434"/>
      <c r="BF76" s="968"/>
      <c r="BG76" s="968"/>
      <c r="BH76" s="968"/>
      <c r="BI76" s="968"/>
      <c r="BJ76" s="968"/>
      <c r="BK76" s="851"/>
      <c r="BL76" s="826"/>
      <c r="BM76" s="820"/>
      <c r="BN76" s="820"/>
      <c r="BO76" s="820"/>
      <c r="BP76" s="435"/>
      <c r="BQ76" s="821"/>
      <c r="BR76" s="821"/>
      <c r="BS76" s="821"/>
      <c r="BT76" s="821"/>
      <c r="BU76" s="821"/>
      <c r="BV76" s="818"/>
      <c r="BW76" s="822"/>
      <c r="BX76" s="822"/>
      <c r="BY76" s="822"/>
      <c r="BZ76" s="822"/>
      <c r="CA76" s="822"/>
      <c r="CB76" s="819"/>
      <c r="CC76" s="822"/>
      <c r="CD76" s="822"/>
      <c r="CE76" s="822"/>
      <c r="CF76" s="822"/>
      <c r="CG76" s="822"/>
      <c r="CH76" s="285"/>
      <c r="CI76" s="288"/>
      <c r="CJ76" s="288"/>
    </row>
    <row r="77" spans="1:88" ht="15" customHeight="1">
      <c r="E77" s="1055"/>
      <c r="F77" s="105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1014"/>
      <c r="AL77" s="1014"/>
      <c r="AM77" s="1014"/>
      <c r="AN77" s="355"/>
      <c r="AO77" s="432" t="str">
        <f>IF(LEN(VLOOKUP(AK75,vysledovka!$D$8:$F$68,2,FALSE))&lt;11,"",LEFT(RIGHT(VLOOKUP(AK75,vysledovka!$D$8:$F$68,2,FALSE),11),1))</f>
        <v/>
      </c>
      <c r="AP77" s="255"/>
      <c r="AQ77" s="432" t="str">
        <f>IF(LEN(VLOOKUP(AK75,vysledovka!$D$8:$F$68,2,FALSE))&lt;10,"",LEFT(RIGHT(VLOOKUP(AK75,vysledovka!$D$8:$F$68,2,FALSE),10),1))</f>
        <v/>
      </c>
      <c r="AR77" s="434"/>
      <c r="AS77" s="432" t="str">
        <f>IF(LEN(VLOOKUP(AK75,vysledovka!$D$8:$F$68,2,FALSE))&lt;9,"",LEFT(RIGHT(VLOOKUP(AK75,vysledovka!$D$8:$F$68,2,FALSE),9),1))</f>
        <v/>
      </c>
      <c r="AT77" s="255"/>
      <c r="AU77" s="432" t="str">
        <f>IF(LEN(VLOOKUP(AK75,vysledovka!$D$8:$F$68,2,FALSE))&lt;8,"",LEFT(RIGHT(VLOOKUP(AK75,vysledovka!$D$8:$F$68,2,FALSE),8),1))</f>
        <v/>
      </c>
      <c r="AV77" s="434"/>
      <c r="AW77" s="432" t="str">
        <f>IF(LEN(VLOOKUP(AK75,vysledovka!$D$8:$F$68,2,FALSE))&lt;7,"",LEFT(RIGHT(VLOOKUP(AK75,vysledovka!$D$8:$F$68,2,FALSE),7),1))</f>
        <v/>
      </c>
      <c r="AX77" s="440"/>
      <c r="AY77" s="432" t="str">
        <f>IF(LEN(VLOOKUP(AK75,vysledovka!$D$8:$F$68,2,FALSE))&lt;6,"",LEFT(RIGHT(VLOOKUP(AK75,vysledovka!$D$8:$F$68,2,FALSE),6),1))</f>
        <v/>
      </c>
      <c r="AZ77" s="255"/>
      <c r="BA77" s="961" t="str">
        <f>IF(LEN(VLOOKUP(AK75,vysledovka!$D$8:$F$68,2,FALSE))&lt;5,"",LEFT(RIGHT(VLOOKUP(AK75,vysledovka!$D$8:$F$68,2,FALSE),5),1))</f>
        <v>8</v>
      </c>
      <c r="BB77" s="961"/>
      <c r="BC77" s="434"/>
      <c r="BD77" s="432" t="str">
        <f>IF(LEN(VLOOKUP(AK75,vysledovka!$D$8:$F$68,2,FALSE))&lt;4,"",LEFT(RIGHT(VLOOKUP(AK75,vysledovka!$D$8:$F$68,2,FALSE),4),1))</f>
        <v>9</v>
      </c>
      <c r="BE77" s="434"/>
      <c r="BF77" s="432" t="str">
        <f>IF(LEN(VLOOKUP(AK75,vysledovka!$D$8:$F$68,2,FALSE))&lt;3,"",LEFT(RIGHT(VLOOKUP(AK75,vysledovka!$D$8:$F$68,2,FALSE),3),1))</f>
        <v>4</v>
      </c>
      <c r="BG77" s="434"/>
      <c r="BH77" s="432" t="str">
        <f>IF(LEN(VLOOKUP(AK75,vysledovka!$D$8:$F$68,2,FALSE))&lt;2,"",LEFT(RIGHT(VLOOKUP(AK75,vysledovka!$D$8:$F$68,2,FALSE),2),1))</f>
        <v>1</v>
      </c>
      <c r="BI77" s="434"/>
      <c r="BJ77" s="432" t="str">
        <f>IF(VLOOKUP(AK75,vysledovka!$D$8:$F$68,2,FALSE)=0,"",IF(LEN(VLOOKUP(AK75,vysledovka!$D$8:$F$68,2,FALSE))&lt;1,"",LEFT(RIGHT(VLOOKUP(AK75,vysledovka!$D$8:$F$68,2,FALSE),1),1)))</f>
        <v>6</v>
      </c>
      <c r="BK77" s="851"/>
      <c r="BL77" s="826"/>
      <c r="BM77" s="432" t="str">
        <f>IF(LEN(VLOOKUP(AK75,vysledovka!$D$8:$F$68,3,FALSE))&lt;11,"",LEFT(RIGHT(VLOOKUP(AK75,vysledovka!$D$8:$F$68,3,FALSE),11),1))</f>
        <v/>
      </c>
      <c r="BN77" s="255"/>
      <c r="BO77" s="432" t="str">
        <f>IF(LEN(VLOOKUP(AK75,vysledovka!$D$8:$F$68,3,FALSE))&lt;10,"",LEFT(RIGHT(VLOOKUP(AK75,vysledovka!$D$8:$F$68,3,FALSE),10),1))</f>
        <v/>
      </c>
      <c r="BP77" s="434"/>
      <c r="BQ77" s="432" t="str">
        <f>IF(LEN(VLOOKUP(AK75,vysledovka!$D$8:$F$68,3,FALSE))&lt;9,"",LEFT(RIGHT(VLOOKUP(AK75,vysledovka!$D$8:$F$68,3,FALSE),9),1))</f>
        <v/>
      </c>
      <c r="BR77" s="255"/>
      <c r="BS77" s="432" t="str">
        <f>IF(LEN(VLOOKUP(AK75,vysledovka!$D$8:$F$68,3,FALSE))&lt;8,"",LEFT(RIGHT(VLOOKUP(AK75,vysledovka!$D$8:$F$68,3,FALSE),8),1))</f>
        <v/>
      </c>
      <c r="BT77" s="434"/>
      <c r="BU77" s="432" t="str">
        <f>IF(LEN(VLOOKUP(AK75,vysledovka!$D$8:$F$68,3,FALSE))&lt;7,"",LEFT(RIGHT(VLOOKUP(AK75,vysledovka!$D$8:$F$68,3,FALSE),7),1))</f>
        <v/>
      </c>
      <c r="BV77" s="818"/>
      <c r="BW77" s="432" t="str">
        <f>IF(LEN(VLOOKUP(AK75,vysledovka!$D$8:$F$68,3,FALSE))&lt;6,"",LEFT(RIGHT(VLOOKUP(AK75,vysledovka!$D$8:$F$68,3,FALSE),6),1))</f>
        <v>1</v>
      </c>
      <c r="BX77" s="434"/>
      <c r="BY77" s="432" t="str">
        <f>IF(LEN(VLOOKUP(AK75,vysledovka!$D$8:$F$68,3,FALSE))&lt;5,"",LEFT(RIGHT(VLOOKUP(AK75,vysledovka!$D$8:$F$68,3,FALSE),5),1))</f>
        <v>0</v>
      </c>
      <c r="BZ77" s="434"/>
      <c r="CA77" s="432" t="str">
        <f>IF(LEN(VLOOKUP(AK75,vysledovka!$D$8:$F$68,3,FALSE))&lt;4,"",LEFT(RIGHT(VLOOKUP(AK75,vysledovka!$D$8:$F$68,3,FALSE),4),1))</f>
        <v>4</v>
      </c>
      <c r="CB77" s="819"/>
      <c r="CC77" s="432" t="str">
        <f>IF(LEN(VLOOKUP(AK75,vysledovka!$D$8:$F$68,3,FALSE))&lt;3,"",LEFT(RIGHT(VLOOKUP(AK75,vysledovka!$D$8:$F$68,3,FALSE),3),1))</f>
        <v>5</v>
      </c>
      <c r="CD77" s="434"/>
      <c r="CE77" s="432" t="str">
        <f>IF(LEN(VLOOKUP(AK75,vysledovka!$D$8:$F$68,3,FALSE))&lt;2,"",LEFT(RIGHT(VLOOKUP(AK75,vysledovka!$D$8:$F$68,3,FALSE),2),1))</f>
        <v>0</v>
      </c>
      <c r="CF77" s="434"/>
      <c r="CG77" s="432" t="str">
        <f>IF(VLOOKUP(AK75,vysledovka!$D$8:$F$68,3,FALSE)=0,"",IF(LEN(VLOOKUP(AK75,vysledovka!$D$8:$F$68,3,FALSE))&lt;1,"",LEFT(RIGHT(VLOOKUP(AK75,vysledovka!$D$8:$F$68,3,FALSE),1),1)))</f>
        <v>9</v>
      </c>
      <c r="CH77" s="285"/>
      <c r="CI77" s="220"/>
      <c r="CJ77" s="220"/>
    </row>
    <row r="78" spans="1:88" ht="3" customHeight="1">
      <c r="E78" s="1055"/>
      <c r="F78" s="1055"/>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1014"/>
      <c r="AL78" s="1014"/>
      <c r="AM78" s="1014"/>
      <c r="AN78" s="358"/>
      <c r="AO78" s="365"/>
      <c r="AP78" s="365"/>
      <c r="AQ78" s="365"/>
      <c r="AR78" s="365"/>
      <c r="AS78" s="365"/>
      <c r="AT78" s="365"/>
      <c r="AU78" s="365"/>
      <c r="AV78" s="365"/>
      <c r="AW78" s="365"/>
      <c r="AX78" s="365"/>
      <c r="AY78" s="365"/>
      <c r="AZ78" s="365"/>
      <c r="BA78" s="365"/>
      <c r="BB78" s="365"/>
      <c r="BC78" s="365"/>
      <c r="BD78" s="365"/>
      <c r="BE78" s="310"/>
      <c r="BF78" s="310"/>
      <c r="BG78" s="310"/>
      <c r="BH78" s="310"/>
      <c r="BI78" s="310"/>
      <c r="BJ78" s="310"/>
      <c r="BK78" s="310"/>
      <c r="BL78" s="846"/>
      <c r="BM78" s="846"/>
      <c r="BN78" s="846"/>
      <c r="BO78" s="846"/>
      <c r="BP78" s="846"/>
      <c r="BQ78" s="846"/>
      <c r="BR78" s="846"/>
      <c r="BS78" s="846"/>
      <c r="BT78" s="846"/>
      <c r="BU78" s="846"/>
      <c r="BV78" s="846"/>
      <c r="BW78" s="846"/>
      <c r="BX78" s="846"/>
      <c r="BY78" s="846"/>
      <c r="BZ78" s="846"/>
      <c r="CA78" s="846"/>
      <c r="CB78" s="846"/>
      <c r="CC78" s="310"/>
      <c r="CD78" s="310"/>
      <c r="CE78" s="310"/>
      <c r="CF78" s="310"/>
      <c r="CG78" s="310"/>
      <c r="CH78" s="286"/>
      <c r="CI78" s="220"/>
      <c r="CJ78" s="220"/>
    </row>
    <row r="79" spans="1:88" s="307" customFormat="1" ht="3" customHeight="1">
      <c r="A79" s="302"/>
      <c r="B79" s="302"/>
      <c r="C79" s="303"/>
      <c r="D79" s="303"/>
      <c r="E79" s="1068" t="s">
        <v>706</v>
      </c>
      <c r="F79" s="1068"/>
      <c r="G79" s="992" t="str">
        <f>Index!C249</f>
        <v>Náklady na finančnú činnosť spolu (r. 46 + r. 47 + r. 48 + r. 49 + r. 52 + r. 53 + r. 54)</v>
      </c>
      <c r="H79" s="992"/>
      <c r="I79" s="992"/>
      <c r="J79" s="992"/>
      <c r="K79" s="992"/>
      <c r="L79" s="992"/>
      <c r="M79" s="992"/>
      <c r="N79" s="992"/>
      <c r="O79" s="992"/>
      <c r="P79" s="992"/>
      <c r="Q79" s="992"/>
      <c r="R79" s="992"/>
      <c r="S79" s="992"/>
      <c r="T79" s="992"/>
      <c r="U79" s="992"/>
      <c r="V79" s="992"/>
      <c r="W79" s="992"/>
      <c r="X79" s="992"/>
      <c r="Y79" s="992"/>
      <c r="Z79" s="992"/>
      <c r="AA79" s="992"/>
      <c r="AB79" s="992"/>
      <c r="AC79" s="992"/>
      <c r="AD79" s="992"/>
      <c r="AE79" s="992"/>
      <c r="AF79" s="992"/>
      <c r="AG79" s="992"/>
      <c r="AH79" s="992"/>
      <c r="AI79" s="992"/>
      <c r="AJ79" s="992"/>
      <c r="AK79" s="1069" t="s">
        <v>1601</v>
      </c>
      <c r="AL79" s="977"/>
      <c r="AM79" s="977"/>
      <c r="AN79" s="364"/>
      <c r="AO79" s="366"/>
      <c r="AP79" s="366"/>
      <c r="AQ79" s="366"/>
      <c r="AR79" s="366"/>
      <c r="AS79" s="366"/>
      <c r="AT79" s="366"/>
      <c r="AU79" s="366"/>
      <c r="AV79" s="366"/>
      <c r="AW79" s="366"/>
      <c r="AX79" s="366"/>
      <c r="AY79" s="366"/>
      <c r="AZ79" s="366"/>
      <c r="BA79" s="366"/>
      <c r="BB79" s="366"/>
      <c r="BC79" s="366"/>
      <c r="BD79" s="366"/>
      <c r="BE79" s="304"/>
      <c r="BF79" s="304"/>
      <c r="BG79" s="304"/>
      <c r="BH79" s="304"/>
      <c r="BI79" s="304"/>
      <c r="BJ79" s="304"/>
      <c r="BK79" s="304"/>
      <c r="BL79" s="867"/>
      <c r="BM79" s="867"/>
      <c r="BN79" s="867"/>
      <c r="BO79" s="867"/>
      <c r="BP79" s="867"/>
      <c r="BQ79" s="867"/>
      <c r="BR79" s="867"/>
      <c r="BS79" s="867"/>
      <c r="BT79" s="867"/>
      <c r="BU79" s="867"/>
      <c r="BV79" s="867"/>
      <c r="BW79" s="867"/>
      <c r="BX79" s="867"/>
      <c r="BY79" s="867"/>
      <c r="BZ79" s="867"/>
      <c r="CA79" s="867"/>
      <c r="CB79" s="867"/>
      <c r="CC79" s="304"/>
      <c r="CD79" s="304"/>
      <c r="CE79" s="304"/>
      <c r="CF79" s="304"/>
      <c r="CG79" s="304"/>
      <c r="CH79" s="305"/>
      <c r="CI79" s="306"/>
      <c r="CJ79" s="306"/>
    </row>
    <row r="80" spans="1:88" s="307" customFormat="1" ht="3" customHeight="1">
      <c r="A80" s="302"/>
      <c r="B80" s="302"/>
      <c r="C80" s="302"/>
      <c r="D80" s="302"/>
      <c r="E80" s="1068"/>
      <c r="F80" s="1068"/>
      <c r="G80" s="992"/>
      <c r="H80" s="992"/>
      <c r="I80" s="992"/>
      <c r="J80" s="992"/>
      <c r="K80" s="992"/>
      <c r="L80" s="992"/>
      <c r="M80" s="992"/>
      <c r="N80" s="992"/>
      <c r="O80" s="992"/>
      <c r="P80" s="992"/>
      <c r="Q80" s="992"/>
      <c r="R80" s="992"/>
      <c r="S80" s="992"/>
      <c r="T80" s="992"/>
      <c r="U80" s="992"/>
      <c r="V80" s="992"/>
      <c r="W80" s="992"/>
      <c r="X80" s="992"/>
      <c r="Y80" s="992"/>
      <c r="Z80" s="992"/>
      <c r="AA80" s="992"/>
      <c r="AB80" s="992"/>
      <c r="AC80" s="992"/>
      <c r="AD80" s="992"/>
      <c r="AE80" s="992"/>
      <c r="AF80" s="992"/>
      <c r="AG80" s="992"/>
      <c r="AH80" s="992"/>
      <c r="AI80" s="992"/>
      <c r="AJ80" s="992"/>
      <c r="AK80" s="977"/>
      <c r="AL80" s="977"/>
      <c r="AM80" s="977"/>
      <c r="AN80" s="367"/>
      <c r="AO80" s="436"/>
      <c r="AP80" s="436"/>
      <c r="AQ80" s="436"/>
      <c r="AR80" s="435"/>
      <c r="AS80" s="433"/>
      <c r="AT80" s="433"/>
      <c r="AU80" s="433"/>
      <c r="AV80" s="433"/>
      <c r="AW80" s="433"/>
      <c r="AX80" s="434"/>
      <c r="AY80" s="1007"/>
      <c r="AZ80" s="1007"/>
      <c r="BA80" s="1007"/>
      <c r="BB80" s="1007"/>
      <c r="BC80" s="1007"/>
      <c r="BD80" s="1007"/>
      <c r="BE80" s="434"/>
      <c r="BF80" s="968"/>
      <c r="BG80" s="968"/>
      <c r="BH80" s="968"/>
      <c r="BI80" s="968"/>
      <c r="BJ80" s="968"/>
      <c r="BK80" s="851"/>
      <c r="BL80" s="826"/>
      <c r="BM80" s="820"/>
      <c r="BN80" s="820"/>
      <c r="BO80" s="820"/>
      <c r="BP80" s="435"/>
      <c r="BQ80" s="1007"/>
      <c r="BR80" s="1007"/>
      <c r="BS80" s="1007"/>
      <c r="BT80" s="1007"/>
      <c r="BU80" s="1007"/>
      <c r="BV80" s="1008"/>
      <c r="BW80" s="968"/>
      <c r="BX80" s="968"/>
      <c r="BY80" s="968"/>
      <c r="BZ80" s="968"/>
      <c r="CA80" s="968"/>
      <c r="CB80" s="1009"/>
      <c r="CC80" s="968"/>
      <c r="CD80" s="968"/>
      <c r="CE80" s="968"/>
      <c r="CF80" s="968"/>
      <c r="CG80" s="968"/>
      <c r="CH80" s="308"/>
      <c r="CI80" s="306"/>
      <c r="CJ80" s="306"/>
    </row>
    <row r="81" spans="1:88" s="309" customFormat="1" ht="15" customHeight="1">
      <c r="A81" s="302"/>
      <c r="B81" s="302"/>
      <c r="C81" s="302"/>
      <c r="E81" s="1068"/>
      <c r="F81" s="1068"/>
      <c r="G81" s="992"/>
      <c r="H81" s="992"/>
      <c r="I81" s="992"/>
      <c r="J81" s="992"/>
      <c r="K81" s="992"/>
      <c r="L81" s="992"/>
      <c r="M81" s="992"/>
      <c r="N81" s="992"/>
      <c r="O81" s="992"/>
      <c r="P81" s="992"/>
      <c r="Q81" s="992"/>
      <c r="R81" s="992"/>
      <c r="S81" s="992"/>
      <c r="T81" s="992"/>
      <c r="U81" s="992"/>
      <c r="V81" s="992"/>
      <c r="W81" s="992"/>
      <c r="X81" s="992"/>
      <c r="Y81" s="992"/>
      <c r="Z81" s="992"/>
      <c r="AA81" s="992"/>
      <c r="AB81" s="992"/>
      <c r="AC81" s="992"/>
      <c r="AD81" s="992"/>
      <c r="AE81" s="992"/>
      <c r="AF81" s="992"/>
      <c r="AG81" s="992"/>
      <c r="AH81" s="992"/>
      <c r="AI81" s="992"/>
      <c r="AJ81" s="992"/>
      <c r="AK81" s="977"/>
      <c r="AL81" s="977"/>
      <c r="AM81" s="977"/>
      <c r="AN81" s="367"/>
      <c r="AO81" s="432" t="str">
        <f>IF(LEN(VLOOKUP(AK79,vysledovka!$D$8:$F$68,2,FALSE))&lt;11,"",LEFT(RIGHT(VLOOKUP(AK79,vysledovka!$D$8:$F$68,2,FALSE),11),1))</f>
        <v/>
      </c>
      <c r="AP81" s="255"/>
      <c r="AQ81" s="432" t="str">
        <f>IF(LEN(VLOOKUP(AK79,vysledovka!$D$8:$F$68,2,FALSE))&lt;10,"",LEFT(RIGHT(VLOOKUP(AK79,vysledovka!$D$8:$F$68,2,FALSE),10),1))</f>
        <v/>
      </c>
      <c r="AR81" s="434"/>
      <c r="AS81" s="432" t="str">
        <f>IF(LEN(VLOOKUP(AK79,vysledovka!$D$8:$F$68,2,FALSE))&lt;9,"",LEFT(RIGHT(VLOOKUP(AK79,vysledovka!$D$8:$F$68,2,FALSE),9),1))</f>
        <v/>
      </c>
      <c r="AT81" s="255"/>
      <c r="AU81" s="432" t="str">
        <f>IF(LEN(VLOOKUP(AK79,vysledovka!$D$8:$F$68,2,FALSE))&lt;8,"",LEFT(RIGHT(VLOOKUP(AK79,vysledovka!$D$8:$F$68,2,FALSE),8),1))</f>
        <v/>
      </c>
      <c r="AV81" s="434"/>
      <c r="AW81" s="432" t="str">
        <f>IF(LEN(VLOOKUP(AK79,vysledovka!$D$8:$F$68,2,FALSE))&lt;7,"",LEFT(RIGHT(VLOOKUP(AK79,vysledovka!$D$8:$F$68,2,FALSE),7),1))</f>
        <v/>
      </c>
      <c r="AX81" s="434"/>
      <c r="AY81" s="432" t="str">
        <f>IF(LEN(VLOOKUP(AK79,vysledovka!$D$8:$F$68,2,FALSE))&lt;6,"",LEFT(RIGHT(VLOOKUP(AK79,vysledovka!$D$8:$F$68,2,FALSE),6),1))</f>
        <v>7</v>
      </c>
      <c r="AZ81" s="255"/>
      <c r="BA81" s="961" t="str">
        <f>IF(LEN(VLOOKUP(AK79,vysledovka!$D$8:$F$68,2,FALSE))&lt;5,"",LEFT(RIGHT(VLOOKUP(AK79,vysledovka!$D$8:$F$68,2,FALSE),5),1))</f>
        <v>9</v>
      </c>
      <c r="BB81" s="961"/>
      <c r="BC81" s="434"/>
      <c r="BD81" s="432" t="str">
        <f>IF(LEN(VLOOKUP(AK79,vysledovka!$D$8:$F$68,2,FALSE))&lt;4,"",LEFT(RIGHT(VLOOKUP(AK79,vysledovka!$D$8:$F$68,2,FALSE),4),1))</f>
        <v>6</v>
      </c>
      <c r="BE81" s="434"/>
      <c r="BF81" s="432" t="str">
        <f>IF(LEN(VLOOKUP(AK79,vysledovka!$D$8:$F$68,2,FALSE))&lt;3,"",LEFT(RIGHT(VLOOKUP(AK79,vysledovka!$D$8:$F$68,2,FALSE),3),1))</f>
        <v>9</v>
      </c>
      <c r="BG81" s="434"/>
      <c r="BH81" s="432" t="str">
        <f>IF(LEN(VLOOKUP(AK79,vysledovka!$D$8:$F$68,2,FALSE))&lt;2,"",LEFT(RIGHT(VLOOKUP(AK79,vysledovka!$D$8:$F$68,2,FALSE),2),1))</f>
        <v>9</v>
      </c>
      <c r="BI81" s="434"/>
      <c r="BJ81" s="432" t="str">
        <f>IF(VLOOKUP(AK79,vysledovka!$D$8:$F$68,2,FALSE)=0,"",IF(LEN(VLOOKUP(AK79,vysledovka!$D$8:$F$68,2,FALSE))&lt;1,"",LEFT(RIGHT(VLOOKUP(AK79,vysledovka!$D$8:$F$68,2,FALSE),1),1)))</f>
        <v>0</v>
      </c>
      <c r="BK81" s="851"/>
      <c r="BL81" s="826"/>
      <c r="BM81" s="432" t="str">
        <f>IF(LEN(VLOOKUP(AK79,vysledovka!$D$8:$F$68,3,FALSE))&lt;11,"",LEFT(RIGHT(VLOOKUP(AK79,vysledovka!$D$8:$F$68,3,FALSE),11),1))</f>
        <v/>
      </c>
      <c r="BN81" s="255"/>
      <c r="BO81" s="432" t="str">
        <f>IF(LEN(VLOOKUP(AK79,vysledovka!$D$8:$F$68,3,FALSE))&lt;10,"",LEFT(RIGHT(VLOOKUP(AK79,vysledovka!$D$8:$F$68,3,FALSE),10),1))</f>
        <v/>
      </c>
      <c r="BP81" s="434"/>
      <c r="BQ81" s="432" t="str">
        <f>IF(LEN(VLOOKUP(AK79,vysledovka!$D$8:$F$68,3,FALSE))&lt;9,"",LEFT(RIGHT(VLOOKUP(AK79,vysledovka!$D$8:$F$68,3,FALSE),9),1))</f>
        <v/>
      </c>
      <c r="BR81" s="255"/>
      <c r="BS81" s="432" t="str">
        <f>IF(LEN(VLOOKUP(AK79,vysledovka!$D$8:$F$68,3,FALSE))&lt;8,"",LEFT(RIGHT(VLOOKUP(AK79,vysledovka!$D$8:$F$68,3,FALSE),8),1))</f>
        <v/>
      </c>
      <c r="BT81" s="434"/>
      <c r="BU81" s="432" t="str">
        <f>IF(LEN(VLOOKUP(AK79,vysledovka!$D$8:$F$68,3,FALSE))&lt;7,"",LEFT(RIGHT(VLOOKUP(AK79,vysledovka!$D$8:$F$68,3,FALSE),7),1))</f>
        <v>4</v>
      </c>
      <c r="BV81" s="1008"/>
      <c r="BW81" s="432" t="str">
        <f>IF(LEN(VLOOKUP(AK79,vysledovka!$D$8:$F$68,3,FALSE))&lt;6,"",LEFT(RIGHT(VLOOKUP(AK79,vysledovka!$D$8:$F$68,3,FALSE),6),1))</f>
        <v>1</v>
      </c>
      <c r="BX81" s="434"/>
      <c r="BY81" s="432" t="str">
        <f>IF(LEN(VLOOKUP(AK79,vysledovka!$D$8:$F$68,3,FALSE))&lt;5,"",LEFT(RIGHT(VLOOKUP(AK79,vysledovka!$D$8:$F$68,3,FALSE),5),1))</f>
        <v>2</v>
      </c>
      <c r="BZ81" s="434"/>
      <c r="CA81" s="432" t="str">
        <f>IF(LEN(VLOOKUP(AK79,vysledovka!$D$8:$F$68,3,FALSE))&lt;4,"",LEFT(RIGHT(VLOOKUP(AK79,vysledovka!$D$8:$F$68,3,FALSE),4),1))</f>
        <v>0</v>
      </c>
      <c r="CB81" s="1009"/>
      <c r="CC81" s="432" t="str">
        <f>IF(LEN(VLOOKUP(AK79,vysledovka!$D$8:$F$68,3,FALSE))&lt;3,"",LEFT(RIGHT(VLOOKUP(AK79,vysledovka!$D$8:$F$68,3,FALSE),3),1))</f>
        <v>9</v>
      </c>
      <c r="CD81" s="434"/>
      <c r="CE81" s="432" t="str">
        <f>IF(LEN(VLOOKUP(AK79,vysledovka!$D$8:$F$68,3,FALSE))&lt;2,"",LEFT(RIGHT(VLOOKUP(AK79,vysledovka!$D$8:$F$68,3,FALSE),2),1))</f>
        <v>7</v>
      </c>
      <c r="CF81" s="434"/>
      <c r="CG81" s="432" t="str">
        <f>IF(VLOOKUP(AK79,vysledovka!$D$8:$F$68,3,FALSE)=0,"",IF(LEN(VLOOKUP(AK79,vysledovka!$D$8:$F$68,3,FALSE))&lt;1,"",LEFT(RIGHT(VLOOKUP(AK79,vysledovka!$D$8:$F$68,3,FALSE),1),1)))</f>
        <v>3</v>
      </c>
      <c r="CH81" s="308"/>
      <c r="CI81" s="302"/>
      <c r="CJ81" s="302"/>
    </row>
    <row r="82" spans="1:88" s="309" customFormat="1" ht="3" customHeight="1">
      <c r="A82" s="302"/>
      <c r="B82" s="302"/>
      <c r="C82" s="302"/>
      <c r="E82" s="1068"/>
      <c r="F82" s="1068"/>
      <c r="G82" s="992"/>
      <c r="H82" s="992"/>
      <c r="I82" s="992"/>
      <c r="J82" s="992"/>
      <c r="K82" s="992"/>
      <c r="L82" s="992"/>
      <c r="M82" s="992"/>
      <c r="N82" s="992"/>
      <c r="O82" s="992"/>
      <c r="P82" s="992"/>
      <c r="Q82" s="992"/>
      <c r="R82" s="992"/>
      <c r="S82" s="992"/>
      <c r="T82" s="992"/>
      <c r="U82" s="992"/>
      <c r="V82" s="992"/>
      <c r="W82" s="992"/>
      <c r="X82" s="992"/>
      <c r="Y82" s="992"/>
      <c r="Z82" s="992"/>
      <c r="AA82" s="992"/>
      <c r="AB82" s="992"/>
      <c r="AC82" s="992"/>
      <c r="AD82" s="992"/>
      <c r="AE82" s="992"/>
      <c r="AF82" s="992"/>
      <c r="AG82" s="992"/>
      <c r="AH82" s="992"/>
      <c r="AI82" s="992"/>
      <c r="AJ82" s="992"/>
      <c r="AK82" s="977"/>
      <c r="AL82" s="977"/>
      <c r="AM82" s="977"/>
      <c r="AN82" s="363"/>
      <c r="AO82" s="365"/>
      <c r="AP82" s="365"/>
      <c r="AQ82" s="365"/>
      <c r="AR82" s="365"/>
      <c r="AS82" s="365"/>
      <c r="AT82" s="365"/>
      <c r="AU82" s="365"/>
      <c r="AV82" s="365"/>
      <c r="AW82" s="365"/>
      <c r="AX82" s="365"/>
      <c r="AY82" s="365"/>
      <c r="AZ82" s="365"/>
      <c r="BA82" s="365"/>
      <c r="BB82" s="365"/>
      <c r="BC82" s="365"/>
      <c r="BD82" s="365"/>
      <c r="BE82" s="310"/>
      <c r="BF82" s="310"/>
      <c r="BG82" s="310"/>
      <c r="BH82" s="310"/>
      <c r="BI82" s="310"/>
      <c r="BJ82" s="310"/>
      <c r="BK82" s="310"/>
      <c r="BL82" s="846"/>
      <c r="BM82" s="846"/>
      <c r="BN82" s="846"/>
      <c r="BO82" s="846"/>
      <c r="BP82" s="846"/>
      <c r="BQ82" s="846"/>
      <c r="BR82" s="846"/>
      <c r="BS82" s="846"/>
      <c r="BT82" s="846"/>
      <c r="BU82" s="846"/>
      <c r="BV82" s="846"/>
      <c r="BW82" s="846"/>
      <c r="BX82" s="846"/>
      <c r="BY82" s="846"/>
      <c r="BZ82" s="846"/>
      <c r="CA82" s="846"/>
      <c r="CB82" s="846"/>
      <c r="CC82" s="310"/>
      <c r="CD82" s="310"/>
      <c r="CE82" s="310"/>
      <c r="CF82" s="310"/>
      <c r="CG82" s="310"/>
      <c r="CH82" s="311"/>
      <c r="CI82" s="302"/>
      <c r="CJ82" s="302"/>
    </row>
    <row r="83" spans="1:88" s="250" customFormat="1" ht="3" customHeight="1">
      <c r="A83" s="312"/>
      <c r="B83" s="312"/>
      <c r="C83" s="224"/>
      <c r="D83" s="224"/>
      <c r="E83" s="1057" t="s">
        <v>687</v>
      </c>
      <c r="F83" s="1058"/>
      <c r="G83" s="972" t="str">
        <f>Index!C250</f>
        <v>Predané cenné papiere a podiely (561)</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1056" t="s">
        <v>1602</v>
      </c>
      <c r="AL83" s="1014"/>
      <c r="AM83" s="1014"/>
      <c r="AN83" s="357"/>
      <c r="AO83" s="366"/>
      <c r="AP83" s="366"/>
      <c r="AQ83" s="366"/>
      <c r="AR83" s="366"/>
      <c r="AS83" s="366"/>
      <c r="AT83" s="366"/>
      <c r="AU83" s="366"/>
      <c r="AV83" s="366"/>
      <c r="AW83" s="366"/>
      <c r="AX83" s="366"/>
      <c r="AY83" s="366"/>
      <c r="AZ83" s="366"/>
      <c r="BA83" s="366"/>
      <c r="BB83" s="366"/>
      <c r="BC83" s="366"/>
      <c r="BD83" s="366"/>
      <c r="BE83" s="304"/>
      <c r="BF83" s="304"/>
      <c r="BG83" s="304"/>
      <c r="BH83" s="304"/>
      <c r="BI83" s="304"/>
      <c r="BJ83" s="304"/>
      <c r="BK83" s="304"/>
      <c r="BL83" s="867"/>
      <c r="BM83" s="867"/>
      <c r="BN83" s="867"/>
      <c r="BO83" s="867"/>
      <c r="BP83" s="867"/>
      <c r="BQ83" s="867"/>
      <c r="BR83" s="867"/>
      <c r="BS83" s="867"/>
      <c r="BT83" s="867"/>
      <c r="BU83" s="867"/>
      <c r="BV83" s="867"/>
      <c r="BW83" s="867"/>
      <c r="BX83" s="867"/>
      <c r="BY83" s="867"/>
      <c r="BZ83" s="867"/>
      <c r="CA83" s="867"/>
      <c r="CB83" s="867"/>
      <c r="CC83" s="304"/>
      <c r="CD83" s="304"/>
      <c r="CE83" s="304"/>
      <c r="CF83" s="304"/>
      <c r="CG83" s="304"/>
      <c r="CH83" s="284"/>
      <c r="CI83" s="288"/>
      <c r="CJ83" s="288"/>
    </row>
    <row r="84" spans="1:88" s="250" customFormat="1" ht="3" customHeight="1">
      <c r="A84" s="312"/>
      <c r="B84" s="312"/>
      <c r="C84" s="312"/>
      <c r="D84" s="312"/>
      <c r="E84" s="1057"/>
      <c r="F84" s="1058"/>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1014"/>
      <c r="AL84" s="1014"/>
      <c r="AM84" s="1014"/>
      <c r="AN84" s="355"/>
      <c r="AO84" s="436"/>
      <c r="AP84" s="436"/>
      <c r="AQ84" s="436"/>
      <c r="AR84" s="435"/>
      <c r="AS84" s="433"/>
      <c r="AT84" s="433"/>
      <c r="AU84" s="433"/>
      <c r="AV84" s="433"/>
      <c r="AW84" s="433"/>
      <c r="AX84" s="434"/>
      <c r="AY84" s="1007"/>
      <c r="AZ84" s="1007"/>
      <c r="BA84" s="1007"/>
      <c r="BB84" s="1007"/>
      <c r="BC84" s="1007"/>
      <c r="BD84" s="1007"/>
      <c r="BE84" s="434"/>
      <c r="BF84" s="968"/>
      <c r="BG84" s="968"/>
      <c r="BH84" s="968"/>
      <c r="BI84" s="968"/>
      <c r="BJ84" s="968"/>
      <c r="BK84" s="851"/>
      <c r="BL84" s="826"/>
      <c r="BM84" s="820"/>
      <c r="BN84" s="820"/>
      <c r="BO84" s="820"/>
      <c r="BP84" s="435"/>
      <c r="BQ84" s="1007"/>
      <c r="BR84" s="1007"/>
      <c r="BS84" s="1007"/>
      <c r="BT84" s="1007"/>
      <c r="BU84" s="1007"/>
      <c r="BV84" s="1008"/>
      <c r="BW84" s="968"/>
      <c r="BX84" s="968"/>
      <c r="BY84" s="968"/>
      <c r="BZ84" s="968"/>
      <c r="CA84" s="968"/>
      <c r="CB84" s="1009"/>
      <c r="CC84" s="968"/>
      <c r="CD84" s="968"/>
      <c r="CE84" s="968"/>
      <c r="CF84" s="968"/>
      <c r="CG84" s="968"/>
      <c r="CH84" s="285"/>
      <c r="CI84" s="288"/>
      <c r="CJ84" s="288"/>
    </row>
    <row r="85" spans="1:88" s="313" customFormat="1" ht="15" customHeight="1">
      <c r="A85" s="312"/>
      <c r="B85" s="312"/>
      <c r="C85" s="312"/>
      <c r="E85" s="1057"/>
      <c r="F85" s="1058"/>
      <c r="G85" s="972"/>
      <c r="H85" s="972"/>
      <c r="I85" s="972"/>
      <c r="J85" s="972"/>
      <c r="K85" s="972"/>
      <c r="L85" s="972"/>
      <c r="M85" s="972"/>
      <c r="N85" s="972"/>
      <c r="O85" s="972"/>
      <c r="P85" s="972"/>
      <c r="Q85" s="972"/>
      <c r="R85" s="972"/>
      <c r="S85" s="972"/>
      <c r="T85" s="972"/>
      <c r="U85" s="972"/>
      <c r="V85" s="972"/>
      <c r="W85" s="972"/>
      <c r="X85" s="972"/>
      <c r="Y85" s="972"/>
      <c r="Z85" s="972"/>
      <c r="AA85" s="972"/>
      <c r="AB85" s="972"/>
      <c r="AC85" s="972"/>
      <c r="AD85" s="972"/>
      <c r="AE85" s="972"/>
      <c r="AF85" s="972"/>
      <c r="AG85" s="972"/>
      <c r="AH85" s="972"/>
      <c r="AI85" s="972"/>
      <c r="AJ85" s="972"/>
      <c r="AK85" s="1014"/>
      <c r="AL85" s="1014"/>
      <c r="AM85" s="1014"/>
      <c r="AN85" s="355"/>
      <c r="AO85" s="432" t="str">
        <f>IF(LEN(VLOOKUP(AK83,vysledovka!$D$8:$F$68,2,FALSE))&lt;11,"",LEFT(RIGHT(VLOOKUP(AK83,vysledovka!$D$8:$F$68,2,FALSE),11),1))</f>
        <v/>
      </c>
      <c r="AP85" s="255"/>
      <c r="AQ85" s="432" t="str">
        <f>IF(LEN(VLOOKUP(AK83,vysledovka!$D$8:$F$68,2,FALSE))&lt;10,"",LEFT(RIGHT(VLOOKUP(AK83,vysledovka!$D$8:$F$68,2,FALSE),10),1))</f>
        <v/>
      </c>
      <c r="AR85" s="434"/>
      <c r="AS85" s="432" t="str">
        <f>IF(LEN(VLOOKUP(AK83,vysledovka!$D$8:$F$68,2,FALSE))&lt;9,"",LEFT(RIGHT(VLOOKUP(AK83,vysledovka!$D$8:$F$68,2,FALSE),9),1))</f>
        <v/>
      </c>
      <c r="AT85" s="255"/>
      <c r="AU85" s="432" t="str">
        <f>IF(LEN(VLOOKUP(AK83,vysledovka!$D$8:$F$68,2,FALSE))&lt;8,"",LEFT(RIGHT(VLOOKUP(AK83,vysledovka!$D$8:$F$68,2,FALSE),8),1))</f>
        <v/>
      </c>
      <c r="AV85" s="434"/>
      <c r="AW85" s="432" t="str">
        <f>IF(LEN(VLOOKUP(AK83,vysledovka!$D$8:$F$68,2,FALSE))&lt;7,"",LEFT(RIGHT(VLOOKUP(AK83,vysledovka!$D$8:$F$68,2,FALSE),7),1))</f>
        <v/>
      </c>
      <c r="AX85" s="434"/>
      <c r="AY85" s="432" t="str">
        <f>IF(LEN(VLOOKUP(AK83,vysledovka!$D$8:$F$68,2,FALSE))&lt;6,"",LEFT(RIGHT(VLOOKUP(AK83,vysledovka!$D$8:$F$68,2,FALSE),6),1))</f>
        <v/>
      </c>
      <c r="AZ85" s="255"/>
      <c r="BA85" s="961" t="str">
        <f>IF(LEN(VLOOKUP(AK83,vysledovka!$D$8:$F$68,2,FALSE))&lt;5,"",LEFT(RIGHT(VLOOKUP(AK83,vysledovka!$D$8:$F$68,2,FALSE),5),1))</f>
        <v/>
      </c>
      <c r="BB85" s="961"/>
      <c r="BC85" s="434"/>
      <c r="BD85" s="432" t="str">
        <f>IF(LEN(VLOOKUP(AK83,vysledovka!$D$8:$F$68,2,FALSE))&lt;4,"",LEFT(RIGHT(VLOOKUP(AK83,vysledovka!$D$8:$F$68,2,FALSE),4),1))</f>
        <v/>
      </c>
      <c r="BE85" s="434"/>
      <c r="BF85" s="432" t="str">
        <f>IF(LEN(VLOOKUP(AK83,vysledovka!$D$8:$F$68,2,FALSE))&lt;3,"",LEFT(RIGHT(VLOOKUP(AK83,vysledovka!$D$8:$F$68,2,FALSE),3),1))</f>
        <v/>
      </c>
      <c r="BG85" s="434"/>
      <c r="BH85" s="432" t="str">
        <f>IF(LEN(VLOOKUP(AK83,vysledovka!$D$8:$F$68,2,FALSE))&lt;2,"",LEFT(RIGHT(VLOOKUP(AK83,vysledovka!$D$8:$F$68,2,FALSE),2),1))</f>
        <v/>
      </c>
      <c r="BI85" s="434"/>
      <c r="BJ85" s="432" t="str">
        <f>IF(VLOOKUP(AK83,vysledovka!$D$8:$F$68,2,FALSE)=0,"",IF(LEN(VLOOKUP(AK83,vysledovka!$D$8:$F$68,2,FALSE))&lt;1,"",LEFT(RIGHT(VLOOKUP(AK83,vysledovka!$D$8:$F$68,2,FALSE),1),1)))</f>
        <v/>
      </c>
      <c r="BK85" s="851"/>
      <c r="BL85" s="826"/>
      <c r="BM85" s="432" t="str">
        <f>IF(LEN(VLOOKUP(AK83,vysledovka!$D$8:$F$68,3,FALSE))&lt;11,"",LEFT(RIGHT(VLOOKUP(AK83,vysledovka!$D$8:$F$68,3,FALSE),11),1))</f>
        <v/>
      </c>
      <c r="BN85" s="255"/>
      <c r="BO85" s="432" t="str">
        <f>IF(LEN(VLOOKUP(AK83,vysledovka!$D$8:$F$68,3,FALSE))&lt;10,"",LEFT(RIGHT(VLOOKUP(AK83,vysledovka!$D$8:$F$68,3,FALSE),10),1))</f>
        <v/>
      </c>
      <c r="BP85" s="434"/>
      <c r="BQ85" s="432" t="str">
        <f>IF(LEN(VLOOKUP(AK83,vysledovka!$D$8:$F$68,3,FALSE))&lt;9,"",LEFT(RIGHT(VLOOKUP(AK83,vysledovka!$D$8:$F$68,3,FALSE),9),1))</f>
        <v/>
      </c>
      <c r="BR85" s="255"/>
      <c r="BS85" s="432" t="str">
        <f>IF(LEN(VLOOKUP(AK83,vysledovka!$D$8:$F$68,3,FALSE))&lt;8,"",LEFT(RIGHT(VLOOKUP(AK83,vysledovka!$D$8:$F$68,3,FALSE),8),1))</f>
        <v/>
      </c>
      <c r="BT85" s="434"/>
      <c r="BU85" s="432" t="str">
        <f>IF(LEN(VLOOKUP(AK83,vysledovka!$D$8:$F$68,3,FALSE))&lt;7,"",LEFT(RIGHT(VLOOKUP(AK83,vysledovka!$D$8:$F$68,3,FALSE),7),1))</f>
        <v>2</v>
      </c>
      <c r="BV85" s="1008"/>
      <c r="BW85" s="432" t="str">
        <f>IF(LEN(VLOOKUP(AK83,vysledovka!$D$8:$F$68,3,FALSE))&lt;6,"",LEFT(RIGHT(VLOOKUP(AK83,vysledovka!$D$8:$F$68,3,FALSE),6),1))</f>
        <v>8</v>
      </c>
      <c r="BX85" s="434"/>
      <c r="BY85" s="432" t="str">
        <f>IF(LEN(VLOOKUP(AK83,vysledovka!$D$8:$F$68,3,FALSE))&lt;5,"",LEFT(RIGHT(VLOOKUP(AK83,vysledovka!$D$8:$F$68,3,FALSE),5),1))</f>
        <v>0</v>
      </c>
      <c r="BZ85" s="434"/>
      <c r="CA85" s="432" t="str">
        <f>IF(LEN(VLOOKUP(AK83,vysledovka!$D$8:$F$68,3,FALSE))&lt;4,"",LEFT(RIGHT(VLOOKUP(AK83,vysledovka!$D$8:$F$68,3,FALSE),4),1))</f>
        <v>3</v>
      </c>
      <c r="CB85" s="1009"/>
      <c r="CC85" s="432" t="str">
        <f>IF(LEN(VLOOKUP(AK83,vysledovka!$D$8:$F$68,3,FALSE))&lt;3,"",LEFT(RIGHT(VLOOKUP(AK83,vysledovka!$D$8:$F$68,3,FALSE),3),1))</f>
        <v>7</v>
      </c>
      <c r="CD85" s="434"/>
      <c r="CE85" s="432" t="str">
        <f>IF(LEN(VLOOKUP(AK83,vysledovka!$D$8:$F$68,3,FALSE))&lt;2,"",LEFT(RIGHT(VLOOKUP(AK83,vysledovka!$D$8:$F$68,3,FALSE),2),1))</f>
        <v>5</v>
      </c>
      <c r="CF85" s="434"/>
      <c r="CG85" s="432" t="str">
        <f>IF(VLOOKUP(AK83,vysledovka!$D$8:$F$68,3,FALSE)=0,"",IF(LEN(VLOOKUP(AK83,vysledovka!$D$8:$F$68,3,FALSE))&lt;1,"",LEFT(RIGHT(VLOOKUP(AK83,vysledovka!$D$8:$F$68,3,FALSE),1),1)))</f>
        <v>0</v>
      </c>
      <c r="CH85" s="285"/>
      <c r="CI85" s="312"/>
      <c r="CJ85" s="312"/>
    </row>
    <row r="86" spans="1:88" s="313" customFormat="1" ht="3" customHeight="1">
      <c r="A86" s="312"/>
      <c r="B86" s="312"/>
      <c r="C86" s="312"/>
      <c r="E86" s="1057"/>
      <c r="F86" s="1058"/>
      <c r="G86" s="972"/>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1014"/>
      <c r="AL86" s="1014"/>
      <c r="AM86" s="1014"/>
      <c r="AN86" s="358"/>
      <c r="AO86" s="365"/>
      <c r="AP86" s="365"/>
      <c r="AQ86" s="365"/>
      <c r="AR86" s="365"/>
      <c r="AS86" s="365"/>
      <c r="AT86" s="365"/>
      <c r="AU86" s="365"/>
      <c r="AV86" s="365"/>
      <c r="AW86" s="365"/>
      <c r="AX86" s="365"/>
      <c r="AY86" s="365"/>
      <c r="AZ86" s="365"/>
      <c r="BA86" s="365"/>
      <c r="BB86" s="365"/>
      <c r="BC86" s="365"/>
      <c r="BD86" s="365"/>
      <c r="BE86" s="310"/>
      <c r="BF86" s="310"/>
      <c r="BG86" s="310"/>
      <c r="BH86" s="310"/>
      <c r="BI86" s="310"/>
      <c r="BJ86" s="310"/>
      <c r="BK86" s="310"/>
      <c r="BL86" s="846"/>
      <c r="BM86" s="846"/>
      <c r="BN86" s="846"/>
      <c r="BO86" s="846"/>
      <c r="BP86" s="846"/>
      <c r="BQ86" s="846"/>
      <c r="BR86" s="846"/>
      <c r="BS86" s="846"/>
      <c r="BT86" s="846"/>
      <c r="BU86" s="846"/>
      <c r="BV86" s="846"/>
      <c r="BW86" s="846"/>
      <c r="BX86" s="846"/>
      <c r="BY86" s="846"/>
      <c r="BZ86" s="846"/>
      <c r="CA86" s="846"/>
      <c r="CB86" s="846"/>
      <c r="CC86" s="310"/>
      <c r="CD86" s="310"/>
      <c r="CE86" s="310"/>
      <c r="CF86" s="310"/>
      <c r="CG86" s="310"/>
      <c r="CH86" s="286"/>
      <c r="CI86" s="312"/>
      <c r="CJ86" s="312"/>
    </row>
    <row r="87" spans="1:88" s="250" customFormat="1" ht="3" customHeight="1">
      <c r="A87" s="312"/>
      <c r="B87" s="312"/>
      <c r="C87" s="224"/>
      <c r="D87" s="224"/>
      <c r="E87" s="1057" t="s">
        <v>691</v>
      </c>
      <c r="F87" s="1058"/>
      <c r="G87" s="972" t="str">
        <f>Index!C251</f>
        <v>Náklady na krátkodobý finančný majetok (566)</v>
      </c>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1056" t="s">
        <v>1603</v>
      </c>
      <c r="AL87" s="1014"/>
      <c r="AM87" s="1014"/>
      <c r="AN87" s="357"/>
      <c r="AO87" s="366"/>
      <c r="AP87" s="366"/>
      <c r="AQ87" s="366"/>
      <c r="AR87" s="366"/>
      <c r="AS87" s="366"/>
      <c r="AT87" s="366"/>
      <c r="AU87" s="366"/>
      <c r="AV87" s="366"/>
      <c r="AW87" s="366"/>
      <c r="AX87" s="366"/>
      <c r="AY87" s="366"/>
      <c r="AZ87" s="366"/>
      <c r="BA87" s="366"/>
      <c r="BB87" s="366"/>
      <c r="BC87" s="366"/>
      <c r="BD87" s="366"/>
      <c r="BE87" s="304"/>
      <c r="BF87" s="304"/>
      <c r="BG87" s="304"/>
      <c r="BH87" s="304"/>
      <c r="BI87" s="304"/>
      <c r="BJ87" s="304"/>
      <c r="BK87" s="304"/>
      <c r="BL87" s="867"/>
      <c r="BM87" s="867"/>
      <c r="BN87" s="867"/>
      <c r="BO87" s="867"/>
      <c r="BP87" s="867"/>
      <c r="BQ87" s="867"/>
      <c r="BR87" s="867"/>
      <c r="BS87" s="867"/>
      <c r="BT87" s="867"/>
      <c r="BU87" s="867"/>
      <c r="BV87" s="867"/>
      <c r="BW87" s="867"/>
      <c r="BX87" s="867"/>
      <c r="BY87" s="867"/>
      <c r="BZ87" s="867"/>
      <c r="CA87" s="867"/>
      <c r="CB87" s="867"/>
      <c r="CC87" s="304"/>
      <c r="CD87" s="304"/>
      <c r="CE87" s="304"/>
      <c r="CF87" s="304"/>
      <c r="CG87" s="304"/>
      <c r="CH87" s="284"/>
      <c r="CI87" s="288"/>
      <c r="CJ87" s="288"/>
    </row>
    <row r="88" spans="1:88" s="250" customFormat="1" ht="3" customHeight="1">
      <c r="A88" s="312"/>
      <c r="B88" s="312"/>
      <c r="C88" s="312"/>
      <c r="D88" s="312"/>
      <c r="E88" s="1057"/>
      <c r="F88" s="1058"/>
      <c r="G88" s="972"/>
      <c r="H88" s="972"/>
      <c r="I88" s="972"/>
      <c r="J88" s="972"/>
      <c r="K88" s="972"/>
      <c r="L88" s="972"/>
      <c r="M88" s="972"/>
      <c r="N88" s="972"/>
      <c r="O88" s="972"/>
      <c r="P88" s="972"/>
      <c r="Q88" s="972"/>
      <c r="R88" s="972"/>
      <c r="S88" s="972"/>
      <c r="T88" s="972"/>
      <c r="U88" s="972"/>
      <c r="V88" s="972"/>
      <c r="W88" s="972"/>
      <c r="X88" s="972"/>
      <c r="Y88" s="972"/>
      <c r="Z88" s="972"/>
      <c r="AA88" s="972"/>
      <c r="AB88" s="972"/>
      <c r="AC88" s="972"/>
      <c r="AD88" s="972"/>
      <c r="AE88" s="972"/>
      <c r="AF88" s="972"/>
      <c r="AG88" s="972"/>
      <c r="AH88" s="972"/>
      <c r="AI88" s="972"/>
      <c r="AJ88" s="972"/>
      <c r="AK88" s="1014"/>
      <c r="AL88" s="1014"/>
      <c r="AM88" s="1014"/>
      <c r="AN88" s="355"/>
      <c r="AO88" s="436"/>
      <c r="AP88" s="436"/>
      <c r="AQ88" s="436"/>
      <c r="AR88" s="435"/>
      <c r="AS88" s="433"/>
      <c r="AT88" s="433"/>
      <c r="AU88" s="433"/>
      <c r="AV88" s="433"/>
      <c r="AW88" s="433"/>
      <c r="AX88" s="434"/>
      <c r="AY88" s="1007"/>
      <c r="AZ88" s="1007"/>
      <c r="BA88" s="1007"/>
      <c r="BB88" s="1007"/>
      <c r="BC88" s="1007"/>
      <c r="BD88" s="1007"/>
      <c r="BE88" s="434"/>
      <c r="BF88" s="968"/>
      <c r="BG88" s="968"/>
      <c r="BH88" s="968"/>
      <c r="BI88" s="968"/>
      <c r="BJ88" s="968"/>
      <c r="BK88" s="851"/>
      <c r="BL88" s="826"/>
      <c r="BM88" s="820"/>
      <c r="BN88" s="820"/>
      <c r="BO88" s="820"/>
      <c r="BP88" s="435"/>
      <c r="BQ88" s="1007"/>
      <c r="BR88" s="1007"/>
      <c r="BS88" s="1007"/>
      <c r="BT88" s="1007"/>
      <c r="BU88" s="1007"/>
      <c r="BV88" s="1008"/>
      <c r="BW88" s="968"/>
      <c r="BX88" s="968"/>
      <c r="BY88" s="968"/>
      <c r="BZ88" s="968"/>
      <c r="CA88" s="968"/>
      <c r="CB88" s="1009"/>
      <c r="CC88" s="968"/>
      <c r="CD88" s="968"/>
      <c r="CE88" s="968"/>
      <c r="CF88" s="968"/>
      <c r="CG88" s="968"/>
      <c r="CH88" s="285"/>
      <c r="CI88" s="288"/>
      <c r="CJ88" s="288"/>
    </row>
    <row r="89" spans="1:88" s="313" customFormat="1" ht="15" customHeight="1">
      <c r="A89" s="312"/>
      <c r="B89" s="312"/>
      <c r="C89" s="312"/>
      <c r="E89" s="1057"/>
      <c r="F89" s="1058"/>
      <c r="G89" s="972"/>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1014"/>
      <c r="AL89" s="1014"/>
      <c r="AM89" s="1014"/>
      <c r="AN89" s="355"/>
      <c r="AO89" s="432" t="str">
        <f>IF(LEN(VLOOKUP(AK87,vysledovka!$D$8:$F$68,2,FALSE))&lt;11,"",LEFT(RIGHT(VLOOKUP(AK87,vysledovka!$D$8:$F$68,2,FALSE),11),1))</f>
        <v/>
      </c>
      <c r="AP89" s="255"/>
      <c r="AQ89" s="432" t="str">
        <f>IF(LEN(VLOOKUP(AK87,vysledovka!$D$8:$F$68,2,FALSE))&lt;10,"",LEFT(RIGHT(VLOOKUP(AK87,vysledovka!$D$8:$F$68,2,FALSE),10),1))</f>
        <v/>
      </c>
      <c r="AR89" s="434"/>
      <c r="AS89" s="432" t="str">
        <f>IF(LEN(VLOOKUP(AK87,vysledovka!$D$8:$F$68,2,FALSE))&lt;9,"",LEFT(RIGHT(VLOOKUP(AK87,vysledovka!$D$8:$F$68,2,FALSE),9),1))</f>
        <v/>
      </c>
      <c r="AT89" s="255"/>
      <c r="AU89" s="432" t="str">
        <f>IF(LEN(VLOOKUP(AK87,vysledovka!$D$8:$F$68,2,FALSE))&lt;8,"",LEFT(RIGHT(VLOOKUP(AK87,vysledovka!$D$8:$F$68,2,FALSE),8),1))</f>
        <v/>
      </c>
      <c r="AV89" s="434"/>
      <c r="AW89" s="432" t="str">
        <f>IF(LEN(VLOOKUP(AK87,vysledovka!$D$8:$F$68,2,FALSE))&lt;7,"",LEFT(RIGHT(VLOOKUP(AK87,vysledovka!$D$8:$F$68,2,FALSE),7),1))</f>
        <v/>
      </c>
      <c r="AX89" s="434"/>
      <c r="AY89" s="432" t="str">
        <f>IF(LEN(VLOOKUP(AK87,vysledovka!$D$8:$F$68,2,FALSE))&lt;6,"",LEFT(RIGHT(VLOOKUP(AK87,vysledovka!$D$8:$F$68,2,FALSE),6),1))</f>
        <v/>
      </c>
      <c r="AZ89" s="255"/>
      <c r="BA89" s="961" t="str">
        <f>IF(LEN(VLOOKUP(AK87,vysledovka!$D$8:$F$68,2,FALSE))&lt;5,"",LEFT(RIGHT(VLOOKUP(AK87,vysledovka!$D$8:$F$68,2,FALSE),5),1))</f>
        <v/>
      </c>
      <c r="BB89" s="961"/>
      <c r="BC89" s="434"/>
      <c r="BD89" s="432" t="str">
        <f>IF(LEN(VLOOKUP(AK87,vysledovka!$D$8:$F$68,2,FALSE))&lt;4,"",LEFT(RIGHT(VLOOKUP(AK87,vysledovka!$D$8:$F$68,2,FALSE),4),1))</f>
        <v/>
      </c>
      <c r="BE89" s="434"/>
      <c r="BF89" s="432" t="str">
        <f>IF(LEN(VLOOKUP(AK87,vysledovka!$D$8:$F$68,2,FALSE))&lt;3,"",LEFT(RIGHT(VLOOKUP(AK87,vysledovka!$D$8:$F$68,2,FALSE),3),1))</f>
        <v/>
      </c>
      <c r="BG89" s="434"/>
      <c r="BH89" s="432" t="str">
        <f>IF(LEN(VLOOKUP(AK87,vysledovka!$D$8:$F$68,2,FALSE))&lt;2,"",LEFT(RIGHT(VLOOKUP(AK87,vysledovka!$D$8:$F$68,2,FALSE),2),1))</f>
        <v/>
      </c>
      <c r="BI89" s="434"/>
      <c r="BJ89" s="432" t="str">
        <f>IF(VLOOKUP(AK87,vysledovka!$D$8:$F$68,2,FALSE)=0,"",IF(LEN(VLOOKUP(AK87,vysledovka!$D$8:$F$68,2,FALSE))&lt;1,"",LEFT(RIGHT(VLOOKUP(AK87,vysledovka!$D$8:$F$68,2,FALSE),1),1)))</f>
        <v/>
      </c>
      <c r="BK89" s="851"/>
      <c r="BL89" s="826"/>
      <c r="BM89" s="432" t="str">
        <f>IF(LEN(VLOOKUP(AK87,vysledovka!$D$8:$F$68,3,FALSE))&lt;11,"",LEFT(RIGHT(VLOOKUP(AK87,vysledovka!$D$8:$F$68,3,FALSE),11),1))</f>
        <v/>
      </c>
      <c r="BN89" s="255"/>
      <c r="BO89" s="432" t="str">
        <f>IF(LEN(VLOOKUP(AK87,vysledovka!$D$8:$F$68,3,FALSE))&lt;10,"",LEFT(RIGHT(VLOOKUP(AK87,vysledovka!$D$8:$F$68,3,FALSE),10),1))</f>
        <v/>
      </c>
      <c r="BP89" s="434"/>
      <c r="BQ89" s="432" t="str">
        <f>IF(LEN(VLOOKUP(AK87,vysledovka!$D$8:$F$68,3,FALSE))&lt;9,"",LEFT(RIGHT(VLOOKUP(AK87,vysledovka!$D$8:$F$68,3,FALSE),9),1))</f>
        <v/>
      </c>
      <c r="BR89" s="255"/>
      <c r="BS89" s="432" t="str">
        <f>IF(LEN(VLOOKUP(AK87,vysledovka!$D$8:$F$68,3,FALSE))&lt;8,"",LEFT(RIGHT(VLOOKUP(AK87,vysledovka!$D$8:$F$68,3,FALSE),8),1))</f>
        <v/>
      </c>
      <c r="BT89" s="434"/>
      <c r="BU89" s="432" t="str">
        <f>IF(LEN(VLOOKUP(AK87,vysledovka!$D$8:$F$68,3,FALSE))&lt;7,"",LEFT(RIGHT(VLOOKUP(AK87,vysledovka!$D$8:$F$68,3,FALSE),7),1))</f>
        <v/>
      </c>
      <c r="BV89" s="1008"/>
      <c r="BW89" s="432" t="str">
        <f>IF(LEN(VLOOKUP(AK87,vysledovka!$D$8:$F$68,3,FALSE))&lt;6,"",LEFT(RIGHT(VLOOKUP(AK87,vysledovka!$D$8:$F$68,3,FALSE),6),1))</f>
        <v/>
      </c>
      <c r="BX89" s="434"/>
      <c r="BY89" s="432" t="str">
        <f>IF(LEN(VLOOKUP(AK87,vysledovka!$D$8:$F$68,3,FALSE))&lt;5,"",LEFT(RIGHT(VLOOKUP(AK87,vysledovka!$D$8:$F$68,3,FALSE),5),1))</f>
        <v/>
      </c>
      <c r="BZ89" s="434"/>
      <c r="CA89" s="432" t="str">
        <f>IF(LEN(VLOOKUP(AK87,vysledovka!$D$8:$F$68,3,FALSE))&lt;4,"",LEFT(RIGHT(VLOOKUP(AK87,vysledovka!$D$8:$F$68,3,FALSE),4),1))</f>
        <v/>
      </c>
      <c r="CB89" s="1009"/>
      <c r="CC89" s="432" t="str">
        <f>IF(LEN(VLOOKUP(AK87,vysledovka!$D$8:$F$68,3,FALSE))&lt;3,"",LEFT(RIGHT(VLOOKUP(AK87,vysledovka!$D$8:$F$68,3,FALSE),3),1))</f>
        <v/>
      </c>
      <c r="CD89" s="434"/>
      <c r="CE89" s="432" t="str">
        <f>IF(LEN(VLOOKUP(AK87,vysledovka!$D$8:$F$68,3,FALSE))&lt;2,"",LEFT(RIGHT(VLOOKUP(AK87,vysledovka!$D$8:$F$68,3,FALSE),2),1))</f>
        <v/>
      </c>
      <c r="CF89" s="434"/>
      <c r="CG89" s="432" t="str">
        <f>IF(VLOOKUP(AK87,vysledovka!$D$8:$F$68,3,FALSE)=0,"",IF(LEN(VLOOKUP(AK87,vysledovka!$D$8:$F$68,3,FALSE))&lt;1,"",LEFT(RIGHT(VLOOKUP(AK87,vysledovka!$D$8:$F$68,3,FALSE),1),1)))</f>
        <v/>
      </c>
      <c r="CH89" s="285"/>
      <c r="CI89" s="312"/>
      <c r="CJ89" s="312"/>
    </row>
    <row r="90" spans="1:88" s="313" customFormat="1" ht="3" customHeight="1">
      <c r="A90" s="312"/>
      <c r="B90" s="312"/>
      <c r="C90" s="312"/>
      <c r="E90" s="1057"/>
      <c r="F90" s="1058"/>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1014"/>
      <c r="AL90" s="1014"/>
      <c r="AM90" s="1014"/>
      <c r="AN90" s="358"/>
      <c r="AO90" s="365"/>
      <c r="AP90" s="365"/>
      <c r="AQ90" s="365"/>
      <c r="AR90" s="365"/>
      <c r="AS90" s="365"/>
      <c r="AT90" s="365"/>
      <c r="AU90" s="365"/>
      <c r="AV90" s="365"/>
      <c r="AW90" s="365"/>
      <c r="AX90" s="365"/>
      <c r="AY90" s="365"/>
      <c r="AZ90" s="365"/>
      <c r="BA90" s="365"/>
      <c r="BB90" s="365"/>
      <c r="BC90" s="365"/>
      <c r="BD90" s="365"/>
      <c r="BE90" s="310"/>
      <c r="BF90" s="310"/>
      <c r="BG90" s="310"/>
      <c r="BH90" s="310"/>
      <c r="BI90" s="310"/>
      <c r="BJ90" s="310"/>
      <c r="BK90" s="310"/>
      <c r="BL90" s="846"/>
      <c r="BM90" s="846"/>
      <c r="BN90" s="846"/>
      <c r="BO90" s="846"/>
      <c r="BP90" s="846"/>
      <c r="BQ90" s="846"/>
      <c r="BR90" s="846"/>
      <c r="BS90" s="846"/>
      <c r="BT90" s="846"/>
      <c r="BU90" s="846"/>
      <c r="BV90" s="846"/>
      <c r="BW90" s="846"/>
      <c r="BX90" s="846"/>
      <c r="BY90" s="846"/>
      <c r="BZ90" s="846"/>
      <c r="CA90" s="846"/>
      <c r="CB90" s="846"/>
      <c r="CC90" s="310"/>
      <c r="CD90" s="310"/>
      <c r="CE90" s="310"/>
      <c r="CF90" s="310"/>
      <c r="CG90" s="310"/>
      <c r="CH90" s="286"/>
      <c r="CI90" s="312"/>
      <c r="CJ90" s="312"/>
    </row>
    <row r="91" spans="1:88" s="250" customFormat="1" ht="3" customHeight="1">
      <c r="A91" s="312"/>
      <c r="B91" s="312"/>
      <c r="C91" s="224"/>
      <c r="D91" s="224"/>
      <c r="E91" s="1055" t="s">
        <v>693</v>
      </c>
      <c r="F91" s="1055"/>
      <c r="G91" s="1061" t="str">
        <f>Index!C252</f>
        <v>Opravné položky k finančnému majetku (+/-) (565)</v>
      </c>
      <c r="H91" s="1061"/>
      <c r="I91" s="1061"/>
      <c r="J91" s="1061"/>
      <c r="K91" s="1061"/>
      <c r="L91" s="1061"/>
      <c r="M91" s="1061"/>
      <c r="N91" s="1061"/>
      <c r="O91" s="1061"/>
      <c r="P91" s="1061"/>
      <c r="Q91" s="1061"/>
      <c r="R91" s="1061"/>
      <c r="S91" s="1061"/>
      <c r="T91" s="1061"/>
      <c r="U91" s="1061"/>
      <c r="V91" s="1061"/>
      <c r="W91" s="1061"/>
      <c r="X91" s="1061"/>
      <c r="Y91" s="1061"/>
      <c r="Z91" s="1061"/>
      <c r="AA91" s="1061"/>
      <c r="AB91" s="1061"/>
      <c r="AC91" s="1061"/>
      <c r="AD91" s="1061"/>
      <c r="AE91" s="1061"/>
      <c r="AF91" s="1061"/>
      <c r="AG91" s="1061"/>
      <c r="AH91" s="1061"/>
      <c r="AI91" s="1061"/>
      <c r="AJ91" s="1061"/>
      <c r="AK91" s="1056" t="s">
        <v>1604</v>
      </c>
      <c r="AL91" s="1014"/>
      <c r="AM91" s="1014"/>
      <c r="AN91" s="357"/>
      <c r="AO91" s="366"/>
      <c r="AP91" s="366"/>
      <c r="AQ91" s="366"/>
      <c r="AR91" s="366"/>
      <c r="AS91" s="366"/>
      <c r="AT91" s="366"/>
      <c r="AU91" s="366"/>
      <c r="AV91" s="366"/>
      <c r="AW91" s="366"/>
      <c r="AX91" s="366"/>
      <c r="AY91" s="366"/>
      <c r="AZ91" s="366"/>
      <c r="BA91" s="366"/>
      <c r="BB91" s="366"/>
      <c r="BC91" s="366"/>
      <c r="BD91" s="366"/>
      <c r="BE91" s="304"/>
      <c r="BF91" s="304"/>
      <c r="BG91" s="304"/>
      <c r="BH91" s="304"/>
      <c r="BI91" s="304"/>
      <c r="BJ91" s="304"/>
      <c r="BK91" s="304"/>
      <c r="BL91" s="867"/>
      <c r="BM91" s="867"/>
      <c r="BN91" s="867"/>
      <c r="BO91" s="867"/>
      <c r="BP91" s="867"/>
      <c r="BQ91" s="867"/>
      <c r="BR91" s="867"/>
      <c r="BS91" s="867"/>
      <c r="BT91" s="867"/>
      <c r="BU91" s="867"/>
      <c r="BV91" s="867"/>
      <c r="BW91" s="867"/>
      <c r="BX91" s="867"/>
      <c r="BY91" s="867"/>
      <c r="BZ91" s="867"/>
      <c r="CA91" s="867"/>
      <c r="CB91" s="867"/>
      <c r="CC91" s="304"/>
      <c r="CD91" s="304"/>
      <c r="CE91" s="304"/>
      <c r="CF91" s="304"/>
      <c r="CG91" s="304"/>
      <c r="CH91" s="284"/>
      <c r="CI91" s="288"/>
      <c r="CJ91" s="288"/>
    </row>
    <row r="92" spans="1:88" s="250" customFormat="1" ht="3" customHeight="1">
      <c r="A92" s="312"/>
      <c r="B92" s="312"/>
      <c r="C92" s="312"/>
      <c r="D92" s="312"/>
      <c r="E92" s="1055"/>
      <c r="F92" s="1055"/>
      <c r="G92" s="1061"/>
      <c r="H92" s="1061"/>
      <c r="I92" s="1061"/>
      <c r="J92" s="1061"/>
      <c r="K92" s="1061"/>
      <c r="L92" s="1061"/>
      <c r="M92" s="1061"/>
      <c r="N92" s="1061"/>
      <c r="O92" s="1061"/>
      <c r="P92" s="1061"/>
      <c r="Q92" s="1061"/>
      <c r="R92" s="1061"/>
      <c r="S92" s="1061"/>
      <c r="T92" s="1061"/>
      <c r="U92" s="1061"/>
      <c r="V92" s="1061"/>
      <c r="W92" s="1061"/>
      <c r="X92" s="1061"/>
      <c r="Y92" s="1061"/>
      <c r="Z92" s="1061"/>
      <c r="AA92" s="1061"/>
      <c r="AB92" s="1061"/>
      <c r="AC92" s="1061"/>
      <c r="AD92" s="1061"/>
      <c r="AE92" s="1061"/>
      <c r="AF92" s="1061"/>
      <c r="AG92" s="1061"/>
      <c r="AH92" s="1061"/>
      <c r="AI92" s="1061"/>
      <c r="AJ92" s="1061"/>
      <c r="AK92" s="1014"/>
      <c r="AL92" s="1014"/>
      <c r="AM92" s="1014"/>
      <c r="AN92" s="355"/>
      <c r="AO92" s="436"/>
      <c r="AP92" s="436"/>
      <c r="AQ92" s="436"/>
      <c r="AR92" s="435"/>
      <c r="AS92" s="433"/>
      <c r="AT92" s="433"/>
      <c r="AU92" s="433"/>
      <c r="AV92" s="433"/>
      <c r="AW92" s="433"/>
      <c r="AX92" s="434"/>
      <c r="AY92" s="1007"/>
      <c r="AZ92" s="1007"/>
      <c r="BA92" s="1007"/>
      <c r="BB92" s="1007"/>
      <c r="BC92" s="1007"/>
      <c r="BD92" s="1007"/>
      <c r="BE92" s="434"/>
      <c r="BF92" s="968"/>
      <c r="BG92" s="968"/>
      <c r="BH92" s="968"/>
      <c r="BI92" s="968"/>
      <c r="BJ92" s="968"/>
      <c r="BK92" s="851"/>
      <c r="BL92" s="826"/>
      <c r="BM92" s="820"/>
      <c r="BN92" s="820"/>
      <c r="BO92" s="820"/>
      <c r="BP92" s="435"/>
      <c r="BQ92" s="1007"/>
      <c r="BR92" s="1007"/>
      <c r="BS92" s="1007"/>
      <c r="BT92" s="1007"/>
      <c r="BU92" s="1007"/>
      <c r="BV92" s="1008"/>
      <c r="BW92" s="968"/>
      <c r="BX92" s="968"/>
      <c r="BY92" s="968"/>
      <c r="BZ92" s="968"/>
      <c r="CA92" s="968"/>
      <c r="CB92" s="1009"/>
      <c r="CC92" s="968"/>
      <c r="CD92" s="968"/>
      <c r="CE92" s="968"/>
      <c r="CF92" s="968"/>
      <c r="CG92" s="968"/>
      <c r="CH92" s="285"/>
      <c r="CI92" s="288"/>
      <c r="CJ92" s="288"/>
    </row>
    <row r="93" spans="1:88" s="313" customFormat="1" ht="15" customHeight="1">
      <c r="A93" s="312"/>
      <c r="B93" s="312"/>
      <c r="C93" s="312"/>
      <c r="E93" s="1055"/>
      <c r="F93" s="1055"/>
      <c r="G93" s="1061"/>
      <c r="H93" s="1061"/>
      <c r="I93" s="1061"/>
      <c r="J93" s="1061"/>
      <c r="K93" s="1061"/>
      <c r="L93" s="1061"/>
      <c r="M93" s="1061"/>
      <c r="N93" s="1061"/>
      <c r="O93" s="1061"/>
      <c r="P93" s="1061"/>
      <c r="Q93" s="1061"/>
      <c r="R93" s="1061"/>
      <c r="S93" s="1061"/>
      <c r="T93" s="1061"/>
      <c r="U93" s="1061"/>
      <c r="V93" s="1061"/>
      <c r="W93" s="1061"/>
      <c r="X93" s="1061"/>
      <c r="Y93" s="1061"/>
      <c r="Z93" s="1061"/>
      <c r="AA93" s="1061"/>
      <c r="AB93" s="1061"/>
      <c r="AC93" s="1061"/>
      <c r="AD93" s="1061"/>
      <c r="AE93" s="1061"/>
      <c r="AF93" s="1061"/>
      <c r="AG93" s="1061"/>
      <c r="AH93" s="1061"/>
      <c r="AI93" s="1061"/>
      <c r="AJ93" s="1061"/>
      <c r="AK93" s="1014"/>
      <c r="AL93" s="1014"/>
      <c r="AM93" s="1014"/>
      <c r="AN93" s="355"/>
      <c r="AO93" s="432" t="str">
        <f>IF(LEN(VLOOKUP(AK91,vysledovka!$D$8:$F$68,2,FALSE))&lt;11,"",LEFT(RIGHT(VLOOKUP(AK91,vysledovka!$D$8:$F$68,2,FALSE),11),1))</f>
        <v/>
      </c>
      <c r="AP93" s="255"/>
      <c r="AQ93" s="432" t="str">
        <f>IF(LEN(VLOOKUP(AK91,vysledovka!$D$8:$F$68,2,FALSE))&lt;10,"",LEFT(RIGHT(VLOOKUP(AK91,vysledovka!$D$8:$F$68,2,FALSE),10),1))</f>
        <v/>
      </c>
      <c r="AR93" s="434"/>
      <c r="AS93" s="432" t="str">
        <f>IF(LEN(VLOOKUP(AK91,vysledovka!$D$8:$F$68,2,FALSE))&lt;9,"",LEFT(RIGHT(VLOOKUP(AK91,vysledovka!$D$8:$F$68,2,FALSE),9),1))</f>
        <v/>
      </c>
      <c r="AT93" s="255"/>
      <c r="AU93" s="432" t="str">
        <f>IF(LEN(VLOOKUP(AK91,vysledovka!$D$8:$F$68,2,FALSE))&lt;8,"",LEFT(RIGHT(VLOOKUP(AK91,vysledovka!$D$8:$F$68,2,FALSE),8),1))</f>
        <v/>
      </c>
      <c r="AV93" s="434"/>
      <c r="AW93" s="432" t="str">
        <f>IF(LEN(VLOOKUP(AK91,vysledovka!$D$8:$F$68,2,FALSE))&lt;7,"",LEFT(RIGHT(VLOOKUP(AK91,vysledovka!$D$8:$F$68,2,FALSE),7),1))</f>
        <v/>
      </c>
      <c r="AX93" s="434"/>
      <c r="AY93" s="432" t="str">
        <f>IF(LEN(VLOOKUP(AK91,vysledovka!$D$8:$F$68,2,FALSE))&lt;6,"",LEFT(RIGHT(VLOOKUP(AK91,vysledovka!$D$8:$F$68,2,FALSE),6),1))</f>
        <v/>
      </c>
      <c r="AZ93" s="255"/>
      <c r="BA93" s="961" t="str">
        <f>IF(LEN(VLOOKUP(AK91,vysledovka!$D$8:$F$68,2,FALSE))&lt;5,"",LEFT(RIGHT(VLOOKUP(AK91,vysledovka!$D$8:$F$68,2,FALSE),5),1))</f>
        <v/>
      </c>
      <c r="BB93" s="961"/>
      <c r="BC93" s="434"/>
      <c r="BD93" s="432" t="str">
        <f>IF(LEN(VLOOKUP(AK91,vysledovka!$D$8:$F$68,2,FALSE))&lt;4,"",LEFT(RIGHT(VLOOKUP(AK91,vysledovka!$D$8:$F$68,2,FALSE),4),1))</f>
        <v/>
      </c>
      <c r="BE93" s="434"/>
      <c r="BF93" s="432" t="str">
        <f>IF(LEN(VLOOKUP(AK91,vysledovka!$D$8:$F$68,2,FALSE))&lt;3,"",LEFT(RIGHT(VLOOKUP(AK91,vysledovka!$D$8:$F$68,2,FALSE),3),1))</f>
        <v/>
      </c>
      <c r="BG93" s="434"/>
      <c r="BH93" s="432" t="str">
        <f>IF(LEN(VLOOKUP(AK91,vysledovka!$D$8:$F$68,2,FALSE))&lt;2,"",LEFT(RIGHT(VLOOKUP(AK91,vysledovka!$D$8:$F$68,2,FALSE),2),1))</f>
        <v/>
      </c>
      <c r="BI93" s="434"/>
      <c r="BJ93" s="432" t="str">
        <f>IF(VLOOKUP(AK91,vysledovka!$D$8:$F$68,2,FALSE)=0,"",IF(LEN(VLOOKUP(AK91,vysledovka!$D$8:$F$68,2,FALSE))&lt;1,"",LEFT(RIGHT(VLOOKUP(AK91,vysledovka!$D$8:$F$68,2,FALSE),1),1)))</f>
        <v/>
      </c>
      <c r="BK93" s="851"/>
      <c r="BL93" s="826"/>
      <c r="BM93" s="432" t="str">
        <f>IF(LEN(VLOOKUP(AK91,vysledovka!$D$8:$F$68,3,FALSE))&lt;11,"",LEFT(RIGHT(VLOOKUP(AK91,vysledovka!$D$8:$F$68,3,FALSE),11),1))</f>
        <v/>
      </c>
      <c r="BN93" s="255"/>
      <c r="BO93" s="432" t="str">
        <f>IF(LEN(VLOOKUP(AK91,vysledovka!$D$8:$F$68,3,FALSE))&lt;10,"",LEFT(RIGHT(VLOOKUP(AK91,vysledovka!$D$8:$F$68,3,FALSE),10),1))</f>
        <v/>
      </c>
      <c r="BP93" s="434"/>
      <c r="BQ93" s="432" t="str">
        <f>IF(LEN(VLOOKUP(AK91,vysledovka!$D$8:$F$68,3,FALSE))&lt;9,"",LEFT(RIGHT(VLOOKUP(AK91,vysledovka!$D$8:$F$68,3,FALSE),9),1))</f>
        <v/>
      </c>
      <c r="BR93" s="255"/>
      <c r="BS93" s="432" t="str">
        <f>IF(LEN(VLOOKUP(AK91,vysledovka!$D$8:$F$68,3,FALSE))&lt;8,"",LEFT(RIGHT(VLOOKUP(AK91,vysledovka!$D$8:$F$68,3,FALSE),8),1))</f>
        <v/>
      </c>
      <c r="BT93" s="434"/>
      <c r="BU93" s="432" t="str">
        <f>IF(LEN(VLOOKUP(AK91,vysledovka!$D$8:$F$68,3,FALSE))&lt;7,"",LEFT(RIGHT(VLOOKUP(AK91,vysledovka!$D$8:$F$68,3,FALSE),7),1))</f>
        <v/>
      </c>
      <c r="BV93" s="1008"/>
      <c r="BW93" s="432" t="str">
        <f>IF(LEN(VLOOKUP(AK91,vysledovka!$D$8:$F$68,3,FALSE))&lt;6,"",LEFT(RIGHT(VLOOKUP(AK91,vysledovka!$D$8:$F$68,3,FALSE),6),1))</f>
        <v/>
      </c>
      <c r="BX93" s="434"/>
      <c r="BY93" s="432" t="str">
        <f>IF(LEN(VLOOKUP(AK91,vysledovka!$D$8:$F$68,3,FALSE))&lt;5,"",LEFT(RIGHT(VLOOKUP(AK91,vysledovka!$D$8:$F$68,3,FALSE),5),1))</f>
        <v/>
      </c>
      <c r="BZ93" s="434"/>
      <c r="CA93" s="432" t="str">
        <f>IF(LEN(VLOOKUP(AK91,vysledovka!$D$8:$F$68,3,FALSE))&lt;4,"",LEFT(RIGHT(VLOOKUP(AK91,vysledovka!$D$8:$F$68,3,FALSE),4),1))</f>
        <v/>
      </c>
      <c r="CB93" s="1009"/>
      <c r="CC93" s="432" t="str">
        <f>IF(LEN(VLOOKUP(AK91,vysledovka!$D$8:$F$68,3,FALSE))&lt;3,"",LEFT(RIGHT(VLOOKUP(AK91,vysledovka!$D$8:$F$68,3,FALSE),3),1))</f>
        <v/>
      </c>
      <c r="CD93" s="434"/>
      <c r="CE93" s="432" t="str">
        <f>IF(LEN(VLOOKUP(AK91,vysledovka!$D$8:$F$68,3,FALSE))&lt;2,"",LEFT(RIGHT(VLOOKUP(AK91,vysledovka!$D$8:$F$68,3,FALSE),2),1))</f>
        <v/>
      </c>
      <c r="CF93" s="434"/>
      <c r="CG93" s="432" t="str">
        <f>IF(VLOOKUP(AK91,vysledovka!$D$8:$F$68,3,FALSE)=0,"",IF(LEN(VLOOKUP(AK91,vysledovka!$D$8:$F$68,3,FALSE))&lt;1,"",LEFT(RIGHT(VLOOKUP(AK91,vysledovka!$D$8:$F$68,3,FALSE),1),1)))</f>
        <v/>
      </c>
      <c r="CH93" s="285"/>
      <c r="CI93" s="312"/>
      <c r="CJ93" s="312"/>
    </row>
    <row r="94" spans="1:88" s="313" customFormat="1" ht="3" customHeight="1">
      <c r="A94" s="312"/>
      <c r="B94" s="312"/>
      <c r="C94" s="312"/>
      <c r="E94" s="1055"/>
      <c r="F94" s="1055"/>
      <c r="G94" s="1061"/>
      <c r="H94" s="1061"/>
      <c r="I94" s="1061"/>
      <c r="J94" s="1061"/>
      <c r="K94" s="1061"/>
      <c r="L94" s="1061"/>
      <c r="M94" s="1061"/>
      <c r="N94" s="1061"/>
      <c r="O94" s="1061"/>
      <c r="P94" s="1061"/>
      <c r="Q94" s="1061"/>
      <c r="R94" s="1061"/>
      <c r="S94" s="1061"/>
      <c r="T94" s="1061"/>
      <c r="U94" s="1061"/>
      <c r="V94" s="1061"/>
      <c r="W94" s="1061"/>
      <c r="X94" s="1061"/>
      <c r="Y94" s="1061"/>
      <c r="Z94" s="1061"/>
      <c r="AA94" s="1061"/>
      <c r="AB94" s="1061"/>
      <c r="AC94" s="1061"/>
      <c r="AD94" s="1061"/>
      <c r="AE94" s="1061"/>
      <c r="AF94" s="1061"/>
      <c r="AG94" s="1061"/>
      <c r="AH94" s="1061"/>
      <c r="AI94" s="1061"/>
      <c r="AJ94" s="1061"/>
      <c r="AK94" s="1014"/>
      <c r="AL94" s="1014"/>
      <c r="AM94" s="1014"/>
      <c r="AN94" s="358"/>
      <c r="AO94" s="365"/>
      <c r="AP94" s="365"/>
      <c r="AQ94" s="365"/>
      <c r="AR94" s="365"/>
      <c r="AS94" s="365"/>
      <c r="AT94" s="365"/>
      <c r="AU94" s="365"/>
      <c r="AV94" s="365"/>
      <c r="AW94" s="365"/>
      <c r="AX94" s="365"/>
      <c r="AY94" s="365"/>
      <c r="AZ94" s="365"/>
      <c r="BA94" s="365"/>
      <c r="BB94" s="365"/>
      <c r="BC94" s="365"/>
      <c r="BD94" s="365"/>
      <c r="BE94" s="310"/>
      <c r="BF94" s="310"/>
      <c r="BG94" s="310"/>
      <c r="BH94" s="310"/>
      <c r="BI94" s="310"/>
      <c r="BJ94" s="310"/>
      <c r="BK94" s="310"/>
      <c r="BL94" s="846"/>
      <c r="BM94" s="846"/>
      <c r="BN94" s="846"/>
      <c r="BO94" s="846"/>
      <c r="BP94" s="846"/>
      <c r="BQ94" s="846"/>
      <c r="BR94" s="846"/>
      <c r="BS94" s="846"/>
      <c r="BT94" s="846"/>
      <c r="BU94" s="846"/>
      <c r="BV94" s="846"/>
      <c r="BW94" s="846"/>
      <c r="BX94" s="846"/>
      <c r="BY94" s="846"/>
      <c r="BZ94" s="846"/>
      <c r="CA94" s="846"/>
      <c r="CB94" s="846"/>
      <c r="CC94" s="310"/>
      <c r="CD94" s="310"/>
      <c r="CE94" s="310"/>
      <c r="CF94" s="310"/>
      <c r="CG94" s="310"/>
      <c r="CH94" s="286"/>
      <c r="CI94" s="312"/>
      <c r="CJ94" s="312"/>
    </row>
    <row r="95" spans="1:88" s="250" customFormat="1" ht="3" customHeight="1">
      <c r="A95" s="312"/>
      <c r="B95" s="312"/>
      <c r="C95" s="224"/>
      <c r="D95" s="224"/>
      <c r="E95" s="1057" t="s">
        <v>695</v>
      </c>
      <c r="F95" s="1058"/>
      <c r="G95" s="972" t="str">
        <f>Index!C253</f>
        <v>Nákladové úroky (r. 50 + r. 51)</v>
      </c>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1056" t="s">
        <v>1605</v>
      </c>
      <c r="AL95" s="1014"/>
      <c r="AM95" s="1014"/>
      <c r="AN95" s="357"/>
      <c r="AO95" s="366"/>
      <c r="AP95" s="366"/>
      <c r="AQ95" s="366"/>
      <c r="AR95" s="366"/>
      <c r="AS95" s="366"/>
      <c r="AT95" s="366"/>
      <c r="AU95" s="366"/>
      <c r="AV95" s="366"/>
      <c r="AW95" s="366"/>
      <c r="AX95" s="366"/>
      <c r="AY95" s="366"/>
      <c r="AZ95" s="366"/>
      <c r="BA95" s="366"/>
      <c r="BB95" s="366"/>
      <c r="BC95" s="366"/>
      <c r="BD95" s="366"/>
      <c r="BE95" s="304"/>
      <c r="BF95" s="304"/>
      <c r="BG95" s="304"/>
      <c r="BH95" s="304"/>
      <c r="BI95" s="304"/>
      <c r="BJ95" s="304"/>
      <c r="BK95" s="304"/>
      <c r="BL95" s="867"/>
      <c r="BM95" s="867"/>
      <c r="BN95" s="867"/>
      <c r="BO95" s="867"/>
      <c r="BP95" s="867"/>
      <c r="BQ95" s="867"/>
      <c r="BR95" s="867"/>
      <c r="BS95" s="867"/>
      <c r="BT95" s="867"/>
      <c r="BU95" s="867"/>
      <c r="BV95" s="867"/>
      <c r="BW95" s="867"/>
      <c r="BX95" s="867"/>
      <c r="BY95" s="867"/>
      <c r="BZ95" s="867"/>
      <c r="CA95" s="867"/>
      <c r="CB95" s="867"/>
      <c r="CC95" s="304"/>
      <c r="CD95" s="304"/>
      <c r="CE95" s="304"/>
      <c r="CF95" s="304"/>
      <c r="CG95" s="304"/>
      <c r="CH95" s="284"/>
      <c r="CI95" s="288"/>
      <c r="CJ95" s="288"/>
    </row>
    <row r="96" spans="1:88" s="250" customFormat="1" ht="3" customHeight="1">
      <c r="A96" s="312"/>
      <c r="B96" s="312"/>
      <c r="C96" s="312"/>
      <c r="D96" s="312"/>
      <c r="E96" s="1057"/>
      <c r="F96" s="1058"/>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1014"/>
      <c r="AL96" s="1014"/>
      <c r="AM96" s="1014"/>
      <c r="AN96" s="355"/>
      <c r="AO96" s="436"/>
      <c r="AP96" s="436"/>
      <c r="AQ96" s="436"/>
      <c r="AR96" s="435"/>
      <c r="AS96" s="433"/>
      <c r="AT96" s="433"/>
      <c r="AU96" s="433"/>
      <c r="AV96" s="433"/>
      <c r="AW96" s="433"/>
      <c r="AX96" s="434"/>
      <c r="AY96" s="1007"/>
      <c r="AZ96" s="1007"/>
      <c r="BA96" s="1007"/>
      <c r="BB96" s="1007"/>
      <c r="BC96" s="1007"/>
      <c r="BD96" s="1007"/>
      <c r="BE96" s="434"/>
      <c r="BF96" s="968"/>
      <c r="BG96" s="968"/>
      <c r="BH96" s="968"/>
      <c r="BI96" s="968"/>
      <c r="BJ96" s="968"/>
      <c r="BK96" s="851"/>
      <c r="BL96" s="826"/>
      <c r="BM96" s="820"/>
      <c r="BN96" s="820"/>
      <c r="BO96" s="820"/>
      <c r="BP96" s="435"/>
      <c r="BQ96" s="1007"/>
      <c r="BR96" s="1007"/>
      <c r="BS96" s="1007"/>
      <c r="BT96" s="1007"/>
      <c r="BU96" s="1007"/>
      <c r="BV96" s="1008"/>
      <c r="BW96" s="968"/>
      <c r="BX96" s="968"/>
      <c r="BY96" s="968"/>
      <c r="BZ96" s="968"/>
      <c r="CA96" s="968"/>
      <c r="CB96" s="1009"/>
      <c r="CC96" s="968"/>
      <c r="CD96" s="968"/>
      <c r="CE96" s="968"/>
      <c r="CF96" s="968"/>
      <c r="CG96" s="968"/>
      <c r="CH96" s="285"/>
      <c r="CI96" s="288"/>
      <c r="CJ96" s="288"/>
    </row>
    <row r="97" spans="1:88" s="313" customFormat="1" ht="15" customHeight="1">
      <c r="A97" s="312"/>
      <c r="B97" s="312"/>
      <c r="C97" s="312"/>
      <c r="E97" s="1057"/>
      <c r="F97" s="1058"/>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1014"/>
      <c r="AL97" s="1014"/>
      <c r="AM97" s="1014"/>
      <c r="AN97" s="355"/>
      <c r="AO97" s="432" t="str">
        <f>IF(LEN(VLOOKUP(AK95,vysledovka!$D$8:$F$68,2,FALSE))&lt;11,"",LEFT(RIGHT(VLOOKUP(AK95,vysledovka!$D$8:$F$68,2,FALSE),11),1))</f>
        <v/>
      </c>
      <c r="AP97" s="255"/>
      <c r="AQ97" s="432" t="str">
        <f>IF(LEN(VLOOKUP(AK95,vysledovka!$D$8:$F$68,2,FALSE))&lt;10,"",LEFT(RIGHT(VLOOKUP(AK95,vysledovka!$D$8:$F$68,2,FALSE),10),1))</f>
        <v/>
      </c>
      <c r="AR97" s="434"/>
      <c r="AS97" s="432" t="str">
        <f>IF(LEN(VLOOKUP(AK95,vysledovka!$D$8:$F$68,2,FALSE))&lt;9,"",LEFT(RIGHT(VLOOKUP(AK95,vysledovka!$D$8:$F$68,2,FALSE),9),1))</f>
        <v/>
      </c>
      <c r="AT97" s="255"/>
      <c r="AU97" s="432" t="str">
        <f>IF(LEN(VLOOKUP(AK95,vysledovka!$D$8:$F$68,2,FALSE))&lt;8,"",LEFT(RIGHT(VLOOKUP(AK95,vysledovka!$D$8:$F$68,2,FALSE),8),1))</f>
        <v/>
      </c>
      <c r="AV97" s="434"/>
      <c r="AW97" s="432" t="str">
        <f>IF(LEN(VLOOKUP(AK95,vysledovka!$D$8:$F$68,2,FALSE))&lt;7,"",LEFT(RIGHT(VLOOKUP(AK95,vysledovka!$D$8:$F$68,2,FALSE),7),1))</f>
        <v/>
      </c>
      <c r="AX97" s="434"/>
      <c r="AY97" s="432" t="str">
        <f>IF(LEN(VLOOKUP(AK95,vysledovka!$D$8:$F$68,2,FALSE))&lt;6,"",LEFT(RIGHT(VLOOKUP(AK95,vysledovka!$D$8:$F$68,2,FALSE),6),1))</f>
        <v>2</v>
      </c>
      <c r="AZ97" s="255"/>
      <c r="BA97" s="961" t="str">
        <f>IF(LEN(VLOOKUP(AK95,vysledovka!$D$8:$F$68,2,FALSE))&lt;5,"",LEFT(RIGHT(VLOOKUP(AK95,vysledovka!$D$8:$F$68,2,FALSE),5),1))</f>
        <v>8</v>
      </c>
      <c r="BB97" s="961"/>
      <c r="BC97" s="434"/>
      <c r="BD97" s="432" t="str">
        <f>IF(LEN(VLOOKUP(AK95,vysledovka!$D$8:$F$68,2,FALSE))&lt;4,"",LEFT(RIGHT(VLOOKUP(AK95,vysledovka!$D$8:$F$68,2,FALSE),4),1))</f>
        <v>8</v>
      </c>
      <c r="BE97" s="434"/>
      <c r="BF97" s="432" t="str">
        <f>IF(LEN(VLOOKUP(AK95,vysledovka!$D$8:$F$68,2,FALSE))&lt;3,"",LEFT(RIGHT(VLOOKUP(AK95,vysledovka!$D$8:$F$68,2,FALSE),3),1))</f>
        <v>6</v>
      </c>
      <c r="BG97" s="434"/>
      <c r="BH97" s="432" t="str">
        <f>IF(LEN(VLOOKUP(AK95,vysledovka!$D$8:$F$68,2,FALSE))&lt;2,"",LEFT(RIGHT(VLOOKUP(AK95,vysledovka!$D$8:$F$68,2,FALSE),2),1))</f>
        <v>7</v>
      </c>
      <c r="BI97" s="434"/>
      <c r="BJ97" s="432" t="str">
        <f>IF(VLOOKUP(AK95,vysledovka!$D$8:$F$68,2,FALSE)=0,"",IF(LEN(VLOOKUP(AK95,vysledovka!$D$8:$F$68,2,FALSE))&lt;1,"",LEFT(RIGHT(VLOOKUP(AK95,vysledovka!$D$8:$F$68,2,FALSE),1),1)))</f>
        <v>0</v>
      </c>
      <c r="BK97" s="851"/>
      <c r="BL97" s="826"/>
      <c r="BM97" s="432" t="str">
        <f>IF(LEN(VLOOKUP(AK95,vysledovka!$D$8:$F$68,3,FALSE))&lt;11,"",LEFT(RIGHT(VLOOKUP(AK95,vysledovka!$D$8:$F$68,3,FALSE),11),1))</f>
        <v/>
      </c>
      <c r="BN97" s="255"/>
      <c r="BO97" s="432" t="str">
        <f>IF(LEN(VLOOKUP(AK95,vysledovka!$D$8:$F$68,3,FALSE))&lt;10,"",LEFT(RIGHT(VLOOKUP(AK95,vysledovka!$D$8:$F$68,3,FALSE),10),1))</f>
        <v/>
      </c>
      <c r="BP97" s="434"/>
      <c r="BQ97" s="432" t="str">
        <f>IF(LEN(VLOOKUP(AK95,vysledovka!$D$8:$F$68,3,FALSE))&lt;9,"",LEFT(RIGHT(VLOOKUP(AK95,vysledovka!$D$8:$F$68,3,FALSE),9),1))</f>
        <v/>
      </c>
      <c r="BR97" s="255"/>
      <c r="BS97" s="432" t="str">
        <f>IF(LEN(VLOOKUP(AK95,vysledovka!$D$8:$F$68,3,FALSE))&lt;8,"",LEFT(RIGHT(VLOOKUP(AK95,vysledovka!$D$8:$F$68,3,FALSE),8),1))</f>
        <v/>
      </c>
      <c r="BT97" s="434"/>
      <c r="BU97" s="432" t="str">
        <f>IF(LEN(VLOOKUP(AK95,vysledovka!$D$8:$F$68,3,FALSE))&lt;7,"",LEFT(RIGHT(VLOOKUP(AK95,vysledovka!$D$8:$F$68,3,FALSE),7),1))</f>
        <v/>
      </c>
      <c r="BV97" s="1008"/>
      <c r="BW97" s="432" t="str">
        <f>IF(LEN(VLOOKUP(AK95,vysledovka!$D$8:$F$68,3,FALSE))&lt;6,"",LEFT(RIGHT(VLOOKUP(AK95,vysledovka!$D$8:$F$68,3,FALSE),6),1))</f>
        <v>3</v>
      </c>
      <c r="BX97" s="434"/>
      <c r="BY97" s="432" t="str">
        <f>IF(LEN(VLOOKUP(AK95,vysledovka!$D$8:$F$68,3,FALSE))&lt;5,"",LEFT(RIGHT(VLOOKUP(AK95,vysledovka!$D$8:$F$68,3,FALSE),5),1))</f>
        <v>1</v>
      </c>
      <c r="BZ97" s="434"/>
      <c r="CA97" s="432" t="str">
        <f>IF(LEN(VLOOKUP(AK95,vysledovka!$D$8:$F$68,3,FALSE))&lt;4,"",LEFT(RIGHT(VLOOKUP(AK95,vysledovka!$D$8:$F$68,3,FALSE),4),1))</f>
        <v>7</v>
      </c>
      <c r="CB97" s="1009"/>
      <c r="CC97" s="432" t="str">
        <f>IF(LEN(VLOOKUP(AK95,vysledovka!$D$8:$F$68,3,FALSE))&lt;3,"",LEFT(RIGHT(VLOOKUP(AK95,vysledovka!$D$8:$F$68,3,FALSE),3),1))</f>
        <v>5</v>
      </c>
      <c r="CD97" s="434"/>
      <c r="CE97" s="432" t="str">
        <f>IF(LEN(VLOOKUP(AK95,vysledovka!$D$8:$F$68,3,FALSE))&lt;2,"",LEFT(RIGHT(VLOOKUP(AK95,vysledovka!$D$8:$F$68,3,FALSE),2),1))</f>
        <v>5</v>
      </c>
      <c r="CF97" s="434"/>
      <c r="CG97" s="432" t="str">
        <f>IF(VLOOKUP(AK95,vysledovka!$D$8:$F$68,3,FALSE)=0,"",IF(LEN(VLOOKUP(AK95,vysledovka!$D$8:$F$68,3,FALSE))&lt;1,"",LEFT(RIGHT(VLOOKUP(AK95,vysledovka!$D$8:$F$68,3,FALSE),1),1)))</f>
        <v>3</v>
      </c>
      <c r="CH97" s="285"/>
      <c r="CI97" s="312"/>
      <c r="CJ97" s="312"/>
    </row>
    <row r="98" spans="1:88" s="313" customFormat="1" ht="3" customHeight="1">
      <c r="A98" s="312"/>
      <c r="B98" s="312"/>
      <c r="C98" s="312"/>
      <c r="E98" s="1057"/>
      <c r="F98" s="1058"/>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1014"/>
      <c r="AL98" s="1014"/>
      <c r="AM98" s="1014"/>
      <c r="AN98" s="358"/>
      <c r="AO98" s="365"/>
      <c r="AP98" s="365"/>
      <c r="AQ98" s="365"/>
      <c r="AR98" s="365"/>
      <c r="AS98" s="365"/>
      <c r="AT98" s="365"/>
      <c r="AU98" s="365"/>
      <c r="AV98" s="365"/>
      <c r="AW98" s="365"/>
      <c r="AX98" s="365"/>
      <c r="AY98" s="365"/>
      <c r="AZ98" s="365"/>
      <c r="BA98" s="365"/>
      <c r="BB98" s="365"/>
      <c r="BC98" s="365"/>
      <c r="BD98" s="365"/>
      <c r="BE98" s="310"/>
      <c r="BF98" s="310"/>
      <c r="BG98" s="310"/>
      <c r="BH98" s="310"/>
      <c r="BI98" s="310"/>
      <c r="BJ98" s="310"/>
      <c r="BK98" s="310"/>
      <c r="BL98" s="846"/>
      <c r="BM98" s="846"/>
      <c r="BN98" s="846"/>
      <c r="BO98" s="846"/>
      <c r="BP98" s="846"/>
      <c r="BQ98" s="846"/>
      <c r="BR98" s="846"/>
      <c r="BS98" s="846"/>
      <c r="BT98" s="846"/>
      <c r="BU98" s="846"/>
      <c r="BV98" s="846"/>
      <c r="BW98" s="846"/>
      <c r="BX98" s="846"/>
      <c r="BY98" s="846"/>
      <c r="BZ98" s="846"/>
      <c r="CA98" s="846"/>
      <c r="CB98" s="846"/>
      <c r="CC98" s="310"/>
      <c r="CD98" s="310"/>
      <c r="CE98" s="310"/>
      <c r="CF98" s="310"/>
      <c r="CG98" s="310"/>
      <c r="CH98" s="286"/>
      <c r="CI98" s="312"/>
      <c r="CJ98" s="312"/>
    </row>
    <row r="99" spans="1:88" s="250" customFormat="1" ht="3" customHeight="1">
      <c r="A99" s="312"/>
      <c r="B99" s="312"/>
      <c r="C99" s="224"/>
      <c r="D99" s="224"/>
      <c r="E99" s="1057" t="s">
        <v>1754</v>
      </c>
      <c r="F99" s="1058"/>
      <c r="G99" s="1061" t="str">
        <f>Index!C254</f>
        <v>Nákladové úroky pre prepojené účtovné jednotky (562A)</v>
      </c>
      <c r="H99" s="1061"/>
      <c r="I99" s="1061"/>
      <c r="J99" s="1061"/>
      <c r="K99" s="1061"/>
      <c r="L99" s="1061"/>
      <c r="M99" s="1061"/>
      <c r="N99" s="1061"/>
      <c r="O99" s="1061"/>
      <c r="P99" s="1061"/>
      <c r="Q99" s="1061"/>
      <c r="R99" s="1061"/>
      <c r="S99" s="1061"/>
      <c r="T99" s="1061"/>
      <c r="U99" s="1061"/>
      <c r="V99" s="1061"/>
      <c r="W99" s="1061"/>
      <c r="X99" s="1061"/>
      <c r="Y99" s="1061"/>
      <c r="Z99" s="1061"/>
      <c r="AA99" s="1061"/>
      <c r="AB99" s="1061"/>
      <c r="AC99" s="1061"/>
      <c r="AD99" s="1061"/>
      <c r="AE99" s="1061"/>
      <c r="AF99" s="1061"/>
      <c r="AG99" s="1061"/>
      <c r="AH99" s="1061"/>
      <c r="AI99" s="1061"/>
      <c r="AJ99" s="1061"/>
      <c r="AK99" s="1056" t="s">
        <v>1607</v>
      </c>
      <c r="AL99" s="1014"/>
      <c r="AM99" s="1014"/>
      <c r="AN99" s="357"/>
      <c r="AO99" s="366"/>
      <c r="AP99" s="366"/>
      <c r="AQ99" s="366"/>
      <c r="AR99" s="366"/>
      <c r="AS99" s="366"/>
      <c r="AT99" s="366"/>
      <c r="AU99" s="366"/>
      <c r="AV99" s="366"/>
      <c r="AW99" s="366"/>
      <c r="AX99" s="366"/>
      <c r="AY99" s="366"/>
      <c r="AZ99" s="366"/>
      <c r="BA99" s="366"/>
      <c r="BB99" s="366"/>
      <c r="BC99" s="366"/>
      <c r="BD99" s="366"/>
      <c r="BE99" s="304"/>
      <c r="BF99" s="304"/>
      <c r="BG99" s="304"/>
      <c r="BH99" s="304"/>
      <c r="BI99" s="304"/>
      <c r="BJ99" s="304"/>
      <c r="BK99" s="304"/>
      <c r="BL99" s="867"/>
      <c r="BM99" s="867"/>
      <c r="BN99" s="867"/>
      <c r="BO99" s="867"/>
      <c r="BP99" s="867"/>
      <c r="BQ99" s="867"/>
      <c r="BR99" s="867"/>
      <c r="BS99" s="867"/>
      <c r="BT99" s="867"/>
      <c r="BU99" s="867"/>
      <c r="BV99" s="867"/>
      <c r="BW99" s="867"/>
      <c r="BX99" s="867"/>
      <c r="BY99" s="867"/>
      <c r="BZ99" s="867"/>
      <c r="CA99" s="867"/>
      <c r="CB99" s="867"/>
      <c r="CC99" s="304"/>
      <c r="CD99" s="304"/>
      <c r="CE99" s="304"/>
      <c r="CF99" s="304"/>
      <c r="CG99" s="304"/>
      <c r="CH99" s="284"/>
      <c r="CI99" s="288"/>
      <c r="CJ99" s="288"/>
    </row>
    <row r="100" spans="1:88" s="250" customFormat="1" ht="3" customHeight="1">
      <c r="A100" s="312"/>
      <c r="B100" s="312"/>
      <c r="C100" s="312"/>
      <c r="D100" s="312"/>
      <c r="E100" s="1057"/>
      <c r="F100" s="1058"/>
      <c r="G100" s="1061"/>
      <c r="H100" s="1061"/>
      <c r="I100" s="1061"/>
      <c r="J100" s="1061"/>
      <c r="K100" s="1061"/>
      <c r="L100" s="1061"/>
      <c r="M100" s="1061"/>
      <c r="N100" s="1061"/>
      <c r="O100" s="1061"/>
      <c r="P100" s="1061"/>
      <c r="Q100" s="1061"/>
      <c r="R100" s="1061"/>
      <c r="S100" s="1061"/>
      <c r="T100" s="1061"/>
      <c r="U100" s="1061"/>
      <c r="V100" s="1061"/>
      <c r="W100" s="1061"/>
      <c r="X100" s="1061"/>
      <c r="Y100" s="1061"/>
      <c r="Z100" s="1061"/>
      <c r="AA100" s="1061"/>
      <c r="AB100" s="1061"/>
      <c r="AC100" s="1061"/>
      <c r="AD100" s="1061"/>
      <c r="AE100" s="1061"/>
      <c r="AF100" s="1061"/>
      <c r="AG100" s="1061"/>
      <c r="AH100" s="1061"/>
      <c r="AI100" s="1061"/>
      <c r="AJ100" s="1061"/>
      <c r="AK100" s="1014"/>
      <c r="AL100" s="1014"/>
      <c r="AM100" s="1014"/>
      <c r="AN100" s="355"/>
      <c r="AO100" s="436"/>
      <c r="AP100" s="436"/>
      <c r="AQ100" s="436"/>
      <c r="AR100" s="435"/>
      <c r="AS100" s="433"/>
      <c r="AT100" s="433"/>
      <c r="AU100" s="433"/>
      <c r="AV100" s="433"/>
      <c r="AW100" s="433"/>
      <c r="AX100" s="434"/>
      <c r="AY100" s="1007"/>
      <c r="AZ100" s="1007"/>
      <c r="BA100" s="1007"/>
      <c r="BB100" s="1007"/>
      <c r="BC100" s="1007"/>
      <c r="BD100" s="1007"/>
      <c r="BE100" s="434"/>
      <c r="BF100" s="968"/>
      <c r="BG100" s="968"/>
      <c r="BH100" s="968"/>
      <c r="BI100" s="968"/>
      <c r="BJ100" s="968"/>
      <c r="BK100" s="851"/>
      <c r="BL100" s="826"/>
      <c r="BM100" s="820"/>
      <c r="BN100" s="820"/>
      <c r="BO100" s="820"/>
      <c r="BP100" s="435"/>
      <c r="BQ100" s="1007"/>
      <c r="BR100" s="1007"/>
      <c r="BS100" s="1007"/>
      <c r="BT100" s="1007"/>
      <c r="BU100" s="1007"/>
      <c r="BV100" s="1008"/>
      <c r="BW100" s="968"/>
      <c r="BX100" s="968"/>
      <c r="BY100" s="968"/>
      <c r="BZ100" s="968"/>
      <c r="CA100" s="968"/>
      <c r="CB100" s="1009"/>
      <c r="CC100" s="968"/>
      <c r="CD100" s="968"/>
      <c r="CE100" s="968"/>
      <c r="CF100" s="968"/>
      <c r="CG100" s="968"/>
      <c r="CH100" s="285"/>
      <c r="CI100" s="288"/>
      <c r="CJ100" s="288"/>
    </row>
    <row r="101" spans="1:88" s="313" customFormat="1" ht="15" customHeight="1">
      <c r="A101" s="312"/>
      <c r="B101" s="312"/>
      <c r="C101" s="312"/>
      <c r="E101" s="1057"/>
      <c r="F101" s="1058"/>
      <c r="G101" s="1061"/>
      <c r="H101" s="1061"/>
      <c r="I101" s="1061"/>
      <c r="J101" s="1061"/>
      <c r="K101" s="1061"/>
      <c r="L101" s="1061"/>
      <c r="M101" s="1061"/>
      <c r="N101" s="1061"/>
      <c r="O101" s="1061"/>
      <c r="P101" s="1061"/>
      <c r="Q101" s="1061"/>
      <c r="R101" s="1061"/>
      <c r="S101" s="1061"/>
      <c r="T101" s="1061"/>
      <c r="U101" s="1061"/>
      <c r="V101" s="1061"/>
      <c r="W101" s="1061"/>
      <c r="X101" s="1061"/>
      <c r="Y101" s="1061"/>
      <c r="Z101" s="1061"/>
      <c r="AA101" s="1061"/>
      <c r="AB101" s="1061"/>
      <c r="AC101" s="1061"/>
      <c r="AD101" s="1061"/>
      <c r="AE101" s="1061"/>
      <c r="AF101" s="1061"/>
      <c r="AG101" s="1061"/>
      <c r="AH101" s="1061"/>
      <c r="AI101" s="1061"/>
      <c r="AJ101" s="1061"/>
      <c r="AK101" s="1014"/>
      <c r="AL101" s="1014"/>
      <c r="AM101" s="1014"/>
      <c r="AN101" s="355"/>
      <c r="AO101" s="432" t="str">
        <f>IF(LEN(VLOOKUP(AK99,vysledovka!$D$8:$F$68,2,FALSE))&lt;11,"",LEFT(RIGHT(VLOOKUP(AK99,vysledovka!$D$8:$F$68,2,FALSE),11),1))</f>
        <v/>
      </c>
      <c r="AP101" s="255"/>
      <c r="AQ101" s="432" t="str">
        <f>IF(LEN(VLOOKUP(AK99,vysledovka!$D$8:$F$68,2,FALSE))&lt;10,"",LEFT(RIGHT(VLOOKUP(AK99,vysledovka!$D$8:$F$68,2,FALSE),10),1))</f>
        <v/>
      </c>
      <c r="AR101" s="434"/>
      <c r="AS101" s="432" t="str">
        <f>IF(LEN(VLOOKUP(AK99,vysledovka!$D$8:$F$68,2,FALSE))&lt;9,"",LEFT(RIGHT(VLOOKUP(AK99,vysledovka!$D$8:$F$68,2,FALSE),9),1))</f>
        <v/>
      </c>
      <c r="AT101" s="255"/>
      <c r="AU101" s="432" t="str">
        <f>IF(LEN(VLOOKUP(AK99,vysledovka!$D$8:$F$68,2,FALSE))&lt;8,"",LEFT(RIGHT(VLOOKUP(AK99,vysledovka!$D$8:$F$68,2,FALSE),8),1))</f>
        <v/>
      </c>
      <c r="AV101" s="434"/>
      <c r="AW101" s="432" t="str">
        <f>IF(LEN(VLOOKUP(AK99,vysledovka!$D$8:$F$68,2,FALSE))&lt;7,"",LEFT(RIGHT(VLOOKUP(AK99,vysledovka!$D$8:$F$68,2,FALSE),7),1))</f>
        <v/>
      </c>
      <c r="AX101" s="434"/>
      <c r="AY101" s="432" t="str">
        <f>IF(LEN(VLOOKUP(AK99,vysledovka!$D$8:$F$68,2,FALSE))&lt;6,"",LEFT(RIGHT(VLOOKUP(AK99,vysledovka!$D$8:$F$68,2,FALSE),6),1))</f>
        <v>1</v>
      </c>
      <c r="AZ101" s="255"/>
      <c r="BA101" s="961" t="str">
        <f>IF(LEN(VLOOKUP(AK99,vysledovka!$D$8:$F$68,2,FALSE))&lt;5,"",LEFT(RIGHT(VLOOKUP(AK99,vysledovka!$D$8:$F$68,2,FALSE),5),1))</f>
        <v>1</v>
      </c>
      <c r="BB101" s="961"/>
      <c r="BC101" s="434"/>
      <c r="BD101" s="432" t="str">
        <f>IF(LEN(VLOOKUP(AK99,vysledovka!$D$8:$F$68,2,FALSE))&lt;4,"",LEFT(RIGHT(VLOOKUP(AK99,vysledovka!$D$8:$F$68,2,FALSE),4),1))</f>
        <v>4</v>
      </c>
      <c r="BE101" s="434"/>
      <c r="BF101" s="432" t="str">
        <f>IF(LEN(VLOOKUP(AK99,vysledovka!$D$8:$F$68,2,FALSE))&lt;3,"",LEFT(RIGHT(VLOOKUP(AK99,vysledovka!$D$8:$F$68,2,FALSE),3),1))</f>
        <v>9</v>
      </c>
      <c r="BG101" s="434"/>
      <c r="BH101" s="432" t="str">
        <f>IF(LEN(VLOOKUP(AK99,vysledovka!$D$8:$F$68,2,FALSE))&lt;2,"",LEFT(RIGHT(VLOOKUP(AK99,vysledovka!$D$8:$F$68,2,FALSE),2),1))</f>
        <v>7</v>
      </c>
      <c r="BI101" s="434"/>
      <c r="BJ101" s="432" t="str">
        <f>IF(VLOOKUP(AK99,vysledovka!$D$8:$F$68,2,FALSE)=0,"",IF(LEN(VLOOKUP(AK99,vysledovka!$D$8:$F$68,2,FALSE))&lt;1,"",LEFT(RIGHT(VLOOKUP(AK99,vysledovka!$D$8:$F$68,2,FALSE),1),1)))</f>
        <v>3</v>
      </c>
      <c r="BK101" s="851"/>
      <c r="BL101" s="826"/>
      <c r="BM101" s="432" t="str">
        <f>IF(LEN(VLOOKUP(AK99,vysledovka!$D$8:$F$68,3,FALSE))&lt;11,"",LEFT(RIGHT(VLOOKUP(AK99,vysledovka!$D$8:$F$68,3,FALSE),11),1))</f>
        <v/>
      </c>
      <c r="BN101" s="255"/>
      <c r="BO101" s="432" t="str">
        <f>IF(LEN(VLOOKUP(AK99,vysledovka!$D$8:$F$68,3,FALSE))&lt;10,"",LEFT(RIGHT(VLOOKUP(AK99,vysledovka!$D$8:$F$68,3,FALSE),10),1))</f>
        <v/>
      </c>
      <c r="BP101" s="434"/>
      <c r="BQ101" s="432" t="str">
        <f>IF(LEN(VLOOKUP(AK99,vysledovka!$D$8:$F$68,3,FALSE))&lt;9,"",LEFT(RIGHT(VLOOKUP(AK99,vysledovka!$D$8:$F$68,3,FALSE),9),1))</f>
        <v/>
      </c>
      <c r="BR101" s="255"/>
      <c r="BS101" s="432" t="str">
        <f>IF(LEN(VLOOKUP(AK99,vysledovka!$D$8:$F$68,3,FALSE))&lt;8,"",LEFT(RIGHT(VLOOKUP(AK99,vysledovka!$D$8:$F$68,3,FALSE),8),1))</f>
        <v/>
      </c>
      <c r="BT101" s="434"/>
      <c r="BU101" s="432" t="str">
        <f>IF(LEN(VLOOKUP(AK99,vysledovka!$D$8:$F$68,3,FALSE))&lt;7,"",LEFT(RIGHT(VLOOKUP(AK99,vysledovka!$D$8:$F$68,3,FALSE),7),1))</f>
        <v/>
      </c>
      <c r="BV101" s="1008"/>
      <c r="BW101" s="432" t="str">
        <f>IF(LEN(VLOOKUP(AK99,vysledovka!$D$8:$F$68,3,FALSE))&lt;6,"",LEFT(RIGHT(VLOOKUP(AK99,vysledovka!$D$8:$F$68,3,FALSE),6),1))</f>
        <v/>
      </c>
      <c r="BX101" s="434"/>
      <c r="BY101" s="432" t="str">
        <f>IF(LEN(VLOOKUP(AK99,vysledovka!$D$8:$F$68,3,FALSE))&lt;5,"",LEFT(RIGHT(VLOOKUP(AK99,vysledovka!$D$8:$F$68,3,FALSE),5),1))</f>
        <v>2</v>
      </c>
      <c r="BZ101" s="434"/>
      <c r="CA101" s="432" t="str">
        <f>IF(LEN(VLOOKUP(AK99,vysledovka!$D$8:$F$68,3,FALSE))&lt;4,"",LEFT(RIGHT(VLOOKUP(AK99,vysledovka!$D$8:$F$68,3,FALSE),4),1))</f>
        <v>8</v>
      </c>
      <c r="CB101" s="1009"/>
      <c r="CC101" s="432" t="str">
        <f>IF(LEN(VLOOKUP(AK99,vysledovka!$D$8:$F$68,3,FALSE))&lt;3,"",LEFT(RIGHT(VLOOKUP(AK99,vysledovka!$D$8:$F$68,3,FALSE),3),1))</f>
        <v>1</v>
      </c>
      <c r="CD101" s="434"/>
      <c r="CE101" s="432" t="str">
        <f>IF(LEN(VLOOKUP(AK99,vysledovka!$D$8:$F$68,3,FALSE))&lt;2,"",LEFT(RIGHT(VLOOKUP(AK99,vysledovka!$D$8:$F$68,3,FALSE),2),1))</f>
        <v>7</v>
      </c>
      <c r="CF101" s="434"/>
      <c r="CG101" s="432" t="str">
        <f>IF(VLOOKUP(AK99,vysledovka!$D$8:$F$68,3,FALSE)=0,"",IF(LEN(VLOOKUP(AK99,vysledovka!$D$8:$F$68,3,FALSE))&lt;1,"",LEFT(RIGHT(VLOOKUP(AK99,vysledovka!$D$8:$F$68,3,FALSE),1),1)))</f>
        <v>4</v>
      </c>
      <c r="CH101" s="285"/>
      <c r="CI101" s="312"/>
      <c r="CJ101" s="312"/>
    </row>
    <row r="102" spans="1:88" s="313" customFormat="1" ht="3" customHeight="1">
      <c r="A102" s="312"/>
      <c r="B102" s="312"/>
      <c r="C102" s="312"/>
      <c r="E102" s="1057"/>
      <c r="F102" s="1058"/>
      <c r="G102" s="1061"/>
      <c r="H102" s="1061"/>
      <c r="I102" s="1061"/>
      <c r="J102" s="1061"/>
      <c r="K102" s="1061"/>
      <c r="L102" s="1061"/>
      <c r="M102" s="1061"/>
      <c r="N102" s="1061"/>
      <c r="O102" s="1061"/>
      <c r="P102" s="1061"/>
      <c r="Q102" s="1061"/>
      <c r="R102" s="1061"/>
      <c r="S102" s="1061"/>
      <c r="T102" s="1061"/>
      <c r="U102" s="1061"/>
      <c r="V102" s="1061"/>
      <c r="W102" s="1061"/>
      <c r="X102" s="1061"/>
      <c r="Y102" s="1061"/>
      <c r="Z102" s="1061"/>
      <c r="AA102" s="1061"/>
      <c r="AB102" s="1061"/>
      <c r="AC102" s="1061"/>
      <c r="AD102" s="1061"/>
      <c r="AE102" s="1061"/>
      <c r="AF102" s="1061"/>
      <c r="AG102" s="1061"/>
      <c r="AH102" s="1061"/>
      <c r="AI102" s="1061"/>
      <c r="AJ102" s="1061"/>
      <c r="AK102" s="1014"/>
      <c r="AL102" s="1014"/>
      <c r="AM102" s="1014"/>
      <c r="AN102" s="358"/>
      <c r="AO102" s="365"/>
      <c r="AP102" s="365"/>
      <c r="AQ102" s="365"/>
      <c r="AR102" s="365"/>
      <c r="AS102" s="365"/>
      <c r="AT102" s="365"/>
      <c r="AU102" s="365"/>
      <c r="AV102" s="365"/>
      <c r="AW102" s="365"/>
      <c r="AX102" s="365"/>
      <c r="AY102" s="365"/>
      <c r="AZ102" s="365"/>
      <c r="BA102" s="365"/>
      <c r="BB102" s="365"/>
      <c r="BC102" s="365"/>
      <c r="BD102" s="365"/>
      <c r="BE102" s="310"/>
      <c r="BF102" s="310"/>
      <c r="BG102" s="310"/>
      <c r="BH102" s="310"/>
      <c r="BI102" s="310"/>
      <c r="BJ102" s="310"/>
      <c r="BK102" s="310"/>
      <c r="BL102" s="846"/>
      <c r="BM102" s="846"/>
      <c r="BN102" s="846"/>
      <c r="BO102" s="846"/>
      <c r="BP102" s="846"/>
      <c r="BQ102" s="846"/>
      <c r="BR102" s="846"/>
      <c r="BS102" s="846"/>
      <c r="BT102" s="846"/>
      <c r="BU102" s="846"/>
      <c r="BV102" s="846"/>
      <c r="BW102" s="846"/>
      <c r="BX102" s="846"/>
      <c r="BY102" s="846"/>
      <c r="BZ102" s="846"/>
      <c r="CA102" s="846"/>
      <c r="CB102" s="846"/>
      <c r="CC102" s="310"/>
      <c r="CD102" s="310"/>
      <c r="CE102" s="310"/>
      <c r="CF102" s="310"/>
      <c r="CG102" s="310"/>
      <c r="CH102" s="286"/>
      <c r="CI102" s="312"/>
      <c r="CJ102" s="312"/>
    </row>
    <row r="103" spans="1:88" s="250" customFormat="1" ht="3" customHeight="1">
      <c r="A103" s="312"/>
      <c r="B103" s="312"/>
      <c r="C103" s="224"/>
      <c r="D103" s="224"/>
      <c r="E103" s="1059" t="s">
        <v>1542</v>
      </c>
      <c r="F103" s="1060"/>
      <c r="G103" s="972" t="str">
        <f>Index!C255</f>
        <v>Ostatné nákladové úroky (562A)</v>
      </c>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1056" t="s">
        <v>1608</v>
      </c>
      <c r="AL103" s="1014"/>
      <c r="AM103" s="1014"/>
      <c r="AN103" s="357"/>
      <c r="AO103" s="366"/>
      <c r="AP103" s="366"/>
      <c r="AQ103" s="366"/>
      <c r="AR103" s="366"/>
      <c r="AS103" s="366"/>
      <c r="AT103" s="366"/>
      <c r="AU103" s="366"/>
      <c r="AV103" s="366"/>
      <c r="AW103" s="366"/>
      <c r="AX103" s="366"/>
      <c r="AY103" s="366"/>
      <c r="AZ103" s="366"/>
      <c r="BA103" s="366"/>
      <c r="BB103" s="366"/>
      <c r="BC103" s="366"/>
      <c r="BD103" s="366"/>
      <c r="BE103" s="304"/>
      <c r="BF103" s="304"/>
      <c r="BG103" s="304"/>
      <c r="BH103" s="304"/>
      <c r="BI103" s="304"/>
      <c r="BJ103" s="304"/>
      <c r="BK103" s="304"/>
      <c r="BL103" s="867"/>
      <c r="BM103" s="867"/>
      <c r="BN103" s="867"/>
      <c r="BO103" s="867"/>
      <c r="BP103" s="867"/>
      <c r="BQ103" s="867"/>
      <c r="BR103" s="867"/>
      <c r="BS103" s="867"/>
      <c r="BT103" s="867"/>
      <c r="BU103" s="867"/>
      <c r="BV103" s="867"/>
      <c r="BW103" s="867"/>
      <c r="BX103" s="867"/>
      <c r="BY103" s="867"/>
      <c r="BZ103" s="867"/>
      <c r="CA103" s="867"/>
      <c r="CB103" s="867"/>
      <c r="CC103" s="304"/>
      <c r="CD103" s="304"/>
      <c r="CE103" s="304"/>
      <c r="CF103" s="304"/>
      <c r="CG103" s="304"/>
      <c r="CH103" s="284"/>
      <c r="CI103" s="288"/>
      <c r="CJ103" s="288"/>
    </row>
    <row r="104" spans="1:88" s="250" customFormat="1" ht="3" customHeight="1">
      <c r="A104" s="312"/>
      <c r="B104" s="312"/>
      <c r="C104" s="312"/>
      <c r="D104" s="312"/>
      <c r="E104" s="1059"/>
      <c r="F104" s="1060"/>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1014"/>
      <c r="AL104" s="1014"/>
      <c r="AM104" s="1014"/>
      <c r="AN104" s="355"/>
      <c r="AO104" s="436"/>
      <c r="AP104" s="436"/>
      <c r="AQ104" s="436"/>
      <c r="AR104" s="435"/>
      <c r="AS104" s="433"/>
      <c r="AT104" s="433"/>
      <c r="AU104" s="433"/>
      <c r="AV104" s="433"/>
      <c r="AW104" s="433"/>
      <c r="AX104" s="434"/>
      <c r="AY104" s="1007"/>
      <c r="AZ104" s="1007"/>
      <c r="BA104" s="1007"/>
      <c r="BB104" s="1007"/>
      <c r="BC104" s="1007"/>
      <c r="BD104" s="1007"/>
      <c r="BE104" s="434"/>
      <c r="BF104" s="968"/>
      <c r="BG104" s="968"/>
      <c r="BH104" s="968"/>
      <c r="BI104" s="968"/>
      <c r="BJ104" s="968"/>
      <c r="BK104" s="851"/>
      <c r="BL104" s="826"/>
      <c r="BM104" s="820"/>
      <c r="BN104" s="820"/>
      <c r="BO104" s="820"/>
      <c r="BP104" s="435"/>
      <c r="BQ104" s="1007"/>
      <c r="BR104" s="1007"/>
      <c r="BS104" s="1007"/>
      <c r="BT104" s="1007"/>
      <c r="BU104" s="1007"/>
      <c r="BV104" s="1008"/>
      <c r="BW104" s="968"/>
      <c r="BX104" s="968"/>
      <c r="BY104" s="968"/>
      <c r="BZ104" s="968"/>
      <c r="CA104" s="968"/>
      <c r="CB104" s="1009"/>
      <c r="CC104" s="968"/>
      <c r="CD104" s="968"/>
      <c r="CE104" s="968"/>
      <c r="CF104" s="968"/>
      <c r="CG104" s="968"/>
      <c r="CH104" s="285"/>
      <c r="CI104" s="288"/>
      <c r="CJ104" s="288"/>
    </row>
    <row r="105" spans="1:88" s="313" customFormat="1" ht="15" customHeight="1">
      <c r="A105" s="312"/>
      <c r="B105" s="312"/>
      <c r="C105" s="312"/>
      <c r="E105" s="1059"/>
      <c r="F105" s="1060"/>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1014"/>
      <c r="AL105" s="1014"/>
      <c r="AM105" s="1014"/>
      <c r="AN105" s="355"/>
      <c r="AO105" s="432" t="str">
        <f>IF(LEN(VLOOKUP(AK103,vysledovka!$D$8:$F$68,2,FALSE))&lt;11,"",LEFT(RIGHT(VLOOKUP(AK103,vysledovka!$D$8:$F$68,2,FALSE),11),1))</f>
        <v/>
      </c>
      <c r="AP105" s="255"/>
      <c r="AQ105" s="432" t="str">
        <f>IF(LEN(VLOOKUP(AK103,vysledovka!$D$8:$F$68,2,FALSE))&lt;10,"",LEFT(RIGHT(VLOOKUP(AK103,vysledovka!$D$8:$F$68,2,FALSE),10),1))</f>
        <v/>
      </c>
      <c r="AR105" s="434"/>
      <c r="AS105" s="432" t="str">
        <f>IF(LEN(VLOOKUP(AK103,vysledovka!$D$8:$F$68,2,FALSE))&lt;9,"",LEFT(RIGHT(VLOOKUP(AK103,vysledovka!$D$8:$F$68,2,FALSE),9),1))</f>
        <v/>
      </c>
      <c r="AT105" s="255"/>
      <c r="AU105" s="432" t="str">
        <f>IF(LEN(VLOOKUP(AK103,vysledovka!$D$8:$F$68,2,FALSE))&lt;8,"",LEFT(RIGHT(VLOOKUP(AK103,vysledovka!$D$8:$F$68,2,FALSE),8),1))</f>
        <v/>
      </c>
      <c r="AV105" s="434"/>
      <c r="AW105" s="432" t="str">
        <f>IF(LEN(VLOOKUP(AK103,vysledovka!$D$8:$F$68,2,FALSE))&lt;7,"",LEFT(RIGHT(VLOOKUP(AK103,vysledovka!$D$8:$F$68,2,FALSE),7),1))</f>
        <v/>
      </c>
      <c r="AX105" s="434"/>
      <c r="AY105" s="432" t="str">
        <f>IF(LEN(VLOOKUP(AK103,vysledovka!$D$8:$F$68,2,FALSE))&lt;6,"",LEFT(RIGHT(VLOOKUP(AK103,vysledovka!$D$8:$F$68,2,FALSE),6),1))</f>
        <v>1</v>
      </c>
      <c r="AZ105" s="255"/>
      <c r="BA105" s="961" t="str">
        <f>IF(LEN(VLOOKUP(AK103,vysledovka!$D$8:$F$68,2,FALSE))&lt;5,"",LEFT(RIGHT(VLOOKUP(AK103,vysledovka!$D$8:$F$68,2,FALSE),5),1))</f>
        <v>7</v>
      </c>
      <c r="BB105" s="961"/>
      <c r="BC105" s="434"/>
      <c r="BD105" s="432" t="str">
        <f>IF(LEN(VLOOKUP(AK103,vysledovka!$D$8:$F$68,2,FALSE))&lt;4,"",LEFT(RIGHT(VLOOKUP(AK103,vysledovka!$D$8:$F$68,2,FALSE),4),1))</f>
        <v>3</v>
      </c>
      <c r="BE105" s="434"/>
      <c r="BF105" s="432" t="str">
        <f>IF(LEN(VLOOKUP(AK103,vysledovka!$D$8:$F$68,2,FALSE))&lt;3,"",LEFT(RIGHT(VLOOKUP(AK103,vysledovka!$D$8:$F$68,2,FALSE),3),1))</f>
        <v>6</v>
      </c>
      <c r="BG105" s="434"/>
      <c r="BH105" s="432" t="str">
        <f>IF(LEN(VLOOKUP(AK103,vysledovka!$D$8:$F$68,2,FALSE))&lt;2,"",LEFT(RIGHT(VLOOKUP(AK103,vysledovka!$D$8:$F$68,2,FALSE),2),1))</f>
        <v>9</v>
      </c>
      <c r="BI105" s="434"/>
      <c r="BJ105" s="432" t="str">
        <f>IF(VLOOKUP(AK103,vysledovka!$D$8:$F$68,2,FALSE)=0,"",IF(LEN(VLOOKUP(AK103,vysledovka!$D$8:$F$68,2,FALSE))&lt;1,"",LEFT(RIGHT(VLOOKUP(AK103,vysledovka!$D$8:$F$68,2,FALSE),1),1)))</f>
        <v>7</v>
      </c>
      <c r="BK105" s="851"/>
      <c r="BL105" s="826"/>
      <c r="BM105" s="432" t="str">
        <f>IF(LEN(VLOOKUP(AK103,vysledovka!$D$8:$F$68,3,FALSE))&lt;11,"",LEFT(RIGHT(VLOOKUP(AK103,vysledovka!$D$8:$F$68,3,FALSE),11),1))</f>
        <v/>
      </c>
      <c r="BN105" s="255"/>
      <c r="BO105" s="432" t="str">
        <f>IF(LEN(VLOOKUP(AK103,vysledovka!$D$8:$F$68,3,FALSE))&lt;10,"",LEFT(RIGHT(VLOOKUP(AK103,vysledovka!$D$8:$F$68,3,FALSE),10),1))</f>
        <v/>
      </c>
      <c r="BP105" s="434"/>
      <c r="BQ105" s="432" t="str">
        <f>IF(LEN(VLOOKUP(AK103,vysledovka!$D$8:$F$68,3,FALSE))&lt;9,"",LEFT(RIGHT(VLOOKUP(AK103,vysledovka!$D$8:$F$68,3,FALSE),9),1))</f>
        <v/>
      </c>
      <c r="BR105" s="255"/>
      <c r="BS105" s="432" t="str">
        <f>IF(LEN(VLOOKUP(AK103,vysledovka!$D$8:$F$68,3,FALSE))&lt;8,"",LEFT(RIGHT(VLOOKUP(AK103,vysledovka!$D$8:$F$68,3,FALSE),8),1))</f>
        <v/>
      </c>
      <c r="BT105" s="434"/>
      <c r="BU105" s="432" t="str">
        <f>IF(LEN(VLOOKUP(AK103,vysledovka!$D$8:$F$68,3,FALSE))&lt;7,"",LEFT(RIGHT(VLOOKUP(AK103,vysledovka!$D$8:$F$68,3,FALSE),7),1))</f>
        <v/>
      </c>
      <c r="BV105" s="1008"/>
      <c r="BW105" s="432" t="str">
        <f>IF(LEN(VLOOKUP(AK103,vysledovka!$D$8:$F$68,3,FALSE))&lt;6,"",LEFT(RIGHT(VLOOKUP(AK103,vysledovka!$D$8:$F$68,3,FALSE),6),1))</f>
        <v>2</v>
      </c>
      <c r="BX105" s="434"/>
      <c r="BY105" s="432" t="str">
        <f>IF(LEN(VLOOKUP(AK103,vysledovka!$D$8:$F$68,3,FALSE))&lt;5,"",LEFT(RIGHT(VLOOKUP(AK103,vysledovka!$D$8:$F$68,3,FALSE),5),1))</f>
        <v>8</v>
      </c>
      <c r="BZ105" s="434"/>
      <c r="CA105" s="432" t="str">
        <f>IF(LEN(VLOOKUP(AK103,vysledovka!$D$8:$F$68,3,FALSE))&lt;4,"",LEFT(RIGHT(VLOOKUP(AK103,vysledovka!$D$8:$F$68,3,FALSE),4),1))</f>
        <v>9</v>
      </c>
      <c r="CB105" s="1009"/>
      <c r="CC105" s="432" t="str">
        <f>IF(LEN(VLOOKUP(AK103,vysledovka!$D$8:$F$68,3,FALSE))&lt;3,"",LEFT(RIGHT(VLOOKUP(AK103,vysledovka!$D$8:$F$68,3,FALSE),3),1))</f>
        <v>3</v>
      </c>
      <c r="CD105" s="434"/>
      <c r="CE105" s="432" t="str">
        <f>IF(LEN(VLOOKUP(AK103,vysledovka!$D$8:$F$68,3,FALSE))&lt;2,"",LEFT(RIGHT(VLOOKUP(AK103,vysledovka!$D$8:$F$68,3,FALSE),2),1))</f>
        <v>7</v>
      </c>
      <c r="CF105" s="434"/>
      <c r="CG105" s="432" t="str">
        <f>IF(VLOOKUP(AK103,vysledovka!$D$8:$F$68,3,FALSE)=0,"",IF(LEN(VLOOKUP(AK103,vysledovka!$D$8:$F$68,3,FALSE))&lt;1,"",LEFT(RIGHT(VLOOKUP(AK103,vysledovka!$D$8:$F$68,3,FALSE),1),1)))</f>
        <v>9</v>
      </c>
      <c r="CH105" s="285"/>
      <c r="CI105" s="312"/>
      <c r="CJ105" s="312"/>
    </row>
    <row r="106" spans="1:88" s="313" customFormat="1" ht="3" customHeight="1">
      <c r="A106" s="312"/>
      <c r="B106" s="312"/>
      <c r="C106" s="312"/>
      <c r="E106" s="1059"/>
      <c r="F106" s="1060"/>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1014"/>
      <c r="AL106" s="1014"/>
      <c r="AM106" s="1014"/>
      <c r="AN106" s="358"/>
      <c r="AO106" s="365"/>
      <c r="AP106" s="365"/>
      <c r="AQ106" s="365"/>
      <c r="AR106" s="365"/>
      <c r="AS106" s="365"/>
      <c r="AT106" s="365"/>
      <c r="AU106" s="365"/>
      <c r="AV106" s="365"/>
      <c r="AW106" s="365"/>
      <c r="AX106" s="365"/>
      <c r="AY106" s="365"/>
      <c r="AZ106" s="365"/>
      <c r="BA106" s="365"/>
      <c r="BB106" s="365"/>
      <c r="BC106" s="365"/>
      <c r="BD106" s="365"/>
      <c r="BE106" s="310"/>
      <c r="BF106" s="310"/>
      <c r="BG106" s="310"/>
      <c r="BH106" s="310"/>
      <c r="BI106" s="310"/>
      <c r="BJ106" s="310"/>
      <c r="BK106" s="310"/>
      <c r="BL106" s="846"/>
      <c r="BM106" s="846"/>
      <c r="BN106" s="846"/>
      <c r="BO106" s="846"/>
      <c r="BP106" s="846"/>
      <c r="BQ106" s="846"/>
      <c r="BR106" s="846"/>
      <c r="BS106" s="846"/>
      <c r="BT106" s="846"/>
      <c r="BU106" s="846"/>
      <c r="BV106" s="846"/>
      <c r="BW106" s="846"/>
      <c r="BX106" s="846"/>
      <c r="BY106" s="846"/>
      <c r="BZ106" s="846"/>
      <c r="CA106" s="846"/>
      <c r="CB106" s="846"/>
      <c r="CC106" s="310"/>
      <c r="CD106" s="310"/>
      <c r="CE106" s="310"/>
      <c r="CF106" s="310"/>
      <c r="CG106" s="310"/>
      <c r="CH106" s="286"/>
      <c r="CI106" s="312"/>
      <c r="CJ106" s="312"/>
    </row>
    <row r="107" spans="1:88" s="250" customFormat="1" ht="3" customHeight="1">
      <c r="A107" s="312"/>
      <c r="B107" s="312"/>
      <c r="C107" s="224"/>
      <c r="D107" s="224"/>
      <c r="E107" s="1057" t="s">
        <v>698</v>
      </c>
      <c r="F107" s="1058"/>
      <c r="G107" s="972" t="str">
        <f>Index!C256</f>
        <v>Kurzové straty (563)</v>
      </c>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1056" t="s">
        <v>1609</v>
      </c>
      <c r="AL107" s="1014"/>
      <c r="AM107" s="1014"/>
      <c r="AN107" s="357"/>
      <c r="AO107" s="366"/>
      <c r="AP107" s="366"/>
      <c r="AQ107" s="366"/>
      <c r="AR107" s="366"/>
      <c r="AS107" s="366"/>
      <c r="AT107" s="366"/>
      <c r="AU107" s="366"/>
      <c r="AV107" s="366"/>
      <c r="AW107" s="366"/>
      <c r="AX107" s="366"/>
      <c r="AY107" s="366"/>
      <c r="AZ107" s="366"/>
      <c r="BA107" s="366"/>
      <c r="BB107" s="366"/>
      <c r="BC107" s="366"/>
      <c r="BD107" s="366"/>
      <c r="BE107" s="304"/>
      <c r="BF107" s="304"/>
      <c r="BG107" s="304"/>
      <c r="BH107" s="304"/>
      <c r="BI107" s="304"/>
      <c r="BJ107" s="304"/>
      <c r="BK107" s="304"/>
      <c r="BL107" s="867"/>
      <c r="BM107" s="867"/>
      <c r="BN107" s="867"/>
      <c r="BO107" s="867"/>
      <c r="BP107" s="867"/>
      <c r="BQ107" s="867"/>
      <c r="BR107" s="867"/>
      <c r="BS107" s="867"/>
      <c r="BT107" s="867"/>
      <c r="BU107" s="867"/>
      <c r="BV107" s="867"/>
      <c r="BW107" s="867"/>
      <c r="BX107" s="867"/>
      <c r="BY107" s="867"/>
      <c r="BZ107" s="867"/>
      <c r="CA107" s="867"/>
      <c r="CB107" s="867"/>
      <c r="CC107" s="304"/>
      <c r="CD107" s="304"/>
      <c r="CE107" s="304"/>
      <c r="CF107" s="304"/>
      <c r="CG107" s="304"/>
      <c r="CH107" s="284"/>
      <c r="CI107" s="288"/>
      <c r="CJ107" s="288"/>
    </row>
    <row r="108" spans="1:88" s="250" customFormat="1" ht="3" customHeight="1">
      <c r="A108" s="312"/>
      <c r="B108" s="312"/>
      <c r="C108" s="312"/>
      <c r="D108" s="312"/>
      <c r="E108" s="1057"/>
      <c r="F108" s="1058"/>
      <c r="G108" s="972"/>
      <c r="H108" s="972"/>
      <c r="I108" s="972"/>
      <c r="J108" s="972"/>
      <c r="K108" s="972"/>
      <c r="L108" s="972"/>
      <c r="M108" s="972"/>
      <c r="N108" s="972"/>
      <c r="O108" s="972"/>
      <c r="P108" s="972"/>
      <c r="Q108" s="972"/>
      <c r="R108" s="972"/>
      <c r="S108" s="972"/>
      <c r="T108" s="972"/>
      <c r="U108" s="972"/>
      <c r="V108" s="972"/>
      <c r="W108" s="972"/>
      <c r="X108" s="972"/>
      <c r="Y108" s="972"/>
      <c r="Z108" s="972"/>
      <c r="AA108" s="972"/>
      <c r="AB108" s="972"/>
      <c r="AC108" s="972"/>
      <c r="AD108" s="972"/>
      <c r="AE108" s="972"/>
      <c r="AF108" s="972"/>
      <c r="AG108" s="972"/>
      <c r="AH108" s="972"/>
      <c r="AI108" s="972"/>
      <c r="AJ108" s="972"/>
      <c r="AK108" s="1014"/>
      <c r="AL108" s="1014"/>
      <c r="AM108" s="1014"/>
      <c r="AN108" s="355"/>
      <c r="AO108" s="436"/>
      <c r="AP108" s="436"/>
      <c r="AQ108" s="436"/>
      <c r="AR108" s="435"/>
      <c r="AS108" s="433"/>
      <c r="AT108" s="433"/>
      <c r="AU108" s="433"/>
      <c r="AV108" s="433"/>
      <c r="AW108" s="433"/>
      <c r="AX108" s="434"/>
      <c r="AY108" s="1007"/>
      <c r="AZ108" s="1007"/>
      <c r="BA108" s="1007"/>
      <c r="BB108" s="1007"/>
      <c r="BC108" s="1007"/>
      <c r="BD108" s="1007"/>
      <c r="BE108" s="434"/>
      <c r="BF108" s="968"/>
      <c r="BG108" s="968"/>
      <c r="BH108" s="968"/>
      <c r="BI108" s="968"/>
      <c r="BJ108" s="968"/>
      <c r="BK108" s="851"/>
      <c r="BL108" s="826"/>
      <c r="BM108" s="820"/>
      <c r="BN108" s="820"/>
      <c r="BO108" s="820"/>
      <c r="BP108" s="435"/>
      <c r="BQ108" s="1007"/>
      <c r="BR108" s="1007"/>
      <c r="BS108" s="1007"/>
      <c r="BT108" s="1007"/>
      <c r="BU108" s="1007"/>
      <c r="BV108" s="1008"/>
      <c r="BW108" s="968"/>
      <c r="BX108" s="968"/>
      <c r="BY108" s="968"/>
      <c r="BZ108" s="968"/>
      <c r="CA108" s="968"/>
      <c r="CB108" s="1009"/>
      <c r="CC108" s="968"/>
      <c r="CD108" s="968"/>
      <c r="CE108" s="968"/>
      <c r="CF108" s="968"/>
      <c r="CG108" s="968"/>
      <c r="CH108" s="285"/>
      <c r="CI108" s="288"/>
      <c r="CJ108" s="288"/>
    </row>
    <row r="109" spans="1:88" s="313" customFormat="1" ht="15" customHeight="1">
      <c r="A109" s="312"/>
      <c r="B109" s="312"/>
      <c r="C109" s="312"/>
      <c r="E109" s="1057"/>
      <c r="F109" s="1058"/>
      <c r="G109" s="972"/>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1014"/>
      <c r="AL109" s="1014"/>
      <c r="AM109" s="1014"/>
      <c r="AN109" s="355"/>
      <c r="AO109" s="432" t="str">
        <f>IF(LEN(VLOOKUP(AK107,vysledovka!$D$8:$F$68,2,FALSE))&lt;11,"",LEFT(RIGHT(VLOOKUP(AK107,vysledovka!$D$8:$F$68,2,FALSE),11),1))</f>
        <v/>
      </c>
      <c r="AP109" s="255"/>
      <c r="AQ109" s="432" t="str">
        <f>IF(LEN(VLOOKUP(AK107,vysledovka!$D$8:$F$68,2,FALSE))&lt;10,"",LEFT(RIGHT(VLOOKUP(AK107,vysledovka!$D$8:$F$68,2,FALSE),10),1))</f>
        <v/>
      </c>
      <c r="AR109" s="434"/>
      <c r="AS109" s="432" t="str">
        <f>IF(LEN(VLOOKUP(AK107,vysledovka!$D$8:$F$68,2,FALSE))&lt;9,"",LEFT(RIGHT(VLOOKUP(AK107,vysledovka!$D$8:$F$68,2,FALSE),9),1))</f>
        <v/>
      </c>
      <c r="AT109" s="255"/>
      <c r="AU109" s="432" t="str">
        <f>IF(LEN(VLOOKUP(AK107,vysledovka!$D$8:$F$68,2,FALSE))&lt;8,"",LEFT(RIGHT(VLOOKUP(AK107,vysledovka!$D$8:$F$68,2,FALSE),8),1))</f>
        <v/>
      </c>
      <c r="AV109" s="434"/>
      <c r="AW109" s="432" t="str">
        <f>IF(LEN(VLOOKUP(AK107,vysledovka!$D$8:$F$68,2,FALSE))&lt;7,"",LEFT(RIGHT(VLOOKUP(AK107,vysledovka!$D$8:$F$68,2,FALSE),7),1))</f>
        <v/>
      </c>
      <c r="AX109" s="434"/>
      <c r="AY109" s="432" t="str">
        <f>IF(LEN(VLOOKUP(AK107,vysledovka!$D$8:$F$68,2,FALSE))&lt;6,"",LEFT(RIGHT(VLOOKUP(AK107,vysledovka!$D$8:$F$68,2,FALSE),6),1))</f>
        <v>2</v>
      </c>
      <c r="AZ109" s="255"/>
      <c r="BA109" s="961" t="str">
        <f>IF(LEN(VLOOKUP(AK107,vysledovka!$D$8:$F$68,2,FALSE))&lt;5,"",LEFT(RIGHT(VLOOKUP(AK107,vysledovka!$D$8:$F$68,2,FALSE),5),1))</f>
        <v>8</v>
      </c>
      <c r="BB109" s="961"/>
      <c r="BC109" s="434"/>
      <c r="BD109" s="432" t="str">
        <f>IF(LEN(VLOOKUP(AK107,vysledovka!$D$8:$F$68,2,FALSE))&lt;4,"",LEFT(RIGHT(VLOOKUP(AK107,vysledovka!$D$8:$F$68,2,FALSE),4),1))</f>
        <v>1</v>
      </c>
      <c r="BE109" s="434"/>
      <c r="BF109" s="432" t="str">
        <f>IF(LEN(VLOOKUP(AK107,vysledovka!$D$8:$F$68,2,FALSE))&lt;3,"",LEFT(RIGHT(VLOOKUP(AK107,vysledovka!$D$8:$F$68,2,FALSE),3),1))</f>
        <v>4</v>
      </c>
      <c r="BG109" s="434"/>
      <c r="BH109" s="432" t="str">
        <f>IF(LEN(VLOOKUP(AK107,vysledovka!$D$8:$F$68,2,FALSE))&lt;2,"",LEFT(RIGHT(VLOOKUP(AK107,vysledovka!$D$8:$F$68,2,FALSE),2),1))</f>
        <v>7</v>
      </c>
      <c r="BI109" s="434"/>
      <c r="BJ109" s="432" t="str">
        <f>IF(VLOOKUP(AK107,vysledovka!$D$8:$F$68,2,FALSE)=0,"",IF(LEN(VLOOKUP(AK107,vysledovka!$D$8:$F$68,2,FALSE))&lt;1,"",LEFT(RIGHT(VLOOKUP(AK107,vysledovka!$D$8:$F$68,2,FALSE),1),1)))</f>
        <v>1</v>
      </c>
      <c r="BK109" s="851"/>
      <c r="BL109" s="826"/>
      <c r="BM109" s="432" t="str">
        <f>IF(LEN(VLOOKUP(AK107,vysledovka!$D$8:$F$68,3,FALSE))&lt;11,"",LEFT(RIGHT(VLOOKUP(AK107,vysledovka!$D$8:$F$68,3,FALSE),11),1))</f>
        <v/>
      </c>
      <c r="BN109" s="255"/>
      <c r="BO109" s="432" t="str">
        <f>IF(LEN(VLOOKUP(AK107,vysledovka!$D$8:$F$68,3,FALSE))&lt;10,"",LEFT(RIGHT(VLOOKUP(AK107,vysledovka!$D$8:$F$68,3,FALSE),10),1))</f>
        <v/>
      </c>
      <c r="BP109" s="434"/>
      <c r="BQ109" s="432" t="str">
        <f>IF(LEN(VLOOKUP(AK107,vysledovka!$D$8:$F$68,3,FALSE))&lt;9,"",LEFT(RIGHT(VLOOKUP(AK107,vysledovka!$D$8:$F$68,3,FALSE),9),1))</f>
        <v/>
      </c>
      <c r="BR109" s="255"/>
      <c r="BS109" s="432" t="str">
        <f>IF(LEN(VLOOKUP(AK107,vysledovka!$D$8:$F$68,3,FALSE))&lt;8,"",LEFT(RIGHT(VLOOKUP(AK107,vysledovka!$D$8:$F$68,3,FALSE),8),1))</f>
        <v/>
      </c>
      <c r="BT109" s="434"/>
      <c r="BU109" s="432" t="str">
        <f>IF(LEN(VLOOKUP(AK107,vysledovka!$D$8:$F$68,3,FALSE))&lt;7,"",LEFT(RIGHT(VLOOKUP(AK107,vysledovka!$D$8:$F$68,3,FALSE),7),1))</f>
        <v/>
      </c>
      <c r="BV109" s="1008"/>
      <c r="BW109" s="432" t="str">
        <f>IF(LEN(VLOOKUP(AK107,vysledovka!$D$8:$F$68,3,FALSE))&lt;6,"",LEFT(RIGHT(VLOOKUP(AK107,vysledovka!$D$8:$F$68,3,FALSE),6),1))</f>
        <v>4</v>
      </c>
      <c r="BX109" s="434"/>
      <c r="BY109" s="432" t="str">
        <f>IF(LEN(VLOOKUP(AK107,vysledovka!$D$8:$F$68,3,FALSE))&lt;5,"",LEFT(RIGHT(VLOOKUP(AK107,vysledovka!$D$8:$F$68,3,FALSE),5),1))</f>
        <v>8</v>
      </c>
      <c r="BZ109" s="434"/>
      <c r="CA109" s="432" t="str">
        <f>IF(LEN(VLOOKUP(AK107,vysledovka!$D$8:$F$68,3,FALSE))&lt;4,"",LEFT(RIGHT(VLOOKUP(AK107,vysledovka!$D$8:$F$68,3,FALSE),4),1))</f>
        <v>7</v>
      </c>
      <c r="CB109" s="1009"/>
      <c r="CC109" s="432" t="str">
        <f>IF(LEN(VLOOKUP(AK107,vysledovka!$D$8:$F$68,3,FALSE))&lt;3,"",LEFT(RIGHT(VLOOKUP(AK107,vysledovka!$D$8:$F$68,3,FALSE),3),1))</f>
        <v>0</v>
      </c>
      <c r="CD109" s="434"/>
      <c r="CE109" s="432" t="str">
        <f>IF(LEN(VLOOKUP(AK107,vysledovka!$D$8:$F$68,3,FALSE))&lt;2,"",LEFT(RIGHT(VLOOKUP(AK107,vysledovka!$D$8:$F$68,3,FALSE),2),1))</f>
        <v>4</v>
      </c>
      <c r="CF109" s="434"/>
      <c r="CG109" s="432" t="str">
        <f>IF(VLOOKUP(AK107,vysledovka!$D$8:$F$68,3,FALSE)=0,"",IF(LEN(VLOOKUP(AK107,vysledovka!$D$8:$F$68,3,FALSE))&lt;1,"",LEFT(RIGHT(VLOOKUP(AK107,vysledovka!$D$8:$F$68,3,FALSE),1),1)))</f>
        <v>1</v>
      </c>
      <c r="CH109" s="285"/>
      <c r="CI109" s="312"/>
      <c r="CJ109" s="312"/>
    </row>
    <row r="110" spans="1:88" s="313" customFormat="1" ht="3" customHeight="1">
      <c r="A110" s="312"/>
      <c r="B110" s="312"/>
      <c r="C110" s="312"/>
      <c r="E110" s="1057"/>
      <c r="F110" s="1058"/>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1014"/>
      <c r="AL110" s="1014"/>
      <c r="AM110" s="1014"/>
      <c r="AN110" s="358"/>
      <c r="AO110" s="365"/>
      <c r="AP110" s="365"/>
      <c r="AQ110" s="365"/>
      <c r="AR110" s="365"/>
      <c r="AS110" s="365"/>
      <c r="AT110" s="365"/>
      <c r="AU110" s="365"/>
      <c r="AV110" s="365"/>
      <c r="AW110" s="365"/>
      <c r="AX110" s="365"/>
      <c r="AY110" s="365"/>
      <c r="AZ110" s="365"/>
      <c r="BA110" s="365"/>
      <c r="BB110" s="365"/>
      <c r="BC110" s="365"/>
      <c r="BD110" s="365"/>
      <c r="BE110" s="310"/>
      <c r="BF110" s="310"/>
      <c r="BG110" s="310"/>
      <c r="BH110" s="310"/>
      <c r="BI110" s="310"/>
      <c r="BJ110" s="310"/>
      <c r="BK110" s="310"/>
      <c r="BL110" s="846"/>
      <c r="BM110" s="846"/>
      <c r="BN110" s="846"/>
      <c r="BO110" s="846"/>
      <c r="BP110" s="846"/>
      <c r="BQ110" s="846"/>
      <c r="BR110" s="846"/>
      <c r="BS110" s="846"/>
      <c r="BT110" s="846"/>
      <c r="BU110" s="846"/>
      <c r="BV110" s="846"/>
      <c r="BW110" s="846"/>
      <c r="BX110" s="846"/>
      <c r="BY110" s="846"/>
      <c r="BZ110" s="846"/>
      <c r="CA110" s="846"/>
      <c r="CB110" s="846"/>
      <c r="CC110" s="310"/>
      <c r="CD110" s="310"/>
      <c r="CE110" s="310"/>
      <c r="CF110" s="310"/>
      <c r="CG110" s="310"/>
      <c r="CH110" s="286"/>
      <c r="CI110" s="312"/>
      <c r="CJ110" s="312"/>
    </row>
    <row r="111" spans="1:88" s="250" customFormat="1" ht="3" customHeight="1">
      <c r="A111" s="312"/>
      <c r="B111" s="312"/>
      <c r="C111" s="224"/>
      <c r="D111" s="224"/>
      <c r="E111" s="1055" t="s">
        <v>702</v>
      </c>
      <c r="F111" s="1055"/>
      <c r="G111" s="972" t="str">
        <f>Index!C257</f>
        <v>Náklady na precenenie cenných papierov a náklady na derivátové operácie (564, 567)</v>
      </c>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1056" t="s">
        <v>1610</v>
      </c>
      <c r="AL111" s="1014"/>
      <c r="AM111" s="1014"/>
      <c r="AN111" s="357"/>
      <c r="AO111" s="366"/>
      <c r="AP111" s="366"/>
      <c r="AQ111" s="366"/>
      <c r="AR111" s="366"/>
      <c r="AS111" s="366"/>
      <c r="AT111" s="366"/>
      <c r="AU111" s="366"/>
      <c r="AV111" s="366"/>
      <c r="AW111" s="366"/>
      <c r="AX111" s="366"/>
      <c r="AY111" s="366"/>
      <c r="AZ111" s="366"/>
      <c r="BA111" s="366"/>
      <c r="BB111" s="366"/>
      <c r="BC111" s="366"/>
      <c r="BD111" s="366"/>
      <c r="BE111" s="304"/>
      <c r="BF111" s="304"/>
      <c r="BG111" s="304"/>
      <c r="BH111" s="304"/>
      <c r="BI111" s="304"/>
      <c r="BJ111" s="304"/>
      <c r="BK111" s="304"/>
      <c r="BL111" s="867"/>
      <c r="BM111" s="867"/>
      <c r="BN111" s="867"/>
      <c r="BO111" s="867"/>
      <c r="BP111" s="867"/>
      <c r="BQ111" s="867"/>
      <c r="BR111" s="867"/>
      <c r="BS111" s="867"/>
      <c r="BT111" s="867"/>
      <c r="BU111" s="867"/>
      <c r="BV111" s="867"/>
      <c r="BW111" s="867"/>
      <c r="BX111" s="867"/>
      <c r="BY111" s="867"/>
      <c r="BZ111" s="867"/>
      <c r="CA111" s="867"/>
      <c r="CB111" s="867"/>
      <c r="CC111" s="304"/>
      <c r="CD111" s="304"/>
      <c r="CE111" s="304"/>
      <c r="CF111" s="304"/>
      <c r="CG111" s="304"/>
      <c r="CH111" s="284"/>
      <c r="CI111" s="288"/>
      <c r="CJ111" s="288"/>
    </row>
    <row r="112" spans="1:88" s="250" customFormat="1" ht="3" customHeight="1">
      <c r="A112" s="312"/>
      <c r="B112" s="312"/>
      <c r="C112" s="312"/>
      <c r="D112" s="312"/>
      <c r="E112" s="1055"/>
      <c r="F112" s="1055"/>
      <c r="G112" s="972"/>
      <c r="H112" s="972"/>
      <c r="I112" s="972"/>
      <c r="J112" s="972"/>
      <c r="K112" s="972"/>
      <c r="L112" s="972"/>
      <c r="M112" s="972"/>
      <c r="N112" s="972"/>
      <c r="O112" s="972"/>
      <c r="P112" s="972"/>
      <c r="Q112" s="972"/>
      <c r="R112" s="972"/>
      <c r="S112" s="972"/>
      <c r="T112" s="972"/>
      <c r="U112" s="972"/>
      <c r="V112" s="972"/>
      <c r="W112" s="972"/>
      <c r="X112" s="972"/>
      <c r="Y112" s="972"/>
      <c r="Z112" s="972"/>
      <c r="AA112" s="972"/>
      <c r="AB112" s="972"/>
      <c r="AC112" s="972"/>
      <c r="AD112" s="972"/>
      <c r="AE112" s="972"/>
      <c r="AF112" s="972"/>
      <c r="AG112" s="972"/>
      <c r="AH112" s="972"/>
      <c r="AI112" s="972"/>
      <c r="AJ112" s="972"/>
      <c r="AK112" s="1014"/>
      <c r="AL112" s="1014"/>
      <c r="AM112" s="1014"/>
      <c r="AN112" s="355"/>
      <c r="AO112" s="436"/>
      <c r="AP112" s="436"/>
      <c r="AQ112" s="436"/>
      <c r="AR112" s="435"/>
      <c r="AS112" s="433"/>
      <c r="AT112" s="433"/>
      <c r="AU112" s="433"/>
      <c r="AV112" s="433"/>
      <c r="AW112" s="433"/>
      <c r="AX112" s="434"/>
      <c r="AY112" s="1007"/>
      <c r="AZ112" s="1007"/>
      <c r="BA112" s="1007"/>
      <c r="BB112" s="1007"/>
      <c r="BC112" s="1007"/>
      <c r="BD112" s="1007"/>
      <c r="BE112" s="434"/>
      <c r="BF112" s="968"/>
      <c r="BG112" s="968"/>
      <c r="BH112" s="968"/>
      <c r="BI112" s="968"/>
      <c r="BJ112" s="968"/>
      <c r="BK112" s="851"/>
      <c r="BL112" s="826"/>
      <c r="BM112" s="820"/>
      <c r="BN112" s="820"/>
      <c r="BO112" s="820"/>
      <c r="BP112" s="435"/>
      <c r="BQ112" s="1007"/>
      <c r="BR112" s="1007"/>
      <c r="BS112" s="1007"/>
      <c r="BT112" s="1007"/>
      <c r="BU112" s="1007"/>
      <c r="BV112" s="1008"/>
      <c r="BW112" s="968"/>
      <c r="BX112" s="968"/>
      <c r="BY112" s="968"/>
      <c r="BZ112" s="968"/>
      <c r="CA112" s="968"/>
      <c r="CB112" s="1009"/>
      <c r="CC112" s="968"/>
      <c r="CD112" s="968"/>
      <c r="CE112" s="968"/>
      <c r="CF112" s="968"/>
      <c r="CG112" s="968"/>
      <c r="CH112" s="285"/>
      <c r="CI112" s="288"/>
      <c r="CJ112" s="288"/>
    </row>
    <row r="113" spans="1:88" s="313" customFormat="1" ht="15" customHeight="1">
      <c r="A113" s="312"/>
      <c r="B113" s="312"/>
      <c r="C113" s="312"/>
      <c r="E113" s="1055"/>
      <c r="F113" s="1055"/>
      <c r="G113" s="972"/>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1014"/>
      <c r="AL113" s="1014"/>
      <c r="AM113" s="1014"/>
      <c r="AN113" s="355"/>
      <c r="AO113" s="432" t="str">
        <f>IF(LEN(VLOOKUP(AK111,vysledovka!$D$8:$F$68,2,FALSE))&lt;11,"",LEFT(RIGHT(VLOOKUP(AK111,vysledovka!$D$8:$F$68,2,FALSE),11),1))</f>
        <v/>
      </c>
      <c r="AP113" s="255"/>
      <c r="AQ113" s="432" t="str">
        <f>IF(LEN(VLOOKUP(AK111,vysledovka!$D$8:$F$68,2,FALSE))&lt;10,"",LEFT(RIGHT(VLOOKUP(AK111,vysledovka!$D$8:$F$68,2,FALSE),10),1))</f>
        <v/>
      </c>
      <c r="AR113" s="434"/>
      <c r="AS113" s="432" t="str">
        <f>IF(LEN(VLOOKUP(AK111,vysledovka!$D$8:$F$68,2,FALSE))&lt;9,"",LEFT(RIGHT(VLOOKUP(AK111,vysledovka!$D$8:$F$68,2,FALSE),9),1))</f>
        <v/>
      </c>
      <c r="AT113" s="255"/>
      <c r="AU113" s="432" t="str">
        <f>IF(LEN(VLOOKUP(AK111,vysledovka!$D$8:$F$68,2,FALSE))&lt;8,"",LEFT(RIGHT(VLOOKUP(AK111,vysledovka!$D$8:$F$68,2,FALSE),8),1))</f>
        <v/>
      </c>
      <c r="AV113" s="434"/>
      <c r="AW113" s="432" t="str">
        <f>IF(LEN(VLOOKUP(AK111,vysledovka!$D$8:$F$68,2,FALSE))&lt;7,"",LEFT(RIGHT(VLOOKUP(AK111,vysledovka!$D$8:$F$68,2,FALSE),7),1))</f>
        <v/>
      </c>
      <c r="AX113" s="434"/>
      <c r="AY113" s="432" t="str">
        <f>IF(LEN(VLOOKUP(AK111,vysledovka!$D$8:$F$68,2,FALSE))&lt;6,"",LEFT(RIGHT(VLOOKUP(AK111,vysledovka!$D$8:$F$68,2,FALSE),6),1))</f>
        <v/>
      </c>
      <c r="AZ113" s="255"/>
      <c r="BA113" s="961" t="str">
        <f>IF(LEN(VLOOKUP(AK111,vysledovka!$D$8:$F$68,2,FALSE))&lt;5,"",LEFT(RIGHT(VLOOKUP(AK111,vysledovka!$D$8:$F$68,2,FALSE),5),1))</f>
        <v/>
      </c>
      <c r="BB113" s="961"/>
      <c r="BC113" s="434"/>
      <c r="BD113" s="432" t="str">
        <f>IF(LEN(VLOOKUP(AK111,vysledovka!$D$8:$F$68,2,FALSE))&lt;4,"",LEFT(RIGHT(VLOOKUP(AK111,vysledovka!$D$8:$F$68,2,FALSE),4),1))</f>
        <v/>
      </c>
      <c r="BE113" s="434"/>
      <c r="BF113" s="432" t="str">
        <f>IF(LEN(VLOOKUP(AK111,vysledovka!$D$8:$F$68,2,FALSE))&lt;3,"",LEFT(RIGHT(VLOOKUP(AK111,vysledovka!$D$8:$F$68,2,FALSE),3),1))</f>
        <v/>
      </c>
      <c r="BG113" s="434"/>
      <c r="BH113" s="432" t="str">
        <f>IF(LEN(VLOOKUP(AK111,vysledovka!$D$8:$F$68,2,FALSE))&lt;2,"",LEFT(RIGHT(VLOOKUP(AK111,vysledovka!$D$8:$F$68,2,FALSE),2),1))</f>
        <v/>
      </c>
      <c r="BI113" s="434"/>
      <c r="BJ113" s="432" t="str">
        <f>IF(VLOOKUP(AK111,vysledovka!$D$8:$F$68,2,FALSE)=0,"",IF(LEN(VLOOKUP(AK111,vysledovka!$D$8:$F$68,2,FALSE))&lt;1,"",LEFT(RIGHT(VLOOKUP(AK111,vysledovka!$D$8:$F$68,2,FALSE),1),1)))</f>
        <v/>
      </c>
      <c r="BK113" s="851"/>
      <c r="BL113" s="826"/>
      <c r="BM113" s="432" t="str">
        <f>IF(LEN(VLOOKUP(AK111,vysledovka!$D$8:$F$68,3,FALSE))&lt;11,"",LEFT(RIGHT(VLOOKUP(AK111,vysledovka!$D$8:$F$68,3,FALSE),11),1))</f>
        <v/>
      </c>
      <c r="BN113" s="255"/>
      <c r="BO113" s="432" t="str">
        <f>IF(LEN(VLOOKUP(AK111,vysledovka!$D$8:$F$68,3,FALSE))&lt;10,"",LEFT(RIGHT(VLOOKUP(AK111,vysledovka!$D$8:$F$68,3,FALSE),10),1))</f>
        <v/>
      </c>
      <c r="BP113" s="434"/>
      <c r="BQ113" s="432" t="str">
        <f>IF(LEN(VLOOKUP(AK111,vysledovka!$D$8:$F$68,3,FALSE))&lt;9,"",LEFT(RIGHT(VLOOKUP(AK111,vysledovka!$D$8:$F$68,3,FALSE),9),1))</f>
        <v/>
      </c>
      <c r="BR113" s="255"/>
      <c r="BS113" s="432" t="str">
        <f>IF(LEN(VLOOKUP(AK111,vysledovka!$D$8:$F$68,3,FALSE))&lt;8,"",LEFT(RIGHT(VLOOKUP(AK111,vysledovka!$D$8:$F$68,3,FALSE),8),1))</f>
        <v/>
      </c>
      <c r="BT113" s="434"/>
      <c r="BU113" s="432" t="str">
        <f>IF(LEN(VLOOKUP(AK111,vysledovka!$D$8:$F$68,3,FALSE))&lt;7,"",LEFT(RIGHT(VLOOKUP(AK111,vysledovka!$D$8:$F$68,3,FALSE),7),1))</f>
        <v/>
      </c>
      <c r="BV113" s="1008"/>
      <c r="BW113" s="432" t="str">
        <f>IF(LEN(VLOOKUP(AK111,vysledovka!$D$8:$F$68,3,FALSE))&lt;6,"",LEFT(RIGHT(VLOOKUP(AK111,vysledovka!$D$8:$F$68,3,FALSE),6),1))</f>
        <v/>
      </c>
      <c r="BX113" s="434"/>
      <c r="BY113" s="432" t="str">
        <f>IF(LEN(VLOOKUP(AK111,vysledovka!$D$8:$F$68,3,FALSE))&lt;5,"",LEFT(RIGHT(VLOOKUP(AK111,vysledovka!$D$8:$F$68,3,FALSE),5),1))</f>
        <v/>
      </c>
      <c r="BZ113" s="434"/>
      <c r="CA113" s="432" t="str">
        <f>IF(LEN(VLOOKUP(AK111,vysledovka!$D$8:$F$68,3,FALSE))&lt;4,"",LEFT(RIGHT(VLOOKUP(AK111,vysledovka!$D$8:$F$68,3,FALSE),4),1))</f>
        <v/>
      </c>
      <c r="CB113" s="1009"/>
      <c r="CC113" s="432" t="str">
        <f>IF(LEN(VLOOKUP(AK111,vysledovka!$D$8:$F$68,3,FALSE))&lt;3,"",LEFT(RIGHT(VLOOKUP(AK111,vysledovka!$D$8:$F$68,3,FALSE),3),1))</f>
        <v/>
      </c>
      <c r="CD113" s="434"/>
      <c r="CE113" s="432" t="str">
        <f>IF(LEN(VLOOKUP(AK111,vysledovka!$D$8:$F$68,3,FALSE))&lt;2,"",LEFT(RIGHT(VLOOKUP(AK111,vysledovka!$D$8:$F$68,3,FALSE),2),1))</f>
        <v/>
      </c>
      <c r="CF113" s="434"/>
      <c r="CG113" s="432" t="str">
        <f>IF(VLOOKUP(AK111,vysledovka!$D$8:$F$68,3,FALSE)=0,"",IF(LEN(VLOOKUP(AK111,vysledovka!$D$8:$F$68,3,FALSE))&lt;1,"",LEFT(RIGHT(VLOOKUP(AK111,vysledovka!$D$8:$F$68,3,FALSE),1),1)))</f>
        <v/>
      </c>
      <c r="CH113" s="285"/>
      <c r="CI113" s="312"/>
      <c r="CJ113" s="312"/>
    </row>
    <row r="114" spans="1:88" s="313" customFormat="1" ht="3" customHeight="1">
      <c r="A114" s="312"/>
      <c r="B114" s="312"/>
      <c r="C114" s="312"/>
      <c r="E114" s="1055"/>
      <c r="F114" s="1055"/>
      <c r="G114" s="972"/>
      <c r="H114" s="972"/>
      <c r="I114" s="972"/>
      <c r="J114" s="972"/>
      <c r="K114" s="972"/>
      <c r="L114" s="972"/>
      <c r="M114" s="972"/>
      <c r="N114" s="972"/>
      <c r="O114" s="972"/>
      <c r="P114" s="972"/>
      <c r="Q114" s="972"/>
      <c r="R114" s="972"/>
      <c r="S114" s="972"/>
      <c r="T114" s="972"/>
      <c r="U114" s="972"/>
      <c r="V114" s="972"/>
      <c r="W114" s="972"/>
      <c r="X114" s="972"/>
      <c r="Y114" s="972"/>
      <c r="Z114" s="972"/>
      <c r="AA114" s="972"/>
      <c r="AB114" s="972"/>
      <c r="AC114" s="972"/>
      <c r="AD114" s="972"/>
      <c r="AE114" s="972"/>
      <c r="AF114" s="972"/>
      <c r="AG114" s="972"/>
      <c r="AH114" s="972"/>
      <c r="AI114" s="972"/>
      <c r="AJ114" s="972"/>
      <c r="AK114" s="1014"/>
      <c r="AL114" s="1014"/>
      <c r="AM114" s="1014"/>
      <c r="AN114" s="358"/>
      <c r="AO114" s="365"/>
      <c r="AP114" s="365"/>
      <c r="AQ114" s="365"/>
      <c r="AR114" s="365"/>
      <c r="AS114" s="365"/>
      <c r="AT114" s="365"/>
      <c r="AU114" s="365"/>
      <c r="AV114" s="365"/>
      <c r="AW114" s="365"/>
      <c r="AX114" s="365"/>
      <c r="AY114" s="365"/>
      <c r="AZ114" s="365"/>
      <c r="BA114" s="365"/>
      <c r="BB114" s="365"/>
      <c r="BC114" s="365"/>
      <c r="BD114" s="365"/>
      <c r="BE114" s="310"/>
      <c r="BF114" s="310"/>
      <c r="BG114" s="310"/>
      <c r="BH114" s="310"/>
      <c r="BI114" s="310"/>
      <c r="BJ114" s="310"/>
      <c r="BK114" s="310"/>
      <c r="BL114" s="846"/>
      <c r="BM114" s="846"/>
      <c r="BN114" s="846"/>
      <c r="BO114" s="846"/>
      <c r="BP114" s="846"/>
      <c r="BQ114" s="846"/>
      <c r="BR114" s="846"/>
      <c r="BS114" s="846"/>
      <c r="BT114" s="846"/>
      <c r="BU114" s="846"/>
      <c r="BV114" s="846"/>
      <c r="BW114" s="846"/>
      <c r="BX114" s="846"/>
      <c r="BY114" s="846"/>
      <c r="BZ114" s="846"/>
      <c r="CA114" s="846"/>
      <c r="CB114" s="846"/>
      <c r="CC114" s="310"/>
      <c r="CD114" s="310"/>
      <c r="CE114" s="310"/>
      <c r="CF114" s="310"/>
      <c r="CG114" s="310"/>
      <c r="CH114" s="286"/>
      <c r="CI114" s="312"/>
      <c r="CJ114" s="312"/>
    </row>
    <row r="115" spans="1:88" s="250" customFormat="1" ht="3" customHeight="1" thickBot="1">
      <c r="A115" s="312"/>
      <c r="B115" s="312"/>
      <c r="C115" s="224"/>
      <c r="D115" s="224"/>
      <c r="E115" s="1125" t="s">
        <v>1757</v>
      </c>
      <c r="F115" s="1125"/>
      <c r="G115" s="964" t="str">
        <f>Index!C258</f>
        <v>Ostatné náklady na finančnú činnosť (568, 569)</v>
      </c>
      <c r="H115" s="964"/>
      <c r="I115" s="964"/>
      <c r="J115" s="964"/>
      <c r="K115" s="964"/>
      <c r="L115" s="964"/>
      <c r="M115" s="964"/>
      <c r="N115" s="964"/>
      <c r="O115" s="964"/>
      <c r="P115" s="964"/>
      <c r="Q115" s="964"/>
      <c r="R115" s="964"/>
      <c r="S115" s="964"/>
      <c r="T115" s="964"/>
      <c r="U115" s="964"/>
      <c r="V115" s="964"/>
      <c r="W115" s="964"/>
      <c r="X115" s="964"/>
      <c r="Y115" s="964"/>
      <c r="Z115" s="964"/>
      <c r="AA115" s="964"/>
      <c r="AB115" s="964"/>
      <c r="AC115" s="964"/>
      <c r="AD115" s="964"/>
      <c r="AE115" s="964"/>
      <c r="AF115" s="964"/>
      <c r="AG115" s="964"/>
      <c r="AH115" s="964"/>
      <c r="AI115" s="964"/>
      <c r="AJ115" s="964"/>
      <c r="AK115" s="1127" t="s">
        <v>1612</v>
      </c>
      <c r="AL115" s="1128"/>
      <c r="AM115" s="1128"/>
      <c r="AN115" s="357"/>
      <c r="AO115" s="366"/>
      <c r="AP115" s="366"/>
      <c r="AQ115" s="366"/>
      <c r="AR115" s="366"/>
      <c r="AS115" s="366"/>
      <c r="AT115" s="366"/>
      <c r="AU115" s="366"/>
      <c r="AV115" s="366"/>
      <c r="AW115" s="366"/>
      <c r="AX115" s="366"/>
      <c r="AY115" s="366"/>
      <c r="AZ115" s="366"/>
      <c r="BA115" s="366"/>
      <c r="BB115" s="366"/>
      <c r="BC115" s="366"/>
      <c r="BD115" s="366"/>
      <c r="BE115" s="304"/>
      <c r="BF115" s="304"/>
      <c r="BG115" s="304"/>
      <c r="BH115" s="304"/>
      <c r="BI115" s="304"/>
      <c r="BJ115" s="304"/>
      <c r="BK115" s="304"/>
      <c r="BL115" s="867"/>
      <c r="BM115" s="867"/>
      <c r="BN115" s="867"/>
      <c r="BO115" s="867"/>
      <c r="BP115" s="867"/>
      <c r="BQ115" s="867"/>
      <c r="BR115" s="867"/>
      <c r="BS115" s="867"/>
      <c r="BT115" s="867"/>
      <c r="BU115" s="867"/>
      <c r="BV115" s="867"/>
      <c r="BW115" s="867"/>
      <c r="BX115" s="867"/>
      <c r="BY115" s="867"/>
      <c r="BZ115" s="867"/>
      <c r="CA115" s="867"/>
      <c r="CB115" s="867"/>
      <c r="CC115" s="304"/>
      <c r="CD115" s="304"/>
      <c r="CE115" s="304"/>
      <c r="CF115" s="304"/>
      <c r="CG115" s="304"/>
      <c r="CH115" s="284"/>
      <c r="CI115" s="288"/>
      <c r="CJ115" s="288"/>
    </row>
    <row r="116" spans="1:88" s="250" customFormat="1" ht="3" customHeight="1" thickBot="1">
      <c r="A116" s="312"/>
      <c r="B116" s="312"/>
      <c r="C116" s="312"/>
      <c r="D116" s="312"/>
      <c r="E116" s="1126"/>
      <c r="F116" s="1126"/>
      <c r="G116" s="965"/>
      <c r="H116" s="965"/>
      <c r="I116" s="965"/>
      <c r="J116" s="965"/>
      <c r="K116" s="965"/>
      <c r="L116" s="965"/>
      <c r="M116" s="965"/>
      <c r="N116" s="965"/>
      <c r="O116" s="965"/>
      <c r="P116" s="965"/>
      <c r="Q116" s="965"/>
      <c r="R116" s="965"/>
      <c r="S116" s="965"/>
      <c r="T116" s="965"/>
      <c r="U116" s="965"/>
      <c r="V116" s="965"/>
      <c r="W116" s="965"/>
      <c r="X116" s="965"/>
      <c r="Y116" s="965"/>
      <c r="Z116" s="965"/>
      <c r="AA116" s="965"/>
      <c r="AB116" s="965"/>
      <c r="AC116" s="965"/>
      <c r="AD116" s="965"/>
      <c r="AE116" s="965"/>
      <c r="AF116" s="965"/>
      <c r="AG116" s="965"/>
      <c r="AH116" s="965"/>
      <c r="AI116" s="965"/>
      <c r="AJ116" s="965"/>
      <c r="AK116" s="1014"/>
      <c r="AL116" s="1014"/>
      <c r="AM116" s="1014"/>
      <c r="AN116" s="355"/>
      <c r="AO116" s="436"/>
      <c r="AP116" s="436"/>
      <c r="AQ116" s="436"/>
      <c r="AR116" s="435"/>
      <c r="AS116" s="433"/>
      <c r="AT116" s="433"/>
      <c r="AU116" s="433"/>
      <c r="AV116" s="433"/>
      <c r="AW116" s="433"/>
      <c r="AX116" s="434"/>
      <c r="AY116" s="1007"/>
      <c r="AZ116" s="1007"/>
      <c r="BA116" s="1007"/>
      <c r="BB116" s="1007"/>
      <c r="BC116" s="1007"/>
      <c r="BD116" s="1007"/>
      <c r="BE116" s="434"/>
      <c r="BF116" s="968"/>
      <c r="BG116" s="968"/>
      <c r="BH116" s="968"/>
      <c r="BI116" s="968"/>
      <c r="BJ116" s="968"/>
      <c r="BK116" s="851"/>
      <c r="BL116" s="826"/>
      <c r="BM116" s="820"/>
      <c r="BN116" s="820"/>
      <c r="BO116" s="820"/>
      <c r="BP116" s="435"/>
      <c r="BQ116" s="1007"/>
      <c r="BR116" s="1007"/>
      <c r="BS116" s="1007"/>
      <c r="BT116" s="1007"/>
      <c r="BU116" s="1007"/>
      <c r="BV116" s="1008"/>
      <c r="BW116" s="968"/>
      <c r="BX116" s="968"/>
      <c r="BY116" s="968"/>
      <c r="BZ116" s="968"/>
      <c r="CA116" s="968"/>
      <c r="CB116" s="1009"/>
      <c r="CC116" s="968"/>
      <c r="CD116" s="968"/>
      <c r="CE116" s="968"/>
      <c r="CF116" s="968"/>
      <c r="CG116" s="968"/>
      <c r="CH116" s="285"/>
      <c r="CI116" s="288"/>
      <c r="CJ116" s="288"/>
    </row>
    <row r="117" spans="1:88" s="313" customFormat="1" ht="15" customHeight="1" thickBot="1">
      <c r="A117" s="312"/>
      <c r="B117" s="312"/>
      <c r="C117" s="312"/>
      <c r="E117" s="1126"/>
      <c r="F117" s="1126"/>
      <c r="G117" s="965"/>
      <c r="H117" s="965"/>
      <c r="I117" s="965"/>
      <c r="J117" s="965"/>
      <c r="K117" s="965"/>
      <c r="L117" s="965"/>
      <c r="M117" s="965"/>
      <c r="N117" s="965"/>
      <c r="O117" s="965"/>
      <c r="P117" s="965"/>
      <c r="Q117" s="965"/>
      <c r="R117" s="965"/>
      <c r="S117" s="965"/>
      <c r="T117" s="965"/>
      <c r="U117" s="965"/>
      <c r="V117" s="965"/>
      <c r="W117" s="965"/>
      <c r="X117" s="965"/>
      <c r="Y117" s="965"/>
      <c r="Z117" s="965"/>
      <c r="AA117" s="965"/>
      <c r="AB117" s="965"/>
      <c r="AC117" s="965"/>
      <c r="AD117" s="965"/>
      <c r="AE117" s="965"/>
      <c r="AF117" s="965"/>
      <c r="AG117" s="965"/>
      <c r="AH117" s="965"/>
      <c r="AI117" s="965"/>
      <c r="AJ117" s="965"/>
      <c r="AK117" s="1014"/>
      <c r="AL117" s="1014"/>
      <c r="AM117" s="1014"/>
      <c r="AN117" s="355"/>
      <c r="AO117" s="432" t="str">
        <f>IF(LEN(VLOOKUP(AK115,vysledovka!$D$8:$F$68,2,FALSE))&lt;11,"",LEFT(RIGHT(VLOOKUP(AK115,vysledovka!$D$8:$F$68,2,FALSE),11),1))</f>
        <v/>
      </c>
      <c r="AP117" s="255"/>
      <c r="AQ117" s="432" t="str">
        <f>IF(LEN(VLOOKUP(AK115,vysledovka!$D$8:$F$68,2,FALSE))&lt;10,"",LEFT(RIGHT(VLOOKUP(AK115,vysledovka!$D$8:$F$68,2,FALSE),10),1))</f>
        <v/>
      </c>
      <c r="AR117" s="434"/>
      <c r="AS117" s="432" t="str">
        <f>IF(LEN(VLOOKUP(AK115,vysledovka!$D$8:$F$68,2,FALSE))&lt;9,"",LEFT(RIGHT(VLOOKUP(AK115,vysledovka!$D$8:$F$68,2,FALSE),9),1))</f>
        <v/>
      </c>
      <c r="AT117" s="255"/>
      <c r="AU117" s="432" t="str">
        <f>IF(LEN(VLOOKUP(AK115,vysledovka!$D$8:$F$68,2,FALSE))&lt;8,"",LEFT(RIGHT(VLOOKUP(AK115,vysledovka!$D$8:$F$68,2,FALSE),8),1))</f>
        <v/>
      </c>
      <c r="AV117" s="434"/>
      <c r="AW117" s="432" t="str">
        <f>IF(LEN(VLOOKUP(AK115,vysledovka!$D$8:$F$68,2,FALSE))&lt;7,"",LEFT(RIGHT(VLOOKUP(AK115,vysledovka!$D$8:$F$68,2,FALSE),7),1))</f>
        <v/>
      </c>
      <c r="AX117" s="434"/>
      <c r="AY117" s="432" t="str">
        <f>IF(LEN(VLOOKUP(AK115,vysledovka!$D$8:$F$68,2,FALSE))&lt;6,"",LEFT(RIGHT(VLOOKUP(AK115,vysledovka!$D$8:$F$68,2,FALSE),6),1))</f>
        <v>2</v>
      </c>
      <c r="AZ117" s="255"/>
      <c r="BA117" s="961" t="str">
        <f>IF(LEN(VLOOKUP(AK115,vysledovka!$D$8:$F$68,2,FALSE))&lt;5,"",LEFT(RIGHT(VLOOKUP(AK115,vysledovka!$D$8:$F$68,2,FALSE),5),1))</f>
        <v>2</v>
      </c>
      <c r="BB117" s="961"/>
      <c r="BC117" s="434"/>
      <c r="BD117" s="432" t="str">
        <f>IF(LEN(VLOOKUP(AK115,vysledovka!$D$8:$F$68,2,FALSE))&lt;4,"",LEFT(RIGHT(VLOOKUP(AK115,vysledovka!$D$8:$F$68,2,FALSE),4),1))</f>
        <v>6</v>
      </c>
      <c r="BE117" s="434"/>
      <c r="BF117" s="432" t="str">
        <f>IF(LEN(VLOOKUP(AK115,vysledovka!$D$8:$F$68,2,FALSE))&lt;3,"",LEFT(RIGHT(VLOOKUP(AK115,vysledovka!$D$8:$F$68,2,FALSE),3),1))</f>
        <v>8</v>
      </c>
      <c r="BG117" s="434"/>
      <c r="BH117" s="432" t="str">
        <f>IF(LEN(VLOOKUP(AK115,vysledovka!$D$8:$F$68,2,FALSE))&lt;2,"",LEFT(RIGHT(VLOOKUP(AK115,vysledovka!$D$8:$F$68,2,FALSE),2),1))</f>
        <v>4</v>
      </c>
      <c r="BI117" s="434"/>
      <c r="BJ117" s="432" t="str">
        <f>IF(VLOOKUP(AK115,vysledovka!$D$8:$F$68,2,FALSE)=0,"",IF(LEN(VLOOKUP(AK115,vysledovka!$D$8:$F$68,2,FALSE))&lt;1,"",LEFT(RIGHT(VLOOKUP(AK115,vysledovka!$D$8:$F$68,2,FALSE),1),1)))</f>
        <v>9</v>
      </c>
      <c r="BK117" s="851"/>
      <c r="BL117" s="826"/>
      <c r="BM117" s="432" t="str">
        <f>IF(LEN(VLOOKUP(AK115,vysledovka!$D$8:$F$68,3,FALSE))&lt;11,"",LEFT(RIGHT(VLOOKUP(AK115,vysledovka!$D$8:$F$68,3,FALSE),11),1))</f>
        <v/>
      </c>
      <c r="BN117" s="255"/>
      <c r="BO117" s="432" t="str">
        <f>IF(LEN(VLOOKUP(AK115,vysledovka!$D$8:$F$68,3,FALSE))&lt;10,"",LEFT(RIGHT(VLOOKUP(AK115,vysledovka!$D$8:$F$68,3,FALSE),10),1))</f>
        <v/>
      </c>
      <c r="BP117" s="434"/>
      <c r="BQ117" s="432" t="str">
        <f>IF(LEN(VLOOKUP(AK115,vysledovka!$D$8:$F$68,3,FALSE))&lt;9,"",LEFT(RIGHT(VLOOKUP(AK115,vysledovka!$D$8:$F$68,3,FALSE),9),1))</f>
        <v/>
      </c>
      <c r="BR117" s="255"/>
      <c r="BS117" s="432" t="str">
        <f>IF(LEN(VLOOKUP(AK115,vysledovka!$D$8:$F$68,3,FALSE))&lt;8,"",LEFT(RIGHT(VLOOKUP(AK115,vysledovka!$D$8:$F$68,3,FALSE),8),1))</f>
        <v/>
      </c>
      <c r="BT117" s="434"/>
      <c r="BU117" s="432" t="str">
        <f>IF(LEN(VLOOKUP(AK115,vysledovka!$D$8:$F$68,3,FALSE))&lt;7,"",LEFT(RIGHT(VLOOKUP(AK115,vysledovka!$D$8:$F$68,3,FALSE),7),1))</f>
        <v/>
      </c>
      <c r="BV117" s="1008"/>
      <c r="BW117" s="432" t="str">
        <f>IF(LEN(VLOOKUP(AK115,vysledovka!$D$8:$F$68,3,FALSE))&lt;6,"",LEFT(RIGHT(VLOOKUP(AK115,vysledovka!$D$8:$F$68,3,FALSE),6),1))</f>
        <v>5</v>
      </c>
      <c r="BX117" s="434"/>
      <c r="BY117" s="432" t="str">
        <f>IF(LEN(VLOOKUP(AK115,vysledovka!$D$8:$F$68,3,FALSE))&lt;5,"",LEFT(RIGHT(VLOOKUP(AK115,vysledovka!$D$8:$F$68,3,FALSE),5),1))</f>
        <v>1</v>
      </c>
      <c r="BZ117" s="434"/>
      <c r="CA117" s="432" t="str">
        <f>IF(LEN(VLOOKUP(AK115,vysledovka!$D$8:$F$68,3,FALSE))&lt;4,"",LEFT(RIGHT(VLOOKUP(AK115,vysledovka!$D$8:$F$68,3,FALSE),4),1))</f>
        <v>2</v>
      </c>
      <c r="CB117" s="1009"/>
      <c r="CC117" s="432" t="str">
        <f>IF(LEN(VLOOKUP(AK115,vysledovka!$D$8:$F$68,3,FALSE))&lt;3,"",LEFT(RIGHT(VLOOKUP(AK115,vysledovka!$D$8:$F$68,3,FALSE),3),1))</f>
        <v>6</v>
      </c>
      <c r="CD117" s="434"/>
      <c r="CE117" s="432" t="str">
        <f>IF(LEN(VLOOKUP(AK115,vysledovka!$D$8:$F$68,3,FALSE))&lt;2,"",LEFT(RIGHT(VLOOKUP(AK115,vysledovka!$D$8:$F$68,3,FALSE),2),1))</f>
        <v>2</v>
      </c>
      <c r="CF117" s="434"/>
      <c r="CG117" s="432" t="str">
        <f>IF(VLOOKUP(AK115,vysledovka!$D$8:$F$68,3,FALSE)=0,"",IF(LEN(VLOOKUP(AK115,vysledovka!$D$8:$F$68,3,FALSE))&lt;1,"",LEFT(RIGHT(VLOOKUP(AK115,vysledovka!$D$8:$F$68,3,FALSE),1),1)))</f>
        <v>9</v>
      </c>
      <c r="CH117" s="285"/>
      <c r="CI117" s="312"/>
      <c r="CJ117" s="312"/>
    </row>
    <row r="118" spans="1:88" s="313" customFormat="1" ht="3" customHeight="1" thickBot="1">
      <c r="A118" s="312"/>
      <c r="B118" s="312"/>
      <c r="C118" s="312"/>
      <c r="E118" s="1126"/>
      <c r="F118" s="1126"/>
      <c r="G118" s="965"/>
      <c r="H118" s="965"/>
      <c r="I118" s="965"/>
      <c r="J118" s="965"/>
      <c r="K118" s="965"/>
      <c r="L118" s="965"/>
      <c r="M118" s="965"/>
      <c r="N118" s="965"/>
      <c r="O118" s="965"/>
      <c r="P118" s="965"/>
      <c r="Q118" s="965"/>
      <c r="R118" s="965"/>
      <c r="S118" s="965"/>
      <c r="T118" s="965"/>
      <c r="U118" s="965"/>
      <c r="V118" s="965"/>
      <c r="W118" s="965"/>
      <c r="X118" s="965"/>
      <c r="Y118" s="965"/>
      <c r="Z118" s="965"/>
      <c r="AA118" s="965"/>
      <c r="AB118" s="965"/>
      <c r="AC118" s="965"/>
      <c r="AD118" s="965"/>
      <c r="AE118" s="965"/>
      <c r="AF118" s="965"/>
      <c r="AG118" s="965"/>
      <c r="AH118" s="965"/>
      <c r="AI118" s="965"/>
      <c r="AJ118" s="965"/>
      <c r="AK118" s="1014"/>
      <c r="AL118" s="1014"/>
      <c r="AM118" s="1014"/>
      <c r="AN118" s="358"/>
      <c r="AO118" s="360"/>
      <c r="AP118" s="360"/>
      <c r="AQ118" s="360"/>
      <c r="AR118" s="360"/>
      <c r="AS118" s="360"/>
      <c r="AT118" s="360"/>
      <c r="AU118" s="360"/>
      <c r="AV118" s="360"/>
      <c r="AW118" s="360"/>
      <c r="AX118" s="360"/>
      <c r="AY118" s="360"/>
      <c r="AZ118" s="360"/>
      <c r="BA118" s="360"/>
      <c r="BB118" s="360"/>
      <c r="BC118" s="360"/>
      <c r="BD118" s="360"/>
      <c r="BE118" s="256"/>
      <c r="BF118" s="256"/>
      <c r="BG118" s="256"/>
      <c r="BH118" s="256"/>
      <c r="BI118" s="256"/>
      <c r="BJ118" s="256"/>
      <c r="BK118" s="256"/>
      <c r="BL118" s="969"/>
      <c r="BM118" s="969"/>
      <c r="BN118" s="969"/>
      <c r="BO118" s="969"/>
      <c r="BP118" s="969"/>
      <c r="BQ118" s="969"/>
      <c r="BR118" s="969"/>
      <c r="BS118" s="969"/>
      <c r="BT118" s="969"/>
      <c r="BU118" s="969"/>
      <c r="BV118" s="969"/>
      <c r="BW118" s="969"/>
      <c r="BX118" s="969"/>
      <c r="BY118" s="969"/>
      <c r="BZ118" s="969"/>
      <c r="CA118" s="969"/>
      <c r="CB118" s="969"/>
      <c r="CC118" s="256"/>
      <c r="CD118" s="256"/>
      <c r="CE118" s="256"/>
      <c r="CF118" s="256"/>
      <c r="CG118" s="256"/>
      <c r="CH118" s="286"/>
      <c r="CI118" s="312"/>
      <c r="CJ118" s="312"/>
    </row>
    <row r="119" spans="1:88" ht="6" customHeight="1">
      <c r="D119" s="220"/>
      <c r="E119" s="268"/>
      <c r="F119" s="268"/>
      <c r="G119" s="268"/>
      <c r="H119" s="240"/>
      <c r="I119" s="240"/>
      <c r="J119" s="240"/>
      <c r="K119" s="356"/>
      <c r="L119" s="356"/>
      <c r="M119" s="356"/>
      <c r="N119" s="356"/>
      <c r="O119" s="356"/>
      <c r="P119" s="356"/>
      <c r="Q119" s="356"/>
      <c r="R119" s="356"/>
      <c r="S119" s="356"/>
      <c r="T119" s="356"/>
      <c r="U119" s="356"/>
      <c r="V119" s="356"/>
      <c r="W119" s="356"/>
      <c r="X119" s="356"/>
      <c r="Y119" s="356"/>
      <c r="Z119" s="356"/>
      <c r="AA119" s="356"/>
      <c r="AB119" s="356"/>
      <c r="AC119" s="356"/>
      <c r="AD119" s="356"/>
      <c r="AE119" s="356"/>
      <c r="AF119" s="356"/>
      <c r="AG119" s="356"/>
      <c r="AH119" s="356"/>
      <c r="AI119" s="356"/>
      <c r="AJ119" s="356"/>
      <c r="AK119" s="356"/>
      <c r="AL119" s="356"/>
      <c r="AM119" s="356"/>
      <c r="AN119" s="356"/>
      <c r="AO119" s="356"/>
      <c r="AP119" s="356"/>
      <c r="AQ119" s="356"/>
      <c r="AR119" s="356"/>
      <c r="AS119" s="356"/>
      <c r="AT119" s="356"/>
      <c r="AU119" s="356"/>
      <c r="AV119" s="356"/>
      <c r="AW119" s="356"/>
      <c r="AX119" s="356"/>
      <c r="AY119" s="356"/>
      <c r="AZ119" s="356"/>
      <c r="BA119" s="356"/>
      <c r="BB119" s="356"/>
      <c r="BC119" s="356"/>
      <c r="BD119" s="356"/>
      <c r="BE119" s="356"/>
      <c r="BF119" s="356"/>
      <c r="BG119" s="356"/>
      <c r="BH119" s="356"/>
      <c r="BI119" s="356"/>
      <c r="BJ119" s="356"/>
      <c r="BK119" s="356"/>
      <c r="BL119" s="356"/>
      <c r="BM119" s="356"/>
      <c r="BN119" s="356"/>
      <c r="BO119" s="356"/>
      <c r="BP119" s="356"/>
      <c r="BQ119" s="356"/>
      <c r="BR119" s="356"/>
      <c r="BS119" s="356"/>
      <c r="BT119" s="356"/>
      <c r="BU119" s="356"/>
      <c r="BV119" s="356"/>
      <c r="BW119" s="356"/>
      <c r="BX119" s="356"/>
      <c r="BY119" s="356"/>
      <c r="BZ119" s="356"/>
      <c r="CA119" s="356"/>
      <c r="CB119" s="356"/>
      <c r="CC119" s="356"/>
      <c r="CD119" s="356"/>
      <c r="CE119" s="356"/>
      <c r="CF119" s="356"/>
      <c r="CG119" s="356"/>
      <c r="CH119" s="356"/>
      <c r="CI119" s="220"/>
      <c r="CJ119" s="220"/>
    </row>
    <row r="120" spans="1:88" ht="6" customHeight="1">
      <c r="D120" s="220"/>
      <c r="E120" s="268"/>
      <c r="F120" s="268"/>
      <c r="G120" s="268"/>
      <c r="H120" s="240"/>
      <c r="I120" s="240"/>
      <c r="J120" s="240"/>
      <c r="K120" s="356"/>
      <c r="L120" s="356"/>
      <c r="M120" s="356"/>
      <c r="N120" s="356"/>
      <c r="O120" s="356"/>
      <c r="P120" s="356"/>
      <c r="Q120" s="356"/>
      <c r="R120" s="356"/>
      <c r="S120" s="356"/>
      <c r="T120" s="356"/>
      <c r="U120" s="356"/>
      <c r="V120" s="356"/>
      <c r="W120" s="356"/>
      <c r="X120" s="356"/>
      <c r="Y120" s="356"/>
      <c r="Z120" s="356"/>
      <c r="AA120" s="356"/>
      <c r="AB120" s="356"/>
      <c r="AC120" s="356"/>
      <c r="AD120" s="356"/>
      <c r="AE120" s="356"/>
      <c r="AF120" s="356"/>
      <c r="AG120" s="356"/>
      <c r="AH120" s="356"/>
      <c r="AI120" s="356"/>
      <c r="AJ120" s="356"/>
      <c r="AK120" s="356"/>
      <c r="AL120" s="356"/>
      <c r="AM120" s="356"/>
      <c r="AN120" s="356"/>
      <c r="AO120" s="356"/>
      <c r="AP120" s="356"/>
      <c r="AQ120" s="356"/>
      <c r="AR120" s="356"/>
      <c r="AS120" s="356"/>
      <c r="AT120" s="356"/>
      <c r="AU120" s="356"/>
      <c r="AV120" s="356"/>
      <c r="AW120" s="356"/>
      <c r="AX120" s="356"/>
      <c r="AY120" s="356"/>
      <c r="AZ120" s="356"/>
      <c r="BA120" s="356"/>
      <c r="BB120" s="356"/>
      <c r="BC120" s="356"/>
      <c r="BD120" s="356"/>
      <c r="BE120" s="356"/>
      <c r="BF120" s="356"/>
      <c r="BG120" s="356"/>
      <c r="BH120" s="356"/>
      <c r="BI120" s="356"/>
      <c r="BJ120" s="356"/>
      <c r="BK120" s="356"/>
      <c r="BL120" s="356"/>
      <c r="BM120" s="356"/>
      <c r="BN120" s="356"/>
      <c r="BO120" s="356"/>
      <c r="BP120" s="356"/>
      <c r="BQ120" s="356"/>
      <c r="BR120" s="356"/>
      <c r="BS120" s="356"/>
      <c r="BT120" s="356"/>
      <c r="BU120" s="356"/>
      <c r="BV120" s="356"/>
      <c r="BW120" s="356"/>
      <c r="BX120" s="356"/>
      <c r="BY120" s="356"/>
      <c r="BZ120" s="356"/>
      <c r="CA120" s="356"/>
      <c r="CB120" s="356"/>
      <c r="CC120" s="356"/>
      <c r="CD120" s="356"/>
      <c r="CE120" s="356"/>
      <c r="CF120" s="356"/>
      <c r="CG120" s="356"/>
      <c r="CH120" s="356"/>
      <c r="CI120" s="220"/>
      <c r="CJ120" s="220"/>
    </row>
    <row r="121" spans="1:88" ht="6" customHeight="1">
      <c r="D121" s="220"/>
      <c r="E121" s="268"/>
      <c r="F121" s="268"/>
      <c r="G121" s="268"/>
      <c r="H121" s="240"/>
      <c r="I121" s="240"/>
      <c r="J121" s="240"/>
      <c r="K121" s="356"/>
      <c r="L121" s="356"/>
      <c r="M121" s="356"/>
      <c r="N121" s="356"/>
      <c r="O121" s="356"/>
      <c r="P121" s="356"/>
      <c r="Q121" s="356"/>
      <c r="R121" s="356"/>
      <c r="S121" s="356"/>
      <c r="T121" s="356"/>
      <c r="U121" s="356"/>
      <c r="V121" s="356"/>
      <c r="W121" s="356"/>
      <c r="X121" s="356"/>
      <c r="Y121" s="356"/>
      <c r="Z121" s="356"/>
      <c r="AA121" s="356"/>
      <c r="AB121" s="356"/>
      <c r="AC121" s="356"/>
      <c r="AD121" s="356"/>
      <c r="AE121" s="356"/>
      <c r="AF121" s="356"/>
      <c r="AG121" s="356"/>
      <c r="AH121" s="356"/>
      <c r="AI121" s="356"/>
      <c r="AJ121" s="356"/>
      <c r="AK121" s="356"/>
      <c r="AL121" s="356"/>
      <c r="AM121" s="356"/>
      <c r="AN121" s="356"/>
      <c r="AO121" s="356"/>
      <c r="AP121" s="356"/>
      <c r="AQ121" s="356"/>
      <c r="AR121" s="356"/>
      <c r="AS121" s="356"/>
      <c r="AT121" s="356"/>
      <c r="AU121" s="356"/>
      <c r="AV121" s="356"/>
      <c r="AW121" s="356"/>
      <c r="AX121" s="356"/>
      <c r="AY121" s="356"/>
      <c r="AZ121" s="356"/>
      <c r="BA121" s="356"/>
      <c r="BB121" s="356"/>
      <c r="BC121" s="356"/>
      <c r="BD121" s="356"/>
      <c r="BE121" s="356"/>
      <c r="BF121" s="356"/>
      <c r="BG121" s="356"/>
      <c r="BH121" s="356"/>
      <c r="BI121" s="356"/>
      <c r="BJ121" s="356"/>
      <c r="BK121" s="356"/>
      <c r="BL121" s="356"/>
      <c r="BM121" s="356"/>
      <c r="BN121" s="356"/>
      <c r="BO121" s="356"/>
      <c r="BP121" s="356"/>
      <c r="BQ121" s="356"/>
      <c r="BR121" s="356"/>
      <c r="BS121" s="356"/>
      <c r="BT121" s="356"/>
      <c r="BU121" s="356"/>
      <c r="BV121" s="356"/>
      <c r="BW121" s="356"/>
      <c r="BX121" s="356"/>
      <c r="BY121" s="356"/>
      <c r="BZ121" s="356"/>
      <c r="CA121" s="356"/>
      <c r="CB121" s="356"/>
      <c r="CC121" s="356"/>
      <c r="CD121" s="356"/>
      <c r="CE121" s="356"/>
      <c r="CF121" s="356"/>
      <c r="CG121" s="356"/>
      <c r="CH121" s="356"/>
      <c r="CI121" s="220"/>
      <c r="CJ121" s="220"/>
    </row>
    <row r="122" spans="1:88" ht="13.5" customHeight="1">
      <c r="D122" s="220"/>
      <c r="E122" s="268"/>
      <c r="F122" s="268"/>
      <c r="G122" s="268"/>
      <c r="H122" s="240"/>
      <c r="I122" s="240"/>
      <c r="J122" s="240"/>
      <c r="K122" s="356"/>
      <c r="L122" s="356"/>
      <c r="M122" s="356"/>
      <c r="N122" s="356"/>
      <c r="O122" s="356"/>
      <c r="P122" s="356"/>
      <c r="Q122" s="356"/>
      <c r="R122" s="356"/>
      <c r="S122" s="356"/>
      <c r="T122" s="356"/>
      <c r="U122" s="356"/>
      <c r="V122" s="356"/>
      <c r="W122" s="356"/>
      <c r="X122" s="356"/>
      <c r="Y122" s="356"/>
      <c r="Z122" s="356"/>
      <c r="AA122" s="356"/>
      <c r="AB122" s="356"/>
      <c r="AC122" s="356"/>
      <c r="AD122" s="356"/>
      <c r="AE122" s="356"/>
      <c r="AF122" s="356"/>
      <c r="AG122" s="356"/>
      <c r="AH122" s="356"/>
      <c r="AI122" s="356"/>
      <c r="AJ122" s="356"/>
      <c r="AK122" s="356"/>
      <c r="AL122" s="356"/>
      <c r="AM122" s="356"/>
      <c r="AN122" s="356"/>
      <c r="AO122" s="356"/>
      <c r="AP122" s="356"/>
      <c r="AQ122" s="356"/>
      <c r="AR122" s="356"/>
      <c r="AS122" s="356"/>
      <c r="AT122" s="356"/>
      <c r="AU122" s="356"/>
      <c r="AV122" s="356"/>
      <c r="AW122" s="356"/>
      <c r="AX122" s="356"/>
      <c r="AY122" s="356"/>
      <c r="AZ122" s="356"/>
      <c r="BA122" s="356"/>
      <c r="BB122" s="356"/>
      <c r="BC122" s="356"/>
      <c r="BD122" s="356"/>
      <c r="BE122" s="356"/>
      <c r="BF122" s="356"/>
      <c r="BG122" s="356"/>
      <c r="BH122" s="356"/>
      <c r="BI122" s="356"/>
      <c r="BJ122" s="356"/>
      <c r="BK122" s="356"/>
      <c r="BL122" s="356"/>
      <c r="BM122" s="356"/>
      <c r="BN122" s="356"/>
      <c r="BO122" s="356"/>
      <c r="BP122" s="356"/>
      <c r="BQ122" s="356"/>
      <c r="BR122" s="356"/>
      <c r="BS122" s="356"/>
      <c r="BT122" s="356"/>
      <c r="BU122" s="356"/>
      <c r="BV122" s="356"/>
      <c r="BW122" s="356"/>
      <c r="BX122" s="356"/>
      <c r="BY122" s="356"/>
      <c r="BZ122" s="356"/>
      <c r="CA122" s="356"/>
      <c r="CB122" s="356"/>
      <c r="CC122" s="356"/>
      <c r="CD122" s="356"/>
      <c r="CE122" s="356"/>
      <c r="CF122" s="356"/>
      <c r="CG122" s="356"/>
      <c r="CH122" s="356"/>
      <c r="CI122" s="220"/>
      <c r="CJ122" s="220"/>
    </row>
    <row r="123" spans="1:88" ht="13.5" customHeight="1">
      <c r="D123" s="220"/>
      <c r="E123" s="268"/>
      <c r="F123" s="268"/>
      <c r="G123" s="268"/>
      <c r="H123" s="240"/>
      <c r="I123" s="240"/>
      <c r="J123" s="240"/>
      <c r="K123" s="356"/>
      <c r="L123" s="356"/>
      <c r="M123" s="356"/>
      <c r="N123" s="356"/>
      <c r="O123" s="356"/>
      <c r="P123" s="356"/>
      <c r="Q123" s="356"/>
      <c r="R123" s="356"/>
      <c r="S123" s="356"/>
      <c r="T123" s="356"/>
      <c r="U123" s="356"/>
      <c r="V123" s="356"/>
      <c r="W123" s="356"/>
      <c r="X123" s="356"/>
      <c r="Y123" s="356"/>
      <c r="Z123" s="356"/>
      <c r="AA123" s="356"/>
      <c r="AB123" s="356"/>
      <c r="AC123" s="356"/>
      <c r="AD123" s="356"/>
      <c r="AE123" s="356"/>
      <c r="AF123" s="356"/>
      <c r="AG123" s="356"/>
      <c r="AH123" s="356"/>
      <c r="AI123" s="356"/>
      <c r="AJ123" s="356"/>
      <c r="AK123" s="356"/>
      <c r="AL123" s="356"/>
      <c r="AM123" s="356"/>
      <c r="AN123" s="356"/>
      <c r="AO123" s="356"/>
      <c r="AP123" s="356"/>
      <c r="AQ123" s="356"/>
      <c r="AR123" s="356"/>
      <c r="AS123" s="356"/>
      <c r="AT123" s="356"/>
      <c r="AU123" s="356"/>
      <c r="AV123" s="356"/>
      <c r="AW123" s="356"/>
      <c r="AX123" s="356"/>
      <c r="AY123" s="356"/>
      <c r="AZ123" s="356"/>
      <c r="BA123" s="356"/>
      <c r="BB123" s="356"/>
      <c r="BC123" s="356"/>
      <c r="BD123" s="356"/>
      <c r="BE123" s="356"/>
      <c r="BF123" s="356"/>
      <c r="BG123" s="356"/>
      <c r="BH123" s="356"/>
      <c r="BI123" s="356"/>
      <c r="BJ123" s="356"/>
      <c r="BK123" s="356"/>
      <c r="BL123" s="356"/>
      <c r="BM123" s="356"/>
      <c r="BN123" s="356"/>
      <c r="BO123" s="356"/>
      <c r="BP123" s="356"/>
      <c r="BQ123" s="356"/>
      <c r="BR123" s="356"/>
      <c r="BS123" s="356"/>
      <c r="BT123" s="356"/>
      <c r="BU123" s="356"/>
      <c r="BV123" s="356"/>
      <c r="BW123" s="356"/>
      <c r="BX123" s="356"/>
      <c r="BY123" s="356"/>
      <c r="BZ123" s="356"/>
      <c r="CA123" s="356"/>
      <c r="CB123" s="356"/>
      <c r="CC123" s="356"/>
      <c r="CD123" s="356"/>
      <c r="CE123" s="356"/>
      <c r="CF123" s="356"/>
      <c r="CG123" s="356"/>
      <c r="CH123" s="356"/>
      <c r="CI123" s="220"/>
      <c r="CJ123" s="220"/>
    </row>
    <row r="124" spans="1:88" ht="13.5" customHeight="1" thickBot="1">
      <c r="D124" s="220"/>
      <c r="E124" s="289"/>
      <c r="F124" s="268"/>
      <c r="G124" s="268"/>
      <c r="H124" s="98"/>
      <c r="I124" s="240"/>
      <c r="J124" s="240"/>
      <c r="K124" s="356"/>
      <c r="L124" s="356"/>
      <c r="M124" s="356"/>
      <c r="N124" s="356"/>
      <c r="O124" s="356"/>
      <c r="P124" s="356"/>
      <c r="Q124" s="356"/>
      <c r="R124" s="356"/>
      <c r="S124" s="356"/>
      <c r="T124" s="356"/>
      <c r="U124" s="356"/>
      <c r="V124" s="356"/>
      <c r="W124" s="356"/>
      <c r="X124" s="356"/>
      <c r="Y124" s="356"/>
      <c r="Z124" s="356"/>
      <c r="AA124" s="356"/>
      <c r="AB124" s="356"/>
      <c r="AC124" s="356"/>
      <c r="AD124" s="356"/>
      <c r="AE124" s="356"/>
      <c r="AF124" s="356"/>
      <c r="AG124" s="356"/>
      <c r="AH124" s="356"/>
      <c r="AI124" s="356"/>
      <c r="AJ124" s="356"/>
      <c r="AK124" s="356"/>
      <c r="AL124" s="356"/>
      <c r="AM124" s="356"/>
      <c r="AN124" s="356"/>
      <c r="AO124" s="356"/>
      <c r="AP124" s="356"/>
      <c r="AQ124" s="356"/>
      <c r="AR124" s="356"/>
      <c r="AS124" s="356"/>
      <c r="AT124" s="356"/>
      <c r="AU124" s="356"/>
      <c r="AV124" s="356"/>
      <c r="AW124" s="356"/>
      <c r="AX124" s="356"/>
      <c r="AY124" s="356"/>
      <c r="AZ124" s="356"/>
      <c r="BA124" s="356"/>
      <c r="BB124" s="356"/>
      <c r="BC124" s="356"/>
      <c r="BD124" s="356"/>
      <c r="BE124" s="356"/>
      <c r="BF124" s="356"/>
      <c r="BG124" s="356"/>
      <c r="BH124" s="356"/>
      <c r="BI124" s="356"/>
      <c r="BJ124" s="356"/>
      <c r="BK124" s="356"/>
      <c r="BL124" s="356"/>
      <c r="BM124" s="356"/>
      <c r="BN124" s="356"/>
      <c r="BO124" s="356"/>
      <c r="BP124" s="356"/>
      <c r="BQ124" s="356"/>
      <c r="BR124" s="356"/>
      <c r="BS124" s="356"/>
      <c r="BT124" s="356"/>
      <c r="BU124" s="356"/>
      <c r="BV124" s="356"/>
      <c r="BW124" s="356"/>
      <c r="BX124" s="356"/>
      <c r="BY124" s="356"/>
      <c r="BZ124" s="356"/>
      <c r="CA124" s="356"/>
      <c r="CB124" s="356"/>
      <c r="CC124" s="356"/>
      <c r="CD124" s="356"/>
      <c r="CE124" s="356"/>
      <c r="CF124" s="356"/>
      <c r="CG124" s="959"/>
      <c r="CH124" s="959"/>
      <c r="CI124" s="220"/>
      <c r="CJ124" s="220"/>
    </row>
    <row r="125" spans="1:88" ht="8.25" customHeight="1" thickTop="1">
      <c r="D125" s="220"/>
      <c r="E125" s="268"/>
      <c r="F125" s="268"/>
      <c r="G125" s="268"/>
      <c r="H125" s="98" t="s">
        <v>1532</v>
      </c>
      <c r="I125" s="240"/>
      <c r="J125" s="240"/>
      <c r="K125" s="356"/>
      <c r="L125" s="356"/>
      <c r="M125" s="356"/>
      <c r="N125" s="356"/>
      <c r="O125" s="356"/>
      <c r="P125" s="356"/>
      <c r="Q125" s="356"/>
      <c r="R125" s="356"/>
      <c r="S125" s="356"/>
      <c r="T125" s="356"/>
      <c r="U125" s="356"/>
      <c r="V125" s="356"/>
      <c r="W125" s="356"/>
      <c r="X125" s="356"/>
      <c r="Y125" s="356"/>
      <c r="Z125" s="356"/>
      <c r="AA125" s="356"/>
      <c r="AB125" s="356"/>
      <c r="AC125" s="356"/>
      <c r="AD125" s="356"/>
      <c r="AE125" s="356"/>
      <c r="AF125" s="356"/>
      <c r="AG125" s="356"/>
      <c r="AH125" s="356"/>
      <c r="AI125" s="356"/>
      <c r="AJ125" s="356"/>
      <c r="AK125" s="356"/>
      <c r="AL125" s="356"/>
      <c r="AM125" s="356"/>
      <c r="AN125" s="356"/>
      <c r="AO125" s="356"/>
      <c r="AP125" s="356"/>
      <c r="AQ125" s="356"/>
      <c r="AR125" s="356"/>
      <c r="AS125" s="356"/>
      <c r="AT125" s="356"/>
      <c r="AU125" s="356"/>
      <c r="AV125" s="356"/>
      <c r="AW125" s="356"/>
      <c r="AX125" s="356"/>
      <c r="AY125" s="356"/>
      <c r="AZ125" s="356"/>
      <c r="BA125" s="356"/>
      <c r="BB125" s="356"/>
      <c r="BC125" s="356"/>
      <c r="BD125" s="356"/>
      <c r="BE125" s="356"/>
      <c r="BF125" s="356"/>
      <c r="BG125" s="356"/>
      <c r="BH125" s="356"/>
      <c r="BI125" s="356"/>
      <c r="BJ125" s="356"/>
      <c r="BK125" s="356"/>
      <c r="BL125" s="356"/>
      <c r="BM125" s="356"/>
      <c r="BN125" s="356"/>
      <c r="BO125" s="356"/>
      <c r="BP125" s="356"/>
      <c r="BQ125" s="356"/>
      <c r="BR125" s="356"/>
      <c r="BS125" s="356"/>
      <c r="BT125" s="356"/>
      <c r="BU125" s="356"/>
      <c r="BV125" s="356"/>
      <c r="BW125" s="356"/>
      <c r="BX125" s="356"/>
      <c r="BY125" s="290"/>
      <c r="BZ125" s="356"/>
      <c r="CA125" s="415" t="str">
        <f>Index!C429</f>
        <v>Strana 11</v>
      </c>
      <c r="CB125" s="356"/>
      <c r="CC125" s="356"/>
      <c r="CD125" s="356"/>
      <c r="CE125" s="356"/>
      <c r="CF125" s="356"/>
      <c r="CG125" s="356"/>
      <c r="CH125" s="356"/>
    </row>
    <row r="126" spans="1:88" s="277" customFormat="1">
      <c r="A126" s="272"/>
      <c r="B126" s="272"/>
      <c r="C126" s="272"/>
      <c r="D126" s="272"/>
      <c r="E126" s="273"/>
      <c r="F126" s="273"/>
      <c r="G126" s="273"/>
      <c r="H126" s="274"/>
      <c r="I126" s="274"/>
      <c r="J126" s="274"/>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c r="AO126" s="275"/>
      <c r="AP126" s="275"/>
      <c r="AQ126" s="275"/>
      <c r="AR126" s="275"/>
      <c r="AS126" s="275"/>
      <c r="AT126" s="275"/>
      <c r="AU126" s="275"/>
      <c r="AV126" s="275"/>
      <c r="AW126" s="275"/>
      <c r="AX126" s="275"/>
      <c r="AY126" s="275"/>
      <c r="AZ126" s="275"/>
      <c r="BA126" s="275"/>
      <c r="BB126" s="275"/>
      <c r="BC126" s="275"/>
      <c r="BD126" s="275"/>
      <c r="BE126" s="275"/>
      <c r="BF126" s="275"/>
      <c r="BG126" s="275"/>
      <c r="BH126" s="275"/>
      <c r="BI126" s="275"/>
      <c r="BJ126" s="275"/>
      <c r="BK126" s="275"/>
      <c r="BL126" s="275"/>
      <c r="BM126" s="275"/>
      <c r="BN126" s="275"/>
      <c r="BO126" s="275"/>
      <c r="BP126" s="275"/>
      <c r="BQ126" s="275"/>
      <c r="BR126" s="275"/>
      <c r="BS126" s="275"/>
      <c r="BT126" s="275"/>
      <c r="BU126" s="275"/>
      <c r="BV126" s="275"/>
      <c r="BW126" s="275"/>
      <c r="BX126" s="275"/>
      <c r="BY126" s="275"/>
      <c r="BZ126" s="275"/>
      <c r="CA126" s="275"/>
      <c r="CB126" s="275"/>
      <c r="CC126" s="275"/>
      <c r="CD126" s="275"/>
      <c r="CE126" s="275"/>
      <c r="CF126" s="275"/>
      <c r="CG126" s="275"/>
      <c r="CH126" s="275"/>
    </row>
    <row r="127" spans="1:88" s="277" customFormat="1">
      <c r="A127" s="272"/>
      <c r="B127" s="272"/>
      <c r="C127" s="272"/>
      <c r="D127" s="272"/>
      <c r="E127" s="273"/>
      <c r="F127" s="273"/>
      <c r="G127" s="273"/>
      <c r="H127" s="274"/>
      <c r="I127" s="274"/>
      <c r="J127" s="274"/>
      <c r="K127" s="275"/>
      <c r="L127" s="275"/>
      <c r="M127" s="275"/>
      <c r="N127" s="275"/>
      <c r="O127" s="275"/>
      <c r="P127" s="275"/>
      <c r="Q127" s="275"/>
      <c r="R127" s="275"/>
      <c r="S127" s="275"/>
      <c r="T127" s="275"/>
      <c r="U127" s="275"/>
      <c r="V127" s="275"/>
      <c r="W127" s="275"/>
      <c r="X127" s="275"/>
      <c r="Y127" s="275"/>
      <c r="Z127" s="275"/>
      <c r="AA127" s="275"/>
      <c r="AB127" s="275"/>
      <c r="AC127" s="275"/>
      <c r="AD127" s="275"/>
      <c r="AE127" s="276">
        <v>10</v>
      </c>
      <c r="AF127" s="275"/>
      <c r="AG127" s="276">
        <v>9</v>
      </c>
      <c r="AH127" s="275"/>
      <c r="AI127" s="276">
        <v>8</v>
      </c>
      <c r="AJ127" s="275"/>
      <c r="AK127" s="276">
        <v>7</v>
      </c>
      <c r="AL127" s="275"/>
      <c r="AM127" s="276">
        <v>6</v>
      </c>
      <c r="AN127" s="275"/>
      <c r="AO127" s="276">
        <v>5</v>
      </c>
      <c r="AP127" s="275"/>
      <c r="AQ127" s="276">
        <v>4</v>
      </c>
      <c r="AR127" s="275"/>
      <c r="AS127" s="276">
        <v>3</v>
      </c>
      <c r="AT127" s="275"/>
      <c r="AU127" s="276">
        <v>2</v>
      </c>
      <c r="AV127" s="275"/>
      <c r="AW127" s="276">
        <v>1</v>
      </c>
      <c r="AX127" s="275"/>
      <c r="AY127" s="276">
        <v>0</v>
      </c>
      <c r="AZ127" s="275"/>
      <c r="BA127" s="275"/>
      <c r="BB127" s="276">
        <v>10</v>
      </c>
      <c r="BC127" s="275"/>
      <c r="BD127" s="276">
        <v>9</v>
      </c>
      <c r="BE127" s="275"/>
      <c r="BF127" s="276">
        <v>8</v>
      </c>
      <c r="BG127" s="275"/>
      <c r="BH127" s="276">
        <v>7</v>
      </c>
      <c r="BI127" s="275"/>
      <c r="BJ127" s="276">
        <v>6</v>
      </c>
      <c r="BK127" s="276">
        <v>5</v>
      </c>
      <c r="BL127" s="276">
        <v>5</v>
      </c>
      <c r="BM127" s="276">
        <v>5</v>
      </c>
      <c r="BN127" s="276"/>
      <c r="BO127" s="276">
        <v>4</v>
      </c>
      <c r="BP127" s="276"/>
      <c r="BQ127" s="276">
        <v>3</v>
      </c>
      <c r="BR127" s="276">
        <v>2</v>
      </c>
      <c r="BS127" s="276">
        <v>2</v>
      </c>
      <c r="BT127" s="276">
        <v>1</v>
      </c>
      <c r="BU127" s="276">
        <v>1</v>
      </c>
      <c r="BV127" s="276"/>
      <c r="BW127" s="276">
        <v>0</v>
      </c>
      <c r="BX127" s="275"/>
      <c r="BY127" s="275"/>
      <c r="BZ127" s="275"/>
      <c r="CA127" s="275"/>
      <c r="CB127" s="275"/>
      <c r="CC127" s="275"/>
      <c r="CD127" s="275"/>
      <c r="CE127" s="275"/>
      <c r="CF127" s="275"/>
      <c r="CG127" s="275"/>
      <c r="CH127" s="272"/>
      <c r="CI127" s="272"/>
      <c r="CJ127" s="272"/>
    </row>
    <row r="128" spans="1:88" s="277" customFormat="1">
      <c r="B128" s="272"/>
      <c r="C128" s="272"/>
      <c r="D128" s="272"/>
      <c r="E128" s="273"/>
      <c r="F128" s="273"/>
      <c r="G128" s="273"/>
      <c r="H128" s="274"/>
      <c r="I128" s="274"/>
      <c r="J128" s="274"/>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6">
        <v>10</v>
      </c>
      <c r="AP128" s="276"/>
      <c r="AQ128" s="276">
        <v>9</v>
      </c>
      <c r="AR128" s="276"/>
      <c r="AS128" s="276">
        <v>8</v>
      </c>
      <c r="AT128" s="276"/>
      <c r="AU128" s="276">
        <v>7</v>
      </c>
      <c r="AV128" s="276"/>
      <c r="AW128" s="276">
        <v>6</v>
      </c>
      <c r="AX128" s="276"/>
      <c r="AY128" s="276">
        <v>5</v>
      </c>
      <c r="AZ128" s="276"/>
      <c r="BA128" s="276"/>
      <c r="BB128" s="276">
        <v>4</v>
      </c>
      <c r="BC128" s="276"/>
      <c r="BD128" s="276">
        <v>3</v>
      </c>
      <c r="BE128" s="276"/>
      <c r="BF128" s="276">
        <v>2</v>
      </c>
      <c r="BG128" s="276"/>
      <c r="BH128" s="276">
        <v>1</v>
      </c>
      <c r="BI128" s="276"/>
      <c r="BJ128" s="276">
        <v>0</v>
      </c>
      <c r="BK128" s="276">
        <v>10</v>
      </c>
      <c r="BL128" s="276">
        <v>10</v>
      </c>
      <c r="BM128" s="276">
        <v>10</v>
      </c>
      <c r="BN128" s="276"/>
      <c r="BO128" s="276">
        <v>9</v>
      </c>
      <c r="BP128" s="276"/>
      <c r="BQ128" s="276">
        <v>8</v>
      </c>
      <c r="BR128" s="276"/>
      <c r="BS128" s="276">
        <v>7</v>
      </c>
      <c r="BT128" s="276"/>
      <c r="BU128" s="276">
        <v>6</v>
      </c>
      <c r="BV128" s="276"/>
      <c r="BW128" s="276">
        <v>5</v>
      </c>
      <c r="BX128" s="276"/>
      <c r="BY128" s="276">
        <v>4</v>
      </c>
      <c r="BZ128" s="276"/>
      <c r="CA128" s="276">
        <v>3</v>
      </c>
      <c r="CB128" s="276"/>
      <c r="CC128" s="276">
        <v>2</v>
      </c>
      <c r="CD128" s="276"/>
      <c r="CE128" s="276">
        <v>1</v>
      </c>
      <c r="CF128" s="276"/>
      <c r="CG128" s="276">
        <v>0</v>
      </c>
      <c r="CH128" s="272"/>
      <c r="CJ128" s="272"/>
    </row>
    <row r="129" spans="1:86" s="293" customFormat="1">
      <c r="A129" s="292"/>
      <c r="B129" s="292"/>
      <c r="C129" s="292"/>
      <c r="E129" s="294"/>
      <c r="F129" s="294"/>
      <c r="G129" s="294"/>
      <c r="H129" s="295"/>
      <c r="I129" s="295"/>
      <c r="J129" s="295"/>
      <c r="K129" s="296"/>
      <c r="L129" s="296"/>
      <c r="M129" s="296"/>
      <c r="N129" s="296"/>
      <c r="O129" s="296"/>
      <c r="P129" s="296"/>
      <c r="Q129" s="296"/>
      <c r="R129" s="296"/>
      <c r="S129" s="296"/>
      <c r="T129" s="296"/>
      <c r="U129" s="296"/>
      <c r="V129" s="296"/>
      <c r="W129" s="296"/>
      <c r="X129" s="296"/>
      <c r="Y129" s="296"/>
      <c r="Z129" s="296"/>
      <c r="AA129" s="296"/>
      <c r="AB129" s="296"/>
      <c r="AC129" s="296"/>
      <c r="AD129" s="296"/>
      <c r="AE129" s="296"/>
      <c r="AF129" s="296"/>
      <c r="AG129" s="296"/>
      <c r="AH129" s="296"/>
      <c r="AI129" s="296"/>
      <c r="AJ129" s="296"/>
      <c r="AK129" s="296"/>
      <c r="AL129" s="296"/>
      <c r="AM129" s="296"/>
      <c r="AN129" s="296"/>
      <c r="AO129" s="296"/>
      <c r="AP129" s="296"/>
      <c r="AQ129" s="296"/>
      <c r="AR129" s="296"/>
      <c r="AS129" s="296"/>
      <c r="AT129" s="296"/>
      <c r="AU129" s="296"/>
      <c r="AV129" s="296"/>
      <c r="AW129" s="296"/>
      <c r="AX129" s="296"/>
      <c r="AY129" s="296"/>
      <c r="AZ129" s="296"/>
      <c r="BA129" s="296"/>
      <c r="BB129" s="296"/>
      <c r="BC129" s="296"/>
      <c r="BD129" s="296"/>
      <c r="BE129" s="296"/>
      <c r="BF129" s="296"/>
      <c r="BG129" s="296"/>
      <c r="BH129" s="296"/>
      <c r="BI129" s="296"/>
      <c r="BJ129" s="296"/>
      <c r="BK129" s="296"/>
      <c r="BL129" s="296"/>
      <c r="BM129" s="296"/>
      <c r="BN129" s="296"/>
      <c r="BO129" s="296"/>
      <c r="BP129" s="296"/>
      <c r="BQ129" s="296"/>
      <c r="BR129" s="296"/>
      <c r="BS129" s="296"/>
      <c r="BT129" s="296"/>
      <c r="BU129" s="296"/>
      <c r="BV129" s="296"/>
      <c r="BW129" s="296"/>
      <c r="BX129" s="296"/>
      <c r="BY129" s="296"/>
      <c r="BZ129" s="296"/>
      <c r="CA129" s="296"/>
      <c r="CB129" s="296"/>
      <c r="CC129" s="296"/>
      <c r="CD129" s="296"/>
      <c r="CE129" s="296"/>
      <c r="CF129" s="296"/>
      <c r="CG129" s="296"/>
      <c r="CH129" s="296"/>
    </row>
    <row r="130" spans="1:86">
      <c r="E130" s="268"/>
      <c r="F130" s="268"/>
      <c r="G130" s="268"/>
      <c r="H130" s="240"/>
      <c r="I130" s="240"/>
      <c r="J130" s="240"/>
      <c r="K130" s="356"/>
      <c r="L130" s="356"/>
      <c r="M130" s="356"/>
      <c r="N130" s="356"/>
      <c r="O130" s="356"/>
      <c r="P130" s="356"/>
      <c r="Q130" s="356"/>
      <c r="R130" s="356"/>
      <c r="S130" s="356"/>
      <c r="T130" s="356"/>
      <c r="U130" s="356"/>
      <c r="V130" s="356"/>
      <c r="W130" s="356"/>
      <c r="X130" s="356"/>
      <c r="Y130" s="356"/>
      <c r="Z130" s="356"/>
      <c r="AA130" s="356"/>
      <c r="AB130" s="356"/>
      <c r="AC130" s="356"/>
      <c r="AD130" s="356"/>
      <c r="AE130" s="356"/>
      <c r="AF130" s="356"/>
      <c r="AG130" s="356"/>
      <c r="AH130" s="356"/>
      <c r="AI130" s="356"/>
      <c r="AJ130" s="356"/>
      <c r="AK130" s="356"/>
      <c r="AL130" s="356"/>
      <c r="AM130" s="356"/>
      <c r="AN130" s="356"/>
      <c r="AO130" s="356"/>
      <c r="AP130" s="356"/>
      <c r="AQ130" s="356"/>
      <c r="AR130" s="356"/>
      <c r="AS130" s="356"/>
      <c r="AT130" s="356"/>
      <c r="AU130" s="356"/>
      <c r="AV130" s="356"/>
      <c r="AW130" s="356"/>
      <c r="AX130" s="356"/>
      <c r="AY130" s="356"/>
      <c r="AZ130" s="356"/>
      <c r="BA130" s="356"/>
      <c r="BB130" s="356"/>
      <c r="BC130" s="356"/>
      <c r="BD130" s="356"/>
      <c r="BE130" s="356"/>
      <c r="BF130" s="356"/>
      <c r="BG130" s="356"/>
      <c r="BH130" s="356"/>
      <c r="BI130" s="356"/>
      <c r="BJ130" s="356"/>
      <c r="BK130" s="356"/>
      <c r="BL130" s="356"/>
      <c r="BM130" s="356"/>
      <c r="BN130" s="356"/>
      <c r="BO130" s="356"/>
      <c r="BP130" s="356"/>
      <c r="BQ130" s="356"/>
      <c r="BR130" s="356"/>
      <c r="BS130" s="356"/>
      <c r="BT130" s="356"/>
      <c r="BU130" s="356"/>
      <c r="BV130" s="356"/>
      <c r="BW130" s="356"/>
      <c r="BX130" s="356"/>
      <c r="BY130" s="356"/>
      <c r="BZ130" s="356"/>
      <c r="CA130" s="356"/>
      <c r="CB130" s="356"/>
      <c r="CC130" s="356"/>
      <c r="CD130" s="356"/>
      <c r="CE130" s="356"/>
      <c r="CF130" s="356"/>
      <c r="CG130" s="356"/>
      <c r="CH130" s="356"/>
    </row>
    <row r="131" spans="1:86">
      <c r="E131" s="268"/>
      <c r="F131" s="268"/>
      <c r="G131" s="268"/>
      <c r="H131" s="240"/>
      <c r="I131" s="240"/>
      <c r="J131" s="240"/>
      <c r="K131" s="356"/>
      <c r="L131" s="356"/>
      <c r="M131" s="356"/>
      <c r="N131" s="356"/>
      <c r="O131" s="356"/>
      <c r="P131" s="356"/>
      <c r="Q131" s="356"/>
      <c r="R131" s="356"/>
      <c r="S131" s="356"/>
      <c r="T131" s="356"/>
      <c r="U131" s="356"/>
      <c r="V131" s="356"/>
      <c r="W131" s="356"/>
      <c r="X131" s="356"/>
      <c r="Y131" s="356"/>
      <c r="Z131" s="356"/>
      <c r="AA131" s="356"/>
      <c r="AB131" s="356"/>
      <c r="AC131" s="356"/>
      <c r="AD131" s="356"/>
      <c r="AE131" s="356"/>
      <c r="AF131" s="356"/>
      <c r="AG131" s="356"/>
      <c r="AH131" s="356"/>
      <c r="AI131" s="356"/>
      <c r="AJ131" s="356"/>
      <c r="AK131" s="356"/>
      <c r="AL131" s="356"/>
      <c r="AM131" s="356"/>
      <c r="AN131" s="356"/>
      <c r="AO131" s="356"/>
      <c r="AP131" s="356"/>
      <c r="AQ131" s="356"/>
      <c r="AR131" s="356"/>
      <c r="AS131" s="356"/>
      <c r="AT131" s="356"/>
      <c r="AU131" s="356"/>
      <c r="AV131" s="356"/>
      <c r="AW131" s="356"/>
      <c r="AX131" s="356"/>
      <c r="AY131" s="356"/>
      <c r="AZ131" s="356"/>
      <c r="BA131" s="356"/>
      <c r="BB131" s="356"/>
      <c r="BC131" s="356"/>
      <c r="BD131" s="356"/>
      <c r="BE131" s="356"/>
      <c r="BF131" s="356"/>
      <c r="BG131" s="356"/>
      <c r="BH131" s="356"/>
      <c r="BI131" s="356"/>
      <c r="BJ131" s="356"/>
      <c r="BK131" s="356"/>
      <c r="BL131" s="356"/>
      <c r="BM131" s="356"/>
      <c r="BN131" s="356"/>
      <c r="BO131" s="356"/>
      <c r="BP131" s="356"/>
      <c r="BQ131" s="356"/>
      <c r="BR131" s="356"/>
      <c r="BS131" s="356"/>
      <c r="BT131" s="356"/>
      <c r="BU131" s="356"/>
      <c r="BV131" s="356"/>
      <c r="BW131" s="356"/>
      <c r="BX131" s="356"/>
      <c r="BY131" s="356"/>
      <c r="BZ131" s="356"/>
      <c r="CA131" s="356"/>
      <c r="CB131" s="356"/>
      <c r="CC131" s="356"/>
      <c r="CD131" s="356"/>
      <c r="CE131" s="356"/>
      <c r="CF131" s="356"/>
      <c r="CG131" s="356"/>
      <c r="CH131" s="356"/>
    </row>
  </sheetData>
  <sheetProtection sheet="1" objects="1" scenarios="1"/>
  <mergeCells count="463">
    <mergeCell ref="B9:D9"/>
    <mergeCell ref="B10:C10"/>
    <mergeCell ref="E10:F10"/>
    <mergeCell ref="G10:AJ10"/>
    <mergeCell ref="AK10:AM10"/>
    <mergeCell ref="AN10:BJ10"/>
    <mergeCell ref="AR4:AR5"/>
    <mergeCell ref="E7:F9"/>
    <mergeCell ref="G7:AJ9"/>
    <mergeCell ref="AK7:AM9"/>
    <mergeCell ref="AN7:CH7"/>
    <mergeCell ref="AN8:BJ9"/>
    <mergeCell ref="BL8:CH9"/>
    <mergeCell ref="AF4:AF5"/>
    <mergeCell ref="AH4:AH5"/>
    <mergeCell ref="AJ4:AJ5"/>
    <mergeCell ref="AL4:AL5"/>
    <mergeCell ref="AN4:AN5"/>
    <mergeCell ref="AP4:AP5"/>
    <mergeCell ref="BM12:BO12"/>
    <mergeCell ref="H2:X4"/>
    <mergeCell ref="AB2:AX2"/>
    <mergeCell ref="AY2:AY5"/>
    <mergeCell ref="AZ2:BT2"/>
    <mergeCell ref="BU2:CE5"/>
    <mergeCell ref="BQ12:BU12"/>
    <mergeCell ref="BV12:BV13"/>
    <mergeCell ref="BW12:CA12"/>
    <mergeCell ref="CB12:CB13"/>
    <mergeCell ref="CC12:CG12"/>
    <mergeCell ref="BA13:BB13"/>
    <mergeCell ref="BL10:CH10"/>
    <mergeCell ref="AE3:AW3"/>
    <mergeCell ref="AZ3:BC4"/>
    <mergeCell ref="BD3:BS3"/>
    <mergeCell ref="AB4:AC5"/>
    <mergeCell ref="AD4:AD5"/>
    <mergeCell ref="BQ16:BU16"/>
    <mergeCell ref="BV16:BV17"/>
    <mergeCell ref="BW16:CA16"/>
    <mergeCell ref="CB16:CB17"/>
    <mergeCell ref="CC16:CG16"/>
    <mergeCell ref="BA17:BB17"/>
    <mergeCell ref="BL14:CB14"/>
    <mergeCell ref="E15:F18"/>
    <mergeCell ref="G15:AJ18"/>
    <mergeCell ref="AK15:AM18"/>
    <mergeCell ref="BL15:CB15"/>
    <mergeCell ref="AY16:BD16"/>
    <mergeCell ref="BF16:BJ16"/>
    <mergeCell ref="BK16:BK17"/>
    <mergeCell ref="BL16:BL17"/>
    <mergeCell ref="BM16:BO16"/>
    <mergeCell ref="E11:F14"/>
    <mergeCell ref="G11:AJ14"/>
    <mergeCell ref="AK11:AM14"/>
    <mergeCell ref="BL11:CB11"/>
    <mergeCell ref="AY12:BD12"/>
    <mergeCell ref="BF12:BJ12"/>
    <mergeCell ref="BK12:BK13"/>
    <mergeCell ref="BL12:BL13"/>
    <mergeCell ref="BQ20:BU20"/>
    <mergeCell ref="BV20:BV21"/>
    <mergeCell ref="BW20:CA20"/>
    <mergeCell ref="CB20:CB21"/>
    <mergeCell ref="CC20:CG20"/>
    <mergeCell ref="BA21:BB21"/>
    <mergeCell ref="BL18:CB18"/>
    <mergeCell ref="E19:F22"/>
    <mergeCell ref="G19:AJ22"/>
    <mergeCell ref="AK19:AM22"/>
    <mergeCell ref="BL19:CB19"/>
    <mergeCell ref="AY20:BD20"/>
    <mergeCell ref="BF20:BJ20"/>
    <mergeCell ref="BK20:BK21"/>
    <mergeCell ref="BL20:BL21"/>
    <mergeCell ref="BM20:BO20"/>
    <mergeCell ref="BQ24:BU24"/>
    <mergeCell ref="BV24:BV25"/>
    <mergeCell ref="BW24:CA24"/>
    <mergeCell ref="CB24:CB25"/>
    <mergeCell ref="CC24:CG24"/>
    <mergeCell ref="BA25:BB25"/>
    <mergeCell ref="BL22:CB22"/>
    <mergeCell ref="E23:F26"/>
    <mergeCell ref="G23:AJ26"/>
    <mergeCell ref="AK23:AM26"/>
    <mergeCell ref="BL23:CB23"/>
    <mergeCell ref="AY24:BD24"/>
    <mergeCell ref="BF24:BJ24"/>
    <mergeCell ref="BK24:BK25"/>
    <mergeCell ref="BL24:BL25"/>
    <mergeCell ref="BM24:BO24"/>
    <mergeCell ref="BQ28:BU28"/>
    <mergeCell ref="BV28:BV29"/>
    <mergeCell ref="BW28:CA28"/>
    <mergeCell ref="CB28:CB29"/>
    <mergeCell ref="CC28:CG28"/>
    <mergeCell ref="BA29:BB29"/>
    <mergeCell ref="BL26:CB26"/>
    <mergeCell ref="E27:F30"/>
    <mergeCell ref="G27:AJ30"/>
    <mergeCell ref="AK27:AM30"/>
    <mergeCell ref="BL27:CB27"/>
    <mergeCell ref="AY28:BD28"/>
    <mergeCell ref="BF28:BJ28"/>
    <mergeCell ref="BK28:BK29"/>
    <mergeCell ref="BL28:BL29"/>
    <mergeCell ref="BM28:BO28"/>
    <mergeCell ref="BQ32:BU32"/>
    <mergeCell ref="BV32:BV33"/>
    <mergeCell ref="BW32:CA32"/>
    <mergeCell ref="CB32:CB33"/>
    <mergeCell ref="CC32:CG32"/>
    <mergeCell ref="BA33:BB33"/>
    <mergeCell ref="BL30:CB30"/>
    <mergeCell ref="E31:F34"/>
    <mergeCell ref="G31:AJ34"/>
    <mergeCell ref="AK31:AM34"/>
    <mergeCell ref="BL31:CB31"/>
    <mergeCell ref="AY32:BD32"/>
    <mergeCell ref="BF32:BJ32"/>
    <mergeCell ref="BK32:BK33"/>
    <mergeCell ref="BL32:BL33"/>
    <mergeCell ref="BM32:BO32"/>
    <mergeCell ref="BQ36:BU36"/>
    <mergeCell ref="BV36:BV37"/>
    <mergeCell ref="BW36:CA36"/>
    <mergeCell ref="CB36:CB37"/>
    <mergeCell ref="CC36:CG36"/>
    <mergeCell ref="BA37:BB37"/>
    <mergeCell ref="BL34:CB34"/>
    <mergeCell ref="E35:F38"/>
    <mergeCell ref="G35:AJ38"/>
    <mergeCell ref="AK35:AM38"/>
    <mergeCell ref="BL35:CB35"/>
    <mergeCell ref="AY36:BD36"/>
    <mergeCell ref="BF36:BJ36"/>
    <mergeCell ref="BK36:BK37"/>
    <mergeCell ref="BL36:BL37"/>
    <mergeCell ref="BM36:BO36"/>
    <mergeCell ref="BQ40:BU40"/>
    <mergeCell ref="BV40:BV41"/>
    <mergeCell ref="BW40:CA40"/>
    <mergeCell ref="CB40:CB41"/>
    <mergeCell ref="CC40:CG40"/>
    <mergeCell ref="BA41:BB41"/>
    <mergeCell ref="BL38:CB38"/>
    <mergeCell ref="E39:F42"/>
    <mergeCell ref="G39:AJ42"/>
    <mergeCell ref="AK39:AM42"/>
    <mergeCell ref="BL39:CB39"/>
    <mergeCell ref="AY40:BD40"/>
    <mergeCell ref="BF40:BJ40"/>
    <mergeCell ref="BK40:BK41"/>
    <mergeCell ref="BL40:BL41"/>
    <mergeCell ref="BM40:BO40"/>
    <mergeCell ref="BQ44:BU44"/>
    <mergeCell ref="BV44:BV45"/>
    <mergeCell ref="BW44:CA44"/>
    <mergeCell ref="CB44:CB45"/>
    <mergeCell ref="CC44:CG44"/>
    <mergeCell ref="BA45:BB45"/>
    <mergeCell ref="BL42:CB42"/>
    <mergeCell ref="E43:F46"/>
    <mergeCell ref="G43:AJ46"/>
    <mergeCell ref="AK43:AM46"/>
    <mergeCell ref="BL43:CB43"/>
    <mergeCell ref="AY44:BD44"/>
    <mergeCell ref="BF44:BJ44"/>
    <mergeCell ref="BK44:BK45"/>
    <mergeCell ref="BL44:BL45"/>
    <mergeCell ref="BM44:BO44"/>
    <mergeCell ref="BQ48:BU48"/>
    <mergeCell ref="BV48:BV49"/>
    <mergeCell ref="BW48:CA48"/>
    <mergeCell ref="CB48:CB49"/>
    <mergeCell ref="CC48:CG48"/>
    <mergeCell ref="BA49:BB49"/>
    <mergeCell ref="BL46:CB46"/>
    <mergeCell ref="E47:F50"/>
    <mergeCell ref="G47:AJ50"/>
    <mergeCell ref="AK47:AM50"/>
    <mergeCell ref="BL47:CB47"/>
    <mergeCell ref="AY48:BD48"/>
    <mergeCell ref="BF48:BJ48"/>
    <mergeCell ref="BK48:BK49"/>
    <mergeCell ref="BL48:BL49"/>
    <mergeCell ref="BM48:BO48"/>
    <mergeCell ref="BQ52:BU52"/>
    <mergeCell ref="BV52:BV53"/>
    <mergeCell ref="BW52:CA52"/>
    <mergeCell ref="CB52:CB53"/>
    <mergeCell ref="CC52:CG52"/>
    <mergeCell ref="BA53:BB53"/>
    <mergeCell ref="BL50:CB50"/>
    <mergeCell ref="E51:F54"/>
    <mergeCell ref="G51:AJ54"/>
    <mergeCell ref="AK51:AM54"/>
    <mergeCell ref="BL51:CB51"/>
    <mergeCell ref="AY52:BD52"/>
    <mergeCell ref="BF52:BJ52"/>
    <mergeCell ref="BK52:BK53"/>
    <mergeCell ref="BL52:BL53"/>
    <mergeCell ref="BM52:BO52"/>
    <mergeCell ref="BQ56:BU56"/>
    <mergeCell ref="BV56:BV57"/>
    <mergeCell ref="BW56:CA56"/>
    <mergeCell ref="CB56:CB57"/>
    <mergeCell ref="CC56:CG56"/>
    <mergeCell ref="BA57:BB57"/>
    <mergeCell ref="BL54:CB54"/>
    <mergeCell ref="E55:F58"/>
    <mergeCell ref="G55:AJ58"/>
    <mergeCell ref="AK55:AM58"/>
    <mergeCell ref="BL55:CB55"/>
    <mergeCell ref="AY56:BD56"/>
    <mergeCell ref="BF56:BJ56"/>
    <mergeCell ref="BK56:BK57"/>
    <mergeCell ref="BL56:BL57"/>
    <mergeCell ref="BM56:BO56"/>
    <mergeCell ref="BQ60:BU60"/>
    <mergeCell ref="BV60:BV61"/>
    <mergeCell ref="BW60:CA60"/>
    <mergeCell ref="CB60:CB61"/>
    <mergeCell ref="CC60:CG60"/>
    <mergeCell ref="BA61:BB61"/>
    <mergeCell ref="BL58:CB58"/>
    <mergeCell ref="E59:F62"/>
    <mergeCell ref="G59:AJ62"/>
    <mergeCell ref="AK59:AM62"/>
    <mergeCell ref="BL59:CB59"/>
    <mergeCell ref="AY60:BD60"/>
    <mergeCell ref="BF60:BJ60"/>
    <mergeCell ref="BK60:BK61"/>
    <mergeCell ref="BL60:BL61"/>
    <mergeCell ref="BM60:BO60"/>
    <mergeCell ref="BQ64:BU64"/>
    <mergeCell ref="BV64:BV65"/>
    <mergeCell ref="BW64:CA64"/>
    <mergeCell ref="CB64:CB65"/>
    <mergeCell ref="CC64:CG64"/>
    <mergeCell ref="BA65:BB65"/>
    <mergeCell ref="BL62:CB62"/>
    <mergeCell ref="E63:F66"/>
    <mergeCell ref="G63:AJ66"/>
    <mergeCell ref="AK63:AM66"/>
    <mergeCell ref="BL63:CB63"/>
    <mergeCell ref="AY64:BD64"/>
    <mergeCell ref="BF64:BJ64"/>
    <mergeCell ref="BK64:BK65"/>
    <mergeCell ref="BL64:BL65"/>
    <mergeCell ref="BM64:BO64"/>
    <mergeCell ref="BQ68:BU68"/>
    <mergeCell ref="BV68:BV69"/>
    <mergeCell ref="BW68:CA68"/>
    <mergeCell ref="CB68:CB69"/>
    <mergeCell ref="CC68:CG68"/>
    <mergeCell ref="BA69:BB69"/>
    <mergeCell ref="BL66:CB66"/>
    <mergeCell ref="E67:F70"/>
    <mergeCell ref="G67:AJ70"/>
    <mergeCell ref="AK67:AM70"/>
    <mergeCell ref="BL67:CB67"/>
    <mergeCell ref="AY68:BD68"/>
    <mergeCell ref="BF68:BJ68"/>
    <mergeCell ref="BK68:BK69"/>
    <mergeCell ref="BL68:BL69"/>
    <mergeCell ref="BM68:BO68"/>
    <mergeCell ref="BQ72:BU72"/>
    <mergeCell ref="BV72:BV73"/>
    <mergeCell ref="BW72:CA72"/>
    <mergeCell ref="CB72:CB73"/>
    <mergeCell ref="CC72:CG72"/>
    <mergeCell ref="BA73:BB73"/>
    <mergeCell ref="BL70:CB70"/>
    <mergeCell ref="E71:F74"/>
    <mergeCell ref="G71:AJ74"/>
    <mergeCell ref="AK71:AM74"/>
    <mergeCell ref="BL71:CB71"/>
    <mergeCell ref="AY72:BD72"/>
    <mergeCell ref="BF72:BJ72"/>
    <mergeCell ref="BK72:BK73"/>
    <mergeCell ref="BL72:BL73"/>
    <mergeCell ref="BM72:BO72"/>
    <mergeCell ref="BQ76:BU76"/>
    <mergeCell ref="BV76:BV77"/>
    <mergeCell ref="BW76:CA76"/>
    <mergeCell ref="CB76:CB77"/>
    <mergeCell ref="CC76:CG76"/>
    <mergeCell ref="BA77:BB77"/>
    <mergeCell ref="BL74:CB74"/>
    <mergeCell ref="E75:F78"/>
    <mergeCell ref="G75:AJ78"/>
    <mergeCell ref="AK75:AM78"/>
    <mergeCell ref="BL75:CB75"/>
    <mergeCell ref="AY76:BD76"/>
    <mergeCell ref="BF76:BJ76"/>
    <mergeCell ref="BK76:BK77"/>
    <mergeCell ref="BL76:BL77"/>
    <mergeCell ref="BM76:BO76"/>
    <mergeCell ref="BQ80:BU80"/>
    <mergeCell ref="BV80:BV81"/>
    <mergeCell ref="BW80:CA80"/>
    <mergeCell ref="CB80:CB81"/>
    <mergeCell ref="CC80:CG80"/>
    <mergeCell ref="BA81:BB81"/>
    <mergeCell ref="BL78:CB78"/>
    <mergeCell ref="E79:F82"/>
    <mergeCell ref="G79:AJ82"/>
    <mergeCell ref="AK79:AM82"/>
    <mergeCell ref="BL79:CB79"/>
    <mergeCell ref="AY80:BD80"/>
    <mergeCell ref="BF80:BJ80"/>
    <mergeCell ref="BK80:BK81"/>
    <mergeCell ref="BL80:BL81"/>
    <mergeCell ref="BM80:BO80"/>
    <mergeCell ref="BQ84:BU84"/>
    <mergeCell ref="BV84:BV85"/>
    <mergeCell ref="BW84:CA84"/>
    <mergeCell ref="CB84:CB85"/>
    <mergeCell ref="CC84:CG84"/>
    <mergeCell ref="BA85:BB85"/>
    <mergeCell ref="BL82:CB82"/>
    <mergeCell ref="E83:F86"/>
    <mergeCell ref="G83:AJ86"/>
    <mergeCell ref="AK83:AM86"/>
    <mergeCell ref="BL83:CB83"/>
    <mergeCell ref="AY84:BD84"/>
    <mergeCell ref="BF84:BJ84"/>
    <mergeCell ref="BK84:BK85"/>
    <mergeCell ref="BL84:BL85"/>
    <mergeCell ref="BM84:BO84"/>
    <mergeCell ref="BQ88:BU88"/>
    <mergeCell ref="BV88:BV89"/>
    <mergeCell ref="BW88:CA88"/>
    <mergeCell ref="CB88:CB89"/>
    <mergeCell ref="CC88:CG88"/>
    <mergeCell ref="BA89:BB89"/>
    <mergeCell ref="BL86:CB86"/>
    <mergeCell ref="E87:F90"/>
    <mergeCell ref="G87:AJ90"/>
    <mergeCell ref="AK87:AM90"/>
    <mergeCell ref="BL87:CB87"/>
    <mergeCell ref="AY88:BD88"/>
    <mergeCell ref="BF88:BJ88"/>
    <mergeCell ref="BK88:BK89"/>
    <mergeCell ref="BL88:BL89"/>
    <mergeCell ref="BM88:BO88"/>
    <mergeCell ref="BQ92:BU92"/>
    <mergeCell ref="BV92:BV93"/>
    <mergeCell ref="BW92:CA92"/>
    <mergeCell ref="CB92:CB93"/>
    <mergeCell ref="CC92:CG92"/>
    <mergeCell ref="BA93:BB93"/>
    <mergeCell ref="BL90:CB90"/>
    <mergeCell ref="E91:F94"/>
    <mergeCell ref="G91:AJ94"/>
    <mergeCell ref="AK91:AM94"/>
    <mergeCell ref="BL91:CB91"/>
    <mergeCell ref="AY92:BD92"/>
    <mergeCell ref="BF92:BJ92"/>
    <mergeCell ref="BK92:BK93"/>
    <mergeCell ref="BL92:BL93"/>
    <mergeCell ref="BM92:BO92"/>
    <mergeCell ref="BQ96:BU96"/>
    <mergeCell ref="BV96:BV97"/>
    <mergeCell ref="BW96:CA96"/>
    <mergeCell ref="CB96:CB97"/>
    <mergeCell ref="CC96:CG96"/>
    <mergeCell ref="BA97:BB97"/>
    <mergeCell ref="BL94:CB94"/>
    <mergeCell ref="E95:F98"/>
    <mergeCell ref="G95:AJ98"/>
    <mergeCell ref="AK95:AM98"/>
    <mergeCell ref="BL95:CB95"/>
    <mergeCell ref="AY96:BD96"/>
    <mergeCell ref="BF96:BJ96"/>
    <mergeCell ref="BK96:BK97"/>
    <mergeCell ref="BL96:BL97"/>
    <mergeCell ref="BM96:BO96"/>
    <mergeCell ref="BQ100:BU100"/>
    <mergeCell ref="BV100:BV101"/>
    <mergeCell ref="BW100:CA100"/>
    <mergeCell ref="CB100:CB101"/>
    <mergeCell ref="CC100:CG100"/>
    <mergeCell ref="BA101:BB101"/>
    <mergeCell ref="BL98:CB98"/>
    <mergeCell ref="E99:F102"/>
    <mergeCell ref="G99:AJ102"/>
    <mergeCell ref="AK99:AM102"/>
    <mergeCell ref="BL99:CB99"/>
    <mergeCell ref="AY100:BD100"/>
    <mergeCell ref="BF100:BJ100"/>
    <mergeCell ref="BK100:BK101"/>
    <mergeCell ref="BL100:BL101"/>
    <mergeCell ref="BM100:BO100"/>
    <mergeCell ref="BQ104:BU104"/>
    <mergeCell ref="BV104:BV105"/>
    <mergeCell ref="BW104:CA104"/>
    <mergeCell ref="CB104:CB105"/>
    <mergeCell ref="CC104:CG104"/>
    <mergeCell ref="BA105:BB105"/>
    <mergeCell ref="BL102:CB102"/>
    <mergeCell ref="E103:F106"/>
    <mergeCell ref="G103:AJ106"/>
    <mergeCell ref="AK103:AM106"/>
    <mergeCell ref="BL103:CB103"/>
    <mergeCell ref="AY104:BD104"/>
    <mergeCell ref="BF104:BJ104"/>
    <mergeCell ref="BK104:BK105"/>
    <mergeCell ref="BL104:BL105"/>
    <mergeCell ref="BM104:BO104"/>
    <mergeCell ref="BQ108:BU108"/>
    <mergeCell ref="BV108:BV109"/>
    <mergeCell ref="BW108:CA108"/>
    <mergeCell ref="CB108:CB109"/>
    <mergeCell ref="CC108:CG108"/>
    <mergeCell ref="BA109:BB109"/>
    <mergeCell ref="BL106:CB106"/>
    <mergeCell ref="E107:F110"/>
    <mergeCell ref="G107:AJ110"/>
    <mergeCell ref="AK107:AM110"/>
    <mergeCell ref="BL107:CB107"/>
    <mergeCell ref="AY108:BD108"/>
    <mergeCell ref="BF108:BJ108"/>
    <mergeCell ref="BK108:BK109"/>
    <mergeCell ref="BL108:BL109"/>
    <mergeCell ref="BM108:BO108"/>
    <mergeCell ref="BQ112:BU112"/>
    <mergeCell ref="BV112:BV113"/>
    <mergeCell ref="BW112:CA112"/>
    <mergeCell ref="CB112:CB113"/>
    <mergeCell ref="CC112:CG112"/>
    <mergeCell ref="BA113:BB113"/>
    <mergeCell ref="BL110:CB110"/>
    <mergeCell ref="E111:F114"/>
    <mergeCell ref="G111:AJ114"/>
    <mergeCell ref="AK111:AM114"/>
    <mergeCell ref="BL111:CB111"/>
    <mergeCell ref="AY112:BD112"/>
    <mergeCell ref="BF112:BJ112"/>
    <mergeCell ref="BK112:BK113"/>
    <mergeCell ref="BL112:BL113"/>
    <mergeCell ref="BM112:BO112"/>
    <mergeCell ref="CG124:CH124"/>
    <mergeCell ref="BQ116:BU116"/>
    <mergeCell ref="BV116:BV117"/>
    <mergeCell ref="BW116:CA116"/>
    <mergeCell ref="CB116:CB117"/>
    <mergeCell ref="CC116:CG116"/>
    <mergeCell ref="BA117:BB117"/>
    <mergeCell ref="BL114:CB114"/>
    <mergeCell ref="E115:F118"/>
    <mergeCell ref="G115:AJ118"/>
    <mergeCell ref="AK115:AM118"/>
    <mergeCell ref="BL115:CB115"/>
    <mergeCell ref="AY116:BD116"/>
    <mergeCell ref="BF116:BJ116"/>
    <mergeCell ref="BK116:BK117"/>
    <mergeCell ref="BL116:BL117"/>
    <mergeCell ref="BM116:BO116"/>
    <mergeCell ref="BL118:CB118"/>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whole" allowBlank="1" showErrorMessage="1" error="Môže byť iba číslica." xr:uid="{00000000-0002-0000-12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2"/>
  <dimension ref="A1:CK87"/>
  <sheetViews>
    <sheetView zoomScaleNormal="100" workbookViewId="0">
      <selection activeCell="C31" sqref="C31"/>
    </sheetView>
  </sheetViews>
  <sheetFormatPr defaultRowHeight="12.75"/>
  <cols>
    <col min="1" max="1" width="0.7109375" style="220" customWidth="1"/>
    <col min="2" max="2" width="0.42578125" style="220" customWidth="1"/>
    <col min="3" max="3" width="0.5703125" style="220" customWidth="1"/>
    <col min="4" max="4" width="0.28515625" style="221" customWidth="1"/>
    <col min="5" max="5" width="3.7109375" style="278" customWidth="1"/>
    <col min="6" max="6" width="1.140625" style="278" customWidth="1"/>
    <col min="7" max="7" width="0.7109375" style="278" customWidth="1"/>
    <col min="8" max="10" width="0.7109375" style="279" customWidth="1"/>
    <col min="11" max="11" width="0.7109375" style="280" customWidth="1"/>
    <col min="12" max="12" width="0.5703125" style="280" customWidth="1"/>
    <col min="13" max="25" width="0.7109375" style="280" customWidth="1"/>
    <col min="26" max="26" width="1.42578125" style="280" customWidth="1"/>
    <col min="27" max="27" width="0.5703125" style="280" customWidth="1"/>
    <col min="28" max="28" width="3.42578125" style="280" customWidth="1"/>
    <col min="29" max="29" width="0.5703125" style="280" customWidth="1"/>
    <col min="30" max="30" width="0.7109375" style="280" customWidth="1"/>
    <col min="31" max="31" width="2.140625" style="280" customWidth="1"/>
    <col min="32" max="32" width="0.5703125" style="280" customWidth="1"/>
    <col min="33" max="33" width="2.140625" style="280" customWidth="1"/>
    <col min="34" max="34" width="0.5703125" style="280" customWidth="1"/>
    <col min="35" max="35" width="2.140625" style="280" customWidth="1"/>
    <col min="36" max="36" width="0.5703125" style="280" customWidth="1"/>
    <col min="37" max="37" width="2.140625" style="280" customWidth="1"/>
    <col min="38" max="38" width="0.5703125" style="280" customWidth="1"/>
    <col min="39" max="39" width="2.140625" style="280" customWidth="1"/>
    <col min="40" max="40" width="0.5703125" style="280" customWidth="1"/>
    <col min="41" max="41" width="2.140625" style="280" customWidth="1"/>
    <col min="42" max="42" width="0.5703125" style="280" customWidth="1"/>
    <col min="43" max="43" width="2.140625" style="280" customWidth="1"/>
    <col min="44" max="44" width="0.5703125" style="280" customWidth="1"/>
    <col min="45" max="45" width="2.7109375" style="280" customWidth="1"/>
    <col min="46" max="46" width="0.5703125" style="280" customWidth="1"/>
    <col min="47" max="47" width="2.140625" style="280" customWidth="1"/>
    <col min="48" max="48" width="0.5703125" style="280" customWidth="1"/>
    <col min="49" max="49" width="2.140625" style="280" customWidth="1"/>
    <col min="50" max="50" width="0.5703125" style="280" customWidth="1"/>
    <col min="51" max="51" width="2.140625" style="280" customWidth="1"/>
    <col min="52" max="53" width="0.5703125" style="280" customWidth="1"/>
    <col min="54" max="54" width="2.140625" style="280" customWidth="1"/>
    <col min="55" max="55" width="0.5703125" style="280" customWidth="1"/>
    <col min="56" max="56" width="2.140625" style="280" customWidth="1"/>
    <col min="57" max="57" width="0.5703125" style="280" customWidth="1"/>
    <col min="58" max="58" width="2.140625" style="280" customWidth="1"/>
    <col min="59" max="59" width="0.5703125" style="280" customWidth="1"/>
    <col min="60" max="60" width="2.140625" style="280" customWidth="1"/>
    <col min="61" max="61" width="0.5703125" style="280" customWidth="1"/>
    <col min="62" max="62" width="2" style="280" customWidth="1"/>
    <col min="63" max="64" width="0.5703125" style="280" customWidth="1"/>
    <col min="65" max="65" width="2.140625" style="280" customWidth="1"/>
    <col min="66" max="66" width="0.5703125" style="280" customWidth="1"/>
    <col min="67" max="67" width="2.140625" style="280" customWidth="1"/>
    <col min="68" max="68" width="0.5703125" style="280" customWidth="1"/>
    <col min="69" max="69" width="2.140625" style="280" customWidth="1"/>
    <col min="70" max="70" width="0.5703125" style="280" customWidth="1"/>
    <col min="71" max="71" width="2.140625" style="280" customWidth="1"/>
    <col min="72" max="72" width="0.5703125" style="280" customWidth="1"/>
    <col min="73" max="73" width="2.140625" style="280" customWidth="1"/>
    <col min="74" max="74" width="0.5703125" style="280" customWidth="1"/>
    <col min="75" max="75" width="2.140625" style="280" customWidth="1"/>
    <col min="76" max="76" width="0.5703125" style="280" customWidth="1"/>
    <col min="77" max="77" width="2.140625" style="280" customWidth="1"/>
    <col min="78" max="78" width="0.5703125" style="280" customWidth="1"/>
    <col min="79" max="79" width="2.140625" style="280" customWidth="1"/>
    <col min="80" max="80" width="0.5703125" style="280" customWidth="1"/>
    <col min="81" max="81" width="2.140625" style="280" customWidth="1"/>
    <col min="82" max="82" width="0.5703125" style="280" customWidth="1"/>
    <col min="83" max="83" width="2.140625" style="280" customWidth="1"/>
    <col min="84" max="84" width="0.5703125" style="280" customWidth="1"/>
    <col min="85" max="85" width="2.140625" style="280" customWidth="1"/>
    <col min="86" max="86" width="0.5703125" style="280" customWidth="1"/>
    <col min="87" max="88" width="2.5703125" style="221" customWidth="1"/>
    <col min="89" max="256" width="9.140625" style="221"/>
    <col min="257" max="257" width="0.7109375" style="221" customWidth="1"/>
    <col min="258" max="258" width="0.42578125" style="221" customWidth="1"/>
    <col min="259" max="259" width="0.5703125" style="221" customWidth="1"/>
    <col min="260" max="260" width="0.28515625" style="221" customWidth="1"/>
    <col min="261" max="261" width="3.7109375" style="221" customWidth="1"/>
    <col min="262" max="262" width="1.140625" style="221" customWidth="1"/>
    <col min="263" max="267" width="0.7109375" style="221" customWidth="1"/>
    <col min="268" max="268" width="0.5703125" style="221" customWidth="1"/>
    <col min="269" max="281" width="0.7109375" style="221" customWidth="1"/>
    <col min="282" max="282" width="1.42578125" style="221" customWidth="1"/>
    <col min="283" max="283" width="0.5703125" style="221" customWidth="1"/>
    <col min="284" max="284" width="3.42578125" style="221" customWidth="1"/>
    <col min="285" max="285" width="0.5703125" style="221" customWidth="1"/>
    <col min="286" max="286" width="0.7109375" style="221" customWidth="1"/>
    <col min="287" max="287" width="2.140625" style="221" customWidth="1"/>
    <col min="288" max="288" width="0.5703125" style="221" customWidth="1"/>
    <col min="289" max="289" width="2.140625" style="221" customWidth="1"/>
    <col min="290" max="290" width="0.5703125" style="221" customWidth="1"/>
    <col min="291" max="291" width="2.140625" style="221" customWidth="1"/>
    <col min="292" max="292" width="0.5703125" style="221" customWidth="1"/>
    <col min="293" max="293" width="2.140625" style="221" customWidth="1"/>
    <col min="294" max="294" width="0.5703125" style="221" customWidth="1"/>
    <col min="295" max="295" width="2.140625" style="221" customWidth="1"/>
    <col min="296" max="296" width="0.5703125" style="221" customWidth="1"/>
    <col min="297" max="297" width="2.140625" style="221" customWidth="1"/>
    <col min="298" max="298" width="0.5703125" style="221" customWidth="1"/>
    <col min="299" max="299" width="2.140625" style="221" customWidth="1"/>
    <col min="300" max="300" width="0.5703125" style="221" customWidth="1"/>
    <col min="301" max="301" width="2.7109375" style="221" customWidth="1"/>
    <col min="302" max="302" width="0.5703125" style="221" customWidth="1"/>
    <col min="303" max="303" width="2.140625" style="221" customWidth="1"/>
    <col min="304" max="304" width="0.5703125" style="221" customWidth="1"/>
    <col min="305" max="305" width="2.140625" style="221" customWidth="1"/>
    <col min="306" max="306" width="0.5703125" style="221" customWidth="1"/>
    <col min="307" max="307" width="2.140625" style="221" customWidth="1"/>
    <col min="308" max="309" width="0.5703125" style="221" customWidth="1"/>
    <col min="310" max="310" width="2.140625" style="221" customWidth="1"/>
    <col min="311" max="311" width="0.5703125" style="221" customWidth="1"/>
    <col min="312" max="312" width="2.140625" style="221" customWidth="1"/>
    <col min="313" max="313" width="0.5703125" style="221" customWidth="1"/>
    <col min="314" max="314" width="2.140625" style="221" customWidth="1"/>
    <col min="315" max="315" width="0.5703125" style="221" customWidth="1"/>
    <col min="316" max="316" width="2.140625" style="221" customWidth="1"/>
    <col min="317" max="317" width="0.5703125" style="221" customWidth="1"/>
    <col min="318" max="318" width="2" style="221" customWidth="1"/>
    <col min="319" max="320" width="0.5703125" style="221" customWidth="1"/>
    <col min="321" max="321" width="2.140625" style="221" customWidth="1"/>
    <col min="322" max="322" width="0.5703125" style="221" customWidth="1"/>
    <col min="323" max="323" width="2.140625" style="221" customWidth="1"/>
    <col min="324" max="324" width="0.5703125" style="221" customWidth="1"/>
    <col min="325" max="325" width="2.140625" style="221" customWidth="1"/>
    <col min="326" max="326" width="0.5703125" style="221" customWidth="1"/>
    <col min="327" max="327" width="2.140625" style="221" customWidth="1"/>
    <col min="328" max="328" width="0.5703125" style="221" customWidth="1"/>
    <col min="329" max="329" width="2.140625" style="221" customWidth="1"/>
    <col min="330" max="330" width="0.5703125" style="221" customWidth="1"/>
    <col min="331" max="331" width="2.140625" style="221" customWidth="1"/>
    <col min="332" max="332" width="0.5703125" style="221" customWidth="1"/>
    <col min="333" max="333" width="2.140625" style="221" customWidth="1"/>
    <col min="334" max="334" width="0.5703125" style="221" customWidth="1"/>
    <col min="335" max="335" width="2.140625" style="221" customWidth="1"/>
    <col min="336" max="336" width="0.5703125" style="221" customWidth="1"/>
    <col min="337" max="337" width="2.140625" style="221" customWidth="1"/>
    <col min="338" max="338" width="0.5703125" style="221" customWidth="1"/>
    <col min="339" max="339" width="2.140625" style="221" customWidth="1"/>
    <col min="340" max="340" width="0.5703125" style="221" customWidth="1"/>
    <col min="341" max="341" width="2.140625" style="221" customWidth="1"/>
    <col min="342" max="342" width="0.5703125" style="221" customWidth="1"/>
    <col min="343" max="344" width="2.5703125" style="221" customWidth="1"/>
    <col min="345" max="512" width="9.140625" style="221"/>
    <col min="513" max="513" width="0.7109375" style="221" customWidth="1"/>
    <col min="514" max="514" width="0.42578125" style="221" customWidth="1"/>
    <col min="515" max="515" width="0.5703125" style="221" customWidth="1"/>
    <col min="516" max="516" width="0.28515625" style="221" customWidth="1"/>
    <col min="517" max="517" width="3.7109375" style="221" customWidth="1"/>
    <col min="518" max="518" width="1.140625" style="221" customWidth="1"/>
    <col min="519" max="523" width="0.7109375" style="221" customWidth="1"/>
    <col min="524" max="524" width="0.5703125" style="221" customWidth="1"/>
    <col min="525" max="537" width="0.7109375" style="221" customWidth="1"/>
    <col min="538" max="538" width="1.42578125" style="221" customWidth="1"/>
    <col min="539" max="539" width="0.5703125" style="221" customWidth="1"/>
    <col min="540" max="540" width="3.42578125" style="221" customWidth="1"/>
    <col min="541" max="541" width="0.5703125" style="221" customWidth="1"/>
    <col min="542" max="542" width="0.7109375" style="221" customWidth="1"/>
    <col min="543" max="543" width="2.140625" style="221" customWidth="1"/>
    <col min="544" max="544" width="0.5703125" style="221" customWidth="1"/>
    <col min="545" max="545" width="2.140625" style="221" customWidth="1"/>
    <col min="546" max="546" width="0.5703125" style="221" customWidth="1"/>
    <col min="547" max="547" width="2.140625" style="221" customWidth="1"/>
    <col min="548" max="548" width="0.5703125" style="221" customWidth="1"/>
    <col min="549" max="549" width="2.140625" style="221" customWidth="1"/>
    <col min="550" max="550" width="0.5703125" style="221" customWidth="1"/>
    <col min="551" max="551" width="2.140625" style="221" customWidth="1"/>
    <col min="552" max="552" width="0.5703125" style="221" customWidth="1"/>
    <col min="553" max="553" width="2.140625" style="221" customWidth="1"/>
    <col min="554" max="554" width="0.5703125" style="221" customWidth="1"/>
    <col min="555" max="555" width="2.140625" style="221" customWidth="1"/>
    <col min="556" max="556" width="0.5703125" style="221" customWidth="1"/>
    <col min="557" max="557" width="2.7109375" style="221" customWidth="1"/>
    <col min="558" max="558" width="0.5703125" style="221" customWidth="1"/>
    <col min="559" max="559" width="2.140625" style="221" customWidth="1"/>
    <col min="560" max="560" width="0.5703125" style="221" customWidth="1"/>
    <col min="561" max="561" width="2.140625" style="221" customWidth="1"/>
    <col min="562" max="562" width="0.5703125" style="221" customWidth="1"/>
    <col min="563" max="563" width="2.140625" style="221" customWidth="1"/>
    <col min="564" max="565" width="0.5703125" style="221" customWidth="1"/>
    <col min="566" max="566" width="2.140625" style="221" customWidth="1"/>
    <col min="567" max="567" width="0.5703125" style="221" customWidth="1"/>
    <col min="568" max="568" width="2.140625" style="221" customWidth="1"/>
    <col min="569" max="569" width="0.5703125" style="221" customWidth="1"/>
    <col min="570" max="570" width="2.140625" style="221" customWidth="1"/>
    <col min="571" max="571" width="0.5703125" style="221" customWidth="1"/>
    <col min="572" max="572" width="2.140625" style="221" customWidth="1"/>
    <col min="573" max="573" width="0.5703125" style="221" customWidth="1"/>
    <col min="574" max="574" width="2" style="221" customWidth="1"/>
    <col min="575" max="576" width="0.5703125" style="221" customWidth="1"/>
    <col min="577" max="577" width="2.140625" style="221" customWidth="1"/>
    <col min="578" max="578" width="0.5703125" style="221" customWidth="1"/>
    <col min="579" max="579" width="2.140625" style="221" customWidth="1"/>
    <col min="580" max="580" width="0.5703125" style="221" customWidth="1"/>
    <col min="581" max="581" width="2.140625" style="221" customWidth="1"/>
    <col min="582" max="582" width="0.5703125" style="221" customWidth="1"/>
    <col min="583" max="583" width="2.140625" style="221" customWidth="1"/>
    <col min="584" max="584" width="0.5703125" style="221" customWidth="1"/>
    <col min="585" max="585" width="2.140625" style="221" customWidth="1"/>
    <col min="586" max="586" width="0.5703125" style="221" customWidth="1"/>
    <col min="587" max="587" width="2.140625" style="221" customWidth="1"/>
    <col min="588" max="588" width="0.5703125" style="221" customWidth="1"/>
    <col min="589" max="589" width="2.140625" style="221" customWidth="1"/>
    <col min="590" max="590" width="0.5703125" style="221" customWidth="1"/>
    <col min="591" max="591" width="2.140625" style="221" customWidth="1"/>
    <col min="592" max="592" width="0.5703125" style="221" customWidth="1"/>
    <col min="593" max="593" width="2.140625" style="221" customWidth="1"/>
    <col min="594" max="594" width="0.5703125" style="221" customWidth="1"/>
    <col min="595" max="595" width="2.140625" style="221" customWidth="1"/>
    <col min="596" max="596" width="0.5703125" style="221" customWidth="1"/>
    <col min="597" max="597" width="2.140625" style="221" customWidth="1"/>
    <col min="598" max="598" width="0.5703125" style="221" customWidth="1"/>
    <col min="599" max="600" width="2.5703125" style="221" customWidth="1"/>
    <col min="601" max="768" width="9.140625" style="221"/>
    <col min="769" max="769" width="0.7109375" style="221" customWidth="1"/>
    <col min="770" max="770" width="0.42578125" style="221" customWidth="1"/>
    <col min="771" max="771" width="0.5703125" style="221" customWidth="1"/>
    <col min="772" max="772" width="0.28515625" style="221" customWidth="1"/>
    <col min="773" max="773" width="3.7109375" style="221" customWidth="1"/>
    <col min="774" max="774" width="1.140625" style="221" customWidth="1"/>
    <col min="775" max="779" width="0.7109375" style="221" customWidth="1"/>
    <col min="780" max="780" width="0.5703125" style="221" customWidth="1"/>
    <col min="781" max="793" width="0.7109375" style="221" customWidth="1"/>
    <col min="794" max="794" width="1.42578125" style="221" customWidth="1"/>
    <col min="795" max="795" width="0.5703125" style="221" customWidth="1"/>
    <col min="796" max="796" width="3.42578125" style="221" customWidth="1"/>
    <col min="797" max="797" width="0.5703125" style="221" customWidth="1"/>
    <col min="798" max="798" width="0.7109375" style="221" customWidth="1"/>
    <col min="799" max="799" width="2.140625" style="221" customWidth="1"/>
    <col min="800" max="800" width="0.5703125" style="221" customWidth="1"/>
    <col min="801" max="801" width="2.140625" style="221" customWidth="1"/>
    <col min="802" max="802" width="0.5703125" style="221" customWidth="1"/>
    <col min="803" max="803" width="2.140625" style="221" customWidth="1"/>
    <col min="804" max="804" width="0.5703125" style="221" customWidth="1"/>
    <col min="805" max="805" width="2.140625" style="221" customWidth="1"/>
    <col min="806" max="806" width="0.5703125" style="221" customWidth="1"/>
    <col min="807" max="807" width="2.140625" style="221" customWidth="1"/>
    <col min="808" max="808" width="0.5703125" style="221" customWidth="1"/>
    <col min="809" max="809" width="2.140625" style="221" customWidth="1"/>
    <col min="810" max="810" width="0.5703125" style="221" customWidth="1"/>
    <col min="811" max="811" width="2.140625" style="221" customWidth="1"/>
    <col min="812" max="812" width="0.5703125" style="221" customWidth="1"/>
    <col min="813" max="813" width="2.7109375" style="221" customWidth="1"/>
    <col min="814" max="814" width="0.5703125" style="221" customWidth="1"/>
    <col min="815" max="815" width="2.140625" style="221" customWidth="1"/>
    <col min="816" max="816" width="0.5703125" style="221" customWidth="1"/>
    <col min="817" max="817" width="2.140625" style="221" customWidth="1"/>
    <col min="818" max="818" width="0.5703125" style="221" customWidth="1"/>
    <col min="819" max="819" width="2.140625" style="221" customWidth="1"/>
    <col min="820" max="821" width="0.5703125" style="221" customWidth="1"/>
    <col min="822" max="822" width="2.140625" style="221" customWidth="1"/>
    <col min="823" max="823" width="0.5703125" style="221" customWidth="1"/>
    <col min="824" max="824" width="2.140625" style="221" customWidth="1"/>
    <col min="825" max="825" width="0.5703125" style="221" customWidth="1"/>
    <col min="826" max="826" width="2.140625" style="221" customWidth="1"/>
    <col min="827" max="827" width="0.5703125" style="221" customWidth="1"/>
    <col min="828" max="828" width="2.140625" style="221" customWidth="1"/>
    <col min="829" max="829" width="0.5703125" style="221" customWidth="1"/>
    <col min="830" max="830" width="2" style="221" customWidth="1"/>
    <col min="831" max="832" width="0.5703125" style="221" customWidth="1"/>
    <col min="833" max="833" width="2.140625" style="221" customWidth="1"/>
    <col min="834" max="834" width="0.5703125" style="221" customWidth="1"/>
    <col min="835" max="835" width="2.140625" style="221" customWidth="1"/>
    <col min="836" max="836" width="0.5703125" style="221" customWidth="1"/>
    <col min="837" max="837" width="2.140625" style="221" customWidth="1"/>
    <col min="838" max="838" width="0.5703125" style="221" customWidth="1"/>
    <col min="839" max="839" width="2.140625" style="221" customWidth="1"/>
    <col min="840" max="840" width="0.5703125" style="221" customWidth="1"/>
    <col min="841" max="841" width="2.140625" style="221" customWidth="1"/>
    <col min="842" max="842" width="0.5703125" style="221" customWidth="1"/>
    <col min="843" max="843" width="2.140625" style="221" customWidth="1"/>
    <col min="844" max="844" width="0.5703125" style="221" customWidth="1"/>
    <col min="845" max="845" width="2.140625" style="221" customWidth="1"/>
    <col min="846" max="846" width="0.5703125" style="221" customWidth="1"/>
    <col min="847" max="847" width="2.140625" style="221" customWidth="1"/>
    <col min="848" max="848" width="0.5703125" style="221" customWidth="1"/>
    <col min="849" max="849" width="2.140625" style="221" customWidth="1"/>
    <col min="850" max="850" width="0.5703125" style="221" customWidth="1"/>
    <col min="851" max="851" width="2.140625" style="221" customWidth="1"/>
    <col min="852" max="852" width="0.5703125" style="221" customWidth="1"/>
    <col min="853" max="853" width="2.140625" style="221" customWidth="1"/>
    <col min="854" max="854" width="0.5703125" style="221" customWidth="1"/>
    <col min="855" max="856" width="2.5703125" style="221" customWidth="1"/>
    <col min="857" max="1024" width="9.140625" style="221"/>
    <col min="1025" max="1025" width="0.7109375" style="221" customWidth="1"/>
    <col min="1026" max="1026" width="0.42578125" style="221" customWidth="1"/>
    <col min="1027" max="1027" width="0.5703125" style="221" customWidth="1"/>
    <col min="1028" max="1028" width="0.28515625" style="221" customWidth="1"/>
    <col min="1029" max="1029" width="3.7109375" style="221" customWidth="1"/>
    <col min="1030" max="1030" width="1.140625" style="221" customWidth="1"/>
    <col min="1031" max="1035" width="0.7109375" style="221" customWidth="1"/>
    <col min="1036" max="1036" width="0.5703125" style="221" customWidth="1"/>
    <col min="1037" max="1049" width="0.7109375" style="221" customWidth="1"/>
    <col min="1050" max="1050" width="1.42578125" style="221" customWidth="1"/>
    <col min="1051" max="1051" width="0.5703125" style="221" customWidth="1"/>
    <col min="1052" max="1052" width="3.42578125" style="221" customWidth="1"/>
    <col min="1053" max="1053" width="0.5703125" style="221" customWidth="1"/>
    <col min="1054" max="1054" width="0.7109375" style="221" customWidth="1"/>
    <col min="1055" max="1055" width="2.140625" style="221" customWidth="1"/>
    <col min="1056" max="1056" width="0.5703125" style="221" customWidth="1"/>
    <col min="1057" max="1057" width="2.140625" style="221" customWidth="1"/>
    <col min="1058" max="1058" width="0.5703125" style="221" customWidth="1"/>
    <col min="1059" max="1059" width="2.140625" style="221" customWidth="1"/>
    <col min="1060" max="1060" width="0.5703125" style="221" customWidth="1"/>
    <col min="1061" max="1061" width="2.140625" style="221" customWidth="1"/>
    <col min="1062" max="1062" width="0.5703125" style="221" customWidth="1"/>
    <col min="1063" max="1063" width="2.140625" style="221" customWidth="1"/>
    <col min="1064" max="1064" width="0.5703125" style="221" customWidth="1"/>
    <col min="1065" max="1065" width="2.140625" style="221" customWidth="1"/>
    <col min="1066" max="1066" width="0.5703125" style="221" customWidth="1"/>
    <col min="1067" max="1067" width="2.140625" style="221" customWidth="1"/>
    <col min="1068" max="1068" width="0.5703125" style="221" customWidth="1"/>
    <col min="1069" max="1069" width="2.7109375" style="221" customWidth="1"/>
    <col min="1070" max="1070" width="0.5703125" style="221" customWidth="1"/>
    <col min="1071" max="1071" width="2.140625" style="221" customWidth="1"/>
    <col min="1072" max="1072" width="0.5703125" style="221" customWidth="1"/>
    <col min="1073" max="1073" width="2.140625" style="221" customWidth="1"/>
    <col min="1074" max="1074" width="0.5703125" style="221" customWidth="1"/>
    <col min="1075" max="1075" width="2.140625" style="221" customWidth="1"/>
    <col min="1076" max="1077" width="0.5703125" style="221" customWidth="1"/>
    <col min="1078" max="1078" width="2.140625" style="221" customWidth="1"/>
    <col min="1079" max="1079" width="0.5703125" style="221" customWidth="1"/>
    <col min="1080" max="1080" width="2.140625" style="221" customWidth="1"/>
    <col min="1081" max="1081" width="0.5703125" style="221" customWidth="1"/>
    <col min="1082" max="1082" width="2.140625" style="221" customWidth="1"/>
    <col min="1083" max="1083" width="0.5703125" style="221" customWidth="1"/>
    <col min="1084" max="1084" width="2.140625" style="221" customWidth="1"/>
    <col min="1085" max="1085" width="0.5703125" style="221" customWidth="1"/>
    <col min="1086" max="1086" width="2" style="221" customWidth="1"/>
    <col min="1087" max="1088" width="0.5703125" style="221" customWidth="1"/>
    <col min="1089" max="1089" width="2.140625" style="221" customWidth="1"/>
    <col min="1090" max="1090" width="0.5703125" style="221" customWidth="1"/>
    <col min="1091" max="1091" width="2.140625" style="221" customWidth="1"/>
    <col min="1092" max="1092" width="0.5703125" style="221" customWidth="1"/>
    <col min="1093" max="1093" width="2.140625" style="221" customWidth="1"/>
    <col min="1094" max="1094" width="0.5703125" style="221" customWidth="1"/>
    <col min="1095" max="1095" width="2.140625" style="221" customWidth="1"/>
    <col min="1096" max="1096" width="0.5703125" style="221" customWidth="1"/>
    <col min="1097" max="1097" width="2.140625" style="221" customWidth="1"/>
    <col min="1098" max="1098" width="0.5703125" style="221" customWidth="1"/>
    <col min="1099" max="1099" width="2.140625" style="221" customWidth="1"/>
    <col min="1100" max="1100" width="0.5703125" style="221" customWidth="1"/>
    <col min="1101" max="1101" width="2.140625" style="221" customWidth="1"/>
    <col min="1102" max="1102" width="0.5703125" style="221" customWidth="1"/>
    <col min="1103" max="1103" width="2.140625" style="221" customWidth="1"/>
    <col min="1104" max="1104" width="0.5703125" style="221" customWidth="1"/>
    <col min="1105" max="1105" width="2.140625" style="221" customWidth="1"/>
    <col min="1106" max="1106" width="0.5703125" style="221" customWidth="1"/>
    <col min="1107" max="1107" width="2.140625" style="221" customWidth="1"/>
    <col min="1108" max="1108" width="0.5703125" style="221" customWidth="1"/>
    <col min="1109" max="1109" width="2.140625" style="221" customWidth="1"/>
    <col min="1110" max="1110" width="0.5703125" style="221" customWidth="1"/>
    <col min="1111" max="1112" width="2.5703125" style="221" customWidth="1"/>
    <col min="1113" max="1280" width="9.140625" style="221"/>
    <col min="1281" max="1281" width="0.7109375" style="221" customWidth="1"/>
    <col min="1282" max="1282" width="0.42578125" style="221" customWidth="1"/>
    <col min="1283" max="1283" width="0.5703125" style="221" customWidth="1"/>
    <col min="1284" max="1284" width="0.28515625" style="221" customWidth="1"/>
    <col min="1285" max="1285" width="3.7109375" style="221" customWidth="1"/>
    <col min="1286" max="1286" width="1.140625" style="221" customWidth="1"/>
    <col min="1287" max="1291" width="0.7109375" style="221" customWidth="1"/>
    <col min="1292" max="1292" width="0.5703125" style="221" customWidth="1"/>
    <col min="1293" max="1305" width="0.7109375" style="221" customWidth="1"/>
    <col min="1306" max="1306" width="1.42578125" style="221" customWidth="1"/>
    <col min="1307" max="1307" width="0.5703125" style="221" customWidth="1"/>
    <col min="1308" max="1308" width="3.42578125" style="221" customWidth="1"/>
    <col min="1309" max="1309" width="0.5703125" style="221" customWidth="1"/>
    <col min="1310" max="1310" width="0.7109375" style="221" customWidth="1"/>
    <col min="1311" max="1311" width="2.140625" style="221" customWidth="1"/>
    <col min="1312" max="1312" width="0.5703125" style="221" customWidth="1"/>
    <col min="1313" max="1313" width="2.140625" style="221" customWidth="1"/>
    <col min="1314" max="1314" width="0.5703125" style="221" customWidth="1"/>
    <col min="1315" max="1315" width="2.140625" style="221" customWidth="1"/>
    <col min="1316" max="1316" width="0.5703125" style="221" customWidth="1"/>
    <col min="1317" max="1317" width="2.140625" style="221" customWidth="1"/>
    <col min="1318" max="1318" width="0.5703125" style="221" customWidth="1"/>
    <col min="1319" max="1319" width="2.140625" style="221" customWidth="1"/>
    <col min="1320" max="1320" width="0.5703125" style="221" customWidth="1"/>
    <col min="1321" max="1321" width="2.140625" style="221" customWidth="1"/>
    <col min="1322" max="1322" width="0.5703125" style="221" customWidth="1"/>
    <col min="1323" max="1323" width="2.140625" style="221" customWidth="1"/>
    <col min="1324" max="1324" width="0.5703125" style="221" customWidth="1"/>
    <col min="1325" max="1325" width="2.7109375" style="221" customWidth="1"/>
    <col min="1326" max="1326" width="0.5703125" style="221" customWidth="1"/>
    <col min="1327" max="1327" width="2.140625" style="221" customWidth="1"/>
    <col min="1328" max="1328" width="0.5703125" style="221" customWidth="1"/>
    <col min="1329" max="1329" width="2.140625" style="221" customWidth="1"/>
    <col min="1330" max="1330" width="0.5703125" style="221" customWidth="1"/>
    <col min="1331" max="1331" width="2.140625" style="221" customWidth="1"/>
    <col min="1332" max="1333" width="0.5703125" style="221" customWidth="1"/>
    <col min="1334" max="1334" width="2.140625" style="221" customWidth="1"/>
    <col min="1335" max="1335" width="0.5703125" style="221" customWidth="1"/>
    <col min="1336" max="1336" width="2.140625" style="221" customWidth="1"/>
    <col min="1337" max="1337" width="0.5703125" style="221" customWidth="1"/>
    <col min="1338" max="1338" width="2.140625" style="221" customWidth="1"/>
    <col min="1339" max="1339" width="0.5703125" style="221" customWidth="1"/>
    <col min="1340" max="1340" width="2.140625" style="221" customWidth="1"/>
    <col min="1341" max="1341" width="0.5703125" style="221" customWidth="1"/>
    <col min="1342" max="1342" width="2" style="221" customWidth="1"/>
    <col min="1343" max="1344" width="0.5703125" style="221" customWidth="1"/>
    <col min="1345" max="1345" width="2.140625" style="221" customWidth="1"/>
    <col min="1346" max="1346" width="0.5703125" style="221" customWidth="1"/>
    <col min="1347" max="1347" width="2.140625" style="221" customWidth="1"/>
    <col min="1348" max="1348" width="0.5703125" style="221" customWidth="1"/>
    <col min="1349" max="1349" width="2.140625" style="221" customWidth="1"/>
    <col min="1350" max="1350" width="0.5703125" style="221" customWidth="1"/>
    <col min="1351" max="1351" width="2.140625" style="221" customWidth="1"/>
    <col min="1352" max="1352" width="0.5703125" style="221" customWidth="1"/>
    <col min="1353" max="1353" width="2.140625" style="221" customWidth="1"/>
    <col min="1354" max="1354" width="0.5703125" style="221" customWidth="1"/>
    <col min="1355" max="1355" width="2.140625" style="221" customWidth="1"/>
    <col min="1356" max="1356" width="0.5703125" style="221" customWidth="1"/>
    <col min="1357" max="1357" width="2.140625" style="221" customWidth="1"/>
    <col min="1358" max="1358" width="0.5703125" style="221" customWidth="1"/>
    <col min="1359" max="1359" width="2.140625" style="221" customWidth="1"/>
    <col min="1360" max="1360" width="0.5703125" style="221" customWidth="1"/>
    <col min="1361" max="1361" width="2.140625" style="221" customWidth="1"/>
    <col min="1362" max="1362" width="0.5703125" style="221" customWidth="1"/>
    <col min="1363" max="1363" width="2.140625" style="221" customWidth="1"/>
    <col min="1364" max="1364" width="0.5703125" style="221" customWidth="1"/>
    <col min="1365" max="1365" width="2.140625" style="221" customWidth="1"/>
    <col min="1366" max="1366" width="0.5703125" style="221" customWidth="1"/>
    <col min="1367" max="1368" width="2.5703125" style="221" customWidth="1"/>
    <col min="1369" max="1536" width="9.140625" style="221"/>
    <col min="1537" max="1537" width="0.7109375" style="221" customWidth="1"/>
    <col min="1538" max="1538" width="0.42578125" style="221" customWidth="1"/>
    <col min="1539" max="1539" width="0.5703125" style="221" customWidth="1"/>
    <col min="1540" max="1540" width="0.28515625" style="221" customWidth="1"/>
    <col min="1541" max="1541" width="3.7109375" style="221" customWidth="1"/>
    <col min="1542" max="1542" width="1.140625" style="221" customWidth="1"/>
    <col min="1543" max="1547" width="0.7109375" style="221" customWidth="1"/>
    <col min="1548" max="1548" width="0.5703125" style="221" customWidth="1"/>
    <col min="1549" max="1561" width="0.7109375" style="221" customWidth="1"/>
    <col min="1562" max="1562" width="1.42578125" style="221" customWidth="1"/>
    <col min="1563" max="1563" width="0.5703125" style="221" customWidth="1"/>
    <col min="1564" max="1564" width="3.42578125" style="221" customWidth="1"/>
    <col min="1565" max="1565" width="0.5703125" style="221" customWidth="1"/>
    <col min="1566" max="1566" width="0.7109375" style="221" customWidth="1"/>
    <col min="1567" max="1567" width="2.140625" style="221" customWidth="1"/>
    <col min="1568" max="1568" width="0.5703125" style="221" customWidth="1"/>
    <col min="1569" max="1569" width="2.140625" style="221" customWidth="1"/>
    <col min="1570" max="1570" width="0.5703125" style="221" customWidth="1"/>
    <col min="1571" max="1571" width="2.140625" style="221" customWidth="1"/>
    <col min="1572" max="1572" width="0.5703125" style="221" customWidth="1"/>
    <col min="1573" max="1573" width="2.140625" style="221" customWidth="1"/>
    <col min="1574" max="1574" width="0.5703125" style="221" customWidth="1"/>
    <col min="1575" max="1575" width="2.140625" style="221" customWidth="1"/>
    <col min="1576" max="1576" width="0.5703125" style="221" customWidth="1"/>
    <col min="1577" max="1577" width="2.140625" style="221" customWidth="1"/>
    <col min="1578" max="1578" width="0.5703125" style="221" customWidth="1"/>
    <col min="1579" max="1579" width="2.140625" style="221" customWidth="1"/>
    <col min="1580" max="1580" width="0.5703125" style="221" customWidth="1"/>
    <col min="1581" max="1581" width="2.7109375" style="221" customWidth="1"/>
    <col min="1582" max="1582" width="0.5703125" style="221" customWidth="1"/>
    <col min="1583" max="1583" width="2.140625" style="221" customWidth="1"/>
    <col min="1584" max="1584" width="0.5703125" style="221" customWidth="1"/>
    <col min="1585" max="1585" width="2.140625" style="221" customWidth="1"/>
    <col min="1586" max="1586" width="0.5703125" style="221" customWidth="1"/>
    <col min="1587" max="1587" width="2.140625" style="221" customWidth="1"/>
    <col min="1588" max="1589" width="0.5703125" style="221" customWidth="1"/>
    <col min="1590" max="1590" width="2.140625" style="221" customWidth="1"/>
    <col min="1591" max="1591" width="0.5703125" style="221" customWidth="1"/>
    <col min="1592" max="1592" width="2.140625" style="221" customWidth="1"/>
    <col min="1593" max="1593" width="0.5703125" style="221" customWidth="1"/>
    <col min="1594" max="1594" width="2.140625" style="221" customWidth="1"/>
    <col min="1595" max="1595" width="0.5703125" style="221" customWidth="1"/>
    <col min="1596" max="1596" width="2.140625" style="221" customWidth="1"/>
    <col min="1597" max="1597" width="0.5703125" style="221" customWidth="1"/>
    <col min="1598" max="1598" width="2" style="221" customWidth="1"/>
    <col min="1599" max="1600" width="0.5703125" style="221" customWidth="1"/>
    <col min="1601" max="1601" width="2.140625" style="221" customWidth="1"/>
    <col min="1602" max="1602" width="0.5703125" style="221" customWidth="1"/>
    <col min="1603" max="1603" width="2.140625" style="221" customWidth="1"/>
    <col min="1604" max="1604" width="0.5703125" style="221" customWidth="1"/>
    <col min="1605" max="1605" width="2.140625" style="221" customWidth="1"/>
    <col min="1606" max="1606" width="0.5703125" style="221" customWidth="1"/>
    <col min="1607" max="1607" width="2.140625" style="221" customWidth="1"/>
    <col min="1608" max="1608" width="0.5703125" style="221" customWidth="1"/>
    <col min="1609" max="1609" width="2.140625" style="221" customWidth="1"/>
    <col min="1610" max="1610" width="0.5703125" style="221" customWidth="1"/>
    <col min="1611" max="1611" width="2.140625" style="221" customWidth="1"/>
    <col min="1612" max="1612" width="0.5703125" style="221" customWidth="1"/>
    <col min="1613" max="1613" width="2.140625" style="221" customWidth="1"/>
    <col min="1614" max="1614" width="0.5703125" style="221" customWidth="1"/>
    <col min="1615" max="1615" width="2.140625" style="221" customWidth="1"/>
    <col min="1616" max="1616" width="0.5703125" style="221" customWidth="1"/>
    <col min="1617" max="1617" width="2.140625" style="221" customWidth="1"/>
    <col min="1618" max="1618" width="0.5703125" style="221" customWidth="1"/>
    <col min="1619" max="1619" width="2.140625" style="221" customWidth="1"/>
    <col min="1620" max="1620" width="0.5703125" style="221" customWidth="1"/>
    <col min="1621" max="1621" width="2.140625" style="221" customWidth="1"/>
    <col min="1622" max="1622" width="0.5703125" style="221" customWidth="1"/>
    <col min="1623" max="1624" width="2.5703125" style="221" customWidth="1"/>
    <col min="1625" max="1792" width="9.140625" style="221"/>
    <col min="1793" max="1793" width="0.7109375" style="221" customWidth="1"/>
    <col min="1794" max="1794" width="0.42578125" style="221" customWidth="1"/>
    <col min="1795" max="1795" width="0.5703125" style="221" customWidth="1"/>
    <col min="1796" max="1796" width="0.28515625" style="221" customWidth="1"/>
    <col min="1797" max="1797" width="3.7109375" style="221" customWidth="1"/>
    <col min="1798" max="1798" width="1.140625" style="221" customWidth="1"/>
    <col min="1799" max="1803" width="0.7109375" style="221" customWidth="1"/>
    <col min="1804" max="1804" width="0.5703125" style="221" customWidth="1"/>
    <col min="1805" max="1817" width="0.7109375" style="221" customWidth="1"/>
    <col min="1818" max="1818" width="1.42578125" style="221" customWidth="1"/>
    <col min="1819" max="1819" width="0.5703125" style="221" customWidth="1"/>
    <col min="1820" max="1820" width="3.42578125" style="221" customWidth="1"/>
    <col min="1821" max="1821" width="0.5703125" style="221" customWidth="1"/>
    <col min="1822" max="1822" width="0.7109375" style="221" customWidth="1"/>
    <col min="1823" max="1823" width="2.140625" style="221" customWidth="1"/>
    <col min="1824" max="1824" width="0.5703125" style="221" customWidth="1"/>
    <col min="1825" max="1825" width="2.140625" style="221" customWidth="1"/>
    <col min="1826" max="1826" width="0.5703125" style="221" customWidth="1"/>
    <col min="1827" max="1827" width="2.140625" style="221" customWidth="1"/>
    <col min="1828" max="1828" width="0.5703125" style="221" customWidth="1"/>
    <col min="1829" max="1829" width="2.140625" style="221" customWidth="1"/>
    <col min="1830" max="1830" width="0.5703125" style="221" customWidth="1"/>
    <col min="1831" max="1831" width="2.140625" style="221" customWidth="1"/>
    <col min="1832" max="1832" width="0.5703125" style="221" customWidth="1"/>
    <col min="1833" max="1833" width="2.140625" style="221" customWidth="1"/>
    <col min="1834" max="1834" width="0.5703125" style="221" customWidth="1"/>
    <col min="1835" max="1835" width="2.140625" style="221" customWidth="1"/>
    <col min="1836" max="1836" width="0.5703125" style="221" customWidth="1"/>
    <col min="1837" max="1837" width="2.7109375" style="221" customWidth="1"/>
    <col min="1838" max="1838" width="0.5703125" style="221" customWidth="1"/>
    <col min="1839" max="1839" width="2.140625" style="221" customWidth="1"/>
    <col min="1840" max="1840" width="0.5703125" style="221" customWidth="1"/>
    <col min="1841" max="1841" width="2.140625" style="221" customWidth="1"/>
    <col min="1842" max="1842" width="0.5703125" style="221" customWidth="1"/>
    <col min="1843" max="1843" width="2.140625" style="221" customWidth="1"/>
    <col min="1844" max="1845" width="0.5703125" style="221" customWidth="1"/>
    <col min="1846" max="1846" width="2.140625" style="221" customWidth="1"/>
    <col min="1847" max="1847" width="0.5703125" style="221" customWidth="1"/>
    <col min="1848" max="1848" width="2.140625" style="221" customWidth="1"/>
    <col min="1849" max="1849" width="0.5703125" style="221" customWidth="1"/>
    <col min="1850" max="1850" width="2.140625" style="221" customWidth="1"/>
    <col min="1851" max="1851" width="0.5703125" style="221" customWidth="1"/>
    <col min="1852" max="1852" width="2.140625" style="221" customWidth="1"/>
    <col min="1853" max="1853" width="0.5703125" style="221" customWidth="1"/>
    <col min="1854" max="1854" width="2" style="221" customWidth="1"/>
    <col min="1855" max="1856" width="0.5703125" style="221" customWidth="1"/>
    <col min="1857" max="1857" width="2.140625" style="221" customWidth="1"/>
    <col min="1858" max="1858" width="0.5703125" style="221" customWidth="1"/>
    <col min="1859" max="1859" width="2.140625" style="221" customWidth="1"/>
    <col min="1860" max="1860" width="0.5703125" style="221" customWidth="1"/>
    <col min="1861" max="1861" width="2.140625" style="221" customWidth="1"/>
    <col min="1862" max="1862" width="0.5703125" style="221" customWidth="1"/>
    <col min="1863" max="1863" width="2.140625" style="221" customWidth="1"/>
    <col min="1864" max="1864" width="0.5703125" style="221" customWidth="1"/>
    <col min="1865" max="1865" width="2.140625" style="221" customWidth="1"/>
    <col min="1866" max="1866" width="0.5703125" style="221" customWidth="1"/>
    <col min="1867" max="1867" width="2.140625" style="221" customWidth="1"/>
    <col min="1868" max="1868" width="0.5703125" style="221" customWidth="1"/>
    <col min="1869" max="1869" width="2.140625" style="221" customWidth="1"/>
    <col min="1870" max="1870" width="0.5703125" style="221" customWidth="1"/>
    <col min="1871" max="1871" width="2.140625" style="221" customWidth="1"/>
    <col min="1872" max="1872" width="0.5703125" style="221" customWidth="1"/>
    <col min="1873" max="1873" width="2.140625" style="221" customWidth="1"/>
    <col min="1874" max="1874" width="0.5703125" style="221" customWidth="1"/>
    <col min="1875" max="1875" width="2.140625" style="221" customWidth="1"/>
    <col min="1876" max="1876" width="0.5703125" style="221" customWidth="1"/>
    <col min="1877" max="1877" width="2.140625" style="221" customWidth="1"/>
    <col min="1878" max="1878" width="0.5703125" style="221" customWidth="1"/>
    <col min="1879" max="1880" width="2.5703125" style="221" customWidth="1"/>
    <col min="1881" max="2048" width="9.140625" style="221"/>
    <col min="2049" max="2049" width="0.7109375" style="221" customWidth="1"/>
    <col min="2050" max="2050" width="0.42578125" style="221" customWidth="1"/>
    <col min="2051" max="2051" width="0.5703125" style="221" customWidth="1"/>
    <col min="2052" max="2052" width="0.28515625" style="221" customWidth="1"/>
    <col min="2053" max="2053" width="3.7109375" style="221" customWidth="1"/>
    <col min="2054" max="2054" width="1.140625" style="221" customWidth="1"/>
    <col min="2055" max="2059" width="0.7109375" style="221" customWidth="1"/>
    <col min="2060" max="2060" width="0.5703125" style="221" customWidth="1"/>
    <col min="2061" max="2073" width="0.7109375" style="221" customWidth="1"/>
    <col min="2074" max="2074" width="1.42578125" style="221" customWidth="1"/>
    <col min="2075" max="2075" width="0.5703125" style="221" customWidth="1"/>
    <col min="2076" max="2076" width="3.42578125" style="221" customWidth="1"/>
    <col min="2077" max="2077" width="0.5703125" style="221" customWidth="1"/>
    <col min="2078" max="2078" width="0.7109375" style="221" customWidth="1"/>
    <col min="2079" max="2079" width="2.140625" style="221" customWidth="1"/>
    <col min="2080" max="2080" width="0.5703125" style="221" customWidth="1"/>
    <col min="2081" max="2081" width="2.140625" style="221" customWidth="1"/>
    <col min="2082" max="2082" width="0.5703125" style="221" customWidth="1"/>
    <col min="2083" max="2083" width="2.140625" style="221" customWidth="1"/>
    <col min="2084" max="2084" width="0.5703125" style="221" customWidth="1"/>
    <col min="2085" max="2085" width="2.140625" style="221" customWidth="1"/>
    <col min="2086" max="2086" width="0.5703125" style="221" customWidth="1"/>
    <col min="2087" max="2087" width="2.140625" style="221" customWidth="1"/>
    <col min="2088" max="2088" width="0.5703125" style="221" customWidth="1"/>
    <col min="2089" max="2089" width="2.140625" style="221" customWidth="1"/>
    <col min="2090" max="2090" width="0.5703125" style="221" customWidth="1"/>
    <col min="2091" max="2091" width="2.140625" style="221" customWidth="1"/>
    <col min="2092" max="2092" width="0.5703125" style="221" customWidth="1"/>
    <col min="2093" max="2093" width="2.7109375" style="221" customWidth="1"/>
    <col min="2094" max="2094" width="0.5703125" style="221" customWidth="1"/>
    <col min="2095" max="2095" width="2.140625" style="221" customWidth="1"/>
    <col min="2096" max="2096" width="0.5703125" style="221" customWidth="1"/>
    <col min="2097" max="2097" width="2.140625" style="221" customWidth="1"/>
    <col min="2098" max="2098" width="0.5703125" style="221" customWidth="1"/>
    <col min="2099" max="2099" width="2.140625" style="221" customWidth="1"/>
    <col min="2100" max="2101" width="0.5703125" style="221" customWidth="1"/>
    <col min="2102" max="2102" width="2.140625" style="221" customWidth="1"/>
    <col min="2103" max="2103" width="0.5703125" style="221" customWidth="1"/>
    <col min="2104" max="2104" width="2.140625" style="221" customWidth="1"/>
    <col min="2105" max="2105" width="0.5703125" style="221" customWidth="1"/>
    <col min="2106" max="2106" width="2.140625" style="221" customWidth="1"/>
    <col min="2107" max="2107" width="0.5703125" style="221" customWidth="1"/>
    <col min="2108" max="2108" width="2.140625" style="221" customWidth="1"/>
    <col min="2109" max="2109" width="0.5703125" style="221" customWidth="1"/>
    <col min="2110" max="2110" width="2" style="221" customWidth="1"/>
    <col min="2111" max="2112" width="0.5703125" style="221" customWidth="1"/>
    <col min="2113" max="2113" width="2.140625" style="221" customWidth="1"/>
    <col min="2114" max="2114" width="0.5703125" style="221" customWidth="1"/>
    <col min="2115" max="2115" width="2.140625" style="221" customWidth="1"/>
    <col min="2116" max="2116" width="0.5703125" style="221" customWidth="1"/>
    <col min="2117" max="2117" width="2.140625" style="221" customWidth="1"/>
    <col min="2118" max="2118" width="0.5703125" style="221" customWidth="1"/>
    <col min="2119" max="2119" width="2.140625" style="221" customWidth="1"/>
    <col min="2120" max="2120" width="0.5703125" style="221" customWidth="1"/>
    <col min="2121" max="2121" width="2.140625" style="221" customWidth="1"/>
    <col min="2122" max="2122" width="0.5703125" style="221" customWidth="1"/>
    <col min="2123" max="2123" width="2.140625" style="221" customWidth="1"/>
    <col min="2124" max="2124" width="0.5703125" style="221" customWidth="1"/>
    <col min="2125" max="2125" width="2.140625" style="221" customWidth="1"/>
    <col min="2126" max="2126" width="0.5703125" style="221" customWidth="1"/>
    <col min="2127" max="2127" width="2.140625" style="221" customWidth="1"/>
    <col min="2128" max="2128" width="0.5703125" style="221" customWidth="1"/>
    <col min="2129" max="2129" width="2.140625" style="221" customWidth="1"/>
    <col min="2130" max="2130" width="0.5703125" style="221" customWidth="1"/>
    <col min="2131" max="2131" width="2.140625" style="221" customWidth="1"/>
    <col min="2132" max="2132" width="0.5703125" style="221" customWidth="1"/>
    <col min="2133" max="2133" width="2.140625" style="221" customWidth="1"/>
    <col min="2134" max="2134" width="0.5703125" style="221" customWidth="1"/>
    <col min="2135" max="2136" width="2.5703125" style="221" customWidth="1"/>
    <col min="2137" max="2304" width="9.140625" style="221"/>
    <col min="2305" max="2305" width="0.7109375" style="221" customWidth="1"/>
    <col min="2306" max="2306" width="0.42578125" style="221" customWidth="1"/>
    <col min="2307" max="2307" width="0.5703125" style="221" customWidth="1"/>
    <col min="2308" max="2308" width="0.28515625" style="221" customWidth="1"/>
    <col min="2309" max="2309" width="3.7109375" style="221" customWidth="1"/>
    <col min="2310" max="2310" width="1.140625" style="221" customWidth="1"/>
    <col min="2311" max="2315" width="0.7109375" style="221" customWidth="1"/>
    <col min="2316" max="2316" width="0.5703125" style="221" customWidth="1"/>
    <col min="2317" max="2329" width="0.7109375" style="221" customWidth="1"/>
    <col min="2330" max="2330" width="1.42578125" style="221" customWidth="1"/>
    <col min="2331" max="2331" width="0.5703125" style="221" customWidth="1"/>
    <col min="2332" max="2332" width="3.42578125" style="221" customWidth="1"/>
    <col min="2333" max="2333" width="0.5703125" style="221" customWidth="1"/>
    <col min="2334" max="2334" width="0.7109375" style="221" customWidth="1"/>
    <col min="2335" max="2335" width="2.140625" style="221" customWidth="1"/>
    <col min="2336" max="2336" width="0.5703125" style="221" customWidth="1"/>
    <col min="2337" max="2337" width="2.140625" style="221" customWidth="1"/>
    <col min="2338" max="2338" width="0.5703125" style="221" customWidth="1"/>
    <col min="2339" max="2339" width="2.140625" style="221" customWidth="1"/>
    <col min="2340" max="2340" width="0.5703125" style="221" customWidth="1"/>
    <col min="2341" max="2341" width="2.140625" style="221" customWidth="1"/>
    <col min="2342" max="2342" width="0.5703125" style="221" customWidth="1"/>
    <col min="2343" max="2343" width="2.140625" style="221" customWidth="1"/>
    <col min="2344" max="2344" width="0.5703125" style="221" customWidth="1"/>
    <col min="2345" max="2345" width="2.140625" style="221" customWidth="1"/>
    <col min="2346" max="2346" width="0.5703125" style="221" customWidth="1"/>
    <col min="2347" max="2347" width="2.140625" style="221" customWidth="1"/>
    <col min="2348" max="2348" width="0.5703125" style="221" customWidth="1"/>
    <col min="2349" max="2349" width="2.7109375" style="221" customWidth="1"/>
    <col min="2350" max="2350" width="0.5703125" style="221" customWidth="1"/>
    <col min="2351" max="2351" width="2.140625" style="221" customWidth="1"/>
    <col min="2352" max="2352" width="0.5703125" style="221" customWidth="1"/>
    <col min="2353" max="2353" width="2.140625" style="221" customWidth="1"/>
    <col min="2354" max="2354" width="0.5703125" style="221" customWidth="1"/>
    <col min="2355" max="2355" width="2.140625" style="221" customWidth="1"/>
    <col min="2356" max="2357" width="0.5703125" style="221" customWidth="1"/>
    <col min="2358" max="2358" width="2.140625" style="221" customWidth="1"/>
    <col min="2359" max="2359" width="0.5703125" style="221" customWidth="1"/>
    <col min="2360" max="2360" width="2.140625" style="221" customWidth="1"/>
    <col min="2361" max="2361" width="0.5703125" style="221" customWidth="1"/>
    <col min="2362" max="2362" width="2.140625" style="221" customWidth="1"/>
    <col min="2363" max="2363" width="0.5703125" style="221" customWidth="1"/>
    <col min="2364" max="2364" width="2.140625" style="221" customWidth="1"/>
    <col min="2365" max="2365" width="0.5703125" style="221" customWidth="1"/>
    <col min="2366" max="2366" width="2" style="221" customWidth="1"/>
    <col min="2367" max="2368" width="0.5703125" style="221" customWidth="1"/>
    <col min="2369" max="2369" width="2.140625" style="221" customWidth="1"/>
    <col min="2370" max="2370" width="0.5703125" style="221" customWidth="1"/>
    <col min="2371" max="2371" width="2.140625" style="221" customWidth="1"/>
    <col min="2372" max="2372" width="0.5703125" style="221" customWidth="1"/>
    <col min="2373" max="2373" width="2.140625" style="221" customWidth="1"/>
    <col min="2374" max="2374" width="0.5703125" style="221" customWidth="1"/>
    <col min="2375" max="2375" width="2.140625" style="221" customWidth="1"/>
    <col min="2376" max="2376" width="0.5703125" style="221" customWidth="1"/>
    <col min="2377" max="2377" width="2.140625" style="221" customWidth="1"/>
    <col min="2378" max="2378" width="0.5703125" style="221" customWidth="1"/>
    <col min="2379" max="2379" width="2.140625" style="221" customWidth="1"/>
    <col min="2380" max="2380" width="0.5703125" style="221" customWidth="1"/>
    <col min="2381" max="2381" width="2.140625" style="221" customWidth="1"/>
    <col min="2382" max="2382" width="0.5703125" style="221" customWidth="1"/>
    <col min="2383" max="2383" width="2.140625" style="221" customWidth="1"/>
    <col min="2384" max="2384" width="0.5703125" style="221" customWidth="1"/>
    <col min="2385" max="2385" width="2.140625" style="221" customWidth="1"/>
    <col min="2386" max="2386" width="0.5703125" style="221" customWidth="1"/>
    <col min="2387" max="2387" width="2.140625" style="221" customWidth="1"/>
    <col min="2388" max="2388" width="0.5703125" style="221" customWidth="1"/>
    <col min="2389" max="2389" width="2.140625" style="221" customWidth="1"/>
    <col min="2390" max="2390" width="0.5703125" style="221" customWidth="1"/>
    <col min="2391" max="2392" width="2.5703125" style="221" customWidth="1"/>
    <col min="2393" max="2560" width="9.140625" style="221"/>
    <col min="2561" max="2561" width="0.7109375" style="221" customWidth="1"/>
    <col min="2562" max="2562" width="0.42578125" style="221" customWidth="1"/>
    <col min="2563" max="2563" width="0.5703125" style="221" customWidth="1"/>
    <col min="2564" max="2564" width="0.28515625" style="221" customWidth="1"/>
    <col min="2565" max="2565" width="3.7109375" style="221" customWidth="1"/>
    <col min="2566" max="2566" width="1.140625" style="221" customWidth="1"/>
    <col min="2567" max="2571" width="0.7109375" style="221" customWidth="1"/>
    <col min="2572" max="2572" width="0.5703125" style="221" customWidth="1"/>
    <col min="2573" max="2585" width="0.7109375" style="221" customWidth="1"/>
    <col min="2586" max="2586" width="1.42578125" style="221" customWidth="1"/>
    <col min="2587" max="2587" width="0.5703125" style="221" customWidth="1"/>
    <col min="2588" max="2588" width="3.42578125" style="221" customWidth="1"/>
    <col min="2589" max="2589" width="0.5703125" style="221" customWidth="1"/>
    <col min="2590" max="2590" width="0.7109375" style="221" customWidth="1"/>
    <col min="2591" max="2591" width="2.140625" style="221" customWidth="1"/>
    <col min="2592" max="2592" width="0.5703125" style="221" customWidth="1"/>
    <col min="2593" max="2593" width="2.140625" style="221" customWidth="1"/>
    <col min="2594" max="2594" width="0.5703125" style="221" customWidth="1"/>
    <col min="2595" max="2595" width="2.140625" style="221" customWidth="1"/>
    <col min="2596" max="2596" width="0.5703125" style="221" customWidth="1"/>
    <col min="2597" max="2597" width="2.140625" style="221" customWidth="1"/>
    <col min="2598" max="2598" width="0.5703125" style="221" customWidth="1"/>
    <col min="2599" max="2599" width="2.140625" style="221" customWidth="1"/>
    <col min="2600" max="2600" width="0.5703125" style="221" customWidth="1"/>
    <col min="2601" max="2601" width="2.140625" style="221" customWidth="1"/>
    <col min="2602" max="2602" width="0.5703125" style="221" customWidth="1"/>
    <col min="2603" max="2603" width="2.140625" style="221" customWidth="1"/>
    <col min="2604" max="2604" width="0.5703125" style="221" customWidth="1"/>
    <col min="2605" max="2605" width="2.7109375" style="221" customWidth="1"/>
    <col min="2606" max="2606" width="0.5703125" style="221" customWidth="1"/>
    <col min="2607" max="2607" width="2.140625" style="221" customWidth="1"/>
    <col min="2608" max="2608" width="0.5703125" style="221" customWidth="1"/>
    <col min="2609" max="2609" width="2.140625" style="221" customWidth="1"/>
    <col min="2610" max="2610" width="0.5703125" style="221" customWidth="1"/>
    <col min="2611" max="2611" width="2.140625" style="221" customWidth="1"/>
    <col min="2612" max="2613" width="0.5703125" style="221" customWidth="1"/>
    <col min="2614" max="2614" width="2.140625" style="221" customWidth="1"/>
    <col min="2615" max="2615" width="0.5703125" style="221" customWidth="1"/>
    <col min="2616" max="2616" width="2.140625" style="221" customWidth="1"/>
    <col min="2617" max="2617" width="0.5703125" style="221" customWidth="1"/>
    <col min="2618" max="2618" width="2.140625" style="221" customWidth="1"/>
    <col min="2619" max="2619" width="0.5703125" style="221" customWidth="1"/>
    <col min="2620" max="2620" width="2.140625" style="221" customWidth="1"/>
    <col min="2621" max="2621" width="0.5703125" style="221" customWidth="1"/>
    <col min="2622" max="2622" width="2" style="221" customWidth="1"/>
    <col min="2623" max="2624" width="0.5703125" style="221" customWidth="1"/>
    <col min="2625" max="2625" width="2.140625" style="221" customWidth="1"/>
    <col min="2626" max="2626" width="0.5703125" style="221" customWidth="1"/>
    <col min="2627" max="2627" width="2.140625" style="221" customWidth="1"/>
    <col min="2628" max="2628" width="0.5703125" style="221" customWidth="1"/>
    <col min="2629" max="2629" width="2.140625" style="221" customWidth="1"/>
    <col min="2630" max="2630" width="0.5703125" style="221" customWidth="1"/>
    <col min="2631" max="2631" width="2.140625" style="221" customWidth="1"/>
    <col min="2632" max="2632" width="0.5703125" style="221" customWidth="1"/>
    <col min="2633" max="2633" width="2.140625" style="221" customWidth="1"/>
    <col min="2634" max="2634" width="0.5703125" style="221" customWidth="1"/>
    <col min="2635" max="2635" width="2.140625" style="221" customWidth="1"/>
    <col min="2636" max="2636" width="0.5703125" style="221" customWidth="1"/>
    <col min="2637" max="2637" width="2.140625" style="221" customWidth="1"/>
    <col min="2638" max="2638" width="0.5703125" style="221" customWidth="1"/>
    <col min="2639" max="2639" width="2.140625" style="221" customWidth="1"/>
    <col min="2640" max="2640" width="0.5703125" style="221" customWidth="1"/>
    <col min="2641" max="2641" width="2.140625" style="221" customWidth="1"/>
    <col min="2642" max="2642" width="0.5703125" style="221" customWidth="1"/>
    <col min="2643" max="2643" width="2.140625" style="221" customWidth="1"/>
    <col min="2644" max="2644" width="0.5703125" style="221" customWidth="1"/>
    <col min="2645" max="2645" width="2.140625" style="221" customWidth="1"/>
    <col min="2646" max="2646" width="0.5703125" style="221" customWidth="1"/>
    <col min="2647" max="2648" width="2.5703125" style="221" customWidth="1"/>
    <col min="2649" max="2816" width="9.140625" style="221"/>
    <col min="2817" max="2817" width="0.7109375" style="221" customWidth="1"/>
    <col min="2818" max="2818" width="0.42578125" style="221" customWidth="1"/>
    <col min="2819" max="2819" width="0.5703125" style="221" customWidth="1"/>
    <col min="2820" max="2820" width="0.28515625" style="221" customWidth="1"/>
    <col min="2821" max="2821" width="3.7109375" style="221" customWidth="1"/>
    <col min="2822" max="2822" width="1.140625" style="221" customWidth="1"/>
    <col min="2823" max="2827" width="0.7109375" style="221" customWidth="1"/>
    <col min="2828" max="2828" width="0.5703125" style="221" customWidth="1"/>
    <col min="2829" max="2841" width="0.7109375" style="221" customWidth="1"/>
    <col min="2842" max="2842" width="1.42578125" style="221" customWidth="1"/>
    <col min="2843" max="2843" width="0.5703125" style="221" customWidth="1"/>
    <col min="2844" max="2844" width="3.42578125" style="221" customWidth="1"/>
    <col min="2845" max="2845" width="0.5703125" style="221" customWidth="1"/>
    <col min="2846" max="2846" width="0.7109375" style="221" customWidth="1"/>
    <col min="2847" max="2847" width="2.140625" style="221" customWidth="1"/>
    <col min="2848" max="2848" width="0.5703125" style="221" customWidth="1"/>
    <col min="2849" max="2849" width="2.140625" style="221" customWidth="1"/>
    <col min="2850" max="2850" width="0.5703125" style="221" customWidth="1"/>
    <col min="2851" max="2851" width="2.140625" style="221" customWidth="1"/>
    <col min="2852" max="2852" width="0.5703125" style="221" customWidth="1"/>
    <col min="2853" max="2853" width="2.140625" style="221" customWidth="1"/>
    <col min="2854" max="2854" width="0.5703125" style="221" customWidth="1"/>
    <col min="2855" max="2855" width="2.140625" style="221" customWidth="1"/>
    <col min="2856" max="2856" width="0.5703125" style="221" customWidth="1"/>
    <col min="2857" max="2857" width="2.140625" style="221" customWidth="1"/>
    <col min="2858" max="2858" width="0.5703125" style="221" customWidth="1"/>
    <col min="2859" max="2859" width="2.140625" style="221" customWidth="1"/>
    <col min="2860" max="2860" width="0.5703125" style="221" customWidth="1"/>
    <col min="2861" max="2861" width="2.7109375" style="221" customWidth="1"/>
    <col min="2862" max="2862" width="0.5703125" style="221" customWidth="1"/>
    <col min="2863" max="2863" width="2.140625" style="221" customWidth="1"/>
    <col min="2864" max="2864" width="0.5703125" style="221" customWidth="1"/>
    <col min="2865" max="2865" width="2.140625" style="221" customWidth="1"/>
    <col min="2866" max="2866" width="0.5703125" style="221" customWidth="1"/>
    <col min="2867" max="2867" width="2.140625" style="221" customWidth="1"/>
    <col min="2868" max="2869" width="0.5703125" style="221" customWidth="1"/>
    <col min="2870" max="2870" width="2.140625" style="221" customWidth="1"/>
    <col min="2871" max="2871" width="0.5703125" style="221" customWidth="1"/>
    <col min="2872" max="2872" width="2.140625" style="221" customWidth="1"/>
    <col min="2873" max="2873" width="0.5703125" style="221" customWidth="1"/>
    <col min="2874" max="2874" width="2.140625" style="221" customWidth="1"/>
    <col min="2875" max="2875" width="0.5703125" style="221" customWidth="1"/>
    <col min="2876" max="2876" width="2.140625" style="221" customWidth="1"/>
    <col min="2877" max="2877" width="0.5703125" style="221" customWidth="1"/>
    <col min="2878" max="2878" width="2" style="221" customWidth="1"/>
    <col min="2879" max="2880" width="0.5703125" style="221" customWidth="1"/>
    <col min="2881" max="2881" width="2.140625" style="221" customWidth="1"/>
    <col min="2882" max="2882" width="0.5703125" style="221" customWidth="1"/>
    <col min="2883" max="2883" width="2.140625" style="221" customWidth="1"/>
    <col min="2884" max="2884" width="0.5703125" style="221" customWidth="1"/>
    <col min="2885" max="2885" width="2.140625" style="221" customWidth="1"/>
    <col min="2886" max="2886" width="0.5703125" style="221" customWidth="1"/>
    <col min="2887" max="2887" width="2.140625" style="221" customWidth="1"/>
    <col min="2888" max="2888" width="0.5703125" style="221" customWidth="1"/>
    <col min="2889" max="2889" width="2.140625" style="221" customWidth="1"/>
    <col min="2890" max="2890" width="0.5703125" style="221" customWidth="1"/>
    <col min="2891" max="2891" width="2.140625" style="221" customWidth="1"/>
    <col min="2892" max="2892" width="0.5703125" style="221" customWidth="1"/>
    <col min="2893" max="2893" width="2.140625" style="221" customWidth="1"/>
    <col min="2894" max="2894" width="0.5703125" style="221" customWidth="1"/>
    <col min="2895" max="2895" width="2.140625" style="221" customWidth="1"/>
    <col min="2896" max="2896" width="0.5703125" style="221" customWidth="1"/>
    <col min="2897" max="2897" width="2.140625" style="221" customWidth="1"/>
    <col min="2898" max="2898" width="0.5703125" style="221" customWidth="1"/>
    <col min="2899" max="2899" width="2.140625" style="221" customWidth="1"/>
    <col min="2900" max="2900" width="0.5703125" style="221" customWidth="1"/>
    <col min="2901" max="2901" width="2.140625" style="221" customWidth="1"/>
    <col min="2902" max="2902" width="0.5703125" style="221" customWidth="1"/>
    <col min="2903" max="2904" width="2.5703125" style="221" customWidth="1"/>
    <col min="2905" max="3072" width="9.140625" style="221"/>
    <col min="3073" max="3073" width="0.7109375" style="221" customWidth="1"/>
    <col min="3074" max="3074" width="0.42578125" style="221" customWidth="1"/>
    <col min="3075" max="3075" width="0.5703125" style="221" customWidth="1"/>
    <col min="3076" max="3076" width="0.28515625" style="221" customWidth="1"/>
    <col min="3077" max="3077" width="3.7109375" style="221" customWidth="1"/>
    <col min="3078" max="3078" width="1.140625" style="221" customWidth="1"/>
    <col min="3079" max="3083" width="0.7109375" style="221" customWidth="1"/>
    <col min="3084" max="3084" width="0.5703125" style="221" customWidth="1"/>
    <col min="3085" max="3097" width="0.7109375" style="221" customWidth="1"/>
    <col min="3098" max="3098" width="1.42578125" style="221" customWidth="1"/>
    <col min="3099" max="3099" width="0.5703125" style="221" customWidth="1"/>
    <col min="3100" max="3100" width="3.42578125" style="221" customWidth="1"/>
    <col min="3101" max="3101" width="0.5703125" style="221" customWidth="1"/>
    <col min="3102" max="3102" width="0.7109375" style="221" customWidth="1"/>
    <col min="3103" max="3103" width="2.140625" style="221" customWidth="1"/>
    <col min="3104" max="3104" width="0.5703125" style="221" customWidth="1"/>
    <col min="3105" max="3105" width="2.140625" style="221" customWidth="1"/>
    <col min="3106" max="3106" width="0.5703125" style="221" customWidth="1"/>
    <col min="3107" max="3107" width="2.140625" style="221" customWidth="1"/>
    <col min="3108" max="3108" width="0.5703125" style="221" customWidth="1"/>
    <col min="3109" max="3109" width="2.140625" style="221" customWidth="1"/>
    <col min="3110" max="3110" width="0.5703125" style="221" customWidth="1"/>
    <col min="3111" max="3111" width="2.140625" style="221" customWidth="1"/>
    <col min="3112" max="3112" width="0.5703125" style="221" customWidth="1"/>
    <col min="3113" max="3113" width="2.140625" style="221" customWidth="1"/>
    <col min="3114" max="3114" width="0.5703125" style="221" customWidth="1"/>
    <col min="3115" max="3115" width="2.140625" style="221" customWidth="1"/>
    <col min="3116" max="3116" width="0.5703125" style="221" customWidth="1"/>
    <col min="3117" max="3117" width="2.7109375" style="221" customWidth="1"/>
    <col min="3118" max="3118" width="0.5703125" style="221" customWidth="1"/>
    <col min="3119" max="3119" width="2.140625" style="221" customWidth="1"/>
    <col min="3120" max="3120" width="0.5703125" style="221" customWidth="1"/>
    <col min="3121" max="3121" width="2.140625" style="221" customWidth="1"/>
    <col min="3122" max="3122" width="0.5703125" style="221" customWidth="1"/>
    <col min="3123" max="3123" width="2.140625" style="221" customWidth="1"/>
    <col min="3124" max="3125" width="0.5703125" style="221" customWidth="1"/>
    <col min="3126" max="3126" width="2.140625" style="221" customWidth="1"/>
    <col min="3127" max="3127" width="0.5703125" style="221" customWidth="1"/>
    <col min="3128" max="3128" width="2.140625" style="221" customWidth="1"/>
    <col min="3129" max="3129" width="0.5703125" style="221" customWidth="1"/>
    <col min="3130" max="3130" width="2.140625" style="221" customWidth="1"/>
    <col min="3131" max="3131" width="0.5703125" style="221" customWidth="1"/>
    <col min="3132" max="3132" width="2.140625" style="221" customWidth="1"/>
    <col min="3133" max="3133" width="0.5703125" style="221" customWidth="1"/>
    <col min="3134" max="3134" width="2" style="221" customWidth="1"/>
    <col min="3135" max="3136" width="0.5703125" style="221" customWidth="1"/>
    <col min="3137" max="3137" width="2.140625" style="221" customWidth="1"/>
    <col min="3138" max="3138" width="0.5703125" style="221" customWidth="1"/>
    <col min="3139" max="3139" width="2.140625" style="221" customWidth="1"/>
    <col min="3140" max="3140" width="0.5703125" style="221" customWidth="1"/>
    <col min="3141" max="3141" width="2.140625" style="221" customWidth="1"/>
    <col min="3142" max="3142" width="0.5703125" style="221" customWidth="1"/>
    <col min="3143" max="3143" width="2.140625" style="221" customWidth="1"/>
    <col min="3144" max="3144" width="0.5703125" style="221" customWidth="1"/>
    <col min="3145" max="3145" width="2.140625" style="221" customWidth="1"/>
    <col min="3146" max="3146" width="0.5703125" style="221" customWidth="1"/>
    <col min="3147" max="3147" width="2.140625" style="221" customWidth="1"/>
    <col min="3148" max="3148" width="0.5703125" style="221" customWidth="1"/>
    <col min="3149" max="3149" width="2.140625" style="221" customWidth="1"/>
    <col min="3150" max="3150" width="0.5703125" style="221" customWidth="1"/>
    <col min="3151" max="3151" width="2.140625" style="221" customWidth="1"/>
    <col min="3152" max="3152" width="0.5703125" style="221" customWidth="1"/>
    <col min="3153" max="3153" width="2.140625" style="221" customWidth="1"/>
    <col min="3154" max="3154" width="0.5703125" style="221" customWidth="1"/>
    <col min="3155" max="3155" width="2.140625" style="221" customWidth="1"/>
    <col min="3156" max="3156" width="0.5703125" style="221" customWidth="1"/>
    <col min="3157" max="3157" width="2.140625" style="221" customWidth="1"/>
    <col min="3158" max="3158" width="0.5703125" style="221" customWidth="1"/>
    <col min="3159" max="3160" width="2.5703125" style="221" customWidth="1"/>
    <col min="3161" max="3328" width="9.140625" style="221"/>
    <col min="3329" max="3329" width="0.7109375" style="221" customWidth="1"/>
    <col min="3330" max="3330" width="0.42578125" style="221" customWidth="1"/>
    <col min="3331" max="3331" width="0.5703125" style="221" customWidth="1"/>
    <col min="3332" max="3332" width="0.28515625" style="221" customWidth="1"/>
    <col min="3333" max="3333" width="3.7109375" style="221" customWidth="1"/>
    <col min="3334" max="3334" width="1.140625" style="221" customWidth="1"/>
    <col min="3335" max="3339" width="0.7109375" style="221" customWidth="1"/>
    <col min="3340" max="3340" width="0.5703125" style="221" customWidth="1"/>
    <col min="3341" max="3353" width="0.7109375" style="221" customWidth="1"/>
    <col min="3354" max="3354" width="1.42578125" style="221" customWidth="1"/>
    <col min="3355" max="3355" width="0.5703125" style="221" customWidth="1"/>
    <col min="3356" max="3356" width="3.42578125" style="221" customWidth="1"/>
    <col min="3357" max="3357" width="0.5703125" style="221" customWidth="1"/>
    <col min="3358" max="3358" width="0.7109375" style="221" customWidth="1"/>
    <col min="3359" max="3359" width="2.140625" style="221" customWidth="1"/>
    <col min="3360" max="3360" width="0.5703125" style="221" customWidth="1"/>
    <col min="3361" max="3361" width="2.140625" style="221" customWidth="1"/>
    <col min="3362" max="3362" width="0.5703125" style="221" customWidth="1"/>
    <col min="3363" max="3363" width="2.140625" style="221" customWidth="1"/>
    <col min="3364" max="3364" width="0.5703125" style="221" customWidth="1"/>
    <col min="3365" max="3365" width="2.140625" style="221" customWidth="1"/>
    <col min="3366" max="3366" width="0.5703125" style="221" customWidth="1"/>
    <col min="3367" max="3367" width="2.140625" style="221" customWidth="1"/>
    <col min="3368" max="3368" width="0.5703125" style="221" customWidth="1"/>
    <col min="3369" max="3369" width="2.140625" style="221" customWidth="1"/>
    <col min="3370" max="3370" width="0.5703125" style="221" customWidth="1"/>
    <col min="3371" max="3371" width="2.140625" style="221" customWidth="1"/>
    <col min="3372" max="3372" width="0.5703125" style="221" customWidth="1"/>
    <col min="3373" max="3373" width="2.7109375" style="221" customWidth="1"/>
    <col min="3374" max="3374" width="0.5703125" style="221" customWidth="1"/>
    <col min="3375" max="3375" width="2.140625" style="221" customWidth="1"/>
    <col min="3376" max="3376" width="0.5703125" style="221" customWidth="1"/>
    <col min="3377" max="3377" width="2.140625" style="221" customWidth="1"/>
    <col min="3378" max="3378" width="0.5703125" style="221" customWidth="1"/>
    <col min="3379" max="3379" width="2.140625" style="221" customWidth="1"/>
    <col min="3380" max="3381" width="0.5703125" style="221" customWidth="1"/>
    <col min="3382" max="3382" width="2.140625" style="221" customWidth="1"/>
    <col min="3383" max="3383" width="0.5703125" style="221" customWidth="1"/>
    <col min="3384" max="3384" width="2.140625" style="221" customWidth="1"/>
    <col min="3385" max="3385" width="0.5703125" style="221" customWidth="1"/>
    <col min="3386" max="3386" width="2.140625" style="221" customWidth="1"/>
    <col min="3387" max="3387" width="0.5703125" style="221" customWidth="1"/>
    <col min="3388" max="3388" width="2.140625" style="221" customWidth="1"/>
    <col min="3389" max="3389" width="0.5703125" style="221" customWidth="1"/>
    <col min="3390" max="3390" width="2" style="221" customWidth="1"/>
    <col min="3391" max="3392" width="0.5703125" style="221" customWidth="1"/>
    <col min="3393" max="3393" width="2.140625" style="221" customWidth="1"/>
    <col min="3394" max="3394" width="0.5703125" style="221" customWidth="1"/>
    <col min="3395" max="3395" width="2.140625" style="221" customWidth="1"/>
    <col min="3396" max="3396" width="0.5703125" style="221" customWidth="1"/>
    <col min="3397" max="3397" width="2.140625" style="221" customWidth="1"/>
    <col min="3398" max="3398" width="0.5703125" style="221" customWidth="1"/>
    <col min="3399" max="3399" width="2.140625" style="221" customWidth="1"/>
    <col min="3400" max="3400" width="0.5703125" style="221" customWidth="1"/>
    <col min="3401" max="3401" width="2.140625" style="221" customWidth="1"/>
    <col min="3402" max="3402" width="0.5703125" style="221" customWidth="1"/>
    <col min="3403" max="3403" width="2.140625" style="221" customWidth="1"/>
    <col min="3404" max="3404" width="0.5703125" style="221" customWidth="1"/>
    <col min="3405" max="3405" width="2.140625" style="221" customWidth="1"/>
    <col min="3406" max="3406" width="0.5703125" style="221" customWidth="1"/>
    <col min="3407" max="3407" width="2.140625" style="221" customWidth="1"/>
    <col min="3408" max="3408" width="0.5703125" style="221" customWidth="1"/>
    <col min="3409" max="3409" width="2.140625" style="221" customWidth="1"/>
    <col min="3410" max="3410" width="0.5703125" style="221" customWidth="1"/>
    <col min="3411" max="3411" width="2.140625" style="221" customWidth="1"/>
    <col min="3412" max="3412" width="0.5703125" style="221" customWidth="1"/>
    <col min="3413" max="3413" width="2.140625" style="221" customWidth="1"/>
    <col min="3414" max="3414" width="0.5703125" style="221" customWidth="1"/>
    <col min="3415" max="3416" width="2.5703125" style="221" customWidth="1"/>
    <col min="3417" max="3584" width="9.140625" style="221"/>
    <col min="3585" max="3585" width="0.7109375" style="221" customWidth="1"/>
    <col min="3586" max="3586" width="0.42578125" style="221" customWidth="1"/>
    <col min="3587" max="3587" width="0.5703125" style="221" customWidth="1"/>
    <col min="3588" max="3588" width="0.28515625" style="221" customWidth="1"/>
    <col min="3589" max="3589" width="3.7109375" style="221" customWidth="1"/>
    <col min="3590" max="3590" width="1.140625" style="221" customWidth="1"/>
    <col min="3591" max="3595" width="0.7109375" style="221" customWidth="1"/>
    <col min="3596" max="3596" width="0.5703125" style="221" customWidth="1"/>
    <col min="3597" max="3609" width="0.7109375" style="221" customWidth="1"/>
    <col min="3610" max="3610" width="1.42578125" style="221" customWidth="1"/>
    <col min="3611" max="3611" width="0.5703125" style="221" customWidth="1"/>
    <col min="3612" max="3612" width="3.42578125" style="221" customWidth="1"/>
    <col min="3613" max="3613" width="0.5703125" style="221" customWidth="1"/>
    <col min="3614" max="3614" width="0.7109375" style="221" customWidth="1"/>
    <col min="3615" max="3615" width="2.140625" style="221" customWidth="1"/>
    <col min="3616" max="3616" width="0.5703125" style="221" customWidth="1"/>
    <col min="3617" max="3617" width="2.140625" style="221" customWidth="1"/>
    <col min="3618" max="3618" width="0.5703125" style="221" customWidth="1"/>
    <col min="3619" max="3619" width="2.140625" style="221" customWidth="1"/>
    <col min="3620" max="3620" width="0.5703125" style="221" customWidth="1"/>
    <col min="3621" max="3621" width="2.140625" style="221" customWidth="1"/>
    <col min="3622" max="3622" width="0.5703125" style="221" customWidth="1"/>
    <col min="3623" max="3623" width="2.140625" style="221" customWidth="1"/>
    <col min="3624" max="3624" width="0.5703125" style="221" customWidth="1"/>
    <col min="3625" max="3625" width="2.140625" style="221" customWidth="1"/>
    <col min="3626" max="3626" width="0.5703125" style="221" customWidth="1"/>
    <col min="3627" max="3627" width="2.140625" style="221" customWidth="1"/>
    <col min="3628" max="3628" width="0.5703125" style="221" customWidth="1"/>
    <col min="3629" max="3629" width="2.7109375" style="221" customWidth="1"/>
    <col min="3630" max="3630" width="0.5703125" style="221" customWidth="1"/>
    <col min="3631" max="3631" width="2.140625" style="221" customWidth="1"/>
    <col min="3632" max="3632" width="0.5703125" style="221" customWidth="1"/>
    <col min="3633" max="3633" width="2.140625" style="221" customWidth="1"/>
    <col min="3634" max="3634" width="0.5703125" style="221" customWidth="1"/>
    <col min="3635" max="3635" width="2.140625" style="221" customWidth="1"/>
    <col min="3636" max="3637" width="0.5703125" style="221" customWidth="1"/>
    <col min="3638" max="3638" width="2.140625" style="221" customWidth="1"/>
    <col min="3639" max="3639" width="0.5703125" style="221" customWidth="1"/>
    <col min="3640" max="3640" width="2.140625" style="221" customWidth="1"/>
    <col min="3641" max="3641" width="0.5703125" style="221" customWidth="1"/>
    <col min="3642" max="3642" width="2.140625" style="221" customWidth="1"/>
    <col min="3643" max="3643" width="0.5703125" style="221" customWidth="1"/>
    <col min="3644" max="3644" width="2.140625" style="221" customWidth="1"/>
    <col min="3645" max="3645" width="0.5703125" style="221" customWidth="1"/>
    <col min="3646" max="3646" width="2" style="221" customWidth="1"/>
    <col min="3647" max="3648" width="0.5703125" style="221" customWidth="1"/>
    <col min="3649" max="3649" width="2.140625" style="221" customWidth="1"/>
    <col min="3650" max="3650" width="0.5703125" style="221" customWidth="1"/>
    <col min="3651" max="3651" width="2.140625" style="221" customWidth="1"/>
    <col min="3652" max="3652" width="0.5703125" style="221" customWidth="1"/>
    <col min="3653" max="3653" width="2.140625" style="221" customWidth="1"/>
    <col min="3654" max="3654" width="0.5703125" style="221" customWidth="1"/>
    <col min="3655" max="3655" width="2.140625" style="221" customWidth="1"/>
    <col min="3656" max="3656" width="0.5703125" style="221" customWidth="1"/>
    <col min="3657" max="3657" width="2.140625" style="221" customWidth="1"/>
    <col min="3658" max="3658" width="0.5703125" style="221" customWidth="1"/>
    <col min="3659" max="3659" width="2.140625" style="221" customWidth="1"/>
    <col min="3660" max="3660" width="0.5703125" style="221" customWidth="1"/>
    <col min="3661" max="3661" width="2.140625" style="221" customWidth="1"/>
    <col min="3662" max="3662" width="0.5703125" style="221" customWidth="1"/>
    <col min="3663" max="3663" width="2.140625" style="221" customWidth="1"/>
    <col min="3664" max="3664" width="0.5703125" style="221" customWidth="1"/>
    <col min="3665" max="3665" width="2.140625" style="221" customWidth="1"/>
    <col min="3666" max="3666" width="0.5703125" style="221" customWidth="1"/>
    <col min="3667" max="3667" width="2.140625" style="221" customWidth="1"/>
    <col min="3668" max="3668" width="0.5703125" style="221" customWidth="1"/>
    <col min="3669" max="3669" width="2.140625" style="221" customWidth="1"/>
    <col min="3670" max="3670" width="0.5703125" style="221" customWidth="1"/>
    <col min="3671" max="3672" width="2.5703125" style="221" customWidth="1"/>
    <col min="3673" max="3840" width="9.140625" style="221"/>
    <col min="3841" max="3841" width="0.7109375" style="221" customWidth="1"/>
    <col min="3842" max="3842" width="0.42578125" style="221" customWidth="1"/>
    <col min="3843" max="3843" width="0.5703125" style="221" customWidth="1"/>
    <col min="3844" max="3844" width="0.28515625" style="221" customWidth="1"/>
    <col min="3845" max="3845" width="3.7109375" style="221" customWidth="1"/>
    <col min="3846" max="3846" width="1.140625" style="221" customWidth="1"/>
    <col min="3847" max="3851" width="0.7109375" style="221" customWidth="1"/>
    <col min="3852" max="3852" width="0.5703125" style="221" customWidth="1"/>
    <col min="3853" max="3865" width="0.7109375" style="221" customWidth="1"/>
    <col min="3866" max="3866" width="1.42578125" style="221" customWidth="1"/>
    <col min="3867" max="3867" width="0.5703125" style="221" customWidth="1"/>
    <col min="3868" max="3868" width="3.42578125" style="221" customWidth="1"/>
    <col min="3869" max="3869" width="0.5703125" style="221" customWidth="1"/>
    <col min="3870" max="3870" width="0.7109375" style="221" customWidth="1"/>
    <col min="3871" max="3871" width="2.140625" style="221" customWidth="1"/>
    <col min="3872" max="3872" width="0.5703125" style="221" customWidth="1"/>
    <col min="3873" max="3873" width="2.140625" style="221" customWidth="1"/>
    <col min="3874" max="3874" width="0.5703125" style="221" customWidth="1"/>
    <col min="3875" max="3875" width="2.140625" style="221" customWidth="1"/>
    <col min="3876" max="3876" width="0.5703125" style="221" customWidth="1"/>
    <col min="3877" max="3877" width="2.140625" style="221" customWidth="1"/>
    <col min="3878" max="3878" width="0.5703125" style="221" customWidth="1"/>
    <col min="3879" max="3879" width="2.140625" style="221" customWidth="1"/>
    <col min="3880" max="3880" width="0.5703125" style="221" customWidth="1"/>
    <col min="3881" max="3881" width="2.140625" style="221" customWidth="1"/>
    <col min="3882" max="3882" width="0.5703125" style="221" customWidth="1"/>
    <col min="3883" max="3883" width="2.140625" style="221" customWidth="1"/>
    <col min="3884" max="3884" width="0.5703125" style="221" customWidth="1"/>
    <col min="3885" max="3885" width="2.7109375" style="221" customWidth="1"/>
    <col min="3886" max="3886" width="0.5703125" style="221" customWidth="1"/>
    <col min="3887" max="3887" width="2.140625" style="221" customWidth="1"/>
    <col min="3888" max="3888" width="0.5703125" style="221" customWidth="1"/>
    <col min="3889" max="3889" width="2.140625" style="221" customWidth="1"/>
    <col min="3890" max="3890" width="0.5703125" style="221" customWidth="1"/>
    <col min="3891" max="3891" width="2.140625" style="221" customWidth="1"/>
    <col min="3892" max="3893" width="0.5703125" style="221" customWidth="1"/>
    <col min="3894" max="3894" width="2.140625" style="221" customWidth="1"/>
    <col min="3895" max="3895" width="0.5703125" style="221" customWidth="1"/>
    <col min="3896" max="3896" width="2.140625" style="221" customWidth="1"/>
    <col min="3897" max="3897" width="0.5703125" style="221" customWidth="1"/>
    <col min="3898" max="3898" width="2.140625" style="221" customWidth="1"/>
    <col min="3899" max="3899" width="0.5703125" style="221" customWidth="1"/>
    <col min="3900" max="3900" width="2.140625" style="221" customWidth="1"/>
    <col min="3901" max="3901" width="0.5703125" style="221" customWidth="1"/>
    <col min="3902" max="3902" width="2" style="221" customWidth="1"/>
    <col min="3903" max="3904" width="0.5703125" style="221" customWidth="1"/>
    <col min="3905" max="3905" width="2.140625" style="221" customWidth="1"/>
    <col min="3906" max="3906" width="0.5703125" style="221" customWidth="1"/>
    <col min="3907" max="3907" width="2.140625" style="221" customWidth="1"/>
    <col min="3908" max="3908" width="0.5703125" style="221" customWidth="1"/>
    <col min="3909" max="3909" width="2.140625" style="221" customWidth="1"/>
    <col min="3910" max="3910" width="0.5703125" style="221" customWidth="1"/>
    <col min="3911" max="3911" width="2.140625" style="221" customWidth="1"/>
    <col min="3912" max="3912" width="0.5703125" style="221" customWidth="1"/>
    <col min="3913" max="3913" width="2.140625" style="221" customWidth="1"/>
    <col min="3914" max="3914" width="0.5703125" style="221" customWidth="1"/>
    <col min="3915" max="3915" width="2.140625" style="221" customWidth="1"/>
    <col min="3916" max="3916" width="0.5703125" style="221" customWidth="1"/>
    <col min="3917" max="3917" width="2.140625" style="221" customWidth="1"/>
    <col min="3918" max="3918" width="0.5703125" style="221" customWidth="1"/>
    <col min="3919" max="3919" width="2.140625" style="221" customWidth="1"/>
    <col min="3920" max="3920" width="0.5703125" style="221" customWidth="1"/>
    <col min="3921" max="3921" width="2.140625" style="221" customWidth="1"/>
    <col min="3922" max="3922" width="0.5703125" style="221" customWidth="1"/>
    <col min="3923" max="3923" width="2.140625" style="221" customWidth="1"/>
    <col min="3924" max="3924" width="0.5703125" style="221" customWidth="1"/>
    <col min="3925" max="3925" width="2.140625" style="221" customWidth="1"/>
    <col min="3926" max="3926" width="0.5703125" style="221" customWidth="1"/>
    <col min="3927" max="3928" width="2.5703125" style="221" customWidth="1"/>
    <col min="3929" max="4096" width="9.140625" style="221"/>
    <col min="4097" max="4097" width="0.7109375" style="221" customWidth="1"/>
    <col min="4098" max="4098" width="0.42578125" style="221" customWidth="1"/>
    <col min="4099" max="4099" width="0.5703125" style="221" customWidth="1"/>
    <col min="4100" max="4100" width="0.28515625" style="221" customWidth="1"/>
    <col min="4101" max="4101" width="3.7109375" style="221" customWidth="1"/>
    <col min="4102" max="4102" width="1.140625" style="221" customWidth="1"/>
    <col min="4103" max="4107" width="0.7109375" style="221" customWidth="1"/>
    <col min="4108" max="4108" width="0.5703125" style="221" customWidth="1"/>
    <col min="4109" max="4121" width="0.7109375" style="221" customWidth="1"/>
    <col min="4122" max="4122" width="1.42578125" style="221" customWidth="1"/>
    <col min="4123" max="4123" width="0.5703125" style="221" customWidth="1"/>
    <col min="4124" max="4124" width="3.42578125" style="221" customWidth="1"/>
    <col min="4125" max="4125" width="0.5703125" style="221" customWidth="1"/>
    <col min="4126" max="4126" width="0.7109375" style="221" customWidth="1"/>
    <col min="4127" max="4127" width="2.140625" style="221" customWidth="1"/>
    <col min="4128" max="4128" width="0.5703125" style="221" customWidth="1"/>
    <col min="4129" max="4129" width="2.140625" style="221" customWidth="1"/>
    <col min="4130" max="4130" width="0.5703125" style="221" customWidth="1"/>
    <col min="4131" max="4131" width="2.140625" style="221" customWidth="1"/>
    <col min="4132" max="4132" width="0.5703125" style="221" customWidth="1"/>
    <col min="4133" max="4133" width="2.140625" style="221" customWidth="1"/>
    <col min="4134" max="4134" width="0.5703125" style="221" customWidth="1"/>
    <col min="4135" max="4135" width="2.140625" style="221" customWidth="1"/>
    <col min="4136" max="4136" width="0.5703125" style="221" customWidth="1"/>
    <col min="4137" max="4137" width="2.140625" style="221" customWidth="1"/>
    <col min="4138" max="4138" width="0.5703125" style="221" customWidth="1"/>
    <col min="4139" max="4139" width="2.140625" style="221" customWidth="1"/>
    <col min="4140" max="4140" width="0.5703125" style="221" customWidth="1"/>
    <col min="4141" max="4141" width="2.7109375" style="221" customWidth="1"/>
    <col min="4142" max="4142" width="0.5703125" style="221" customWidth="1"/>
    <col min="4143" max="4143" width="2.140625" style="221" customWidth="1"/>
    <col min="4144" max="4144" width="0.5703125" style="221" customWidth="1"/>
    <col min="4145" max="4145" width="2.140625" style="221" customWidth="1"/>
    <col min="4146" max="4146" width="0.5703125" style="221" customWidth="1"/>
    <col min="4147" max="4147" width="2.140625" style="221" customWidth="1"/>
    <col min="4148" max="4149" width="0.5703125" style="221" customWidth="1"/>
    <col min="4150" max="4150" width="2.140625" style="221" customWidth="1"/>
    <col min="4151" max="4151" width="0.5703125" style="221" customWidth="1"/>
    <col min="4152" max="4152" width="2.140625" style="221" customWidth="1"/>
    <col min="4153" max="4153" width="0.5703125" style="221" customWidth="1"/>
    <col min="4154" max="4154" width="2.140625" style="221" customWidth="1"/>
    <col min="4155" max="4155" width="0.5703125" style="221" customWidth="1"/>
    <col min="4156" max="4156" width="2.140625" style="221" customWidth="1"/>
    <col min="4157" max="4157" width="0.5703125" style="221" customWidth="1"/>
    <col min="4158" max="4158" width="2" style="221" customWidth="1"/>
    <col min="4159" max="4160" width="0.5703125" style="221" customWidth="1"/>
    <col min="4161" max="4161" width="2.140625" style="221" customWidth="1"/>
    <col min="4162" max="4162" width="0.5703125" style="221" customWidth="1"/>
    <col min="4163" max="4163" width="2.140625" style="221" customWidth="1"/>
    <col min="4164" max="4164" width="0.5703125" style="221" customWidth="1"/>
    <col min="4165" max="4165" width="2.140625" style="221" customWidth="1"/>
    <col min="4166" max="4166" width="0.5703125" style="221" customWidth="1"/>
    <col min="4167" max="4167" width="2.140625" style="221" customWidth="1"/>
    <col min="4168" max="4168" width="0.5703125" style="221" customWidth="1"/>
    <col min="4169" max="4169" width="2.140625" style="221" customWidth="1"/>
    <col min="4170" max="4170" width="0.5703125" style="221" customWidth="1"/>
    <col min="4171" max="4171" width="2.140625" style="221" customWidth="1"/>
    <col min="4172" max="4172" width="0.5703125" style="221" customWidth="1"/>
    <col min="4173" max="4173" width="2.140625" style="221" customWidth="1"/>
    <col min="4174" max="4174" width="0.5703125" style="221" customWidth="1"/>
    <col min="4175" max="4175" width="2.140625" style="221" customWidth="1"/>
    <col min="4176" max="4176" width="0.5703125" style="221" customWidth="1"/>
    <col min="4177" max="4177" width="2.140625" style="221" customWidth="1"/>
    <col min="4178" max="4178" width="0.5703125" style="221" customWidth="1"/>
    <col min="4179" max="4179" width="2.140625" style="221" customWidth="1"/>
    <col min="4180" max="4180" width="0.5703125" style="221" customWidth="1"/>
    <col min="4181" max="4181" width="2.140625" style="221" customWidth="1"/>
    <col min="4182" max="4182" width="0.5703125" style="221" customWidth="1"/>
    <col min="4183" max="4184" width="2.5703125" style="221" customWidth="1"/>
    <col min="4185" max="4352" width="9.140625" style="221"/>
    <col min="4353" max="4353" width="0.7109375" style="221" customWidth="1"/>
    <col min="4354" max="4354" width="0.42578125" style="221" customWidth="1"/>
    <col min="4355" max="4355" width="0.5703125" style="221" customWidth="1"/>
    <col min="4356" max="4356" width="0.28515625" style="221" customWidth="1"/>
    <col min="4357" max="4357" width="3.7109375" style="221" customWidth="1"/>
    <col min="4358" max="4358" width="1.140625" style="221" customWidth="1"/>
    <col min="4359" max="4363" width="0.7109375" style="221" customWidth="1"/>
    <col min="4364" max="4364" width="0.5703125" style="221" customWidth="1"/>
    <col min="4365" max="4377" width="0.7109375" style="221" customWidth="1"/>
    <col min="4378" max="4378" width="1.42578125" style="221" customWidth="1"/>
    <col min="4379" max="4379" width="0.5703125" style="221" customWidth="1"/>
    <col min="4380" max="4380" width="3.42578125" style="221" customWidth="1"/>
    <col min="4381" max="4381" width="0.5703125" style="221" customWidth="1"/>
    <col min="4382" max="4382" width="0.7109375" style="221" customWidth="1"/>
    <col min="4383" max="4383" width="2.140625" style="221" customWidth="1"/>
    <col min="4384" max="4384" width="0.5703125" style="221" customWidth="1"/>
    <col min="4385" max="4385" width="2.140625" style="221" customWidth="1"/>
    <col min="4386" max="4386" width="0.5703125" style="221" customWidth="1"/>
    <col min="4387" max="4387" width="2.140625" style="221" customWidth="1"/>
    <col min="4388" max="4388" width="0.5703125" style="221" customWidth="1"/>
    <col min="4389" max="4389" width="2.140625" style="221" customWidth="1"/>
    <col min="4390" max="4390" width="0.5703125" style="221" customWidth="1"/>
    <col min="4391" max="4391" width="2.140625" style="221" customWidth="1"/>
    <col min="4392" max="4392" width="0.5703125" style="221" customWidth="1"/>
    <col min="4393" max="4393" width="2.140625" style="221" customWidth="1"/>
    <col min="4394" max="4394" width="0.5703125" style="221" customWidth="1"/>
    <col min="4395" max="4395" width="2.140625" style="221" customWidth="1"/>
    <col min="4396" max="4396" width="0.5703125" style="221" customWidth="1"/>
    <col min="4397" max="4397" width="2.7109375" style="221" customWidth="1"/>
    <col min="4398" max="4398" width="0.5703125" style="221" customWidth="1"/>
    <col min="4399" max="4399" width="2.140625" style="221" customWidth="1"/>
    <col min="4400" max="4400" width="0.5703125" style="221" customWidth="1"/>
    <col min="4401" max="4401" width="2.140625" style="221" customWidth="1"/>
    <col min="4402" max="4402" width="0.5703125" style="221" customWidth="1"/>
    <col min="4403" max="4403" width="2.140625" style="221" customWidth="1"/>
    <col min="4404" max="4405" width="0.5703125" style="221" customWidth="1"/>
    <col min="4406" max="4406" width="2.140625" style="221" customWidth="1"/>
    <col min="4407" max="4407" width="0.5703125" style="221" customWidth="1"/>
    <col min="4408" max="4408" width="2.140625" style="221" customWidth="1"/>
    <col min="4409" max="4409" width="0.5703125" style="221" customWidth="1"/>
    <col min="4410" max="4410" width="2.140625" style="221" customWidth="1"/>
    <col min="4411" max="4411" width="0.5703125" style="221" customWidth="1"/>
    <col min="4412" max="4412" width="2.140625" style="221" customWidth="1"/>
    <col min="4413" max="4413" width="0.5703125" style="221" customWidth="1"/>
    <col min="4414" max="4414" width="2" style="221" customWidth="1"/>
    <col min="4415" max="4416" width="0.5703125" style="221" customWidth="1"/>
    <col min="4417" max="4417" width="2.140625" style="221" customWidth="1"/>
    <col min="4418" max="4418" width="0.5703125" style="221" customWidth="1"/>
    <col min="4419" max="4419" width="2.140625" style="221" customWidth="1"/>
    <col min="4420" max="4420" width="0.5703125" style="221" customWidth="1"/>
    <col min="4421" max="4421" width="2.140625" style="221" customWidth="1"/>
    <col min="4422" max="4422" width="0.5703125" style="221" customWidth="1"/>
    <col min="4423" max="4423" width="2.140625" style="221" customWidth="1"/>
    <col min="4424" max="4424" width="0.5703125" style="221" customWidth="1"/>
    <col min="4425" max="4425" width="2.140625" style="221" customWidth="1"/>
    <col min="4426" max="4426" width="0.5703125" style="221" customWidth="1"/>
    <col min="4427" max="4427" width="2.140625" style="221" customWidth="1"/>
    <col min="4428" max="4428" width="0.5703125" style="221" customWidth="1"/>
    <col min="4429" max="4429" width="2.140625" style="221" customWidth="1"/>
    <col min="4430" max="4430" width="0.5703125" style="221" customWidth="1"/>
    <col min="4431" max="4431" width="2.140625" style="221" customWidth="1"/>
    <col min="4432" max="4432" width="0.5703125" style="221" customWidth="1"/>
    <col min="4433" max="4433" width="2.140625" style="221" customWidth="1"/>
    <col min="4434" max="4434" width="0.5703125" style="221" customWidth="1"/>
    <col min="4435" max="4435" width="2.140625" style="221" customWidth="1"/>
    <col min="4436" max="4436" width="0.5703125" style="221" customWidth="1"/>
    <col min="4437" max="4437" width="2.140625" style="221" customWidth="1"/>
    <col min="4438" max="4438" width="0.5703125" style="221" customWidth="1"/>
    <col min="4439" max="4440" width="2.5703125" style="221" customWidth="1"/>
    <col min="4441" max="4608" width="9.140625" style="221"/>
    <col min="4609" max="4609" width="0.7109375" style="221" customWidth="1"/>
    <col min="4610" max="4610" width="0.42578125" style="221" customWidth="1"/>
    <col min="4611" max="4611" width="0.5703125" style="221" customWidth="1"/>
    <col min="4612" max="4612" width="0.28515625" style="221" customWidth="1"/>
    <col min="4613" max="4613" width="3.7109375" style="221" customWidth="1"/>
    <col min="4614" max="4614" width="1.140625" style="221" customWidth="1"/>
    <col min="4615" max="4619" width="0.7109375" style="221" customWidth="1"/>
    <col min="4620" max="4620" width="0.5703125" style="221" customWidth="1"/>
    <col min="4621" max="4633" width="0.7109375" style="221" customWidth="1"/>
    <col min="4634" max="4634" width="1.42578125" style="221" customWidth="1"/>
    <col min="4635" max="4635" width="0.5703125" style="221" customWidth="1"/>
    <col min="4636" max="4636" width="3.42578125" style="221" customWidth="1"/>
    <col min="4637" max="4637" width="0.5703125" style="221" customWidth="1"/>
    <col min="4638" max="4638" width="0.7109375" style="221" customWidth="1"/>
    <col min="4639" max="4639" width="2.140625" style="221" customWidth="1"/>
    <col min="4640" max="4640" width="0.5703125" style="221" customWidth="1"/>
    <col min="4641" max="4641" width="2.140625" style="221" customWidth="1"/>
    <col min="4642" max="4642" width="0.5703125" style="221" customWidth="1"/>
    <col min="4643" max="4643" width="2.140625" style="221" customWidth="1"/>
    <col min="4644" max="4644" width="0.5703125" style="221" customWidth="1"/>
    <col min="4645" max="4645" width="2.140625" style="221" customWidth="1"/>
    <col min="4646" max="4646" width="0.5703125" style="221" customWidth="1"/>
    <col min="4647" max="4647" width="2.140625" style="221" customWidth="1"/>
    <col min="4648" max="4648" width="0.5703125" style="221" customWidth="1"/>
    <col min="4649" max="4649" width="2.140625" style="221" customWidth="1"/>
    <col min="4650" max="4650" width="0.5703125" style="221" customWidth="1"/>
    <col min="4651" max="4651" width="2.140625" style="221" customWidth="1"/>
    <col min="4652" max="4652" width="0.5703125" style="221" customWidth="1"/>
    <col min="4653" max="4653" width="2.7109375" style="221" customWidth="1"/>
    <col min="4654" max="4654" width="0.5703125" style="221" customWidth="1"/>
    <col min="4655" max="4655" width="2.140625" style="221" customWidth="1"/>
    <col min="4656" max="4656" width="0.5703125" style="221" customWidth="1"/>
    <col min="4657" max="4657" width="2.140625" style="221" customWidth="1"/>
    <col min="4658" max="4658" width="0.5703125" style="221" customWidth="1"/>
    <col min="4659" max="4659" width="2.140625" style="221" customWidth="1"/>
    <col min="4660" max="4661" width="0.5703125" style="221" customWidth="1"/>
    <col min="4662" max="4662" width="2.140625" style="221" customWidth="1"/>
    <col min="4663" max="4663" width="0.5703125" style="221" customWidth="1"/>
    <col min="4664" max="4664" width="2.140625" style="221" customWidth="1"/>
    <col min="4665" max="4665" width="0.5703125" style="221" customWidth="1"/>
    <col min="4666" max="4666" width="2.140625" style="221" customWidth="1"/>
    <col min="4667" max="4667" width="0.5703125" style="221" customWidth="1"/>
    <col min="4668" max="4668" width="2.140625" style="221" customWidth="1"/>
    <col min="4669" max="4669" width="0.5703125" style="221" customWidth="1"/>
    <col min="4670" max="4670" width="2" style="221" customWidth="1"/>
    <col min="4671" max="4672" width="0.5703125" style="221" customWidth="1"/>
    <col min="4673" max="4673" width="2.140625" style="221" customWidth="1"/>
    <col min="4674" max="4674" width="0.5703125" style="221" customWidth="1"/>
    <col min="4675" max="4675" width="2.140625" style="221" customWidth="1"/>
    <col min="4676" max="4676" width="0.5703125" style="221" customWidth="1"/>
    <col min="4677" max="4677" width="2.140625" style="221" customWidth="1"/>
    <col min="4678" max="4678" width="0.5703125" style="221" customWidth="1"/>
    <col min="4679" max="4679" width="2.140625" style="221" customWidth="1"/>
    <col min="4680" max="4680" width="0.5703125" style="221" customWidth="1"/>
    <col min="4681" max="4681" width="2.140625" style="221" customWidth="1"/>
    <col min="4682" max="4682" width="0.5703125" style="221" customWidth="1"/>
    <col min="4683" max="4683" width="2.140625" style="221" customWidth="1"/>
    <col min="4684" max="4684" width="0.5703125" style="221" customWidth="1"/>
    <col min="4685" max="4685" width="2.140625" style="221" customWidth="1"/>
    <col min="4686" max="4686" width="0.5703125" style="221" customWidth="1"/>
    <col min="4687" max="4687" width="2.140625" style="221" customWidth="1"/>
    <col min="4688" max="4688" width="0.5703125" style="221" customWidth="1"/>
    <col min="4689" max="4689" width="2.140625" style="221" customWidth="1"/>
    <col min="4690" max="4690" width="0.5703125" style="221" customWidth="1"/>
    <col min="4691" max="4691" width="2.140625" style="221" customWidth="1"/>
    <col min="4692" max="4692" width="0.5703125" style="221" customWidth="1"/>
    <col min="4693" max="4693" width="2.140625" style="221" customWidth="1"/>
    <col min="4694" max="4694" width="0.5703125" style="221" customWidth="1"/>
    <col min="4695" max="4696" width="2.5703125" style="221" customWidth="1"/>
    <col min="4697" max="4864" width="9.140625" style="221"/>
    <col min="4865" max="4865" width="0.7109375" style="221" customWidth="1"/>
    <col min="4866" max="4866" width="0.42578125" style="221" customWidth="1"/>
    <col min="4867" max="4867" width="0.5703125" style="221" customWidth="1"/>
    <col min="4868" max="4868" width="0.28515625" style="221" customWidth="1"/>
    <col min="4869" max="4869" width="3.7109375" style="221" customWidth="1"/>
    <col min="4870" max="4870" width="1.140625" style="221" customWidth="1"/>
    <col min="4871" max="4875" width="0.7109375" style="221" customWidth="1"/>
    <col min="4876" max="4876" width="0.5703125" style="221" customWidth="1"/>
    <col min="4877" max="4889" width="0.7109375" style="221" customWidth="1"/>
    <col min="4890" max="4890" width="1.42578125" style="221" customWidth="1"/>
    <col min="4891" max="4891" width="0.5703125" style="221" customWidth="1"/>
    <col min="4892" max="4892" width="3.42578125" style="221" customWidth="1"/>
    <col min="4893" max="4893" width="0.5703125" style="221" customWidth="1"/>
    <col min="4894" max="4894" width="0.7109375" style="221" customWidth="1"/>
    <col min="4895" max="4895" width="2.140625" style="221" customWidth="1"/>
    <col min="4896" max="4896" width="0.5703125" style="221" customWidth="1"/>
    <col min="4897" max="4897" width="2.140625" style="221" customWidth="1"/>
    <col min="4898" max="4898" width="0.5703125" style="221" customWidth="1"/>
    <col min="4899" max="4899" width="2.140625" style="221" customWidth="1"/>
    <col min="4900" max="4900" width="0.5703125" style="221" customWidth="1"/>
    <col min="4901" max="4901" width="2.140625" style="221" customWidth="1"/>
    <col min="4902" max="4902" width="0.5703125" style="221" customWidth="1"/>
    <col min="4903" max="4903" width="2.140625" style="221" customWidth="1"/>
    <col min="4904" max="4904" width="0.5703125" style="221" customWidth="1"/>
    <col min="4905" max="4905" width="2.140625" style="221" customWidth="1"/>
    <col min="4906" max="4906" width="0.5703125" style="221" customWidth="1"/>
    <col min="4907" max="4907" width="2.140625" style="221" customWidth="1"/>
    <col min="4908" max="4908" width="0.5703125" style="221" customWidth="1"/>
    <col min="4909" max="4909" width="2.7109375" style="221" customWidth="1"/>
    <col min="4910" max="4910" width="0.5703125" style="221" customWidth="1"/>
    <col min="4911" max="4911" width="2.140625" style="221" customWidth="1"/>
    <col min="4912" max="4912" width="0.5703125" style="221" customWidth="1"/>
    <col min="4913" max="4913" width="2.140625" style="221" customWidth="1"/>
    <col min="4914" max="4914" width="0.5703125" style="221" customWidth="1"/>
    <col min="4915" max="4915" width="2.140625" style="221" customWidth="1"/>
    <col min="4916" max="4917" width="0.5703125" style="221" customWidth="1"/>
    <col min="4918" max="4918" width="2.140625" style="221" customWidth="1"/>
    <col min="4919" max="4919" width="0.5703125" style="221" customWidth="1"/>
    <col min="4920" max="4920" width="2.140625" style="221" customWidth="1"/>
    <col min="4921" max="4921" width="0.5703125" style="221" customWidth="1"/>
    <col min="4922" max="4922" width="2.140625" style="221" customWidth="1"/>
    <col min="4923" max="4923" width="0.5703125" style="221" customWidth="1"/>
    <col min="4924" max="4924" width="2.140625" style="221" customWidth="1"/>
    <col min="4925" max="4925" width="0.5703125" style="221" customWidth="1"/>
    <col min="4926" max="4926" width="2" style="221" customWidth="1"/>
    <col min="4927" max="4928" width="0.5703125" style="221" customWidth="1"/>
    <col min="4929" max="4929" width="2.140625" style="221" customWidth="1"/>
    <col min="4930" max="4930" width="0.5703125" style="221" customWidth="1"/>
    <col min="4931" max="4931" width="2.140625" style="221" customWidth="1"/>
    <col min="4932" max="4932" width="0.5703125" style="221" customWidth="1"/>
    <col min="4933" max="4933" width="2.140625" style="221" customWidth="1"/>
    <col min="4934" max="4934" width="0.5703125" style="221" customWidth="1"/>
    <col min="4935" max="4935" width="2.140625" style="221" customWidth="1"/>
    <col min="4936" max="4936" width="0.5703125" style="221" customWidth="1"/>
    <col min="4937" max="4937" width="2.140625" style="221" customWidth="1"/>
    <col min="4938" max="4938" width="0.5703125" style="221" customWidth="1"/>
    <col min="4939" max="4939" width="2.140625" style="221" customWidth="1"/>
    <col min="4940" max="4940" width="0.5703125" style="221" customWidth="1"/>
    <col min="4941" max="4941" width="2.140625" style="221" customWidth="1"/>
    <col min="4942" max="4942" width="0.5703125" style="221" customWidth="1"/>
    <col min="4943" max="4943" width="2.140625" style="221" customWidth="1"/>
    <col min="4944" max="4944" width="0.5703125" style="221" customWidth="1"/>
    <col min="4945" max="4945" width="2.140625" style="221" customWidth="1"/>
    <col min="4946" max="4946" width="0.5703125" style="221" customWidth="1"/>
    <col min="4947" max="4947" width="2.140625" style="221" customWidth="1"/>
    <col min="4948" max="4948" width="0.5703125" style="221" customWidth="1"/>
    <col min="4949" max="4949" width="2.140625" style="221" customWidth="1"/>
    <col min="4950" max="4950" width="0.5703125" style="221" customWidth="1"/>
    <col min="4951" max="4952" width="2.5703125" style="221" customWidth="1"/>
    <col min="4953" max="5120" width="9.140625" style="221"/>
    <col min="5121" max="5121" width="0.7109375" style="221" customWidth="1"/>
    <col min="5122" max="5122" width="0.42578125" style="221" customWidth="1"/>
    <col min="5123" max="5123" width="0.5703125" style="221" customWidth="1"/>
    <col min="5124" max="5124" width="0.28515625" style="221" customWidth="1"/>
    <col min="5125" max="5125" width="3.7109375" style="221" customWidth="1"/>
    <col min="5126" max="5126" width="1.140625" style="221" customWidth="1"/>
    <col min="5127" max="5131" width="0.7109375" style="221" customWidth="1"/>
    <col min="5132" max="5132" width="0.5703125" style="221" customWidth="1"/>
    <col min="5133" max="5145" width="0.7109375" style="221" customWidth="1"/>
    <col min="5146" max="5146" width="1.42578125" style="221" customWidth="1"/>
    <col min="5147" max="5147" width="0.5703125" style="221" customWidth="1"/>
    <col min="5148" max="5148" width="3.42578125" style="221" customWidth="1"/>
    <col min="5149" max="5149" width="0.5703125" style="221" customWidth="1"/>
    <col min="5150" max="5150" width="0.7109375" style="221" customWidth="1"/>
    <col min="5151" max="5151" width="2.140625" style="221" customWidth="1"/>
    <col min="5152" max="5152" width="0.5703125" style="221" customWidth="1"/>
    <col min="5153" max="5153" width="2.140625" style="221" customWidth="1"/>
    <col min="5154" max="5154" width="0.5703125" style="221" customWidth="1"/>
    <col min="5155" max="5155" width="2.140625" style="221" customWidth="1"/>
    <col min="5156" max="5156" width="0.5703125" style="221" customWidth="1"/>
    <col min="5157" max="5157" width="2.140625" style="221" customWidth="1"/>
    <col min="5158" max="5158" width="0.5703125" style="221" customWidth="1"/>
    <col min="5159" max="5159" width="2.140625" style="221" customWidth="1"/>
    <col min="5160" max="5160" width="0.5703125" style="221" customWidth="1"/>
    <col min="5161" max="5161" width="2.140625" style="221" customWidth="1"/>
    <col min="5162" max="5162" width="0.5703125" style="221" customWidth="1"/>
    <col min="5163" max="5163" width="2.140625" style="221" customWidth="1"/>
    <col min="5164" max="5164" width="0.5703125" style="221" customWidth="1"/>
    <col min="5165" max="5165" width="2.7109375" style="221" customWidth="1"/>
    <col min="5166" max="5166" width="0.5703125" style="221" customWidth="1"/>
    <col min="5167" max="5167" width="2.140625" style="221" customWidth="1"/>
    <col min="5168" max="5168" width="0.5703125" style="221" customWidth="1"/>
    <col min="5169" max="5169" width="2.140625" style="221" customWidth="1"/>
    <col min="5170" max="5170" width="0.5703125" style="221" customWidth="1"/>
    <col min="5171" max="5171" width="2.140625" style="221" customWidth="1"/>
    <col min="5172" max="5173" width="0.5703125" style="221" customWidth="1"/>
    <col min="5174" max="5174" width="2.140625" style="221" customWidth="1"/>
    <col min="5175" max="5175" width="0.5703125" style="221" customWidth="1"/>
    <col min="5176" max="5176" width="2.140625" style="221" customWidth="1"/>
    <col min="5177" max="5177" width="0.5703125" style="221" customWidth="1"/>
    <col min="5178" max="5178" width="2.140625" style="221" customWidth="1"/>
    <col min="5179" max="5179" width="0.5703125" style="221" customWidth="1"/>
    <col min="5180" max="5180" width="2.140625" style="221" customWidth="1"/>
    <col min="5181" max="5181" width="0.5703125" style="221" customWidth="1"/>
    <col min="5182" max="5182" width="2" style="221" customWidth="1"/>
    <col min="5183" max="5184" width="0.5703125" style="221" customWidth="1"/>
    <col min="5185" max="5185" width="2.140625" style="221" customWidth="1"/>
    <col min="5186" max="5186" width="0.5703125" style="221" customWidth="1"/>
    <col min="5187" max="5187" width="2.140625" style="221" customWidth="1"/>
    <col min="5188" max="5188" width="0.5703125" style="221" customWidth="1"/>
    <col min="5189" max="5189" width="2.140625" style="221" customWidth="1"/>
    <col min="5190" max="5190" width="0.5703125" style="221" customWidth="1"/>
    <col min="5191" max="5191" width="2.140625" style="221" customWidth="1"/>
    <col min="5192" max="5192" width="0.5703125" style="221" customWidth="1"/>
    <col min="5193" max="5193" width="2.140625" style="221" customWidth="1"/>
    <col min="5194" max="5194" width="0.5703125" style="221" customWidth="1"/>
    <col min="5195" max="5195" width="2.140625" style="221" customWidth="1"/>
    <col min="5196" max="5196" width="0.5703125" style="221" customWidth="1"/>
    <col min="5197" max="5197" width="2.140625" style="221" customWidth="1"/>
    <col min="5198" max="5198" width="0.5703125" style="221" customWidth="1"/>
    <col min="5199" max="5199" width="2.140625" style="221" customWidth="1"/>
    <col min="5200" max="5200" width="0.5703125" style="221" customWidth="1"/>
    <col min="5201" max="5201" width="2.140625" style="221" customWidth="1"/>
    <col min="5202" max="5202" width="0.5703125" style="221" customWidth="1"/>
    <col min="5203" max="5203" width="2.140625" style="221" customWidth="1"/>
    <col min="5204" max="5204" width="0.5703125" style="221" customWidth="1"/>
    <col min="5205" max="5205" width="2.140625" style="221" customWidth="1"/>
    <col min="5206" max="5206" width="0.5703125" style="221" customWidth="1"/>
    <col min="5207" max="5208" width="2.5703125" style="221" customWidth="1"/>
    <col min="5209" max="5376" width="9.140625" style="221"/>
    <col min="5377" max="5377" width="0.7109375" style="221" customWidth="1"/>
    <col min="5378" max="5378" width="0.42578125" style="221" customWidth="1"/>
    <col min="5379" max="5379" width="0.5703125" style="221" customWidth="1"/>
    <col min="5380" max="5380" width="0.28515625" style="221" customWidth="1"/>
    <col min="5381" max="5381" width="3.7109375" style="221" customWidth="1"/>
    <col min="5382" max="5382" width="1.140625" style="221" customWidth="1"/>
    <col min="5383" max="5387" width="0.7109375" style="221" customWidth="1"/>
    <col min="5388" max="5388" width="0.5703125" style="221" customWidth="1"/>
    <col min="5389" max="5401" width="0.7109375" style="221" customWidth="1"/>
    <col min="5402" max="5402" width="1.42578125" style="221" customWidth="1"/>
    <col min="5403" max="5403" width="0.5703125" style="221" customWidth="1"/>
    <col min="5404" max="5404" width="3.42578125" style="221" customWidth="1"/>
    <col min="5405" max="5405" width="0.5703125" style="221" customWidth="1"/>
    <col min="5406" max="5406" width="0.7109375" style="221" customWidth="1"/>
    <col min="5407" max="5407" width="2.140625" style="221" customWidth="1"/>
    <col min="5408" max="5408" width="0.5703125" style="221" customWidth="1"/>
    <col min="5409" max="5409" width="2.140625" style="221" customWidth="1"/>
    <col min="5410" max="5410" width="0.5703125" style="221" customWidth="1"/>
    <col min="5411" max="5411" width="2.140625" style="221" customWidth="1"/>
    <col min="5412" max="5412" width="0.5703125" style="221" customWidth="1"/>
    <col min="5413" max="5413" width="2.140625" style="221" customWidth="1"/>
    <col min="5414" max="5414" width="0.5703125" style="221" customWidth="1"/>
    <col min="5415" max="5415" width="2.140625" style="221" customWidth="1"/>
    <col min="5416" max="5416" width="0.5703125" style="221" customWidth="1"/>
    <col min="5417" max="5417" width="2.140625" style="221" customWidth="1"/>
    <col min="5418" max="5418" width="0.5703125" style="221" customWidth="1"/>
    <col min="5419" max="5419" width="2.140625" style="221" customWidth="1"/>
    <col min="5420" max="5420" width="0.5703125" style="221" customWidth="1"/>
    <col min="5421" max="5421" width="2.7109375" style="221" customWidth="1"/>
    <col min="5422" max="5422" width="0.5703125" style="221" customWidth="1"/>
    <col min="5423" max="5423" width="2.140625" style="221" customWidth="1"/>
    <col min="5424" max="5424" width="0.5703125" style="221" customWidth="1"/>
    <col min="5425" max="5425" width="2.140625" style="221" customWidth="1"/>
    <col min="5426" max="5426" width="0.5703125" style="221" customWidth="1"/>
    <col min="5427" max="5427" width="2.140625" style="221" customWidth="1"/>
    <col min="5428" max="5429" width="0.5703125" style="221" customWidth="1"/>
    <col min="5430" max="5430" width="2.140625" style="221" customWidth="1"/>
    <col min="5431" max="5431" width="0.5703125" style="221" customWidth="1"/>
    <col min="5432" max="5432" width="2.140625" style="221" customWidth="1"/>
    <col min="5433" max="5433" width="0.5703125" style="221" customWidth="1"/>
    <col min="5434" max="5434" width="2.140625" style="221" customWidth="1"/>
    <col min="5435" max="5435" width="0.5703125" style="221" customWidth="1"/>
    <col min="5436" max="5436" width="2.140625" style="221" customWidth="1"/>
    <col min="5437" max="5437" width="0.5703125" style="221" customWidth="1"/>
    <col min="5438" max="5438" width="2" style="221" customWidth="1"/>
    <col min="5439" max="5440" width="0.5703125" style="221" customWidth="1"/>
    <col min="5441" max="5441" width="2.140625" style="221" customWidth="1"/>
    <col min="5442" max="5442" width="0.5703125" style="221" customWidth="1"/>
    <col min="5443" max="5443" width="2.140625" style="221" customWidth="1"/>
    <col min="5444" max="5444" width="0.5703125" style="221" customWidth="1"/>
    <col min="5445" max="5445" width="2.140625" style="221" customWidth="1"/>
    <col min="5446" max="5446" width="0.5703125" style="221" customWidth="1"/>
    <col min="5447" max="5447" width="2.140625" style="221" customWidth="1"/>
    <col min="5448" max="5448" width="0.5703125" style="221" customWidth="1"/>
    <col min="5449" max="5449" width="2.140625" style="221" customWidth="1"/>
    <col min="5450" max="5450" width="0.5703125" style="221" customWidth="1"/>
    <col min="5451" max="5451" width="2.140625" style="221" customWidth="1"/>
    <col min="5452" max="5452" width="0.5703125" style="221" customWidth="1"/>
    <col min="5453" max="5453" width="2.140625" style="221" customWidth="1"/>
    <col min="5454" max="5454" width="0.5703125" style="221" customWidth="1"/>
    <col min="5455" max="5455" width="2.140625" style="221" customWidth="1"/>
    <col min="5456" max="5456" width="0.5703125" style="221" customWidth="1"/>
    <col min="5457" max="5457" width="2.140625" style="221" customWidth="1"/>
    <col min="5458" max="5458" width="0.5703125" style="221" customWidth="1"/>
    <col min="5459" max="5459" width="2.140625" style="221" customWidth="1"/>
    <col min="5460" max="5460" width="0.5703125" style="221" customWidth="1"/>
    <col min="5461" max="5461" width="2.140625" style="221" customWidth="1"/>
    <col min="5462" max="5462" width="0.5703125" style="221" customWidth="1"/>
    <col min="5463" max="5464" width="2.5703125" style="221" customWidth="1"/>
    <col min="5465" max="5632" width="9.140625" style="221"/>
    <col min="5633" max="5633" width="0.7109375" style="221" customWidth="1"/>
    <col min="5634" max="5634" width="0.42578125" style="221" customWidth="1"/>
    <col min="5635" max="5635" width="0.5703125" style="221" customWidth="1"/>
    <col min="5636" max="5636" width="0.28515625" style="221" customWidth="1"/>
    <col min="5637" max="5637" width="3.7109375" style="221" customWidth="1"/>
    <col min="5638" max="5638" width="1.140625" style="221" customWidth="1"/>
    <col min="5639" max="5643" width="0.7109375" style="221" customWidth="1"/>
    <col min="5644" max="5644" width="0.5703125" style="221" customWidth="1"/>
    <col min="5645" max="5657" width="0.7109375" style="221" customWidth="1"/>
    <col min="5658" max="5658" width="1.42578125" style="221" customWidth="1"/>
    <col min="5659" max="5659" width="0.5703125" style="221" customWidth="1"/>
    <col min="5660" max="5660" width="3.42578125" style="221" customWidth="1"/>
    <col min="5661" max="5661" width="0.5703125" style="221" customWidth="1"/>
    <col min="5662" max="5662" width="0.7109375" style="221" customWidth="1"/>
    <col min="5663" max="5663" width="2.140625" style="221" customWidth="1"/>
    <col min="5664" max="5664" width="0.5703125" style="221" customWidth="1"/>
    <col min="5665" max="5665" width="2.140625" style="221" customWidth="1"/>
    <col min="5666" max="5666" width="0.5703125" style="221" customWidth="1"/>
    <col min="5667" max="5667" width="2.140625" style="221" customWidth="1"/>
    <col min="5668" max="5668" width="0.5703125" style="221" customWidth="1"/>
    <col min="5669" max="5669" width="2.140625" style="221" customWidth="1"/>
    <col min="5670" max="5670" width="0.5703125" style="221" customWidth="1"/>
    <col min="5671" max="5671" width="2.140625" style="221" customWidth="1"/>
    <col min="5672" max="5672" width="0.5703125" style="221" customWidth="1"/>
    <col min="5673" max="5673" width="2.140625" style="221" customWidth="1"/>
    <col min="5674" max="5674" width="0.5703125" style="221" customWidth="1"/>
    <col min="5675" max="5675" width="2.140625" style="221" customWidth="1"/>
    <col min="5676" max="5676" width="0.5703125" style="221" customWidth="1"/>
    <col min="5677" max="5677" width="2.7109375" style="221" customWidth="1"/>
    <col min="5678" max="5678" width="0.5703125" style="221" customWidth="1"/>
    <col min="5679" max="5679" width="2.140625" style="221" customWidth="1"/>
    <col min="5680" max="5680" width="0.5703125" style="221" customWidth="1"/>
    <col min="5681" max="5681" width="2.140625" style="221" customWidth="1"/>
    <col min="5682" max="5682" width="0.5703125" style="221" customWidth="1"/>
    <col min="5683" max="5683" width="2.140625" style="221" customWidth="1"/>
    <col min="5684" max="5685" width="0.5703125" style="221" customWidth="1"/>
    <col min="5686" max="5686" width="2.140625" style="221" customWidth="1"/>
    <col min="5687" max="5687" width="0.5703125" style="221" customWidth="1"/>
    <col min="5688" max="5688" width="2.140625" style="221" customWidth="1"/>
    <col min="5689" max="5689" width="0.5703125" style="221" customWidth="1"/>
    <col min="5690" max="5690" width="2.140625" style="221" customWidth="1"/>
    <col min="5691" max="5691" width="0.5703125" style="221" customWidth="1"/>
    <col min="5692" max="5692" width="2.140625" style="221" customWidth="1"/>
    <col min="5693" max="5693" width="0.5703125" style="221" customWidth="1"/>
    <col min="5694" max="5694" width="2" style="221" customWidth="1"/>
    <col min="5695" max="5696" width="0.5703125" style="221" customWidth="1"/>
    <col min="5697" max="5697" width="2.140625" style="221" customWidth="1"/>
    <col min="5698" max="5698" width="0.5703125" style="221" customWidth="1"/>
    <col min="5699" max="5699" width="2.140625" style="221" customWidth="1"/>
    <col min="5700" max="5700" width="0.5703125" style="221" customWidth="1"/>
    <col min="5701" max="5701" width="2.140625" style="221" customWidth="1"/>
    <col min="5702" max="5702" width="0.5703125" style="221" customWidth="1"/>
    <col min="5703" max="5703" width="2.140625" style="221" customWidth="1"/>
    <col min="5704" max="5704" width="0.5703125" style="221" customWidth="1"/>
    <col min="5705" max="5705" width="2.140625" style="221" customWidth="1"/>
    <col min="5706" max="5706" width="0.5703125" style="221" customWidth="1"/>
    <col min="5707" max="5707" width="2.140625" style="221" customWidth="1"/>
    <col min="5708" max="5708" width="0.5703125" style="221" customWidth="1"/>
    <col min="5709" max="5709" width="2.140625" style="221" customWidth="1"/>
    <col min="5710" max="5710" width="0.5703125" style="221" customWidth="1"/>
    <col min="5711" max="5711" width="2.140625" style="221" customWidth="1"/>
    <col min="5712" max="5712" width="0.5703125" style="221" customWidth="1"/>
    <col min="5713" max="5713" width="2.140625" style="221" customWidth="1"/>
    <col min="5714" max="5714" width="0.5703125" style="221" customWidth="1"/>
    <col min="5715" max="5715" width="2.140625" style="221" customWidth="1"/>
    <col min="5716" max="5716" width="0.5703125" style="221" customWidth="1"/>
    <col min="5717" max="5717" width="2.140625" style="221" customWidth="1"/>
    <col min="5718" max="5718" width="0.5703125" style="221" customWidth="1"/>
    <col min="5719" max="5720" width="2.5703125" style="221" customWidth="1"/>
    <col min="5721" max="5888" width="9.140625" style="221"/>
    <col min="5889" max="5889" width="0.7109375" style="221" customWidth="1"/>
    <col min="5890" max="5890" width="0.42578125" style="221" customWidth="1"/>
    <col min="5891" max="5891" width="0.5703125" style="221" customWidth="1"/>
    <col min="5892" max="5892" width="0.28515625" style="221" customWidth="1"/>
    <col min="5893" max="5893" width="3.7109375" style="221" customWidth="1"/>
    <col min="5894" max="5894" width="1.140625" style="221" customWidth="1"/>
    <col min="5895" max="5899" width="0.7109375" style="221" customWidth="1"/>
    <col min="5900" max="5900" width="0.5703125" style="221" customWidth="1"/>
    <col min="5901" max="5913" width="0.7109375" style="221" customWidth="1"/>
    <col min="5914" max="5914" width="1.42578125" style="221" customWidth="1"/>
    <col min="5915" max="5915" width="0.5703125" style="221" customWidth="1"/>
    <col min="5916" max="5916" width="3.42578125" style="221" customWidth="1"/>
    <col min="5917" max="5917" width="0.5703125" style="221" customWidth="1"/>
    <col min="5918" max="5918" width="0.7109375" style="221" customWidth="1"/>
    <col min="5919" max="5919" width="2.140625" style="221" customWidth="1"/>
    <col min="5920" max="5920" width="0.5703125" style="221" customWidth="1"/>
    <col min="5921" max="5921" width="2.140625" style="221" customWidth="1"/>
    <col min="5922" max="5922" width="0.5703125" style="221" customWidth="1"/>
    <col min="5923" max="5923" width="2.140625" style="221" customWidth="1"/>
    <col min="5924" max="5924" width="0.5703125" style="221" customWidth="1"/>
    <col min="5925" max="5925" width="2.140625" style="221" customWidth="1"/>
    <col min="5926" max="5926" width="0.5703125" style="221" customWidth="1"/>
    <col min="5927" max="5927" width="2.140625" style="221" customWidth="1"/>
    <col min="5928" max="5928" width="0.5703125" style="221" customWidth="1"/>
    <col min="5929" max="5929" width="2.140625" style="221" customWidth="1"/>
    <col min="5930" max="5930" width="0.5703125" style="221" customWidth="1"/>
    <col min="5931" max="5931" width="2.140625" style="221" customWidth="1"/>
    <col min="5932" max="5932" width="0.5703125" style="221" customWidth="1"/>
    <col min="5933" max="5933" width="2.7109375" style="221" customWidth="1"/>
    <col min="5934" max="5934" width="0.5703125" style="221" customWidth="1"/>
    <col min="5935" max="5935" width="2.140625" style="221" customWidth="1"/>
    <col min="5936" max="5936" width="0.5703125" style="221" customWidth="1"/>
    <col min="5937" max="5937" width="2.140625" style="221" customWidth="1"/>
    <col min="5938" max="5938" width="0.5703125" style="221" customWidth="1"/>
    <col min="5939" max="5939" width="2.140625" style="221" customWidth="1"/>
    <col min="5940" max="5941" width="0.5703125" style="221" customWidth="1"/>
    <col min="5942" max="5942" width="2.140625" style="221" customWidth="1"/>
    <col min="5943" max="5943" width="0.5703125" style="221" customWidth="1"/>
    <col min="5944" max="5944" width="2.140625" style="221" customWidth="1"/>
    <col min="5945" max="5945" width="0.5703125" style="221" customWidth="1"/>
    <col min="5946" max="5946" width="2.140625" style="221" customWidth="1"/>
    <col min="5947" max="5947" width="0.5703125" style="221" customWidth="1"/>
    <col min="5948" max="5948" width="2.140625" style="221" customWidth="1"/>
    <col min="5949" max="5949" width="0.5703125" style="221" customWidth="1"/>
    <col min="5950" max="5950" width="2" style="221" customWidth="1"/>
    <col min="5951" max="5952" width="0.5703125" style="221" customWidth="1"/>
    <col min="5953" max="5953" width="2.140625" style="221" customWidth="1"/>
    <col min="5954" max="5954" width="0.5703125" style="221" customWidth="1"/>
    <col min="5955" max="5955" width="2.140625" style="221" customWidth="1"/>
    <col min="5956" max="5956" width="0.5703125" style="221" customWidth="1"/>
    <col min="5957" max="5957" width="2.140625" style="221" customWidth="1"/>
    <col min="5958" max="5958" width="0.5703125" style="221" customWidth="1"/>
    <col min="5959" max="5959" width="2.140625" style="221" customWidth="1"/>
    <col min="5960" max="5960" width="0.5703125" style="221" customWidth="1"/>
    <col min="5961" max="5961" width="2.140625" style="221" customWidth="1"/>
    <col min="5962" max="5962" width="0.5703125" style="221" customWidth="1"/>
    <col min="5963" max="5963" width="2.140625" style="221" customWidth="1"/>
    <col min="5964" max="5964" width="0.5703125" style="221" customWidth="1"/>
    <col min="5965" max="5965" width="2.140625" style="221" customWidth="1"/>
    <col min="5966" max="5966" width="0.5703125" style="221" customWidth="1"/>
    <col min="5967" max="5967" width="2.140625" style="221" customWidth="1"/>
    <col min="5968" max="5968" width="0.5703125" style="221" customWidth="1"/>
    <col min="5969" max="5969" width="2.140625" style="221" customWidth="1"/>
    <col min="5970" max="5970" width="0.5703125" style="221" customWidth="1"/>
    <col min="5971" max="5971" width="2.140625" style="221" customWidth="1"/>
    <col min="5972" max="5972" width="0.5703125" style="221" customWidth="1"/>
    <col min="5973" max="5973" width="2.140625" style="221" customWidth="1"/>
    <col min="5974" max="5974" width="0.5703125" style="221" customWidth="1"/>
    <col min="5975" max="5976" width="2.5703125" style="221" customWidth="1"/>
    <col min="5977" max="6144" width="9.140625" style="221"/>
    <col min="6145" max="6145" width="0.7109375" style="221" customWidth="1"/>
    <col min="6146" max="6146" width="0.42578125" style="221" customWidth="1"/>
    <col min="6147" max="6147" width="0.5703125" style="221" customWidth="1"/>
    <col min="6148" max="6148" width="0.28515625" style="221" customWidth="1"/>
    <col min="6149" max="6149" width="3.7109375" style="221" customWidth="1"/>
    <col min="6150" max="6150" width="1.140625" style="221" customWidth="1"/>
    <col min="6151" max="6155" width="0.7109375" style="221" customWidth="1"/>
    <col min="6156" max="6156" width="0.5703125" style="221" customWidth="1"/>
    <col min="6157" max="6169" width="0.7109375" style="221" customWidth="1"/>
    <col min="6170" max="6170" width="1.42578125" style="221" customWidth="1"/>
    <col min="6171" max="6171" width="0.5703125" style="221" customWidth="1"/>
    <col min="6172" max="6172" width="3.42578125" style="221" customWidth="1"/>
    <col min="6173" max="6173" width="0.5703125" style="221" customWidth="1"/>
    <col min="6174" max="6174" width="0.7109375" style="221" customWidth="1"/>
    <col min="6175" max="6175" width="2.140625" style="221" customWidth="1"/>
    <col min="6176" max="6176" width="0.5703125" style="221" customWidth="1"/>
    <col min="6177" max="6177" width="2.140625" style="221" customWidth="1"/>
    <col min="6178" max="6178" width="0.5703125" style="221" customWidth="1"/>
    <col min="6179" max="6179" width="2.140625" style="221" customWidth="1"/>
    <col min="6180" max="6180" width="0.5703125" style="221" customWidth="1"/>
    <col min="6181" max="6181" width="2.140625" style="221" customWidth="1"/>
    <col min="6182" max="6182" width="0.5703125" style="221" customWidth="1"/>
    <col min="6183" max="6183" width="2.140625" style="221" customWidth="1"/>
    <col min="6184" max="6184" width="0.5703125" style="221" customWidth="1"/>
    <col min="6185" max="6185" width="2.140625" style="221" customWidth="1"/>
    <col min="6186" max="6186" width="0.5703125" style="221" customWidth="1"/>
    <col min="6187" max="6187" width="2.140625" style="221" customWidth="1"/>
    <col min="6188" max="6188" width="0.5703125" style="221" customWidth="1"/>
    <col min="6189" max="6189" width="2.7109375" style="221" customWidth="1"/>
    <col min="6190" max="6190" width="0.5703125" style="221" customWidth="1"/>
    <col min="6191" max="6191" width="2.140625" style="221" customWidth="1"/>
    <col min="6192" max="6192" width="0.5703125" style="221" customWidth="1"/>
    <col min="6193" max="6193" width="2.140625" style="221" customWidth="1"/>
    <col min="6194" max="6194" width="0.5703125" style="221" customWidth="1"/>
    <col min="6195" max="6195" width="2.140625" style="221" customWidth="1"/>
    <col min="6196" max="6197" width="0.5703125" style="221" customWidth="1"/>
    <col min="6198" max="6198" width="2.140625" style="221" customWidth="1"/>
    <col min="6199" max="6199" width="0.5703125" style="221" customWidth="1"/>
    <col min="6200" max="6200" width="2.140625" style="221" customWidth="1"/>
    <col min="6201" max="6201" width="0.5703125" style="221" customWidth="1"/>
    <col min="6202" max="6202" width="2.140625" style="221" customWidth="1"/>
    <col min="6203" max="6203" width="0.5703125" style="221" customWidth="1"/>
    <col min="6204" max="6204" width="2.140625" style="221" customWidth="1"/>
    <col min="6205" max="6205" width="0.5703125" style="221" customWidth="1"/>
    <col min="6206" max="6206" width="2" style="221" customWidth="1"/>
    <col min="6207" max="6208" width="0.5703125" style="221" customWidth="1"/>
    <col min="6209" max="6209" width="2.140625" style="221" customWidth="1"/>
    <col min="6210" max="6210" width="0.5703125" style="221" customWidth="1"/>
    <col min="6211" max="6211" width="2.140625" style="221" customWidth="1"/>
    <col min="6212" max="6212" width="0.5703125" style="221" customWidth="1"/>
    <col min="6213" max="6213" width="2.140625" style="221" customWidth="1"/>
    <col min="6214" max="6214" width="0.5703125" style="221" customWidth="1"/>
    <col min="6215" max="6215" width="2.140625" style="221" customWidth="1"/>
    <col min="6216" max="6216" width="0.5703125" style="221" customWidth="1"/>
    <col min="6217" max="6217" width="2.140625" style="221" customWidth="1"/>
    <col min="6218" max="6218" width="0.5703125" style="221" customWidth="1"/>
    <col min="6219" max="6219" width="2.140625" style="221" customWidth="1"/>
    <col min="6220" max="6220" width="0.5703125" style="221" customWidth="1"/>
    <col min="6221" max="6221" width="2.140625" style="221" customWidth="1"/>
    <col min="6222" max="6222" width="0.5703125" style="221" customWidth="1"/>
    <col min="6223" max="6223" width="2.140625" style="221" customWidth="1"/>
    <col min="6224" max="6224" width="0.5703125" style="221" customWidth="1"/>
    <col min="6225" max="6225" width="2.140625" style="221" customWidth="1"/>
    <col min="6226" max="6226" width="0.5703125" style="221" customWidth="1"/>
    <col min="6227" max="6227" width="2.140625" style="221" customWidth="1"/>
    <col min="6228" max="6228" width="0.5703125" style="221" customWidth="1"/>
    <col min="6229" max="6229" width="2.140625" style="221" customWidth="1"/>
    <col min="6230" max="6230" width="0.5703125" style="221" customWidth="1"/>
    <col min="6231" max="6232" width="2.5703125" style="221" customWidth="1"/>
    <col min="6233" max="6400" width="9.140625" style="221"/>
    <col min="6401" max="6401" width="0.7109375" style="221" customWidth="1"/>
    <col min="6402" max="6402" width="0.42578125" style="221" customWidth="1"/>
    <col min="6403" max="6403" width="0.5703125" style="221" customWidth="1"/>
    <col min="6404" max="6404" width="0.28515625" style="221" customWidth="1"/>
    <col min="6405" max="6405" width="3.7109375" style="221" customWidth="1"/>
    <col min="6406" max="6406" width="1.140625" style="221" customWidth="1"/>
    <col min="6407" max="6411" width="0.7109375" style="221" customWidth="1"/>
    <col min="6412" max="6412" width="0.5703125" style="221" customWidth="1"/>
    <col min="6413" max="6425" width="0.7109375" style="221" customWidth="1"/>
    <col min="6426" max="6426" width="1.42578125" style="221" customWidth="1"/>
    <col min="6427" max="6427" width="0.5703125" style="221" customWidth="1"/>
    <col min="6428" max="6428" width="3.42578125" style="221" customWidth="1"/>
    <col min="6429" max="6429" width="0.5703125" style="221" customWidth="1"/>
    <col min="6430" max="6430" width="0.7109375" style="221" customWidth="1"/>
    <col min="6431" max="6431" width="2.140625" style="221" customWidth="1"/>
    <col min="6432" max="6432" width="0.5703125" style="221" customWidth="1"/>
    <col min="6433" max="6433" width="2.140625" style="221" customWidth="1"/>
    <col min="6434" max="6434" width="0.5703125" style="221" customWidth="1"/>
    <col min="6435" max="6435" width="2.140625" style="221" customWidth="1"/>
    <col min="6436" max="6436" width="0.5703125" style="221" customWidth="1"/>
    <col min="6437" max="6437" width="2.140625" style="221" customWidth="1"/>
    <col min="6438" max="6438" width="0.5703125" style="221" customWidth="1"/>
    <col min="6439" max="6439" width="2.140625" style="221" customWidth="1"/>
    <col min="6440" max="6440" width="0.5703125" style="221" customWidth="1"/>
    <col min="6441" max="6441" width="2.140625" style="221" customWidth="1"/>
    <col min="6442" max="6442" width="0.5703125" style="221" customWidth="1"/>
    <col min="6443" max="6443" width="2.140625" style="221" customWidth="1"/>
    <col min="6444" max="6444" width="0.5703125" style="221" customWidth="1"/>
    <col min="6445" max="6445" width="2.7109375" style="221" customWidth="1"/>
    <col min="6446" max="6446" width="0.5703125" style="221" customWidth="1"/>
    <col min="6447" max="6447" width="2.140625" style="221" customWidth="1"/>
    <col min="6448" max="6448" width="0.5703125" style="221" customWidth="1"/>
    <col min="6449" max="6449" width="2.140625" style="221" customWidth="1"/>
    <col min="6450" max="6450" width="0.5703125" style="221" customWidth="1"/>
    <col min="6451" max="6451" width="2.140625" style="221" customWidth="1"/>
    <col min="6452" max="6453" width="0.5703125" style="221" customWidth="1"/>
    <col min="6454" max="6454" width="2.140625" style="221" customWidth="1"/>
    <col min="6455" max="6455" width="0.5703125" style="221" customWidth="1"/>
    <col min="6456" max="6456" width="2.140625" style="221" customWidth="1"/>
    <col min="6457" max="6457" width="0.5703125" style="221" customWidth="1"/>
    <col min="6458" max="6458" width="2.140625" style="221" customWidth="1"/>
    <col min="6459" max="6459" width="0.5703125" style="221" customWidth="1"/>
    <col min="6460" max="6460" width="2.140625" style="221" customWidth="1"/>
    <col min="6461" max="6461" width="0.5703125" style="221" customWidth="1"/>
    <col min="6462" max="6462" width="2" style="221" customWidth="1"/>
    <col min="6463" max="6464" width="0.5703125" style="221" customWidth="1"/>
    <col min="6465" max="6465" width="2.140625" style="221" customWidth="1"/>
    <col min="6466" max="6466" width="0.5703125" style="221" customWidth="1"/>
    <col min="6467" max="6467" width="2.140625" style="221" customWidth="1"/>
    <col min="6468" max="6468" width="0.5703125" style="221" customWidth="1"/>
    <col min="6469" max="6469" width="2.140625" style="221" customWidth="1"/>
    <col min="6470" max="6470" width="0.5703125" style="221" customWidth="1"/>
    <col min="6471" max="6471" width="2.140625" style="221" customWidth="1"/>
    <col min="6472" max="6472" width="0.5703125" style="221" customWidth="1"/>
    <col min="6473" max="6473" width="2.140625" style="221" customWidth="1"/>
    <col min="6474" max="6474" width="0.5703125" style="221" customWidth="1"/>
    <col min="6475" max="6475" width="2.140625" style="221" customWidth="1"/>
    <col min="6476" max="6476" width="0.5703125" style="221" customWidth="1"/>
    <col min="6477" max="6477" width="2.140625" style="221" customWidth="1"/>
    <col min="6478" max="6478" width="0.5703125" style="221" customWidth="1"/>
    <col min="6479" max="6479" width="2.140625" style="221" customWidth="1"/>
    <col min="6480" max="6480" width="0.5703125" style="221" customWidth="1"/>
    <col min="6481" max="6481" width="2.140625" style="221" customWidth="1"/>
    <col min="6482" max="6482" width="0.5703125" style="221" customWidth="1"/>
    <col min="6483" max="6483" width="2.140625" style="221" customWidth="1"/>
    <col min="6484" max="6484" width="0.5703125" style="221" customWidth="1"/>
    <col min="6485" max="6485" width="2.140625" style="221" customWidth="1"/>
    <col min="6486" max="6486" width="0.5703125" style="221" customWidth="1"/>
    <col min="6487" max="6488" width="2.5703125" style="221" customWidth="1"/>
    <col min="6489" max="6656" width="9.140625" style="221"/>
    <col min="6657" max="6657" width="0.7109375" style="221" customWidth="1"/>
    <col min="6658" max="6658" width="0.42578125" style="221" customWidth="1"/>
    <col min="6659" max="6659" width="0.5703125" style="221" customWidth="1"/>
    <col min="6660" max="6660" width="0.28515625" style="221" customWidth="1"/>
    <col min="6661" max="6661" width="3.7109375" style="221" customWidth="1"/>
    <col min="6662" max="6662" width="1.140625" style="221" customWidth="1"/>
    <col min="6663" max="6667" width="0.7109375" style="221" customWidth="1"/>
    <col min="6668" max="6668" width="0.5703125" style="221" customWidth="1"/>
    <col min="6669" max="6681" width="0.7109375" style="221" customWidth="1"/>
    <col min="6682" max="6682" width="1.42578125" style="221" customWidth="1"/>
    <col min="6683" max="6683" width="0.5703125" style="221" customWidth="1"/>
    <col min="6684" max="6684" width="3.42578125" style="221" customWidth="1"/>
    <col min="6685" max="6685" width="0.5703125" style="221" customWidth="1"/>
    <col min="6686" max="6686" width="0.7109375" style="221" customWidth="1"/>
    <col min="6687" max="6687" width="2.140625" style="221" customWidth="1"/>
    <col min="6688" max="6688" width="0.5703125" style="221" customWidth="1"/>
    <col min="6689" max="6689" width="2.140625" style="221" customWidth="1"/>
    <col min="6690" max="6690" width="0.5703125" style="221" customWidth="1"/>
    <col min="6691" max="6691" width="2.140625" style="221" customWidth="1"/>
    <col min="6692" max="6692" width="0.5703125" style="221" customWidth="1"/>
    <col min="6693" max="6693" width="2.140625" style="221" customWidth="1"/>
    <col min="6694" max="6694" width="0.5703125" style="221" customWidth="1"/>
    <col min="6695" max="6695" width="2.140625" style="221" customWidth="1"/>
    <col min="6696" max="6696" width="0.5703125" style="221" customWidth="1"/>
    <col min="6697" max="6697" width="2.140625" style="221" customWidth="1"/>
    <col min="6698" max="6698" width="0.5703125" style="221" customWidth="1"/>
    <col min="6699" max="6699" width="2.140625" style="221" customWidth="1"/>
    <col min="6700" max="6700" width="0.5703125" style="221" customWidth="1"/>
    <col min="6701" max="6701" width="2.7109375" style="221" customWidth="1"/>
    <col min="6702" max="6702" width="0.5703125" style="221" customWidth="1"/>
    <col min="6703" max="6703" width="2.140625" style="221" customWidth="1"/>
    <col min="6704" max="6704" width="0.5703125" style="221" customWidth="1"/>
    <col min="6705" max="6705" width="2.140625" style="221" customWidth="1"/>
    <col min="6706" max="6706" width="0.5703125" style="221" customWidth="1"/>
    <col min="6707" max="6707" width="2.140625" style="221" customWidth="1"/>
    <col min="6708" max="6709" width="0.5703125" style="221" customWidth="1"/>
    <col min="6710" max="6710" width="2.140625" style="221" customWidth="1"/>
    <col min="6711" max="6711" width="0.5703125" style="221" customWidth="1"/>
    <col min="6712" max="6712" width="2.140625" style="221" customWidth="1"/>
    <col min="6713" max="6713" width="0.5703125" style="221" customWidth="1"/>
    <col min="6714" max="6714" width="2.140625" style="221" customWidth="1"/>
    <col min="6715" max="6715" width="0.5703125" style="221" customWidth="1"/>
    <col min="6716" max="6716" width="2.140625" style="221" customWidth="1"/>
    <col min="6717" max="6717" width="0.5703125" style="221" customWidth="1"/>
    <col min="6718" max="6718" width="2" style="221" customWidth="1"/>
    <col min="6719" max="6720" width="0.5703125" style="221" customWidth="1"/>
    <col min="6721" max="6721" width="2.140625" style="221" customWidth="1"/>
    <col min="6722" max="6722" width="0.5703125" style="221" customWidth="1"/>
    <col min="6723" max="6723" width="2.140625" style="221" customWidth="1"/>
    <col min="6724" max="6724" width="0.5703125" style="221" customWidth="1"/>
    <col min="6725" max="6725" width="2.140625" style="221" customWidth="1"/>
    <col min="6726" max="6726" width="0.5703125" style="221" customWidth="1"/>
    <col min="6727" max="6727" width="2.140625" style="221" customWidth="1"/>
    <col min="6728" max="6728" width="0.5703125" style="221" customWidth="1"/>
    <col min="6729" max="6729" width="2.140625" style="221" customWidth="1"/>
    <col min="6730" max="6730" width="0.5703125" style="221" customWidth="1"/>
    <col min="6731" max="6731" width="2.140625" style="221" customWidth="1"/>
    <col min="6732" max="6732" width="0.5703125" style="221" customWidth="1"/>
    <col min="6733" max="6733" width="2.140625" style="221" customWidth="1"/>
    <col min="6734" max="6734" width="0.5703125" style="221" customWidth="1"/>
    <col min="6735" max="6735" width="2.140625" style="221" customWidth="1"/>
    <col min="6736" max="6736" width="0.5703125" style="221" customWidth="1"/>
    <col min="6737" max="6737" width="2.140625" style="221" customWidth="1"/>
    <col min="6738" max="6738" width="0.5703125" style="221" customWidth="1"/>
    <col min="6739" max="6739" width="2.140625" style="221" customWidth="1"/>
    <col min="6740" max="6740" width="0.5703125" style="221" customWidth="1"/>
    <col min="6741" max="6741" width="2.140625" style="221" customWidth="1"/>
    <col min="6742" max="6742" width="0.5703125" style="221" customWidth="1"/>
    <col min="6743" max="6744" width="2.5703125" style="221" customWidth="1"/>
    <col min="6745" max="6912" width="9.140625" style="221"/>
    <col min="6913" max="6913" width="0.7109375" style="221" customWidth="1"/>
    <col min="6914" max="6914" width="0.42578125" style="221" customWidth="1"/>
    <col min="6915" max="6915" width="0.5703125" style="221" customWidth="1"/>
    <col min="6916" max="6916" width="0.28515625" style="221" customWidth="1"/>
    <col min="6917" max="6917" width="3.7109375" style="221" customWidth="1"/>
    <col min="6918" max="6918" width="1.140625" style="221" customWidth="1"/>
    <col min="6919" max="6923" width="0.7109375" style="221" customWidth="1"/>
    <col min="6924" max="6924" width="0.5703125" style="221" customWidth="1"/>
    <col min="6925" max="6937" width="0.7109375" style="221" customWidth="1"/>
    <col min="6938" max="6938" width="1.42578125" style="221" customWidth="1"/>
    <col min="6939" max="6939" width="0.5703125" style="221" customWidth="1"/>
    <col min="6940" max="6940" width="3.42578125" style="221" customWidth="1"/>
    <col min="6941" max="6941" width="0.5703125" style="221" customWidth="1"/>
    <col min="6942" max="6942" width="0.7109375" style="221" customWidth="1"/>
    <col min="6943" max="6943" width="2.140625" style="221" customWidth="1"/>
    <col min="6944" max="6944" width="0.5703125" style="221" customWidth="1"/>
    <col min="6945" max="6945" width="2.140625" style="221" customWidth="1"/>
    <col min="6946" max="6946" width="0.5703125" style="221" customWidth="1"/>
    <col min="6947" max="6947" width="2.140625" style="221" customWidth="1"/>
    <col min="6948" max="6948" width="0.5703125" style="221" customWidth="1"/>
    <col min="6949" max="6949" width="2.140625" style="221" customWidth="1"/>
    <col min="6950" max="6950" width="0.5703125" style="221" customWidth="1"/>
    <col min="6951" max="6951" width="2.140625" style="221" customWidth="1"/>
    <col min="6952" max="6952" width="0.5703125" style="221" customWidth="1"/>
    <col min="6953" max="6953" width="2.140625" style="221" customWidth="1"/>
    <col min="6954" max="6954" width="0.5703125" style="221" customWidth="1"/>
    <col min="6955" max="6955" width="2.140625" style="221" customWidth="1"/>
    <col min="6956" max="6956" width="0.5703125" style="221" customWidth="1"/>
    <col min="6957" max="6957" width="2.7109375" style="221" customWidth="1"/>
    <col min="6958" max="6958" width="0.5703125" style="221" customWidth="1"/>
    <col min="6959" max="6959" width="2.140625" style="221" customWidth="1"/>
    <col min="6960" max="6960" width="0.5703125" style="221" customWidth="1"/>
    <col min="6961" max="6961" width="2.140625" style="221" customWidth="1"/>
    <col min="6962" max="6962" width="0.5703125" style="221" customWidth="1"/>
    <col min="6963" max="6963" width="2.140625" style="221" customWidth="1"/>
    <col min="6964" max="6965" width="0.5703125" style="221" customWidth="1"/>
    <col min="6966" max="6966" width="2.140625" style="221" customWidth="1"/>
    <col min="6967" max="6967" width="0.5703125" style="221" customWidth="1"/>
    <col min="6968" max="6968" width="2.140625" style="221" customWidth="1"/>
    <col min="6969" max="6969" width="0.5703125" style="221" customWidth="1"/>
    <col min="6970" max="6970" width="2.140625" style="221" customWidth="1"/>
    <col min="6971" max="6971" width="0.5703125" style="221" customWidth="1"/>
    <col min="6972" max="6972" width="2.140625" style="221" customWidth="1"/>
    <col min="6973" max="6973" width="0.5703125" style="221" customWidth="1"/>
    <col min="6974" max="6974" width="2" style="221" customWidth="1"/>
    <col min="6975" max="6976" width="0.5703125" style="221" customWidth="1"/>
    <col min="6977" max="6977" width="2.140625" style="221" customWidth="1"/>
    <col min="6978" max="6978" width="0.5703125" style="221" customWidth="1"/>
    <col min="6979" max="6979" width="2.140625" style="221" customWidth="1"/>
    <col min="6980" max="6980" width="0.5703125" style="221" customWidth="1"/>
    <col min="6981" max="6981" width="2.140625" style="221" customWidth="1"/>
    <col min="6982" max="6982" width="0.5703125" style="221" customWidth="1"/>
    <col min="6983" max="6983" width="2.140625" style="221" customWidth="1"/>
    <col min="6984" max="6984" width="0.5703125" style="221" customWidth="1"/>
    <col min="6985" max="6985" width="2.140625" style="221" customWidth="1"/>
    <col min="6986" max="6986" width="0.5703125" style="221" customWidth="1"/>
    <col min="6987" max="6987" width="2.140625" style="221" customWidth="1"/>
    <col min="6988" max="6988" width="0.5703125" style="221" customWidth="1"/>
    <col min="6989" max="6989" width="2.140625" style="221" customWidth="1"/>
    <col min="6990" max="6990" width="0.5703125" style="221" customWidth="1"/>
    <col min="6991" max="6991" width="2.140625" style="221" customWidth="1"/>
    <col min="6992" max="6992" width="0.5703125" style="221" customWidth="1"/>
    <col min="6993" max="6993" width="2.140625" style="221" customWidth="1"/>
    <col min="6994" max="6994" width="0.5703125" style="221" customWidth="1"/>
    <col min="6995" max="6995" width="2.140625" style="221" customWidth="1"/>
    <col min="6996" max="6996" width="0.5703125" style="221" customWidth="1"/>
    <col min="6997" max="6997" width="2.140625" style="221" customWidth="1"/>
    <col min="6998" max="6998" width="0.5703125" style="221" customWidth="1"/>
    <col min="6999" max="7000" width="2.5703125" style="221" customWidth="1"/>
    <col min="7001" max="7168" width="9.140625" style="221"/>
    <col min="7169" max="7169" width="0.7109375" style="221" customWidth="1"/>
    <col min="7170" max="7170" width="0.42578125" style="221" customWidth="1"/>
    <col min="7171" max="7171" width="0.5703125" style="221" customWidth="1"/>
    <col min="7172" max="7172" width="0.28515625" style="221" customWidth="1"/>
    <col min="7173" max="7173" width="3.7109375" style="221" customWidth="1"/>
    <col min="7174" max="7174" width="1.140625" style="221" customWidth="1"/>
    <col min="7175" max="7179" width="0.7109375" style="221" customWidth="1"/>
    <col min="7180" max="7180" width="0.5703125" style="221" customWidth="1"/>
    <col min="7181" max="7193" width="0.7109375" style="221" customWidth="1"/>
    <col min="7194" max="7194" width="1.42578125" style="221" customWidth="1"/>
    <col min="7195" max="7195" width="0.5703125" style="221" customWidth="1"/>
    <col min="7196" max="7196" width="3.42578125" style="221" customWidth="1"/>
    <col min="7197" max="7197" width="0.5703125" style="221" customWidth="1"/>
    <col min="7198" max="7198" width="0.7109375" style="221" customWidth="1"/>
    <col min="7199" max="7199" width="2.140625" style="221" customWidth="1"/>
    <col min="7200" max="7200" width="0.5703125" style="221" customWidth="1"/>
    <col min="7201" max="7201" width="2.140625" style="221" customWidth="1"/>
    <col min="7202" max="7202" width="0.5703125" style="221" customWidth="1"/>
    <col min="7203" max="7203" width="2.140625" style="221" customWidth="1"/>
    <col min="7204" max="7204" width="0.5703125" style="221" customWidth="1"/>
    <col min="7205" max="7205" width="2.140625" style="221" customWidth="1"/>
    <col min="7206" max="7206" width="0.5703125" style="221" customWidth="1"/>
    <col min="7207" max="7207" width="2.140625" style="221" customWidth="1"/>
    <col min="7208" max="7208" width="0.5703125" style="221" customWidth="1"/>
    <col min="7209" max="7209" width="2.140625" style="221" customWidth="1"/>
    <col min="7210" max="7210" width="0.5703125" style="221" customWidth="1"/>
    <col min="7211" max="7211" width="2.140625" style="221" customWidth="1"/>
    <col min="7212" max="7212" width="0.5703125" style="221" customWidth="1"/>
    <col min="7213" max="7213" width="2.7109375" style="221" customWidth="1"/>
    <col min="7214" max="7214" width="0.5703125" style="221" customWidth="1"/>
    <col min="7215" max="7215" width="2.140625" style="221" customWidth="1"/>
    <col min="7216" max="7216" width="0.5703125" style="221" customWidth="1"/>
    <col min="7217" max="7217" width="2.140625" style="221" customWidth="1"/>
    <col min="7218" max="7218" width="0.5703125" style="221" customWidth="1"/>
    <col min="7219" max="7219" width="2.140625" style="221" customWidth="1"/>
    <col min="7220" max="7221" width="0.5703125" style="221" customWidth="1"/>
    <col min="7222" max="7222" width="2.140625" style="221" customWidth="1"/>
    <col min="7223" max="7223" width="0.5703125" style="221" customWidth="1"/>
    <col min="7224" max="7224" width="2.140625" style="221" customWidth="1"/>
    <col min="7225" max="7225" width="0.5703125" style="221" customWidth="1"/>
    <col min="7226" max="7226" width="2.140625" style="221" customWidth="1"/>
    <col min="7227" max="7227" width="0.5703125" style="221" customWidth="1"/>
    <col min="7228" max="7228" width="2.140625" style="221" customWidth="1"/>
    <col min="7229" max="7229" width="0.5703125" style="221" customWidth="1"/>
    <col min="7230" max="7230" width="2" style="221" customWidth="1"/>
    <col min="7231" max="7232" width="0.5703125" style="221" customWidth="1"/>
    <col min="7233" max="7233" width="2.140625" style="221" customWidth="1"/>
    <col min="7234" max="7234" width="0.5703125" style="221" customWidth="1"/>
    <col min="7235" max="7235" width="2.140625" style="221" customWidth="1"/>
    <col min="7236" max="7236" width="0.5703125" style="221" customWidth="1"/>
    <col min="7237" max="7237" width="2.140625" style="221" customWidth="1"/>
    <col min="7238" max="7238" width="0.5703125" style="221" customWidth="1"/>
    <col min="7239" max="7239" width="2.140625" style="221" customWidth="1"/>
    <col min="7240" max="7240" width="0.5703125" style="221" customWidth="1"/>
    <col min="7241" max="7241" width="2.140625" style="221" customWidth="1"/>
    <col min="7242" max="7242" width="0.5703125" style="221" customWidth="1"/>
    <col min="7243" max="7243" width="2.140625" style="221" customWidth="1"/>
    <col min="7244" max="7244" width="0.5703125" style="221" customWidth="1"/>
    <col min="7245" max="7245" width="2.140625" style="221" customWidth="1"/>
    <col min="7246" max="7246" width="0.5703125" style="221" customWidth="1"/>
    <col min="7247" max="7247" width="2.140625" style="221" customWidth="1"/>
    <col min="7248" max="7248" width="0.5703125" style="221" customWidth="1"/>
    <col min="7249" max="7249" width="2.140625" style="221" customWidth="1"/>
    <col min="7250" max="7250" width="0.5703125" style="221" customWidth="1"/>
    <col min="7251" max="7251" width="2.140625" style="221" customWidth="1"/>
    <col min="7252" max="7252" width="0.5703125" style="221" customWidth="1"/>
    <col min="7253" max="7253" width="2.140625" style="221" customWidth="1"/>
    <col min="7254" max="7254" width="0.5703125" style="221" customWidth="1"/>
    <col min="7255" max="7256" width="2.5703125" style="221" customWidth="1"/>
    <col min="7257" max="7424" width="9.140625" style="221"/>
    <col min="7425" max="7425" width="0.7109375" style="221" customWidth="1"/>
    <col min="7426" max="7426" width="0.42578125" style="221" customWidth="1"/>
    <col min="7427" max="7427" width="0.5703125" style="221" customWidth="1"/>
    <col min="7428" max="7428" width="0.28515625" style="221" customWidth="1"/>
    <col min="7429" max="7429" width="3.7109375" style="221" customWidth="1"/>
    <col min="7430" max="7430" width="1.140625" style="221" customWidth="1"/>
    <col min="7431" max="7435" width="0.7109375" style="221" customWidth="1"/>
    <col min="7436" max="7436" width="0.5703125" style="221" customWidth="1"/>
    <col min="7437" max="7449" width="0.7109375" style="221" customWidth="1"/>
    <col min="7450" max="7450" width="1.42578125" style="221" customWidth="1"/>
    <col min="7451" max="7451" width="0.5703125" style="221" customWidth="1"/>
    <col min="7452" max="7452" width="3.42578125" style="221" customWidth="1"/>
    <col min="7453" max="7453" width="0.5703125" style="221" customWidth="1"/>
    <col min="7454" max="7454" width="0.7109375" style="221" customWidth="1"/>
    <col min="7455" max="7455" width="2.140625" style="221" customWidth="1"/>
    <col min="7456" max="7456" width="0.5703125" style="221" customWidth="1"/>
    <col min="7457" max="7457" width="2.140625" style="221" customWidth="1"/>
    <col min="7458" max="7458" width="0.5703125" style="221" customWidth="1"/>
    <col min="7459" max="7459" width="2.140625" style="221" customWidth="1"/>
    <col min="7460" max="7460" width="0.5703125" style="221" customWidth="1"/>
    <col min="7461" max="7461" width="2.140625" style="221" customWidth="1"/>
    <col min="7462" max="7462" width="0.5703125" style="221" customWidth="1"/>
    <col min="7463" max="7463" width="2.140625" style="221" customWidth="1"/>
    <col min="7464" max="7464" width="0.5703125" style="221" customWidth="1"/>
    <col min="7465" max="7465" width="2.140625" style="221" customWidth="1"/>
    <col min="7466" max="7466" width="0.5703125" style="221" customWidth="1"/>
    <col min="7467" max="7467" width="2.140625" style="221" customWidth="1"/>
    <col min="7468" max="7468" width="0.5703125" style="221" customWidth="1"/>
    <col min="7469" max="7469" width="2.7109375" style="221" customWidth="1"/>
    <col min="7470" max="7470" width="0.5703125" style="221" customWidth="1"/>
    <col min="7471" max="7471" width="2.140625" style="221" customWidth="1"/>
    <col min="7472" max="7472" width="0.5703125" style="221" customWidth="1"/>
    <col min="7473" max="7473" width="2.140625" style="221" customWidth="1"/>
    <col min="7474" max="7474" width="0.5703125" style="221" customWidth="1"/>
    <col min="7475" max="7475" width="2.140625" style="221" customWidth="1"/>
    <col min="7476" max="7477" width="0.5703125" style="221" customWidth="1"/>
    <col min="7478" max="7478" width="2.140625" style="221" customWidth="1"/>
    <col min="7479" max="7479" width="0.5703125" style="221" customWidth="1"/>
    <col min="7480" max="7480" width="2.140625" style="221" customWidth="1"/>
    <col min="7481" max="7481" width="0.5703125" style="221" customWidth="1"/>
    <col min="7482" max="7482" width="2.140625" style="221" customWidth="1"/>
    <col min="7483" max="7483" width="0.5703125" style="221" customWidth="1"/>
    <col min="7484" max="7484" width="2.140625" style="221" customWidth="1"/>
    <col min="7485" max="7485" width="0.5703125" style="221" customWidth="1"/>
    <col min="7486" max="7486" width="2" style="221" customWidth="1"/>
    <col min="7487" max="7488" width="0.5703125" style="221" customWidth="1"/>
    <col min="7489" max="7489" width="2.140625" style="221" customWidth="1"/>
    <col min="7490" max="7490" width="0.5703125" style="221" customWidth="1"/>
    <col min="7491" max="7491" width="2.140625" style="221" customWidth="1"/>
    <col min="7492" max="7492" width="0.5703125" style="221" customWidth="1"/>
    <col min="7493" max="7493" width="2.140625" style="221" customWidth="1"/>
    <col min="7494" max="7494" width="0.5703125" style="221" customWidth="1"/>
    <col min="7495" max="7495" width="2.140625" style="221" customWidth="1"/>
    <col min="7496" max="7496" width="0.5703125" style="221" customWidth="1"/>
    <col min="7497" max="7497" width="2.140625" style="221" customWidth="1"/>
    <col min="7498" max="7498" width="0.5703125" style="221" customWidth="1"/>
    <col min="7499" max="7499" width="2.140625" style="221" customWidth="1"/>
    <col min="7500" max="7500" width="0.5703125" style="221" customWidth="1"/>
    <col min="7501" max="7501" width="2.140625" style="221" customWidth="1"/>
    <col min="7502" max="7502" width="0.5703125" style="221" customWidth="1"/>
    <col min="7503" max="7503" width="2.140625" style="221" customWidth="1"/>
    <col min="7504" max="7504" width="0.5703125" style="221" customWidth="1"/>
    <col min="7505" max="7505" width="2.140625" style="221" customWidth="1"/>
    <col min="7506" max="7506" width="0.5703125" style="221" customWidth="1"/>
    <col min="7507" max="7507" width="2.140625" style="221" customWidth="1"/>
    <col min="7508" max="7508" width="0.5703125" style="221" customWidth="1"/>
    <col min="7509" max="7509" width="2.140625" style="221" customWidth="1"/>
    <col min="7510" max="7510" width="0.5703125" style="221" customWidth="1"/>
    <col min="7511" max="7512" width="2.5703125" style="221" customWidth="1"/>
    <col min="7513" max="7680" width="9.140625" style="221"/>
    <col min="7681" max="7681" width="0.7109375" style="221" customWidth="1"/>
    <col min="7682" max="7682" width="0.42578125" style="221" customWidth="1"/>
    <col min="7683" max="7683" width="0.5703125" style="221" customWidth="1"/>
    <col min="7684" max="7684" width="0.28515625" style="221" customWidth="1"/>
    <col min="7685" max="7685" width="3.7109375" style="221" customWidth="1"/>
    <col min="7686" max="7686" width="1.140625" style="221" customWidth="1"/>
    <col min="7687" max="7691" width="0.7109375" style="221" customWidth="1"/>
    <col min="7692" max="7692" width="0.5703125" style="221" customWidth="1"/>
    <col min="7693" max="7705" width="0.7109375" style="221" customWidth="1"/>
    <col min="7706" max="7706" width="1.42578125" style="221" customWidth="1"/>
    <col min="7707" max="7707" width="0.5703125" style="221" customWidth="1"/>
    <col min="7708" max="7708" width="3.42578125" style="221" customWidth="1"/>
    <col min="7709" max="7709" width="0.5703125" style="221" customWidth="1"/>
    <col min="7710" max="7710" width="0.7109375" style="221" customWidth="1"/>
    <col min="7711" max="7711" width="2.140625" style="221" customWidth="1"/>
    <col min="7712" max="7712" width="0.5703125" style="221" customWidth="1"/>
    <col min="7713" max="7713" width="2.140625" style="221" customWidth="1"/>
    <col min="7714" max="7714" width="0.5703125" style="221" customWidth="1"/>
    <col min="7715" max="7715" width="2.140625" style="221" customWidth="1"/>
    <col min="7716" max="7716" width="0.5703125" style="221" customWidth="1"/>
    <col min="7717" max="7717" width="2.140625" style="221" customWidth="1"/>
    <col min="7718" max="7718" width="0.5703125" style="221" customWidth="1"/>
    <col min="7719" max="7719" width="2.140625" style="221" customWidth="1"/>
    <col min="7720" max="7720" width="0.5703125" style="221" customWidth="1"/>
    <col min="7721" max="7721" width="2.140625" style="221" customWidth="1"/>
    <col min="7722" max="7722" width="0.5703125" style="221" customWidth="1"/>
    <col min="7723" max="7723" width="2.140625" style="221" customWidth="1"/>
    <col min="7724" max="7724" width="0.5703125" style="221" customWidth="1"/>
    <col min="7725" max="7725" width="2.7109375" style="221" customWidth="1"/>
    <col min="7726" max="7726" width="0.5703125" style="221" customWidth="1"/>
    <col min="7727" max="7727" width="2.140625" style="221" customWidth="1"/>
    <col min="7728" max="7728" width="0.5703125" style="221" customWidth="1"/>
    <col min="7729" max="7729" width="2.140625" style="221" customWidth="1"/>
    <col min="7730" max="7730" width="0.5703125" style="221" customWidth="1"/>
    <col min="7731" max="7731" width="2.140625" style="221" customWidth="1"/>
    <col min="7732" max="7733" width="0.5703125" style="221" customWidth="1"/>
    <col min="7734" max="7734" width="2.140625" style="221" customWidth="1"/>
    <col min="7735" max="7735" width="0.5703125" style="221" customWidth="1"/>
    <col min="7736" max="7736" width="2.140625" style="221" customWidth="1"/>
    <col min="7737" max="7737" width="0.5703125" style="221" customWidth="1"/>
    <col min="7738" max="7738" width="2.140625" style="221" customWidth="1"/>
    <col min="7739" max="7739" width="0.5703125" style="221" customWidth="1"/>
    <col min="7740" max="7740" width="2.140625" style="221" customWidth="1"/>
    <col min="7741" max="7741" width="0.5703125" style="221" customWidth="1"/>
    <col min="7742" max="7742" width="2" style="221" customWidth="1"/>
    <col min="7743" max="7744" width="0.5703125" style="221" customWidth="1"/>
    <col min="7745" max="7745" width="2.140625" style="221" customWidth="1"/>
    <col min="7746" max="7746" width="0.5703125" style="221" customWidth="1"/>
    <col min="7747" max="7747" width="2.140625" style="221" customWidth="1"/>
    <col min="7748" max="7748" width="0.5703125" style="221" customWidth="1"/>
    <col min="7749" max="7749" width="2.140625" style="221" customWidth="1"/>
    <col min="7750" max="7750" width="0.5703125" style="221" customWidth="1"/>
    <col min="7751" max="7751" width="2.140625" style="221" customWidth="1"/>
    <col min="7752" max="7752" width="0.5703125" style="221" customWidth="1"/>
    <col min="7753" max="7753" width="2.140625" style="221" customWidth="1"/>
    <col min="7754" max="7754" width="0.5703125" style="221" customWidth="1"/>
    <col min="7755" max="7755" width="2.140625" style="221" customWidth="1"/>
    <col min="7756" max="7756" width="0.5703125" style="221" customWidth="1"/>
    <col min="7757" max="7757" width="2.140625" style="221" customWidth="1"/>
    <col min="7758" max="7758" width="0.5703125" style="221" customWidth="1"/>
    <col min="7759" max="7759" width="2.140625" style="221" customWidth="1"/>
    <col min="7760" max="7760" width="0.5703125" style="221" customWidth="1"/>
    <col min="7761" max="7761" width="2.140625" style="221" customWidth="1"/>
    <col min="7762" max="7762" width="0.5703125" style="221" customWidth="1"/>
    <col min="7763" max="7763" width="2.140625" style="221" customWidth="1"/>
    <col min="7764" max="7764" width="0.5703125" style="221" customWidth="1"/>
    <col min="7765" max="7765" width="2.140625" style="221" customWidth="1"/>
    <col min="7766" max="7766" width="0.5703125" style="221" customWidth="1"/>
    <col min="7767" max="7768" width="2.5703125" style="221" customWidth="1"/>
    <col min="7769" max="7936" width="9.140625" style="221"/>
    <col min="7937" max="7937" width="0.7109375" style="221" customWidth="1"/>
    <col min="7938" max="7938" width="0.42578125" style="221" customWidth="1"/>
    <col min="7939" max="7939" width="0.5703125" style="221" customWidth="1"/>
    <col min="7940" max="7940" width="0.28515625" style="221" customWidth="1"/>
    <col min="7941" max="7941" width="3.7109375" style="221" customWidth="1"/>
    <col min="7942" max="7942" width="1.140625" style="221" customWidth="1"/>
    <col min="7943" max="7947" width="0.7109375" style="221" customWidth="1"/>
    <col min="7948" max="7948" width="0.5703125" style="221" customWidth="1"/>
    <col min="7949" max="7961" width="0.7109375" style="221" customWidth="1"/>
    <col min="7962" max="7962" width="1.42578125" style="221" customWidth="1"/>
    <col min="7963" max="7963" width="0.5703125" style="221" customWidth="1"/>
    <col min="7964" max="7964" width="3.42578125" style="221" customWidth="1"/>
    <col min="7965" max="7965" width="0.5703125" style="221" customWidth="1"/>
    <col min="7966" max="7966" width="0.7109375" style="221" customWidth="1"/>
    <col min="7967" max="7967" width="2.140625" style="221" customWidth="1"/>
    <col min="7968" max="7968" width="0.5703125" style="221" customWidth="1"/>
    <col min="7969" max="7969" width="2.140625" style="221" customWidth="1"/>
    <col min="7970" max="7970" width="0.5703125" style="221" customWidth="1"/>
    <col min="7971" max="7971" width="2.140625" style="221" customWidth="1"/>
    <col min="7972" max="7972" width="0.5703125" style="221" customWidth="1"/>
    <col min="7973" max="7973" width="2.140625" style="221" customWidth="1"/>
    <col min="7974" max="7974" width="0.5703125" style="221" customWidth="1"/>
    <col min="7975" max="7975" width="2.140625" style="221" customWidth="1"/>
    <col min="7976" max="7976" width="0.5703125" style="221" customWidth="1"/>
    <col min="7977" max="7977" width="2.140625" style="221" customWidth="1"/>
    <col min="7978" max="7978" width="0.5703125" style="221" customWidth="1"/>
    <col min="7979" max="7979" width="2.140625" style="221" customWidth="1"/>
    <col min="7980" max="7980" width="0.5703125" style="221" customWidth="1"/>
    <col min="7981" max="7981" width="2.7109375" style="221" customWidth="1"/>
    <col min="7982" max="7982" width="0.5703125" style="221" customWidth="1"/>
    <col min="7983" max="7983" width="2.140625" style="221" customWidth="1"/>
    <col min="7984" max="7984" width="0.5703125" style="221" customWidth="1"/>
    <col min="7985" max="7985" width="2.140625" style="221" customWidth="1"/>
    <col min="7986" max="7986" width="0.5703125" style="221" customWidth="1"/>
    <col min="7987" max="7987" width="2.140625" style="221" customWidth="1"/>
    <col min="7988" max="7989" width="0.5703125" style="221" customWidth="1"/>
    <col min="7990" max="7990" width="2.140625" style="221" customWidth="1"/>
    <col min="7991" max="7991" width="0.5703125" style="221" customWidth="1"/>
    <col min="7992" max="7992" width="2.140625" style="221" customWidth="1"/>
    <col min="7993" max="7993" width="0.5703125" style="221" customWidth="1"/>
    <col min="7994" max="7994" width="2.140625" style="221" customWidth="1"/>
    <col min="7995" max="7995" width="0.5703125" style="221" customWidth="1"/>
    <col min="7996" max="7996" width="2.140625" style="221" customWidth="1"/>
    <col min="7997" max="7997" width="0.5703125" style="221" customWidth="1"/>
    <col min="7998" max="7998" width="2" style="221" customWidth="1"/>
    <col min="7999" max="8000" width="0.5703125" style="221" customWidth="1"/>
    <col min="8001" max="8001" width="2.140625" style="221" customWidth="1"/>
    <col min="8002" max="8002" width="0.5703125" style="221" customWidth="1"/>
    <col min="8003" max="8003" width="2.140625" style="221" customWidth="1"/>
    <col min="8004" max="8004" width="0.5703125" style="221" customWidth="1"/>
    <col min="8005" max="8005" width="2.140625" style="221" customWidth="1"/>
    <col min="8006" max="8006" width="0.5703125" style="221" customWidth="1"/>
    <col min="8007" max="8007" width="2.140625" style="221" customWidth="1"/>
    <col min="8008" max="8008" width="0.5703125" style="221" customWidth="1"/>
    <col min="8009" max="8009" width="2.140625" style="221" customWidth="1"/>
    <col min="8010" max="8010" width="0.5703125" style="221" customWidth="1"/>
    <col min="8011" max="8011" width="2.140625" style="221" customWidth="1"/>
    <col min="8012" max="8012" width="0.5703125" style="221" customWidth="1"/>
    <col min="8013" max="8013" width="2.140625" style="221" customWidth="1"/>
    <col min="8014" max="8014" width="0.5703125" style="221" customWidth="1"/>
    <col min="8015" max="8015" width="2.140625" style="221" customWidth="1"/>
    <col min="8016" max="8016" width="0.5703125" style="221" customWidth="1"/>
    <col min="8017" max="8017" width="2.140625" style="221" customWidth="1"/>
    <col min="8018" max="8018" width="0.5703125" style="221" customWidth="1"/>
    <col min="8019" max="8019" width="2.140625" style="221" customWidth="1"/>
    <col min="8020" max="8020" width="0.5703125" style="221" customWidth="1"/>
    <col min="8021" max="8021" width="2.140625" style="221" customWidth="1"/>
    <col min="8022" max="8022" width="0.5703125" style="221" customWidth="1"/>
    <col min="8023" max="8024" width="2.5703125" style="221" customWidth="1"/>
    <col min="8025" max="8192" width="9.140625" style="221"/>
    <col min="8193" max="8193" width="0.7109375" style="221" customWidth="1"/>
    <col min="8194" max="8194" width="0.42578125" style="221" customWidth="1"/>
    <col min="8195" max="8195" width="0.5703125" style="221" customWidth="1"/>
    <col min="8196" max="8196" width="0.28515625" style="221" customWidth="1"/>
    <col min="8197" max="8197" width="3.7109375" style="221" customWidth="1"/>
    <col min="8198" max="8198" width="1.140625" style="221" customWidth="1"/>
    <col min="8199" max="8203" width="0.7109375" style="221" customWidth="1"/>
    <col min="8204" max="8204" width="0.5703125" style="221" customWidth="1"/>
    <col min="8205" max="8217" width="0.7109375" style="221" customWidth="1"/>
    <col min="8218" max="8218" width="1.42578125" style="221" customWidth="1"/>
    <col min="8219" max="8219" width="0.5703125" style="221" customWidth="1"/>
    <col min="8220" max="8220" width="3.42578125" style="221" customWidth="1"/>
    <col min="8221" max="8221" width="0.5703125" style="221" customWidth="1"/>
    <col min="8222" max="8222" width="0.7109375" style="221" customWidth="1"/>
    <col min="8223" max="8223" width="2.140625" style="221" customWidth="1"/>
    <col min="8224" max="8224" width="0.5703125" style="221" customWidth="1"/>
    <col min="8225" max="8225" width="2.140625" style="221" customWidth="1"/>
    <col min="8226" max="8226" width="0.5703125" style="221" customWidth="1"/>
    <col min="8227" max="8227" width="2.140625" style="221" customWidth="1"/>
    <col min="8228" max="8228" width="0.5703125" style="221" customWidth="1"/>
    <col min="8229" max="8229" width="2.140625" style="221" customWidth="1"/>
    <col min="8230" max="8230" width="0.5703125" style="221" customWidth="1"/>
    <col min="8231" max="8231" width="2.140625" style="221" customWidth="1"/>
    <col min="8232" max="8232" width="0.5703125" style="221" customWidth="1"/>
    <col min="8233" max="8233" width="2.140625" style="221" customWidth="1"/>
    <col min="8234" max="8234" width="0.5703125" style="221" customWidth="1"/>
    <col min="8235" max="8235" width="2.140625" style="221" customWidth="1"/>
    <col min="8236" max="8236" width="0.5703125" style="221" customWidth="1"/>
    <col min="8237" max="8237" width="2.7109375" style="221" customWidth="1"/>
    <col min="8238" max="8238" width="0.5703125" style="221" customWidth="1"/>
    <col min="8239" max="8239" width="2.140625" style="221" customWidth="1"/>
    <col min="8240" max="8240" width="0.5703125" style="221" customWidth="1"/>
    <col min="8241" max="8241" width="2.140625" style="221" customWidth="1"/>
    <col min="8242" max="8242" width="0.5703125" style="221" customWidth="1"/>
    <col min="8243" max="8243" width="2.140625" style="221" customWidth="1"/>
    <col min="8244" max="8245" width="0.5703125" style="221" customWidth="1"/>
    <col min="8246" max="8246" width="2.140625" style="221" customWidth="1"/>
    <col min="8247" max="8247" width="0.5703125" style="221" customWidth="1"/>
    <col min="8248" max="8248" width="2.140625" style="221" customWidth="1"/>
    <col min="8249" max="8249" width="0.5703125" style="221" customWidth="1"/>
    <col min="8250" max="8250" width="2.140625" style="221" customWidth="1"/>
    <col min="8251" max="8251" width="0.5703125" style="221" customWidth="1"/>
    <col min="8252" max="8252" width="2.140625" style="221" customWidth="1"/>
    <col min="8253" max="8253" width="0.5703125" style="221" customWidth="1"/>
    <col min="8254" max="8254" width="2" style="221" customWidth="1"/>
    <col min="8255" max="8256" width="0.5703125" style="221" customWidth="1"/>
    <col min="8257" max="8257" width="2.140625" style="221" customWidth="1"/>
    <col min="8258" max="8258" width="0.5703125" style="221" customWidth="1"/>
    <col min="8259" max="8259" width="2.140625" style="221" customWidth="1"/>
    <col min="8260" max="8260" width="0.5703125" style="221" customWidth="1"/>
    <col min="8261" max="8261" width="2.140625" style="221" customWidth="1"/>
    <col min="8262" max="8262" width="0.5703125" style="221" customWidth="1"/>
    <col min="8263" max="8263" width="2.140625" style="221" customWidth="1"/>
    <col min="8264" max="8264" width="0.5703125" style="221" customWidth="1"/>
    <col min="8265" max="8265" width="2.140625" style="221" customWidth="1"/>
    <col min="8266" max="8266" width="0.5703125" style="221" customWidth="1"/>
    <col min="8267" max="8267" width="2.140625" style="221" customWidth="1"/>
    <col min="8268" max="8268" width="0.5703125" style="221" customWidth="1"/>
    <col min="8269" max="8269" width="2.140625" style="221" customWidth="1"/>
    <col min="8270" max="8270" width="0.5703125" style="221" customWidth="1"/>
    <col min="8271" max="8271" width="2.140625" style="221" customWidth="1"/>
    <col min="8272" max="8272" width="0.5703125" style="221" customWidth="1"/>
    <col min="8273" max="8273" width="2.140625" style="221" customWidth="1"/>
    <col min="8274" max="8274" width="0.5703125" style="221" customWidth="1"/>
    <col min="8275" max="8275" width="2.140625" style="221" customWidth="1"/>
    <col min="8276" max="8276" width="0.5703125" style="221" customWidth="1"/>
    <col min="8277" max="8277" width="2.140625" style="221" customWidth="1"/>
    <col min="8278" max="8278" width="0.5703125" style="221" customWidth="1"/>
    <col min="8279" max="8280" width="2.5703125" style="221" customWidth="1"/>
    <col min="8281" max="8448" width="9.140625" style="221"/>
    <col min="8449" max="8449" width="0.7109375" style="221" customWidth="1"/>
    <col min="8450" max="8450" width="0.42578125" style="221" customWidth="1"/>
    <col min="8451" max="8451" width="0.5703125" style="221" customWidth="1"/>
    <col min="8452" max="8452" width="0.28515625" style="221" customWidth="1"/>
    <col min="8453" max="8453" width="3.7109375" style="221" customWidth="1"/>
    <col min="8454" max="8454" width="1.140625" style="221" customWidth="1"/>
    <col min="8455" max="8459" width="0.7109375" style="221" customWidth="1"/>
    <col min="8460" max="8460" width="0.5703125" style="221" customWidth="1"/>
    <col min="8461" max="8473" width="0.7109375" style="221" customWidth="1"/>
    <col min="8474" max="8474" width="1.42578125" style="221" customWidth="1"/>
    <col min="8475" max="8475" width="0.5703125" style="221" customWidth="1"/>
    <col min="8476" max="8476" width="3.42578125" style="221" customWidth="1"/>
    <col min="8477" max="8477" width="0.5703125" style="221" customWidth="1"/>
    <col min="8478" max="8478" width="0.7109375" style="221" customWidth="1"/>
    <col min="8479" max="8479" width="2.140625" style="221" customWidth="1"/>
    <col min="8480" max="8480" width="0.5703125" style="221" customWidth="1"/>
    <col min="8481" max="8481" width="2.140625" style="221" customWidth="1"/>
    <col min="8482" max="8482" width="0.5703125" style="221" customWidth="1"/>
    <col min="8483" max="8483" width="2.140625" style="221" customWidth="1"/>
    <col min="8484" max="8484" width="0.5703125" style="221" customWidth="1"/>
    <col min="8485" max="8485" width="2.140625" style="221" customWidth="1"/>
    <col min="8486" max="8486" width="0.5703125" style="221" customWidth="1"/>
    <col min="8487" max="8487" width="2.140625" style="221" customWidth="1"/>
    <col min="8488" max="8488" width="0.5703125" style="221" customWidth="1"/>
    <col min="8489" max="8489" width="2.140625" style="221" customWidth="1"/>
    <col min="8490" max="8490" width="0.5703125" style="221" customWidth="1"/>
    <col min="8491" max="8491" width="2.140625" style="221" customWidth="1"/>
    <col min="8492" max="8492" width="0.5703125" style="221" customWidth="1"/>
    <col min="8493" max="8493" width="2.7109375" style="221" customWidth="1"/>
    <col min="8494" max="8494" width="0.5703125" style="221" customWidth="1"/>
    <col min="8495" max="8495" width="2.140625" style="221" customWidth="1"/>
    <col min="8496" max="8496" width="0.5703125" style="221" customWidth="1"/>
    <col min="8497" max="8497" width="2.140625" style="221" customWidth="1"/>
    <col min="8498" max="8498" width="0.5703125" style="221" customWidth="1"/>
    <col min="8499" max="8499" width="2.140625" style="221" customWidth="1"/>
    <col min="8500" max="8501" width="0.5703125" style="221" customWidth="1"/>
    <col min="8502" max="8502" width="2.140625" style="221" customWidth="1"/>
    <col min="8503" max="8503" width="0.5703125" style="221" customWidth="1"/>
    <col min="8504" max="8504" width="2.140625" style="221" customWidth="1"/>
    <col min="8505" max="8505" width="0.5703125" style="221" customWidth="1"/>
    <col min="8506" max="8506" width="2.140625" style="221" customWidth="1"/>
    <col min="8507" max="8507" width="0.5703125" style="221" customWidth="1"/>
    <col min="8508" max="8508" width="2.140625" style="221" customWidth="1"/>
    <col min="8509" max="8509" width="0.5703125" style="221" customWidth="1"/>
    <col min="8510" max="8510" width="2" style="221" customWidth="1"/>
    <col min="8511" max="8512" width="0.5703125" style="221" customWidth="1"/>
    <col min="8513" max="8513" width="2.140625" style="221" customWidth="1"/>
    <col min="8514" max="8514" width="0.5703125" style="221" customWidth="1"/>
    <col min="8515" max="8515" width="2.140625" style="221" customWidth="1"/>
    <col min="8516" max="8516" width="0.5703125" style="221" customWidth="1"/>
    <col min="8517" max="8517" width="2.140625" style="221" customWidth="1"/>
    <col min="8518" max="8518" width="0.5703125" style="221" customWidth="1"/>
    <col min="8519" max="8519" width="2.140625" style="221" customWidth="1"/>
    <col min="8520" max="8520" width="0.5703125" style="221" customWidth="1"/>
    <col min="8521" max="8521" width="2.140625" style="221" customWidth="1"/>
    <col min="8522" max="8522" width="0.5703125" style="221" customWidth="1"/>
    <col min="8523" max="8523" width="2.140625" style="221" customWidth="1"/>
    <col min="8524" max="8524" width="0.5703125" style="221" customWidth="1"/>
    <col min="8525" max="8525" width="2.140625" style="221" customWidth="1"/>
    <col min="8526" max="8526" width="0.5703125" style="221" customWidth="1"/>
    <col min="8527" max="8527" width="2.140625" style="221" customWidth="1"/>
    <col min="8528" max="8528" width="0.5703125" style="221" customWidth="1"/>
    <col min="8529" max="8529" width="2.140625" style="221" customWidth="1"/>
    <col min="8530" max="8530" width="0.5703125" style="221" customWidth="1"/>
    <col min="8531" max="8531" width="2.140625" style="221" customWidth="1"/>
    <col min="8532" max="8532" width="0.5703125" style="221" customWidth="1"/>
    <col min="8533" max="8533" width="2.140625" style="221" customWidth="1"/>
    <col min="8534" max="8534" width="0.5703125" style="221" customWidth="1"/>
    <col min="8535" max="8536" width="2.5703125" style="221" customWidth="1"/>
    <col min="8537" max="8704" width="9.140625" style="221"/>
    <col min="8705" max="8705" width="0.7109375" style="221" customWidth="1"/>
    <col min="8706" max="8706" width="0.42578125" style="221" customWidth="1"/>
    <col min="8707" max="8707" width="0.5703125" style="221" customWidth="1"/>
    <col min="8708" max="8708" width="0.28515625" style="221" customWidth="1"/>
    <col min="8709" max="8709" width="3.7109375" style="221" customWidth="1"/>
    <col min="8710" max="8710" width="1.140625" style="221" customWidth="1"/>
    <col min="8711" max="8715" width="0.7109375" style="221" customWidth="1"/>
    <col min="8716" max="8716" width="0.5703125" style="221" customWidth="1"/>
    <col min="8717" max="8729" width="0.7109375" style="221" customWidth="1"/>
    <col min="8730" max="8730" width="1.42578125" style="221" customWidth="1"/>
    <col min="8731" max="8731" width="0.5703125" style="221" customWidth="1"/>
    <col min="8732" max="8732" width="3.42578125" style="221" customWidth="1"/>
    <col min="8733" max="8733" width="0.5703125" style="221" customWidth="1"/>
    <col min="8734" max="8734" width="0.7109375" style="221" customWidth="1"/>
    <col min="8735" max="8735" width="2.140625" style="221" customWidth="1"/>
    <col min="8736" max="8736" width="0.5703125" style="221" customWidth="1"/>
    <col min="8737" max="8737" width="2.140625" style="221" customWidth="1"/>
    <col min="8738" max="8738" width="0.5703125" style="221" customWidth="1"/>
    <col min="8739" max="8739" width="2.140625" style="221" customWidth="1"/>
    <col min="8740" max="8740" width="0.5703125" style="221" customWidth="1"/>
    <col min="8741" max="8741" width="2.140625" style="221" customWidth="1"/>
    <col min="8742" max="8742" width="0.5703125" style="221" customWidth="1"/>
    <col min="8743" max="8743" width="2.140625" style="221" customWidth="1"/>
    <col min="8744" max="8744" width="0.5703125" style="221" customWidth="1"/>
    <col min="8745" max="8745" width="2.140625" style="221" customWidth="1"/>
    <col min="8746" max="8746" width="0.5703125" style="221" customWidth="1"/>
    <col min="8747" max="8747" width="2.140625" style="221" customWidth="1"/>
    <col min="8748" max="8748" width="0.5703125" style="221" customWidth="1"/>
    <col min="8749" max="8749" width="2.7109375" style="221" customWidth="1"/>
    <col min="8750" max="8750" width="0.5703125" style="221" customWidth="1"/>
    <col min="8751" max="8751" width="2.140625" style="221" customWidth="1"/>
    <col min="8752" max="8752" width="0.5703125" style="221" customWidth="1"/>
    <col min="8753" max="8753" width="2.140625" style="221" customWidth="1"/>
    <col min="8754" max="8754" width="0.5703125" style="221" customWidth="1"/>
    <col min="8755" max="8755" width="2.140625" style="221" customWidth="1"/>
    <col min="8756" max="8757" width="0.5703125" style="221" customWidth="1"/>
    <col min="8758" max="8758" width="2.140625" style="221" customWidth="1"/>
    <col min="8759" max="8759" width="0.5703125" style="221" customWidth="1"/>
    <col min="8760" max="8760" width="2.140625" style="221" customWidth="1"/>
    <col min="8761" max="8761" width="0.5703125" style="221" customWidth="1"/>
    <col min="8762" max="8762" width="2.140625" style="221" customWidth="1"/>
    <col min="8763" max="8763" width="0.5703125" style="221" customWidth="1"/>
    <col min="8764" max="8764" width="2.140625" style="221" customWidth="1"/>
    <col min="8765" max="8765" width="0.5703125" style="221" customWidth="1"/>
    <col min="8766" max="8766" width="2" style="221" customWidth="1"/>
    <col min="8767" max="8768" width="0.5703125" style="221" customWidth="1"/>
    <col min="8769" max="8769" width="2.140625" style="221" customWidth="1"/>
    <col min="8770" max="8770" width="0.5703125" style="221" customWidth="1"/>
    <col min="8771" max="8771" width="2.140625" style="221" customWidth="1"/>
    <col min="8772" max="8772" width="0.5703125" style="221" customWidth="1"/>
    <col min="8773" max="8773" width="2.140625" style="221" customWidth="1"/>
    <col min="8774" max="8774" width="0.5703125" style="221" customWidth="1"/>
    <col min="8775" max="8775" width="2.140625" style="221" customWidth="1"/>
    <col min="8776" max="8776" width="0.5703125" style="221" customWidth="1"/>
    <col min="8777" max="8777" width="2.140625" style="221" customWidth="1"/>
    <col min="8778" max="8778" width="0.5703125" style="221" customWidth="1"/>
    <col min="8779" max="8779" width="2.140625" style="221" customWidth="1"/>
    <col min="8780" max="8780" width="0.5703125" style="221" customWidth="1"/>
    <col min="8781" max="8781" width="2.140625" style="221" customWidth="1"/>
    <col min="8782" max="8782" width="0.5703125" style="221" customWidth="1"/>
    <col min="8783" max="8783" width="2.140625" style="221" customWidth="1"/>
    <col min="8784" max="8784" width="0.5703125" style="221" customWidth="1"/>
    <col min="8785" max="8785" width="2.140625" style="221" customWidth="1"/>
    <col min="8786" max="8786" width="0.5703125" style="221" customWidth="1"/>
    <col min="8787" max="8787" width="2.140625" style="221" customWidth="1"/>
    <col min="8788" max="8788" width="0.5703125" style="221" customWidth="1"/>
    <col min="8789" max="8789" width="2.140625" style="221" customWidth="1"/>
    <col min="8790" max="8790" width="0.5703125" style="221" customWidth="1"/>
    <col min="8791" max="8792" width="2.5703125" style="221" customWidth="1"/>
    <col min="8793" max="8960" width="9.140625" style="221"/>
    <col min="8961" max="8961" width="0.7109375" style="221" customWidth="1"/>
    <col min="8962" max="8962" width="0.42578125" style="221" customWidth="1"/>
    <col min="8963" max="8963" width="0.5703125" style="221" customWidth="1"/>
    <col min="8964" max="8964" width="0.28515625" style="221" customWidth="1"/>
    <col min="8965" max="8965" width="3.7109375" style="221" customWidth="1"/>
    <col min="8966" max="8966" width="1.140625" style="221" customWidth="1"/>
    <col min="8967" max="8971" width="0.7109375" style="221" customWidth="1"/>
    <col min="8972" max="8972" width="0.5703125" style="221" customWidth="1"/>
    <col min="8973" max="8985" width="0.7109375" style="221" customWidth="1"/>
    <col min="8986" max="8986" width="1.42578125" style="221" customWidth="1"/>
    <col min="8987" max="8987" width="0.5703125" style="221" customWidth="1"/>
    <col min="8988" max="8988" width="3.42578125" style="221" customWidth="1"/>
    <col min="8989" max="8989" width="0.5703125" style="221" customWidth="1"/>
    <col min="8990" max="8990" width="0.7109375" style="221" customWidth="1"/>
    <col min="8991" max="8991" width="2.140625" style="221" customWidth="1"/>
    <col min="8992" max="8992" width="0.5703125" style="221" customWidth="1"/>
    <col min="8993" max="8993" width="2.140625" style="221" customWidth="1"/>
    <col min="8994" max="8994" width="0.5703125" style="221" customWidth="1"/>
    <col min="8995" max="8995" width="2.140625" style="221" customWidth="1"/>
    <col min="8996" max="8996" width="0.5703125" style="221" customWidth="1"/>
    <col min="8997" max="8997" width="2.140625" style="221" customWidth="1"/>
    <col min="8998" max="8998" width="0.5703125" style="221" customWidth="1"/>
    <col min="8999" max="8999" width="2.140625" style="221" customWidth="1"/>
    <col min="9000" max="9000" width="0.5703125" style="221" customWidth="1"/>
    <col min="9001" max="9001" width="2.140625" style="221" customWidth="1"/>
    <col min="9002" max="9002" width="0.5703125" style="221" customWidth="1"/>
    <col min="9003" max="9003" width="2.140625" style="221" customWidth="1"/>
    <col min="9004" max="9004" width="0.5703125" style="221" customWidth="1"/>
    <col min="9005" max="9005" width="2.7109375" style="221" customWidth="1"/>
    <col min="9006" max="9006" width="0.5703125" style="221" customWidth="1"/>
    <col min="9007" max="9007" width="2.140625" style="221" customWidth="1"/>
    <col min="9008" max="9008" width="0.5703125" style="221" customWidth="1"/>
    <col min="9009" max="9009" width="2.140625" style="221" customWidth="1"/>
    <col min="9010" max="9010" width="0.5703125" style="221" customWidth="1"/>
    <col min="9011" max="9011" width="2.140625" style="221" customWidth="1"/>
    <col min="9012" max="9013" width="0.5703125" style="221" customWidth="1"/>
    <col min="9014" max="9014" width="2.140625" style="221" customWidth="1"/>
    <col min="9015" max="9015" width="0.5703125" style="221" customWidth="1"/>
    <col min="9016" max="9016" width="2.140625" style="221" customWidth="1"/>
    <col min="9017" max="9017" width="0.5703125" style="221" customWidth="1"/>
    <col min="9018" max="9018" width="2.140625" style="221" customWidth="1"/>
    <col min="9019" max="9019" width="0.5703125" style="221" customWidth="1"/>
    <col min="9020" max="9020" width="2.140625" style="221" customWidth="1"/>
    <col min="9021" max="9021" width="0.5703125" style="221" customWidth="1"/>
    <col min="9022" max="9022" width="2" style="221" customWidth="1"/>
    <col min="9023" max="9024" width="0.5703125" style="221" customWidth="1"/>
    <col min="9025" max="9025" width="2.140625" style="221" customWidth="1"/>
    <col min="9026" max="9026" width="0.5703125" style="221" customWidth="1"/>
    <col min="9027" max="9027" width="2.140625" style="221" customWidth="1"/>
    <col min="9028" max="9028" width="0.5703125" style="221" customWidth="1"/>
    <col min="9029" max="9029" width="2.140625" style="221" customWidth="1"/>
    <col min="9030" max="9030" width="0.5703125" style="221" customWidth="1"/>
    <col min="9031" max="9031" width="2.140625" style="221" customWidth="1"/>
    <col min="9032" max="9032" width="0.5703125" style="221" customWidth="1"/>
    <col min="9033" max="9033" width="2.140625" style="221" customWidth="1"/>
    <col min="9034" max="9034" width="0.5703125" style="221" customWidth="1"/>
    <col min="9035" max="9035" width="2.140625" style="221" customWidth="1"/>
    <col min="9036" max="9036" width="0.5703125" style="221" customWidth="1"/>
    <col min="9037" max="9037" width="2.140625" style="221" customWidth="1"/>
    <col min="9038" max="9038" width="0.5703125" style="221" customWidth="1"/>
    <col min="9039" max="9039" width="2.140625" style="221" customWidth="1"/>
    <col min="9040" max="9040" width="0.5703125" style="221" customWidth="1"/>
    <col min="9041" max="9041" width="2.140625" style="221" customWidth="1"/>
    <col min="9042" max="9042" width="0.5703125" style="221" customWidth="1"/>
    <col min="9043" max="9043" width="2.140625" style="221" customWidth="1"/>
    <col min="9044" max="9044" width="0.5703125" style="221" customWidth="1"/>
    <col min="9045" max="9045" width="2.140625" style="221" customWidth="1"/>
    <col min="9046" max="9046" width="0.5703125" style="221" customWidth="1"/>
    <col min="9047" max="9048" width="2.5703125" style="221" customWidth="1"/>
    <col min="9049" max="9216" width="9.140625" style="221"/>
    <col min="9217" max="9217" width="0.7109375" style="221" customWidth="1"/>
    <col min="9218" max="9218" width="0.42578125" style="221" customWidth="1"/>
    <col min="9219" max="9219" width="0.5703125" style="221" customWidth="1"/>
    <col min="9220" max="9220" width="0.28515625" style="221" customWidth="1"/>
    <col min="9221" max="9221" width="3.7109375" style="221" customWidth="1"/>
    <col min="9222" max="9222" width="1.140625" style="221" customWidth="1"/>
    <col min="9223" max="9227" width="0.7109375" style="221" customWidth="1"/>
    <col min="9228" max="9228" width="0.5703125" style="221" customWidth="1"/>
    <col min="9229" max="9241" width="0.7109375" style="221" customWidth="1"/>
    <col min="9242" max="9242" width="1.42578125" style="221" customWidth="1"/>
    <col min="9243" max="9243" width="0.5703125" style="221" customWidth="1"/>
    <col min="9244" max="9244" width="3.42578125" style="221" customWidth="1"/>
    <col min="9245" max="9245" width="0.5703125" style="221" customWidth="1"/>
    <col min="9246" max="9246" width="0.7109375" style="221" customWidth="1"/>
    <col min="9247" max="9247" width="2.140625" style="221" customWidth="1"/>
    <col min="9248" max="9248" width="0.5703125" style="221" customWidth="1"/>
    <col min="9249" max="9249" width="2.140625" style="221" customWidth="1"/>
    <col min="9250" max="9250" width="0.5703125" style="221" customWidth="1"/>
    <col min="9251" max="9251" width="2.140625" style="221" customWidth="1"/>
    <col min="9252" max="9252" width="0.5703125" style="221" customWidth="1"/>
    <col min="9253" max="9253" width="2.140625" style="221" customWidth="1"/>
    <col min="9254" max="9254" width="0.5703125" style="221" customWidth="1"/>
    <col min="9255" max="9255" width="2.140625" style="221" customWidth="1"/>
    <col min="9256" max="9256" width="0.5703125" style="221" customWidth="1"/>
    <col min="9257" max="9257" width="2.140625" style="221" customWidth="1"/>
    <col min="9258" max="9258" width="0.5703125" style="221" customWidth="1"/>
    <col min="9259" max="9259" width="2.140625" style="221" customWidth="1"/>
    <col min="9260" max="9260" width="0.5703125" style="221" customWidth="1"/>
    <col min="9261" max="9261" width="2.7109375" style="221" customWidth="1"/>
    <col min="9262" max="9262" width="0.5703125" style="221" customWidth="1"/>
    <col min="9263" max="9263" width="2.140625" style="221" customWidth="1"/>
    <col min="9264" max="9264" width="0.5703125" style="221" customWidth="1"/>
    <col min="9265" max="9265" width="2.140625" style="221" customWidth="1"/>
    <col min="9266" max="9266" width="0.5703125" style="221" customWidth="1"/>
    <col min="9267" max="9267" width="2.140625" style="221" customWidth="1"/>
    <col min="9268" max="9269" width="0.5703125" style="221" customWidth="1"/>
    <col min="9270" max="9270" width="2.140625" style="221" customWidth="1"/>
    <col min="9271" max="9271" width="0.5703125" style="221" customWidth="1"/>
    <col min="9272" max="9272" width="2.140625" style="221" customWidth="1"/>
    <col min="9273" max="9273" width="0.5703125" style="221" customWidth="1"/>
    <col min="9274" max="9274" width="2.140625" style="221" customWidth="1"/>
    <col min="9275" max="9275" width="0.5703125" style="221" customWidth="1"/>
    <col min="9276" max="9276" width="2.140625" style="221" customWidth="1"/>
    <col min="9277" max="9277" width="0.5703125" style="221" customWidth="1"/>
    <col min="9278" max="9278" width="2" style="221" customWidth="1"/>
    <col min="9279" max="9280" width="0.5703125" style="221" customWidth="1"/>
    <col min="9281" max="9281" width="2.140625" style="221" customWidth="1"/>
    <col min="9282" max="9282" width="0.5703125" style="221" customWidth="1"/>
    <col min="9283" max="9283" width="2.140625" style="221" customWidth="1"/>
    <col min="9284" max="9284" width="0.5703125" style="221" customWidth="1"/>
    <col min="9285" max="9285" width="2.140625" style="221" customWidth="1"/>
    <col min="9286" max="9286" width="0.5703125" style="221" customWidth="1"/>
    <col min="9287" max="9287" width="2.140625" style="221" customWidth="1"/>
    <col min="9288" max="9288" width="0.5703125" style="221" customWidth="1"/>
    <col min="9289" max="9289" width="2.140625" style="221" customWidth="1"/>
    <col min="9290" max="9290" width="0.5703125" style="221" customWidth="1"/>
    <col min="9291" max="9291" width="2.140625" style="221" customWidth="1"/>
    <col min="9292" max="9292" width="0.5703125" style="221" customWidth="1"/>
    <col min="9293" max="9293" width="2.140625" style="221" customWidth="1"/>
    <col min="9294" max="9294" width="0.5703125" style="221" customWidth="1"/>
    <col min="9295" max="9295" width="2.140625" style="221" customWidth="1"/>
    <col min="9296" max="9296" width="0.5703125" style="221" customWidth="1"/>
    <col min="9297" max="9297" width="2.140625" style="221" customWidth="1"/>
    <col min="9298" max="9298" width="0.5703125" style="221" customWidth="1"/>
    <col min="9299" max="9299" width="2.140625" style="221" customWidth="1"/>
    <col min="9300" max="9300" width="0.5703125" style="221" customWidth="1"/>
    <col min="9301" max="9301" width="2.140625" style="221" customWidth="1"/>
    <col min="9302" max="9302" width="0.5703125" style="221" customWidth="1"/>
    <col min="9303" max="9304" width="2.5703125" style="221" customWidth="1"/>
    <col min="9305" max="9472" width="9.140625" style="221"/>
    <col min="9473" max="9473" width="0.7109375" style="221" customWidth="1"/>
    <col min="9474" max="9474" width="0.42578125" style="221" customWidth="1"/>
    <col min="9475" max="9475" width="0.5703125" style="221" customWidth="1"/>
    <col min="9476" max="9476" width="0.28515625" style="221" customWidth="1"/>
    <col min="9477" max="9477" width="3.7109375" style="221" customWidth="1"/>
    <col min="9478" max="9478" width="1.140625" style="221" customWidth="1"/>
    <col min="9479" max="9483" width="0.7109375" style="221" customWidth="1"/>
    <col min="9484" max="9484" width="0.5703125" style="221" customWidth="1"/>
    <col min="9485" max="9497" width="0.7109375" style="221" customWidth="1"/>
    <col min="9498" max="9498" width="1.42578125" style="221" customWidth="1"/>
    <col min="9499" max="9499" width="0.5703125" style="221" customWidth="1"/>
    <col min="9500" max="9500" width="3.42578125" style="221" customWidth="1"/>
    <col min="9501" max="9501" width="0.5703125" style="221" customWidth="1"/>
    <col min="9502" max="9502" width="0.7109375" style="221" customWidth="1"/>
    <col min="9503" max="9503" width="2.140625" style="221" customWidth="1"/>
    <col min="9504" max="9504" width="0.5703125" style="221" customWidth="1"/>
    <col min="9505" max="9505" width="2.140625" style="221" customWidth="1"/>
    <col min="9506" max="9506" width="0.5703125" style="221" customWidth="1"/>
    <col min="9507" max="9507" width="2.140625" style="221" customWidth="1"/>
    <col min="9508" max="9508" width="0.5703125" style="221" customWidth="1"/>
    <col min="9509" max="9509" width="2.140625" style="221" customWidth="1"/>
    <col min="9510" max="9510" width="0.5703125" style="221" customWidth="1"/>
    <col min="9511" max="9511" width="2.140625" style="221" customWidth="1"/>
    <col min="9512" max="9512" width="0.5703125" style="221" customWidth="1"/>
    <col min="9513" max="9513" width="2.140625" style="221" customWidth="1"/>
    <col min="9514" max="9514" width="0.5703125" style="221" customWidth="1"/>
    <col min="9515" max="9515" width="2.140625" style="221" customWidth="1"/>
    <col min="9516" max="9516" width="0.5703125" style="221" customWidth="1"/>
    <col min="9517" max="9517" width="2.7109375" style="221" customWidth="1"/>
    <col min="9518" max="9518" width="0.5703125" style="221" customWidth="1"/>
    <col min="9519" max="9519" width="2.140625" style="221" customWidth="1"/>
    <col min="9520" max="9520" width="0.5703125" style="221" customWidth="1"/>
    <col min="9521" max="9521" width="2.140625" style="221" customWidth="1"/>
    <col min="9522" max="9522" width="0.5703125" style="221" customWidth="1"/>
    <col min="9523" max="9523" width="2.140625" style="221" customWidth="1"/>
    <col min="9524" max="9525" width="0.5703125" style="221" customWidth="1"/>
    <col min="9526" max="9526" width="2.140625" style="221" customWidth="1"/>
    <col min="9527" max="9527" width="0.5703125" style="221" customWidth="1"/>
    <col min="9528" max="9528" width="2.140625" style="221" customWidth="1"/>
    <col min="9529" max="9529" width="0.5703125" style="221" customWidth="1"/>
    <col min="9530" max="9530" width="2.140625" style="221" customWidth="1"/>
    <col min="9531" max="9531" width="0.5703125" style="221" customWidth="1"/>
    <col min="9532" max="9532" width="2.140625" style="221" customWidth="1"/>
    <col min="9533" max="9533" width="0.5703125" style="221" customWidth="1"/>
    <col min="9534" max="9534" width="2" style="221" customWidth="1"/>
    <col min="9535" max="9536" width="0.5703125" style="221" customWidth="1"/>
    <col min="9537" max="9537" width="2.140625" style="221" customWidth="1"/>
    <col min="9538" max="9538" width="0.5703125" style="221" customWidth="1"/>
    <col min="9539" max="9539" width="2.140625" style="221" customWidth="1"/>
    <col min="9540" max="9540" width="0.5703125" style="221" customWidth="1"/>
    <col min="9541" max="9541" width="2.140625" style="221" customWidth="1"/>
    <col min="9542" max="9542" width="0.5703125" style="221" customWidth="1"/>
    <col min="9543" max="9543" width="2.140625" style="221" customWidth="1"/>
    <col min="9544" max="9544" width="0.5703125" style="221" customWidth="1"/>
    <col min="9545" max="9545" width="2.140625" style="221" customWidth="1"/>
    <col min="9546" max="9546" width="0.5703125" style="221" customWidth="1"/>
    <col min="9547" max="9547" width="2.140625" style="221" customWidth="1"/>
    <col min="9548" max="9548" width="0.5703125" style="221" customWidth="1"/>
    <col min="9549" max="9549" width="2.140625" style="221" customWidth="1"/>
    <col min="9550" max="9550" width="0.5703125" style="221" customWidth="1"/>
    <col min="9551" max="9551" width="2.140625" style="221" customWidth="1"/>
    <col min="9552" max="9552" width="0.5703125" style="221" customWidth="1"/>
    <col min="9553" max="9553" width="2.140625" style="221" customWidth="1"/>
    <col min="9554" max="9554" width="0.5703125" style="221" customWidth="1"/>
    <col min="9555" max="9555" width="2.140625" style="221" customWidth="1"/>
    <col min="9556" max="9556" width="0.5703125" style="221" customWidth="1"/>
    <col min="9557" max="9557" width="2.140625" style="221" customWidth="1"/>
    <col min="9558" max="9558" width="0.5703125" style="221" customWidth="1"/>
    <col min="9559" max="9560" width="2.5703125" style="221" customWidth="1"/>
    <col min="9561" max="9728" width="9.140625" style="221"/>
    <col min="9729" max="9729" width="0.7109375" style="221" customWidth="1"/>
    <col min="9730" max="9730" width="0.42578125" style="221" customWidth="1"/>
    <col min="9731" max="9731" width="0.5703125" style="221" customWidth="1"/>
    <col min="9732" max="9732" width="0.28515625" style="221" customWidth="1"/>
    <col min="9733" max="9733" width="3.7109375" style="221" customWidth="1"/>
    <col min="9734" max="9734" width="1.140625" style="221" customWidth="1"/>
    <col min="9735" max="9739" width="0.7109375" style="221" customWidth="1"/>
    <col min="9740" max="9740" width="0.5703125" style="221" customWidth="1"/>
    <col min="9741" max="9753" width="0.7109375" style="221" customWidth="1"/>
    <col min="9754" max="9754" width="1.42578125" style="221" customWidth="1"/>
    <col min="9755" max="9755" width="0.5703125" style="221" customWidth="1"/>
    <col min="9756" max="9756" width="3.42578125" style="221" customWidth="1"/>
    <col min="9757" max="9757" width="0.5703125" style="221" customWidth="1"/>
    <col min="9758" max="9758" width="0.7109375" style="221" customWidth="1"/>
    <col min="9759" max="9759" width="2.140625" style="221" customWidth="1"/>
    <col min="9760" max="9760" width="0.5703125" style="221" customWidth="1"/>
    <col min="9761" max="9761" width="2.140625" style="221" customWidth="1"/>
    <col min="9762" max="9762" width="0.5703125" style="221" customWidth="1"/>
    <col min="9763" max="9763" width="2.140625" style="221" customWidth="1"/>
    <col min="9764" max="9764" width="0.5703125" style="221" customWidth="1"/>
    <col min="9765" max="9765" width="2.140625" style="221" customWidth="1"/>
    <col min="9766" max="9766" width="0.5703125" style="221" customWidth="1"/>
    <col min="9767" max="9767" width="2.140625" style="221" customWidth="1"/>
    <col min="9768" max="9768" width="0.5703125" style="221" customWidth="1"/>
    <col min="9769" max="9769" width="2.140625" style="221" customWidth="1"/>
    <col min="9770" max="9770" width="0.5703125" style="221" customWidth="1"/>
    <col min="9771" max="9771" width="2.140625" style="221" customWidth="1"/>
    <col min="9772" max="9772" width="0.5703125" style="221" customWidth="1"/>
    <col min="9773" max="9773" width="2.7109375" style="221" customWidth="1"/>
    <col min="9774" max="9774" width="0.5703125" style="221" customWidth="1"/>
    <col min="9775" max="9775" width="2.140625" style="221" customWidth="1"/>
    <col min="9776" max="9776" width="0.5703125" style="221" customWidth="1"/>
    <col min="9777" max="9777" width="2.140625" style="221" customWidth="1"/>
    <col min="9778" max="9778" width="0.5703125" style="221" customWidth="1"/>
    <col min="9779" max="9779" width="2.140625" style="221" customWidth="1"/>
    <col min="9780" max="9781" width="0.5703125" style="221" customWidth="1"/>
    <col min="9782" max="9782" width="2.140625" style="221" customWidth="1"/>
    <col min="9783" max="9783" width="0.5703125" style="221" customWidth="1"/>
    <col min="9784" max="9784" width="2.140625" style="221" customWidth="1"/>
    <col min="9785" max="9785" width="0.5703125" style="221" customWidth="1"/>
    <col min="9786" max="9786" width="2.140625" style="221" customWidth="1"/>
    <col min="9787" max="9787" width="0.5703125" style="221" customWidth="1"/>
    <col min="9788" max="9788" width="2.140625" style="221" customWidth="1"/>
    <col min="9789" max="9789" width="0.5703125" style="221" customWidth="1"/>
    <col min="9790" max="9790" width="2" style="221" customWidth="1"/>
    <col min="9791" max="9792" width="0.5703125" style="221" customWidth="1"/>
    <col min="9793" max="9793" width="2.140625" style="221" customWidth="1"/>
    <col min="9794" max="9794" width="0.5703125" style="221" customWidth="1"/>
    <col min="9795" max="9795" width="2.140625" style="221" customWidth="1"/>
    <col min="9796" max="9796" width="0.5703125" style="221" customWidth="1"/>
    <col min="9797" max="9797" width="2.140625" style="221" customWidth="1"/>
    <col min="9798" max="9798" width="0.5703125" style="221" customWidth="1"/>
    <col min="9799" max="9799" width="2.140625" style="221" customWidth="1"/>
    <col min="9800" max="9800" width="0.5703125" style="221" customWidth="1"/>
    <col min="9801" max="9801" width="2.140625" style="221" customWidth="1"/>
    <col min="9802" max="9802" width="0.5703125" style="221" customWidth="1"/>
    <col min="9803" max="9803" width="2.140625" style="221" customWidth="1"/>
    <col min="9804" max="9804" width="0.5703125" style="221" customWidth="1"/>
    <col min="9805" max="9805" width="2.140625" style="221" customWidth="1"/>
    <col min="9806" max="9806" width="0.5703125" style="221" customWidth="1"/>
    <col min="9807" max="9807" width="2.140625" style="221" customWidth="1"/>
    <col min="9808" max="9808" width="0.5703125" style="221" customWidth="1"/>
    <col min="9809" max="9809" width="2.140625" style="221" customWidth="1"/>
    <col min="9810" max="9810" width="0.5703125" style="221" customWidth="1"/>
    <col min="9811" max="9811" width="2.140625" style="221" customWidth="1"/>
    <col min="9812" max="9812" width="0.5703125" style="221" customWidth="1"/>
    <col min="9813" max="9813" width="2.140625" style="221" customWidth="1"/>
    <col min="9814" max="9814" width="0.5703125" style="221" customWidth="1"/>
    <col min="9815" max="9816" width="2.5703125" style="221" customWidth="1"/>
    <col min="9817" max="9984" width="9.140625" style="221"/>
    <col min="9985" max="9985" width="0.7109375" style="221" customWidth="1"/>
    <col min="9986" max="9986" width="0.42578125" style="221" customWidth="1"/>
    <col min="9987" max="9987" width="0.5703125" style="221" customWidth="1"/>
    <col min="9988" max="9988" width="0.28515625" style="221" customWidth="1"/>
    <col min="9989" max="9989" width="3.7109375" style="221" customWidth="1"/>
    <col min="9990" max="9990" width="1.140625" style="221" customWidth="1"/>
    <col min="9991" max="9995" width="0.7109375" style="221" customWidth="1"/>
    <col min="9996" max="9996" width="0.5703125" style="221" customWidth="1"/>
    <col min="9997" max="10009" width="0.7109375" style="221" customWidth="1"/>
    <col min="10010" max="10010" width="1.42578125" style="221" customWidth="1"/>
    <col min="10011" max="10011" width="0.5703125" style="221" customWidth="1"/>
    <col min="10012" max="10012" width="3.42578125" style="221" customWidth="1"/>
    <col min="10013" max="10013" width="0.5703125" style="221" customWidth="1"/>
    <col min="10014" max="10014" width="0.7109375" style="221" customWidth="1"/>
    <col min="10015" max="10015" width="2.140625" style="221" customWidth="1"/>
    <col min="10016" max="10016" width="0.5703125" style="221" customWidth="1"/>
    <col min="10017" max="10017" width="2.140625" style="221" customWidth="1"/>
    <col min="10018" max="10018" width="0.5703125" style="221" customWidth="1"/>
    <col min="10019" max="10019" width="2.140625" style="221" customWidth="1"/>
    <col min="10020" max="10020" width="0.5703125" style="221" customWidth="1"/>
    <col min="10021" max="10021" width="2.140625" style="221" customWidth="1"/>
    <col min="10022" max="10022" width="0.5703125" style="221" customWidth="1"/>
    <col min="10023" max="10023" width="2.140625" style="221" customWidth="1"/>
    <col min="10024" max="10024" width="0.5703125" style="221" customWidth="1"/>
    <col min="10025" max="10025" width="2.140625" style="221" customWidth="1"/>
    <col min="10026" max="10026" width="0.5703125" style="221" customWidth="1"/>
    <col min="10027" max="10027" width="2.140625" style="221" customWidth="1"/>
    <col min="10028" max="10028" width="0.5703125" style="221" customWidth="1"/>
    <col min="10029" max="10029" width="2.7109375" style="221" customWidth="1"/>
    <col min="10030" max="10030" width="0.5703125" style="221" customWidth="1"/>
    <col min="10031" max="10031" width="2.140625" style="221" customWidth="1"/>
    <col min="10032" max="10032" width="0.5703125" style="221" customWidth="1"/>
    <col min="10033" max="10033" width="2.140625" style="221" customWidth="1"/>
    <col min="10034" max="10034" width="0.5703125" style="221" customWidth="1"/>
    <col min="10035" max="10035" width="2.140625" style="221" customWidth="1"/>
    <col min="10036" max="10037" width="0.5703125" style="221" customWidth="1"/>
    <col min="10038" max="10038" width="2.140625" style="221" customWidth="1"/>
    <col min="10039" max="10039" width="0.5703125" style="221" customWidth="1"/>
    <col min="10040" max="10040" width="2.140625" style="221" customWidth="1"/>
    <col min="10041" max="10041" width="0.5703125" style="221" customWidth="1"/>
    <col min="10042" max="10042" width="2.140625" style="221" customWidth="1"/>
    <col min="10043" max="10043" width="0.5703125" style="221" customWidth="1"/>
    <col min="10044" max="10044" width="2.140625" style="221" customWidth="1"/>
    <col min="10045" max="10045" width="0.5703125" style="221" customWidth="1"/>
    <col min="10046" max="10046" width="2" style="221" customWidth="1"/>
    <col min="10047" max="10048" width="0.5703125" style="221" customWidth="1"/>
    <col min="10049" max="10049" width="2.140625" style="221" customWidth="1"/>
    <col min="10050" max="10050" width="0.5703125" style="221" customWidth="1"/>
    <col min="10051" max="10051" width="2.140625" style="221" customWidth="1"/>
    <col min="10052" max="10052" width="0.5703125" style="221" customWidth="1"/>
    <col min="10053" max="10053" width="2.140625" style="221" customWidth="1"/>
    <col min="10054" max="10054" width="0.5703125" style="221" customWidth="1"/>
    <col min="10055" max="10055" width="2.140625" style="221" customWidth="1"/>
    <col min="10056" max="10056" width="0.5703125" style="221" customWidth="1"/>
    <col min="10057" max="10057" width="2.140625" style="221" customWidth="1"/>
    <col min="10058" max="10058" width="0.5703125" style="221" customWidth="1"/>
    <col min="10059" max="10059" width="2.140625" style="221" customWidth="1"/>
    <col min="10060" max="10060" width="0.5703125" style="221" customWidth="1"/>
    <col min="10061" max="10061" width="2.140625" style="221" customWidth="1"/>
    <col min="10062" max="10062" width="0.5703125" style="221" customWidth="1"/>
    <col min="10063" max="10063" width="2.140625" style="221" customWidth="1"/>
    <col min="10064" max="10064" width="0.5703125" style="221" customWidth="1"/>
    <col min="10065" max="10065" width="2.140625" style="221" customWidth="1"/>
    <col min="10066" max="10066" width="0.5703125" style="221" customWidth="1"/>
    <col min="10067" max="10067" width="2.140625" style="221" customWidth="1"/>
    <col min="10068" max="10068" width="0.5703125" style="221" customWidth="1"/>
    <col min="10069" max="10069" width="2.140625" style="221" customWidth="1"/>
    <col min="10070" max="10070" width="0.5703125" style="221" customWidth="1"/>
    <col min="10071" max="10072" width="2.5703125" style="221" customWidth="1"/>
    <col min="10073" max="10240" width="9.140625" style="221"/>
    <col min="10241" max="10241" width="0.7109375" style="221" customWidth="1"/>
    <col min="10242" max="10242" width="0.42578125" style="221" customWidth="1"/>
    <col min="10243" max="10243" width="0.5703125" style="221" customWidth="1"/>
    <col min="10244" max="10244" width="0.28515625" style="221" customWidth="1"/>
    <col min="10245" max="10245" width="3.7109375" style="221" customWidth="1"/>
    <col min="10246" max="10246" width="1.140625" style="221" customWidth="1"/>
    <col min="10247" max="10251" width="0.7109375" style="221" customWidth="1"/>
    <col min="10252" max="10252" width="0.5703125" style="221" customWidth="1"/>
    <col min="10253" max="10265" width="0.7109375" style="221" customWidth="1"/>
    <col min="10266" max="10266" width="1.42578125" style="221" customWidth="1"/>
    <col min="10267" max="10267" width="0.5703125" style="221" customWidth="1"/>
    <col min="10268" max="10268" width="3.42578125" style="221" customWidth="1"/>
    <col min="10269" max="10269" width="0.5703125" style="221" customWidth="1"/>
    <col min="10270" max="10270" width="0.7109375" style="221" customWidth="1"/>
    <col min="10271" max="10271" width="2.140625" style="221" customWidth="1"/>
    <col min="10272" max="10272" width="0.5703125" style="221" customWidth="1"/>
    <col min="10273" max="10273" width="2.140625" style="221" customWidth="1"/>
    <col min="10274" max="10274" width="0.5703125" style="221" customWidth="1"/>
    <col min="10275" max="10275" width="2.140625" style="221" customWidth="1"/>
    <col min="10276" max="10276" width="0.5703125" style="221" customWidth="1"/>
    <col min="10277" max="10277" width="2.140625" style="221" customWidth="1"/>
    <col min="10278" max="10278" width="0.5703125" style="221" customWidth="1"/>
    <col min="10279" max="10279" width="2.140625" style="221" customWidth="1"/>
    <col min="10280" max="10280" width="0.5703125" style="221" customWidth="1"/>
    <col min="10281" max="10281" width="2.140625" style="221" customWidth="1"/>
    <col min="10282" max="10282" width="0.5703125" style="221" customWidth="1"/>
    <col min="10283" max="10283" width="2.140625" style="221" customWidth="1"/>
    <col min="10284" max="10284" width="0.5703125" style="221" customWidth="1"/>
    <col min="10285" max="10285" width="2.7109375" style="221" customWidth="1"/>
    <col min="10286" max="10286" width="0.5703125" style="221" customWidth="1"/>
    <col min="10287" max="10287" width="2.140625" style="221" customWidth="1"/>
    <col min="10288" max="10288" width="0.5703125" style="221" customWidth="1"/>
    <col min="10289" max="10289" width="2.140625" style="221" customWidth="1"/>
    <col min="10290" max="10290" width="0.5703125" style="221" customWidth="1"/>
    <col min="10291" max="10291" width="2.140625" style="221" customWidth="1"/>
    <col min="10292" max="10293" width="0.5703125" style="221" customWidth="1"/>
    <col min="10294" max="10294" width="2.140625" style="221" customWidth="1"/>
    <col min="10295" max="10295" width="0.5703125" style="221" customWidth="1"/>
    <col min="10296" max="10296" width="2.140625" style="221" customWidth="1"/>
    <col min="10297" max="10297" width="0.5703125" style="221" customWidth="1"/>
    <col min="10298" max="10298" width="2.140625" style="221" customWidth="1"/>
    <col min="10299" max="10299" width="0.5703125" style="221" customWidth="1"/>
    <col min="10300" max="10300" width="2.140625" style="221" customWidth="1"/>
    <col min="10301" max="10301" width="0.5703125" style="221" customWidth="1"/>
    <col min="10302" max="10302" width="2" style="221" customWidth="1"/>
    <col min="10303" max="10304" width="0.5703125" style="221" customWidth="1"/>
    <col min="10305" max="10305" width="2.140625" style="221" customWidth="1"/>
    <col min="10306" max="10306" width="0.5703125" style="221" customWidth="1"/>
    <col min="10307" max="10307" width="2.140625" style="221" customWidth="1"/>
    <col min="10308" max="10308" width="0.5703125" style="221" customWidth="1"/>
    <col min="10309" max="10309" width="2.140625" style="221" customWidth="1"/>
    <col min="10310" max="10310" width="0.5703125" style="221" customWidth="1"/>
    <col min="10311" max="10311" width="2.140625" style="221" customWidth="1"/>
    <col min="10312" max="10312" width="0.5703125" style="221" customWidth="1"/>
    <col min="10313" max="10313" width="2.140625" style="221" customWidth="1"/>
    <col min="10314" max="10314" width="0.5703125" style="221" customWidth="1"/>
    <col min="10315" max="10315" width="2.140625" style="221" customWidth="1"/>
    <col min="10316" max="10316" width="0.5703125" style="221" customWidth="1"/>
    <col min="10317" max="10317" width="2.140625" style="221" customWidth="1"/>
    <col min="10318" max="10318" width="0.5703125" style="221" customWidth="1"/>
    <col min="10319" max="10319" width="2.140625" style="221" customWidth="1"/>
    <col min="10320" max="10320" width="0.5703125" style="221" customWidth="1"/>
    <col min="10321" max="10321" width="2.140625" style="221" customWidth="1"/>
    <col min="10322" max="10322" width="0.5703125" style="221" customWidth="1"/>
    <col min="10323" max="10323" width="2.140625" style="221" customWidth="1"/>
    <col min="10324" max="10324" width="0.5703125" style="221" customWidth="1"/>
    <col min="10325" max="10325" width="2.140625" style="221" customWidth="1"/>
    <col min="10326" max="10326" width="0.5703125" style="221" customWidth="1"/>
    <col min="10327" max="10328" width="2.5703125" style="221" customWidth="1"/>
    <col min="10329" max="10496" width="9.140625" style="221"/>
    <col min="10497" max="10497" width="0.7109375" style="221" customWidth="1"/>
    <col min="10498" max="10498" width="0.42578125" style="221" customWidth="1"/>
    <col min="10499" max="10499" width="0.5703125" style="221" customWidth="1"/>
    <col min="10500" max="10500" width="0.28515625" style="221" customWidth="1"/>
    <col min="10501" max="10501" width="3.7109375" style="221" customWidth="1"/>
    <col min="10502" max="10502" width="1.140625" style="221" customWidth="1"/>
    <col min="10503" max="10507" width="0.7109375" style="221" customWidth="1"/>
    <col min="10508" max="10508" width="0.5703125" style="221" customWidth="1"/>
    <col min="10509" max="10521" width="0.7109375" style="221" customWidth="1"/>
    <col min="10522" max="10522" width="1.42578125" style="221" customWidth="1"/>
    <col min="10523" max="10523" width="0.5703125" style="221" customWidth="1"/>
    <col min="10524" max="10524" width="3.42578125" style="221" customWidth="1"/>
    <col min="10525" max="10525" width="0.5703125" style="221" customWidth="1"/>
    <col min="10526" max="10526" width="0.7109375" style="221" customWidth="1"/>
    <col min="10527" max="10527" width="2.140625" style="221" customWidth="1"/>
    <col min="10528" max="10528" width="0.5703125" style="221" customWidth="1"/>
    <col min="10529" max="10529" width="2.140625" style="221" customWidth="1"/>
    <col min="10530" max="10530" width="0.5703125" style="221" customWidth="1"/>
    <col min="10531" max="10531" width="2.140625" style="221" customWidth="1"/>
    <col min="10532" max="10532" width="0.5703125" style="221" customWidth="1"/>
    <col min="10533" max="10533" width="2.140625" style="221" customWidth="1"/>
    <col min="10534" max="10534" width="0.5703125" style="221" customWidth="1"/>
    <col min="10535" max="10535" width="2.140625" style="221" customWidth="1"/>
    <col min="10536" max="10536" width="0.5703125" style="221" customWidth="1"/>
    <col min="10537" max="10537" width="2.140625" style="221" customWidth="1"/>
    <col min="10538" max="10538" width="0.5703125" style="221" customWidth="1"/>
    <col min="10539" max="10539" width="2.140625" style="221" customWidth="1"/>
    <col min="10540" max="10540" width="0.5703125" style="221" customWidth="1"/>
    <col min="10541" max="10541" width="2.7109375" style="221" customWidth="1"/>
    <col min="10542" max="10542" width="0.5703125" style="221" customWidth="1"/>
    <col min="10543" max="10543" width="2.140625" style="221" customWidth="1"/>
    <col min="10544" max="10544" width="0.5703125" style="221" customWidth="1"/>
    <col min="10545" max="10545" width="2.140625" style="221" customWidth="1"/>
    <col min="10546" max="10546" width="0.5703125" style="221" customWidth="1"/>
    <col min="10547" max="10547" width="2.140625" style="221" customWidth="1"/>
    <col min="10548" max="10549" width="0.5703125" style="221" customWidth="1"/>
    <col min="10550" max="10550" width="2.140625" style="221" customWidth="1"/>
    <col min="10551" max="10551" width="0.5703125" style="221" customWidth="1"/>
    <col min="10552" max="10552" width="2.140625" style="221" customWidth="1"/>
    <col min="10553" max="10553" width="0.5703125" style="221" customWidth="1"/>
    <col min="10554" max="10554" width="2.140625" style="221" customWidth="1"/>
    <col min="10555" max="10555" width="0.5703125" style="221" customWidth="1"/>
    <col min="10556" max="10556" width="2.140625" style="221" customWidth="1"/>
    <col min="10557" max="10557" width="0.5703125" style="221" customWidth="1"/>
    <col min="10558" max="10558" width="2" style="221" customWidth="1"/>
    <col min="10559" max="10560" width="0.5703125" style="221" customWidth="1"/>
    <col min="10561" max="10561" width="2.140625" style="221" customWidth="1"/>
    <col min="10562" max="10562" width="0.5703125" style="221" customWidth="1"/>
    <col min="10563" max="10563" width="2.140625" style="221" customWidth="1"/>
    <col min="10564" max="10564" width="0.5703125" style="221" customWidth="1"/>
    <col min="10565" max="10565" width="2.140625" style="221" customWidth="1"/>
    <col min="10566" max="10566" width="0.5703125" style="221" customWidth="1"/>
    <col min="10567" max="10567" width="2.140625" style="221" customWidth="1"/>
    <col min="10568" max="10568" width="0.5703125" style="221" customWidth="1"/>
    <col min="10569" max="10569" width="2.140625" style="221" customWidth="1"/>
    <col min="10570" max="10570" width="0.5703125" style="221" customWidth="1"/>
    <col min="10571" max="10571" width="2.140625" style="221" customWidth="1"/>
    <col min="10572" max="10572" width="0.5703125" style="221" customWidth="1"/>
    <col min="10573" max="10573" width="2.140625" style="221" customWidth="1"/>
    <col min="10574" max="10574" width="0.5703125" style="221" customWidth="1"/>
    <col min="10575" max="10575" width="2.140625" style="221" customWidth="1"/>
    <col min="10576" max="10576" width="0.5703125" style="221" customWidth="1"/>
    <col min="10577" max="10577" width="2.140625" style="221" customWidth="1"/>
    <col min="10578" max="10578" width="0.5703125" style="221" customWidth="1"/>
    <col min="10579" max="10579" width="2.140625" style="221" customWidth="1"/>
    <col min="10580" max="10580" width="0.5703125" style="221" customWidth="1"/>
    <col min="10581" max="10581" width="2.140625" style="221" customWidth="1"/>
    <col min="10582" max="10582" width="0.5703125" style="221" customWidth="1"/>
    <col min="10583" max="10584" width="2.5703125" style="221" customWidth="1"/>
    <col min="10585" max="10752" width="9.140625" style="221"/>
    <col min="10753" max="10753" width="0.7109375" style="221" customWidth="1"/>
    <col min="10754" max="10754" width="0.42578125" style="221" customWidth="1"/>
    <col min="10755" max="10755" width="0.5703125" style="221" customWidth="1"/>
    <col min="10756" max="10756" width="0.28515625" style="221" customWidth="1"/>
    <col min="10757" max="10757" width="3.7109375" style="221" customWidth="1"/>
    <col min="10758" max="10758" width="1.140625" style="221" customWidth="1"/>
    <col min="10759" max="10763" width="0.7109375" style="221" customWidth="1"/>
    <col min="10764" max="10764" width="0.5703125" style="221" customWidth="1"/>
    <col min="10765" max="10777" width="0.7109375" style="221" customWidth="1"/>
    <col min="10778" max="10778" width="1.42578125" style="221" customWidth="1"/>
    <col min="10779" max="10779" width="0.5703125" style="221" customWidth="1"/>
    <col min="10780" max="10780" width="3.42578125" style="221" customWidth="1"/>
    <col min="10781" max="10781" width="0.5703125" style="221" customWidth="1"/>
    <col min="10782" max="10782" width="0.7109375" style="221" customWidth="1"/>
    <col min="10783" max="10783" width="2.140625" style="221" customWidth="1"/>
    <col min="10784" max="10784" width="0.5703125" style="221" customWidth="1"/>
    <col min="10785" max="10785" width="2.140625" style="221" customWidth="1"/>
    <col min="10786" max="10786" width="0.5703125" style="221" customWidth="1"/>
    <col min="10787" max="10787" width="2.140625" style="221" customWidth="1"/>
    <col min="10788" max="10788" width="0.5703125" style="221" customWidth="1"/>
    <col min="10789" max="10789" width="2.140625" style="221" customWidth="1"/>
    <col min="10790" max="10790" width="0.5703125" style="221" customWidth="1"/>
    <col min="10791" max="10791" width="2.140625" style="221" customWidth="1"/>
    <col min="10792" max="10792" width="0.5703125" style="221" customWidth="1"/>
    <col min="10793" max="10793" width="2.140625" style="221" customWidth="1"/>
    <col min="10794" max="10794" width="0.5703125" style="221" customWidth="1"/>
    <col min="10795" max="10795" width="2.140625" style="221" customWidth="1"/>
    <col min="10796" max="10796" width="0.5703125" style="221" customWidth="1"/>
    <col min="10797" max="10797" width="2.7109375" style="221" customWidth="1"/>
    <col min="10798" max="10798" width="0.5703125" style="221" customWidth="1"/>
    <col min="10799" max="10799" width="2.140625" style="221" customWidth="1"/>
    <col min="10800" max="10800" width="0.5703125" style="221" customWidth="1"/>
    <col min="10801" max="10801" width="2.140625" style="221" customWidth="1"/>
    <col min="10802" max="10802" width="0.5703125" style="221" customWidth="1"/>
    <col min="10803" max="10803" width="2.140625" style="221" customWidth="1"/>
    <col min="10804" max="10805" width="0.5703125" style="221" customWidth="1"/>
    <col min="10806" max="10806" width="2.140625" style="221" customWidth="1"/>
    <col min="10807" max="10807" width="0.5703125" style="221" customWidth="1"/>
    <col min="10808" max="10808" width="2.140625" style="221" customWidth="1"/>
    <col min="10809" max="10809" width="0.5703125" style="221" customWidth="1"/>
    <col min="10810" max="10810" width="2.140625" style="221" customWidth="1"/>
    <col min="10811" max="10811" width="0.5703125" style="221" customWidth="1"/>
    <col min="10812" max="10812" width="2.140625" style="221" customWidth="1"/>
    <col min="10813" max="10813" width="0.5703125" style="221" customWidth="1"/>
    <col min="10814" max="10814" width="2" style="221" customWidth="1"/>
    <col min="10815" max="10816" width="0.5703125" style="221" customWidth="1"/>
    <col min="10817" max="10817" width="2.140625" style="221" customWidth="1"/>
    <col min="10818" max="10818" width="0.5703125" style="221" customWidth="1"/>
    <col min="10819" max="10819" width="2.140625" style="221" customWidth="1"/>
    <col min="10820" max="10820" width="0.5703125" style="221" customWidth="1"/>
    <col min="10821" max="10821" width="2.140625" style="221" customWidth="1"/>
    <col min="10822" max="10822" width="0.5703125" style="221" customWidth="1"/>
    <col min="10823" max="10823" width="2.140625" style="221" customWidth="1"/>
    <col min="10824" max="10824" width="0.5703125" style="221" customWidth="1"/>
    <col min="10825" max="10825" width="2.140625" style="221" customWidth="1"/>
    <col min="10826" max="10826" width="0.5703125" style="221" customWidth="1"/>
    <col min="10827" max="10827" width="2.140625" style="221" customWidth="1"/>
    <col min="10828" max="10828" width="0.5703125" style="221" customWidth="1"/>
    <col min="10829" max="10829" width="2.140625" style="221" customWidth="1"/>
    <col min="10830" max="10830" width="0.5703125" style="221" customWidth="1"/>
    <col min="10831" max="10831" width="2.140625" style="221" customWidth="1"/>
    <col min="10832" max="10832" width="0.5703125" style="221" customWidth="1"/>
    <col min="10833" max="10833" width="2.140625" style="221" customWidth="1"/>
    <col min="10834" max="10834" width="0.5703125" style="221" customWidth="1"/>
    <col min="10835" max="10835" width="2.140625" style="221" customWidth="1"/>
    <col min="10836" max="10836" width="0.5703125" style="221" customWidth="1"/>
    <col min="10837" max="10837" width="2.140625" style="221" customWidth="1"/>
    <col min="10838" max="10838" width="0.5703125" style="221" customWidth="1"/>
    <col min="10839" max="10840" width="2.5703125" style="221" customWidth="1"/>
    <col min="10841" max="11008" width="9.140625" style="221"/>
    <col min="11009" max="11009" width="0.7109375" style="221" customWidth="1"/>
    <col min="11010" max="11010" width="0.42578125" style="221" customWidth="1"/>
    <col min="11011" max="11011" width="0.5703125" style="221" customWidth="1"/>
    <col min="11012" max="11012" width="0.28515625" style="221" customWidth="1"/>
    <col min="11013" max="11013" width="3.7109375" style="221" customWidth="1"/>
    <col min="11014" max="11014" width="1.140625" style="221" customWidth="1"/>
    <col min="11015" max="11019" width="0.7109375" style="221" customWidth="1"/>
    <col min="11020" max="11020" width="0.5703125" style="221" customWidth="1"/>
    <col min="11021" max="11033" width="0.7109375" style="221" customWidth="1"/>
    <col min="11034" max="11034" width="1.42578125" style="221" customWidth="1"/>
    <col min="11035" max="11035" width="0.5703125" style="221" customWidth="1"/>
    <col min="11036" max="11036" width="3.42578125" style="221" customWidth="1"/>
    <col min="11037" max="11037" width="0.5703125" style="221" customWidth="1"/>
    <col min="11038" max="11038" width="0.7109375" style="221" customWidth="1"/>
    <col min="11039" max="11039" width="2.140625" style="221" customWidth="1"/>
    <col min="11040" max="11040" width="0.5703125" style="221" customWidth="1"/>
    <col min="11041" max="11041" width="2.140625" style="221" customWidth="1"/>
    <col min="11042" max="11042" width="0.5703125" style="221" customWidth="1"/>
    <col min="11043" max="11043" width="2.140625" style="221" customWidth="1"/>
    <col min="11044" max="11044" width="0.5703125" style="221" customWidth="1"/>
    <col min="11045" max="11045" width="2.140625" style="221" customWidth="1"/>
    <col min="11046" max="11046" width="0.5703125" style="221" customWidth="1"/>
    <col min="11047" max="11047" width="2.140625" style="221" customWidth="1"/>
    <col min="11048" max="11048" width="0.5703125" style="221" customWidth="1"/>
    <col min="11049" max="11049" width="2.140625" style="221" customWidth="1"/>
    <col min="11050" max="11050" width="0.5703125" style="221" customWidth="1"/>
    <col min="11051" max="11051" width="2.140625" style="221" customWidth="1"/>
    <col min="11052" max="11052" width="0.5703125" style="221" customWidth="1"/>
    <col min="11053" max="11053" width="2.7109375" style="221" customWidth="1"/>
    <col min="11054" max="11054" width="0.5703125" style="221" customWidth="1"/>
    <col min="11055" max="11055" width="2.140625" style="221" customWidth="1"/>
    <col min="11056" max="11056" width="0.5703125" style="221" customWidth="1"/>
    <col min="11057" max="11057" width="2.140625" style="221" customWidth="1"/>
    <col min="11058" max="11058" width="0.5703125" style="221" customWidth="1"/>
    <col min="11059" max="11059" width="2.140625" style="221" customWidth="1"/>
    <col min="11060" max="11061" width="0.5703125" style="221" customWidth="1"/>
    <col min="11062" max="11062" width="2.140625" style="221" customWidth="1"/>
    <col min="11063" max="11063" width="0.5703125" style="221" customWidth="1"/>
    <col min="11064" max="11064" width="2.140625" style="221" customWidth="1"/>
    <col min="11065" max="11065" width="0.5703125" style="221" customWidth="1"/>
    <col min="11066" max="11066" width="2.140625" style="221" customWidth="1"/>
    <col min="11067" max="11067" width="0.5703125" style="221" customWidth="1"/>
    <col min="11068" max="11068" width="2.140625" style="221" customWidth="1"/>
    <col min="11069" max="11069" width="0.5703125" style="221" customWidth="1"/>
    <col min="11070" max="11070" width="2" style="221" customWidth="1"/>
    <col min="11071" max="11072" width="0.5703125" style="221" customWidth="1"/>
    <col min="11073" max="11073" width="2.140625" style="221" customWidth="1"/>
    <col min="11074" max="11074" width="0.5703125" style="221" customWidth="1"/>
    <col min="11075" max="11075" width="2.140625" style="221" customWidth="1"/>
    <col min="11076" max="11076" width="0.5703125" style="221" customWidth="1"/>
    <col min="11077" max="11077" width="2.140625" style="221" customWidth="1"/>
    <col min="11078" max="11078" width="0.5703125" style="221" customWidth="1"/>
    <col min="11079" max="11079" width="2.140625" style="221" customWidth="1"/>
    <col min="11080" max="11080" width="0.5703125" style="221" customWidth="1"/>
    <col min="11081" max="11081" width="2.140625" style="221" customWidth="1"/>
    <col min="11082" max="11082" width="0.5703125" style="221" customWidth="1"/>
    <col min="11083" max="11083" width="2.140625" style="221" customWidth="1"/>
    <col min="11084" max="11084" width="0.5703125" style="221" customWidth="1"/>
    <col min="11085" max="11085" width="2.140625" style="221" customWidth="1"/>
    <col min="11086" max="11086" width="0.5703125" style="221" customWidth="1"/>
    <col min="11087" max="11087" width="2.140625" style="221" customWidth="1"/>
    <col min="11088" max="11088" width="0.5703125" style="221" customWidth="1"/>
    <col min="11089" max="11089" width="2.140625" style="221" customWidth="1"/>
    <col min="11090" max="11090" width="0.5703125" style="221" customWidth="1"/>
    <col min="11091" max="11091" width="2.140625" style="221" customWidth="1"/>
    <col min="11092" max="11092" width="0.5703125" style="221" customWidth="1"/>
    <col min="11093" max="11093" width="2.140625" style="221" customWidth="1"/>
    <col min="11094" max="11094" width="0.5703125" style="221" customWidth="1"/>
    <col min="11095" max="11096" width="2.5703125" style="221" customWidth="1"/>
    <col min="11097" max="11264" width="9.140625" style="221"/>
    <col min="11265" max="11265" width="0.7109375" style="221" customWidth="1"/>
    <col min="11266" max="11266" width="0.42578125" style="221" customWidth="1"/>
    <col min="11267" max="11267" width="0.5703125" style="221" customWidth="1"/>
    <col min="11268" max="11268" width="0.28515625" style="221" customWidth="1"/>
    <col min="11269" max="11269" width="3.7109375" style="221" customWidth="1"/>
    <col min="11270" max="11270" width="1.140625" style="221" customWidth="1"/>
    <col min="11271" max="11275" width="0.7109375" style="221" customWidth="1"/>
    <col min="11276" max="11276" width="0.5703125" style="221" customWidth="1"/>
    <col min="11277" max="11289" width="0.7109375" style="221" customWidth="1"/>
    <col min="11290" max="11290" width="1.42578125" style="221" customWidth="1"/>
    <col min="11291" max="11291" width="0.5703125" style="221" customWidth="1"/>
    <col min="11292" max="11292" width="3.42578125" style="221" customWidth="1"/>
    <col min="11293" max="11293" width="0.5703125" style="221" customWidth="1"/>
    <col min="11294" max="11294" width="0.7109375" style="221" customWidth="1"/>
    <col min="11295" max="11295" width="2.140625" style="221" customWidth="1"/>
    <col min="11296" max="11296" width="0.5703125" style="221" customWidth="1"/>
    <col min="11297" max="11297" width="2.140625" style="221" customWidth="1"/>
    <col min="11298" max="11298" width="0.5703125" style="221" customWidth="1"/>
    <col min="11299" max="11299" width="2.140625" style="221" customWidth="1"/>
    <col min="11300" max="11300" width="0.5703125" style="221" customWidth="1"/>
    <col min="11301" max="11301" width="2.140625" style="221" customWidth="1"/>
    <col min="11302" max="11302" width="0.5703125" style="221" customWidth="1"/>
    <col min="11303" max="11303" width="2.140625" style="221" customWidth="1"/>
    <col min="11304" max="11304" width="0.5703125" style="221" customWidth="1"/>
    <col min="11305" max="11305" width="2.140625" style="221" customWidth="1"/>
    <col min="11306" max="11306" width="0.5703125" style="221" customWidth="1"/>
    <col min="11307" max="11307" width="2.140625" style="221" customWidth="1"/>
    <col min="11308" max="11308" width="0.5703125" style="221" customWidth="1"/>
    <col min="11309" max="11309" width="2.7109375" style="221" customWidth="1"/>
    <col min="11310" max="11310" width="0.5703125" style="221" customWidth="1"/>
    <col min="11311" max="11311" width="2.140625" style="221" customWidth="1"/>
    <col min="11312" max="11312" width="0.5703125" style="221" customWidth="1"/>
    <col min="11313" max="11313" width="2.140625" style="221" customWidth="1"/>
    <col min="11314" max="11314" width="0.5703125" style="221" customWidth="1"/>
    <col min="11315" max="11315" width="2.140625" style="221" customWidth="1"/>
    <col min="11316" max="11317" width="0.5703125" style="221" customWidth="1"/>
    <col min="11318" max="11318" width="2.140625" style="221" customWidth="1"/>
    <col min="11319" max="11319" width="0.5703125" style="221" customWidth="1"/>
    <col min="11320" max="11320" width="2.140625" style="221" customWidth="1"/>
    <col min="11321" max="11321" width="0.5703125" style="221" customWidth="1"/>
    <col min="11322" max="11322" width="2.140625" style="221" customWidth="1"/>
    <col min="11323" max="11323" width="0.5703125" style="221" customWidth="1"/>
    <col min="11324" max="11324" width="2.140625" style="221" customWidth="1"/>
    <col min="11325" max="11325" width="0.5703125" style="221" customWidth="1"/>
    <col min="11326" max="11326" width="2" style="221" customWidth="1"/>
    <col min="11327" max="11328" width="0.5703125" style="221" customWidth="1"/>
    <col min="11329" max="11329" width="2.140625" style="221" customWidth="1"/>
    <col min="11330" max="11330" width="0.5703125" style="221" customWidth="1"/>
    <col min="11331" max="11331" width="2.140625" style="221" customWidth="1"/>
    <col min="11332" max="11332" width="0.5703125" style="221" customWidth="1"/>
    <col min="11333" max="11333" width="2.140625" style="221" customWidth="1"/>
    <col min="11334" max="11334" width="0.5703125" style="221" customWidth="1"/>
    <col min="11335" max="11335" width="2.140625" style="221" customWidth="1"/>
    <col min="11336" max="11336" width="0.5703125" style="221" customWidth="1"/>
    <col min="11337" max="11337" width="2.140625" style="221" customWidth="1"/>
    <col min="11338" max="11338" width="0.5703125" style="221" customWidth="1"/>
    <col min="11339" max="11339" width="2.140625" style="221" customWidth="1"/>
    <col min="11340" max="11340" width="0.5703125" style="221" customWidth="1"/>
    <col min="11341" max="11341" width="2.140625" style="221" customWidth="1"/>
    <col min="11342" max="11342" width="0.5703125" style="221" customWidth="1"/>
    <col min="11343" max="11343" width="2.140625" style="221" customWidth="1"/>
    <col min="11344" max="11344" width="0.5703125" style="221" customWidth="1"/>
    <col min="11345" max="11345" width="2.140625" style="221" customWidth="1"/>
    <col min="11346" max="11346" width="0.5703125" style="221" customWidth="1"/>
    <col min="11347" max="11347" width="2.140625" style="221" customWidth="1"/>
    <col min="11348" max="11348" width="0.5703125" style="221" customWidth="1"/>
    <col min="11349" max="11349" width="2.140625" style="221" customWidth="1"/>
    <col min="11350" max="11350" width="0.5703125" style="221" customWidth="1"/>
    <col min="11351" max="11352" width="2.5703125" style="221" customWidth="1"/>
    <col min="11353" max="11520" width="9.140625" style="221"/>
    <col min="11521" max="11521" width="0.7109375" style="221" customWidth="1"/>
    <col min="11522" max="11522" width="0.42578125" style="221" customWidth="1"/>
    <col min="11523" max="11523" width="0.5703125" style="221" customWidth="1"/>
    <col min="11524" max="11524" width="0.28515625" style="221" customWidth="1"/>
    <col min="11525" max="11525" width="3.7109375" style="221" customWidth="1"/>
    <col min="11526" max="11526" width="1.140625" style="221" customWidth="1"/>
    <col min="11527" max="11531" width="0.7109375" style="221" customWidth="1"/>
    <col min="11532" max="11532" width="0.5703125" style="221" customWidth="1"/>
    <col min="11533" max="11545" width="0.7109375" style="221" customWidth="1"/>
    <col min="11546" max="11546" width="1.42578125" style="221" customWidth="1"/>
    <col min="11547" max="11547" width="0.5703125" style="221" customWidth="1"/>
    <col min="11548" max="11548" width="3.42578125" style="221" customWidth="1"/>
    <col min="11549" max="11549" width="0.5703125" style="221" customWidth="1"/>
    <col min="11550" max="11550" width="0.7109375" style="221" customWidth="1"/>
    <col min="11551" max="11551" width="2.140625" style="221" customWidth="1"/>
    <col min="11552" max="11552" width="0.5703125" style="221" customWidth="1"/>
    <col min="11553" max="11553" width="2.140625" style="221" customWidth="1"/>
    <col min="11554" max="11554" width="0.5703125" style="221" customWidth="1"/>
    <col min="11555" max="11555" width="2.140625" style="221" customWidth="1"/>
    <col min="11556" max="11556" width="0.5703125" style="221" customWidth="1"/>
    <col min="11557" max="11557" width="2.140625" style="221" customWidth="1"/>
    <col min="11558" max="11558" width="0.5703125" style="221" customWidth="1"/>
    <col min="11559" max="11559" width="2.140625" style="221" customWidth="1"/>
    <col min="11560" max="11560" width="0.5703125" style="221" customWidth="1"/>
    <col min="11561" max="11561" width="2.140625" style="221" customWidth="1"/>
    <col min="11562" max="11562" width="0.5703125" style="221" customWidth="1"/>
    <col min="11563" max="11563" width="2.140625" style="221" customWidth="1"/>
    <col min="11564" max="11564" width="0.5703125" style="221" customWidth="1"/>
    <col min="11565" max="11565" width="2.7109375" style="221" customWidth="1"/>
    <col min="11566" max="11566" width="0.5703125" style="221" customWidth="1"/>
    <col min="11567" max="11567" width="2.140625" style="221" customWidth="1"/>
    <col min="11568" max="11568" width="0.5703125" style="221" customWidth="1"/>
    <col min="11569" max="11569" width="2.140625" style="221" customWidth="1"/>
    <col min="11570" max="11570" width="0.5703125" style="221" customWidth="1"/>
    <col min="11571" max="11571" width="2.140625" style="221" customWidth="1"/>
    <col min="11572" max="11573" width="0.5703125" style="221" customWidth="1"/>
    <col min="11574" max="11574" width="2.140625" style="221" customWidth="1"/>
    <col min="11575" max="11575" width="0.5703125" style="221" customWidth="1"/>
    <col min="11576" max="11576" width="2.140625" style="221" customWidth="1"/>
    <col min="11577" max="11577" width="0.5703125" style="221" customWidth="1"/>
    <col min="11578" max="11578" width="2.140625" style="221" customWidth="1"/>
    <col min="11579" max="11579" width="0.5703125" style="221" customWidth="1"/>
    <col min="11580" max="11580" width="2.140625" style="221" customWidth="1"/>
    <col min="11581" max="11581" width="0.5703125" style="221" customWidth="1"/>
    <col min="11582" max="11582" width="2" style="221" customWidth="1"/>
    <col min="11583" max="11584" width="0.5703125" style="221" customWidth="1"/>
    <col min="11585" max="11585" width="2.140625" style="221" customWidth="1"/>
    <col min="11586" max="11586" width="0.5703125" style="221" customWidth="1"/>
    <col min="11587" max="11587" width="2.140625" style="221" customWidth="1"/>
    <col min="11588" max="11588" width="0.5703125" style="221" customWidth="1"/>
    <col min="11589" max="11589" width="2.140625" style="221" customWidth="1"/>
    <col min="11590" max="11590" width="0.5703125" style="221" customWidth="1"/>
    <col min="11591" max="11591" width="2.140625" style="221" customWidth="1"/>
    <col min="11592" max="11592" width="0.5703125" style="221" customWidth="1"/>
    <col min="11593" max="11593" width="2.140625" style="221" customWidth="1"/>
    <col min="11594" max="11594" width="0.5703125" style="221" customWidth="1"/>
    <col min="11595" max="11595" width="2.140625" style="221" customWidth="1"/>
    <col min="11596" max="11596" width="0.5703125" style="221" customWidth="1"/>
    <col min="11597" max="11597" width="2.140625" style="221" customWidth="1"/>
    <col min="11598" max="11598" width="0.5703125" style="221" customWidth="1"/>
    <col min="11599" max="11599" width="2.140625" style="221" customWidth="1"/>
    <col min="11600" max="11600" width="0.5703125" style="221" customWidth="1"/>
    <col min="11601" max="11601" width="2.140625" style="221" customWidth="1"/>
    <col min="11602" max="11602" width="0.5703125" style="221" customWidth="1"/>
    <col min="11603" max="11603" width="2.140625" style="221" customWidth="1"/>
    <col min="11604" max="11604" width="0.5703125" style="221" customWidth="1"/>
    <col min="11605" max="11605" width="2.140625" style="221" customWidth="1"/>
    <col min="11606" max="11606" width="0.5703125" style="221" customWidth="1"/>
    <col min="11607" max="11608" width="2.5703125" style="221" customWidth="1"/>
    <col min="11609" max="11776" width="9.140625" style="221"/>
    <col min="11777" max="11777" width="0.7109375" style="221" customWidth="1"/>
    <col min="11778" max="11778" width="0.42578125" style="221" customWidth="1"/>
    <col min="11779" max="11779" width="0.5703125" style="221" customWidth="1"/>
    <col min="11780" max="11780" width="0.28515625" style="221" customWidth="1"/>
    <col min="11781" max="11781" width="3.7109375" style="221" customWidth="1"/>
    <col min="11782" max="11782" width="1.140625" style="221" customWidth="1"/>
    <col min="11783" max="11787" width="0.7109375" style="221" customWidth="1"/>
    <col min="11788" max="11788" width="0.5703125" style="221" customWidth="1"/>
    <col min="11789" max="11801" width="0.7109375" style="221" customWidth="1"/>
    <col min="11802" max="11802" width="1.42578125" style="221" customWidth="1"/>
    <col min="11803" max="11803" width="0.5703125" style="221" customWidth="1"/>
    <col min="11804" max="11804" width="3.42578125" style="221" customWidth="1"/>
    <col min="11805" max="11805" width="0.5703125" style="221" customWidth="1"/>
    <col min="11806" max="11806" width="0.7109375" style="221" customWidth="1"/>
    <col min="11807" max="11807" width="2.140625" style="221" customWidth="1"/>
    <col min="11808" max="11808" width="0.5703125" style="221" customWidth="1"/>
    <col min="11809" max="11809" width="2.140625" style="221" customWidth="1"/>
    <col min="11810" max="11810" width="0.5703125" style="221" customWidth="1"/>
    <col min="11811" max="11811" width="2.140625" style="221" customWidth="1"/>
    <col min="11812" max="11812" width="0.5703125" style="221" customWidth="1"/>
    <col min="11813" max="11813" width="2.140625" style="221" customWidth="1"/>
    <col min="11814" max="11814" width="0.5703125" style="221" customWidth="1"/>
    <col min="11815" max="11815" width="2.140625" style="221" customWidth="1"/>
    <col min="11816" max="11816" width="0.5703125" style="221" customWidth="1"/>
    <col min="11817" max="11817" width="2.140625" style="221" customWidth="1"/>
    <col min="11818" max="11818" width="0.5703125" style="221" customWidth="1"/>
    <col min="11819" max="11819" width="2.140625" style="221" customWidth="1"/>
    <col min="11820" max="11820" width="0.5703125" style="221" customWidth="1"/>
    <col min="11821" max="11821" width="2.7109375" style="221" customWidth="1"/>
    <col min="11822" max="11822" width="0.5703125" style="221" customWidth="1"/>
    <col min="11823" max="11823" width="2.140625" style="221" customWidth="1"/>
    <col min="11824" max="11824" width="0.5703125" style="221" customWidth="1"/>
    <col min="11825" max="11825" width="2.140625" style="221" customWidth="1"/>
    <col min="11826" max="11826" width="0.5703125" style="221" customWidth="1"/>
    <col min="11827" max="11827" width="2.140625" style="221" customWidth="1"/>
    <col min="11828" max="11829" width="0.5703125" style="221" customWidth="1"/>
    <col min="11830" max="11830" width="2.140625" style="221" customWidth="1"/>
    <col min="11831" max="11831" width="0.5703125" style="221" customWidth="1"/>
    <col min="11832" max="11832" width="2.140625" style="221" customWidth="1"/>
    <col min="11833" max="11833" width="0.5703125" style="221" customWidth="1"/>
    <col min="11834" max="11834" width="2.140625" style="221" customWidth="1"/>
    <col min="11835" max="11835" width="0.5703125" style="221" customWidth="1"/>
    <col min="11836" max="11836" width="2.140625" style="221" customWidth="1"/>
    <col min="11837" max="11837" width="0.5703125" style="221" customWidth="1"/>
    <col min="11838" max="11838" width="2" style="221" customWidth="1"/>
    <col min="11839" max="11840" width="0.5703125" style="221" customWidth="1"/>
    <col min="11841" max="11841" width="2.140625" style="221" customWidth="1"/>
    <col min="11842" max="11842" width="0.5703125" style="221" customWidth="1"/>
    <col min="11843" max="11843" width="2.140625" style="221" customWidth="1"/>
    <col min="11844" max="11844" width="0.5703125" style="221" customWidth="1"/>
    <col min="11845" max="11845" width="2.140625" style="221" customWidth="1"/>
    <col min="11846" max="11846" width="0.5703125" style="221" customWidth="1"/>
    <col min="11847" max="11847" width="2.140625" style="221" customWidth="1"/>
    <col min="11848" max="11848" width="0.5703125" style="221" customWidth="1"/>
    <col min="11849" max="11849" width="2.140625" style="221" customWidth="1"/>
    <col min="11850" max="11850" width="0.5703125" style="221" customWidth="1"/>
    <col min="11851" max="11851" width="2.140625" style="221" customWidth="1"/>
    <col min="11852" max="11852" width="0.5703125" style="221" customWidth="1"/>
    <col min="11853" max="11853" width="2.140625" style="221" customWidth="1"/>
    <col min="11854" max="11854" width="0.5703125" style="221" customWidth="1"/>
    <col min="11855" max="11855" width="2.140625" style="221" customWidth="1"/>
    <col min="11856" max="11856" width="0.5703125" style="221" customWidth="1"/>
    <col min="11857" max="11857" width="2.140625" style="221" customWidth="1"/>
    <col min="11858" max="11858" width="0.5703125" style="221" customWidth="1"/>
    <col min="11859" max="11859" width="2.140625" style="221" customWidth="1"/>
    <col min="11860" max="11860" width="0.5703125" style="221" customWidth="1"/>
    <col min="11861" max="11861" width="2.140625" style="221" customWidth="1"/>
    <col min="11862" max="11862" width="0.5703125" style="221" customWidth="1"/>
    <col min="11863" max="11864" width="2.5703125" style="221" customWidth="1"/>
    <col min="11865" max="12032" width="9.140625" style="221"/>
    <col min="12033" max="12033" width="0.7109375" style="221" customWidth="1"/>
    <col min="12034" max="12034" width="0.42578125" style="221" customWidth="1"/>
    <col min="12035" max="12035" width="0.5703125" style="221" customWidth="1"/>
    <col min="12036" max="12036" width="0.28515625" style="221" customWidth="1"/>
    <col min="12037" max="12037" width="3.7109375" style="221" customWidth="1"/>
    <col min="12038" max="12038" width="1.140625" style="221" customWidth="1"/>
    <col min="12039" max="12043" width="0.7109375" style="221" customWidth="1"/>
    <col min="12044" max="12044" width="0.5703125" style="221" customWidth="1"/>
    <col min="12045" max="12057" width="0.7109375" style="221" customWidth="1"/>
    <col min="12058" max="12058" width="1.42578125" style="221" customWidth="1"/>
    <col min="12059" max="12059" width="0.5703125" style="221" customWidth="1"/>
    <col min="12060" max="12060" width="3.42578125" style="221" customWidth="1"/>
    <col min="12061" max="12061" width="0.5703125" style="221" customWidth="1"/>
    <col min="12062" max="12062" width="0.7109375" style="221" customWidth="1"/>
    <col min="12063" max="12063" width="2.140625" style="221" customWidth="1"/>
    <col min="12064" max="12064" width="0.5703125" style="221" customWidth="1"/>
    <col min="12065" max="12065" width="2.140625" style="221" customWidth="1"/>
    <col min="12066" max="12066" width="0.5703125" style="221" customWidth="1"/>
    <col min="12067" max="12067" width="2.140625" style="221" customWidth="1"/>
    <col min="12068" max="12068" width="0.5703125" style="221" customWidth="1"/>
    <col min="12069" max="12069" width="2.140625" style="221" customWidth="1"/>
    <col min="12070" max="12070" width="0.5703125" style="221" customWidth="1"/>
    <col min="12071" max="12071" width="2.140625" style="221" customWidth="1"/>
    <col min="12072" max="12072" width="0.5703125" style="221" customWidth="1"/>
    <col min="12073" max="12073" width="2.140625" style="221" customWidth="1"/>
    <col min="12074" max="12074" width="0.5703125" style="221" customWidth="1"/>
    <col min="12075" max="12075" width="2.140625" style="221" customWidth="1"/>
    <col min="12076" max="12076" width="0.5703125" style="221" customWidth="1"/>
    <col min="12077" max="12077" width="2.7109375" style="221" customWidth="1"/>
    <col min="12078" max="12078" width="0.5703125" style="221" customWidth="1"/>
    <col min="12079" max="12079" width="2.140625" style="221" customWidth="1"/>
    <col min="12080" max="12080" width="0.5703125" style="221" customWidth="1"/>
    <col min="12081" max="12081" width="2.140625" style="221" customWidth="1"/>
    <col min="12082" max="12082" width="0.5703125" style="221" customWidth="1"/>
    <col min="12083" max="12083" width="2.140625" style="221" customWidth="1"/>
    <col min="12084" max="12085" width="0.5703125" style="221" customWidth="1"/>
    <col min="12086" max="12086" width="2.140625" style="221" customWidth="1"/>
    <col min="12087" max="12087" width="0.5703125" style="221" customWidth="1"/>
    <col min="12088" max="12088" width="2.140625" style="221" customWidth="1"/>
    <col min="12089" max="12089" width="0.5703125" style="221" customWidth="1"/>
    <col min="12090" max="12090" width="2.140625" style="221" customWidth="1"/>
    <col min="12091" max="12091" width="0.5703125" style="221" customWidth="1"/>
    <col min="12092" max="12092" width="2.140625" style="221" customWidth="1"/>
    <col min="12093" max="12093" width="0.5703125" style="221" customWidth="1"/>
    <col min="12094" max="12094" width="2" style="221" customWidth="1"/>
    <col min="12095" max="12096" width="0.5703125" style="221" customWidth="1"/>
    <col min="12097" max="12097" width="2.140625" style="221" customWidth="1"/>
    <col min="12098" max="12098" width="0.5703125" style="221" customWidth="1"/>
    <col min="12099" max="12099" width="2.140625" style="221" customWidth="1"/>
    <col min="12100" max="12100" width="0.5703125" style="221" customWidth="1"/>
    <col min="12101" max="12101" width="2.140625" style="221" customWidth="1"/>
    <col min="12102" max="12102" width="0.5703125" style="221" customWidth="1"/>
    <col min="12103" max="12103" width="2.140625" style="221" customWidth="1"/>
    <col min="12104" max="12104" width="0.5703125" style="221" customWidth="1"/>
    <col min="12105" max="12105" width="2.140625" style="221" customWidth="1"/>
    <col min="12106" max="12106" width="0.5703125" style="221" customWidth="1"/>
    <col min="12107" max="12107" width="2.140625" style="221" customWidth="1"/>
    <col min="12108" max="12108" width="0.5703125" style="221" customWidth="1"/>
    <col min="12109" max="12109" width="2.140625" style="221" customWidth="1"/>
    <col min="12110" max="12110" width="0.5703125" style="221" customWidth="1"/>
    <col min="12111" max="12111" width="2.140625" style="221" customWidth="1"/>
    <col min="12112" max="12112" width="0.5703125" style="221" customWidth="1"/>
    <col min="12113" max="12113" width="2.140625" style="221" customWidth="1"/>
    <col min="12114" max="12114" width="0.5703125" style="221" customWidth="1"/>
    <col min="12115" max="12115" width="2.140625" style="221" customWidth="1"/>
    <col min="12116" max="12116" width="0.5703125" style="221" customWidth="1"/>
    <col min="12117" max="12117" width="2.140625" style="221" customWidth="1"/>
    <col min="12118" max="12118" width="0.5703125" style="221" customWidth="1"/>
    <col min="12119" max="12120" width="2.5703125" style="221" customWidth="1"/>
    <col min="12121" max="12288" width="9.140625" style="221"/>
    <col min="12289" max="12289" width="0.7109375" style="221" customWidth="1"/>
    <col min="12290" max="12290" width="0.42578125" style="221" customWidth="1"/>
    <col min="12291" max="12291" width="0.5703125" style="221" customWidth="1"/>
    <col min="12292" max="12292" width="0.28515625" style="221" customWidth="1"/>
    <col min="12293" max="12293" width="3.7109375" style="221" customWidth="1"/>
    <col min="12294" max="12294" width="1.140625" style="221" customWidth="1"/>
    <col min="12295" max="12299" width="0.7109375" style="221" customWidth="1"/>
    <col min="12300" max="12300" width="0.5703125" style="221" customWidth="1"/>
    <col min="12301" max="12313" width="0.7109375" style="221" customWidth="1"/>
    <col min="12314" max="12314" width="1.42578125" style="221" customWidth="1"/>
    <col min="12315" max="12315" width="0.5703125" style="221" customWidth="1"/>
    <col min="12316" max="12316" width="3.42578125" style="221" customWidth="1"/>
    <col min="12317" max="12317" width="0.5703125" style="221" customWidth="1"/>
    <col min="12318" max="12318" width="0.7109375" style="221" customWidth="1"/>
    <col min="12319" max="12319" width="2.140625" style="221" customWidth="1"/>
    <col min="12320" max="12320" width="0.5703125" style="221" customWidth="1"/>
    <col min="12321" max="12321" width="2.140625" style="221" customWidth="1"/>
    <col min="12322" max="12322" width="0.5703125" style="221" customWidth="1"/>
    <col min="12323" max="12323" width="2.140625" style="221" customWidth="1"/>
    <col min="12324" max="12324" width="0.5703125" style="221" customWidth="1"/>
    <col min="12325" max="12325" width="2.140625" style="221" customWidth="1"/>
    <col min="12326" max="12326" width="0.5703125" style="221" customWidth="1"/>
    <col min="12327" max="12327" width="2.140625" style="221" customWidth="1"/>
    <col min="12328" max="12328" width="0.5703125" style="221" customWidth="1"/>
    <col min="12329" max="12329" width="2.140625" style="221" customWidth="1"/>
    <col min="12330" max="12330" width="0.5703125" style="221" customWidth="1"/>
    <col min="12331" max="12331" width="2.140625" style="221" customWidth="1"/>
    <col min="12332" max="12332" width="0.5703125" style="221" customWidth="1"/>
    <col min="12333" max="12333" width="2.7109375" style="221" customWidth="1"/>
    <col min="12334" max="12334" width="0.5703125" style="221" customWidth="1"/>
    <col min="12335" max="12335" width="2.140625" style="221" customWidth="1"/>
    <col min="12336" max="12336" width="0.5703125" style="221" customWidth="1"/>
    <col min="12337" max="12337" width="2.140625" style="221" customWidth="1"/>
    <col min="12338" max="12338" width="0.5703125" style="221" customWidth="1"/>
    <col min="12339" max="12339" width="2.140625" style="221" customWidth="1"/>
    <col min="12340" max="12341" width="0.5703125" style="221" customWidth="1"/>
    <col min="12342" max="12342" width="2.140625" style="221" customWidth="1"/>
    <col min="12343" max="12343" width="0.5703125" style="221" customWidth="1"/>
    <col min="12344" max="12344" width="2.140625" style="221" customWidth="1"/>
    <col min="12345" max="12345" width="0.5703125" style="221" customWidth="1"/>
    <col min="12346" max="12346" width="2.140625" style="221" customWidth="1"/>
    <col min="12347" max="12347" width="0.5703125" style="221" customWidth="1"/>
    <col min="12348" max="12348" width="2.140625" style="221" customWidth="1"/>
    <col min="12349" max="12349" width="0.5703125" style="221" customWidth="1"/>
    <col min="12350" max="12350" width="2" style="221" customWidth="1"/>
    <col min="12351" max="12352" width="0.5703125" style="221" customWidth="1"/>
    <col min="12353" max="12353" width="2.140625" style="221" customWidth="1"/>
    <col min="12354" max="12354" width="0.5703125" style="221" customWidth="1"/>
    <col min="12355" max="12355" width="2.140625" style="221" customWidth="1"/>
    <col min="12356" max="12356" width="0.5703125" style="221" customWidth="1"/>
    <col min="12357" max="12357" width="2.140625" style="221" customWidth="1"/>
    <col min="12358" max="12358" width="0.5703125" style="221" customWidth="1"/>
    <col min="12359" max="12359" width="2.140625" style="221" customWidth="1"/>
    <col min="12360" max="12360" width="0.5703125" style="221" customWidth="1"/>
    <col min="12361" max="12361" width="2.140625" style="221" customWidth="1"/>
    <col min="12362" max="12362" width="0.5703125" style="221" customWidth="1"/>
    <col min="12363" max="12363" width="2.140625" style="221" customWidth="1"/>
    <col min="12364" max="12364" width="0.5703125" style="221" customWidth="1"/>
    <col min="12365" max="12365" width="2.140625" style="221" customWidth="1"/>
    <col min="12366" max="12366" width="0.5703125" style="221" customWidth="1"/>
    <col min="12367" max="12367" width="2.140625" style="221" customWidth="1"/>
    <col min="12368" max="12368" width="0.5703125" style="221" customWidth="1"/>
    <col min="12369" max="12369" width="2.140625" style="221" customWidth="1"/>
    <col min="12370" max="12370" width="0.5703125" style="221" customWidth="1"/>
    <col min="12371" max="12371" width="2.140625" style="221" customWidth="1"/>
    <col min="12372" max="12372" width="0.5703125" style="221" customWidth="1"/>
    <col min="12373" max="12373" width="2.140625" style="221" customWidth="1"/>
    <col min="12374" max="12374" width="0.5703125" style="221" customWidth="1"/>
    <col min="12375" max="12376" width="2.5703125" style="221" customWidth="1"/>
    <col min="12377" max="12544" width="9.140625" style="221"/>
    <col min="12545" max="12545" width="0.7109375" style="221" customWidth="1"/>
    <col min="12546" max="12546" width="0.42578125" style="221" customWidth="1"/>
    <col min="12547" max="12547" width="0.5703125" style="221" customWidth="1"/>
    <col min="12548" max="12548" width="0.28515625" style="221" customWidth="1"/>
    <col min="12549" max="12549" width="3.7109375" style="221" customWidth="1"/>
    <col min="12550" max="12550" width="1.140625" style="221" customWidth="1"/>
    <col min="12551" max="12555" width="0.7109375" style="221" customWidth="1"/>
    <col min="12556" max="12556" width="0.5703125" style="221" customWidth="1"/>
    <col min="12557" max="12569" width="0.7109375" style="221" customWidth="1"/>
    <col min="12570" max="12570" width="1.42578125" style="221" customWidth="1"/>
    <col min="12571" max="12571" width="0.5703125" style="221" customWidth="1"/>
    <col min="12572" max="12572" width="3.42578125" style="221" customWidth="1"/>
    <col min="12573" max="12573" width="0.5703125" style="221" customWidth="1"/>
    <col min="12574" max="12574" width="0.7109375" style="221" customWidth="1"/>
    <col min="12575" max="12575" width="2.140625" style="221" customWidth="1"/>
    <col min="12576" max="12576" width="0.5703125" style="221" customWidth="1"/>
    <col min="12577" max="12577" width="2.140625" style="221" customWidth="1"/>
    <col min="12578" max="12578" width="0.5703125" style="221" customWidth="1"/>
    <col min="12579" max="12579" width="2.140625" style="221" customWidth="1"/>
    <col min="12580" max="12580" width="0.5703125" style="221" customWidth="1"/>
    <col min="12581" max="12581" width="2.140625" style="221" customWidth="1"/>
    <col min="12582" max="12582" width="0.5703125" style="221" customWidth="1"/>
    <col min="12583" max="12583" width="2.140625" style="221" customWidth="1"/>
    <col min="12584" max="12584" width="0.5703125" style="221" customWidth="1"/>
    <col min="12585" max="12585" width="2.140625" style="221" customWidth="1"/>
    <col min="12586" max="12586" width="0.5703125" style="221" customWidth="1"/>
    <col min="12587" max="12587" width="2.140625" style="221" customWidth="1"/>
    <col min="12588" max="12588" width="0.5703125" style="221" customWidth="1"/>
    <col min="12589" max="12589" width="2.7109375" style="221" customWidth="1"/>
    <col min="12590" max="12590" width="0.5703125" style="221" customWidth="1"/>
    <col min="12591" max="12591" width="2.140625" style="221" customWidth="1"/>
    <col min="12592" max="12592" width="0.5703125" style="221" customWidth="1"/>
    <col min="12593" max="12593" width="2.140625" style="221" customWidth="1"/>
    <col min="12594" max="12594" width="0.5703125" style="221" customWidth="1"/>
    <col min="12595" max="12595" width="2.140625" style="221" customWidth="1"/>
    <col min="12596" max="12597" width="0.5703125" style="221" customWidth="1"/>
    <col min="12598" max="12598" width="2.140625" style="221" customWidth="1"/>
    <col min="12599" max="12599" width="0.5703125" style="221" customWidth="1"/>
    <col min="12600" max="12600" width="2.140625" style="221" customWidth="1"/>
    <col min="12601" max="12601" width="0.5703125" style="221" customWidth="1"/>
    <col min="12602" max="12602" width="2.140625" style="221" customWidth="1"/>
    <col min="12603" max="12603" width="0.5703125" style="221" customWidth="1"/>
    <col min="12604" max="12604" width="2.140625" style="221" customWidth="1"/>
    <col min="12605" max="12605" width="0.5703125" style="221" customWidth="1"/>
    <col min="12606" max="12606" width="2" style="221" customWidth="1"/>
    <col min="12607" max="12608" width="0.5703125" style="221" customWidth="1"/>
    <col min="12609" max="12609" width="2.140625" style="221" customWidth="1"/>
    <col min="12610" max="12610" width="0.5703125" style="221" customWidth="1"/>
    <col min="12611" max="12611" width="2.140625" style="221" customWidth="1"/>
    <col min="12612" max="12612" width="0.5703125" style="221" customWidth="1"/>
    <col min="12613" max="12613" width="2.140625" style="221" customWidth="1"/>
    <col min="12614" max="12614" width="0.5703125" style="221" customWidth="1"/>
    <col min="12615" max="12615" width="2.140625" style="221" customWidth="1"/>
    <col min="12616" max="12616" width="0.5703125" style="221" customWidth="1"/>
    <col min="12617" max="12617" width="2.140625" style="221" customWidth="1"/>
    <col min="12618" max="12618" width="0.5703125" style="221" customWidth="1"/>
    <col min="12619" max="12619" width="2.140625" style="221" customWidth="1"/>
    <col min="12620" max="12620" width="0.5703125" style="221" customWidth="1"/>
    <col min="12621" max="12621" width="2.140625" style="221" customWidth="1"/>
    <col min="12622" max="12622" width="0.5703125" style="221" customWidth="1"/>
    <col min="12623" max="12623" width="2.140625" style="221" customWidth="1"/>
    <col min="12624" max="12624" width="0.5703125" style="221" customWidth="1"/>
    <col min="12625" max="12625" width="2.140625" style="221" customWidth="1"/>
    <col min="12626" max="12626" width="0.5703125" style="221" customWidth="1"/>
    <col min="12627" max="12627" width="2.140625" style="221" customWidth="1"/>
    <col min="12628" max="12628" width="0.5703125" style="221" customWidth="1"/>
    <col min="12629" max="12629" width="2.140625" style="221" customWidth="1"/>
    <col min="12630" max="12630" width="0.5703125" style="221" customWidth="1"/>
    <col min="12631" max="12632" width="2.5703125" style="221" customWidth="1"/>
    <col min="12633" max="12800" width="9.140625" style="221"/>
    <col min="12801" max="12801" width="0.7109375" style="221" customWidth="1"/>
    <col min="12802" max="12802" width="0.42578125" style="221" customWidth="1"/>
    <col min="12803" max="12803" width="0.5703125" style="221" customWidth="1"/>
    <col min="12804" max="12804" width="0.28515625" style="221" customWidth="1"/>
    <col min="12805" max="12805" width="3.7109375" style="221" customWidth="1"/>
    <col min="12806" max="12806" width="1.140625" style="221" customWidth="1"/>
    <col min="12807" max="12811" width="0.7109375" style="221" customWidth="1"/>
    <col min="12812" max="12812" width="0.5703125" style="221" customWidth="1"/>
    <col min="12813" max="12825" width="0.7109375" style="221" customWidth="1"/>
    <col min="12826" max="12826" width="1.42578125" style="221" customWidth="1"/>
    <col min="12827" max="12827" width="0.5703125" style="221" customWidth="1"/>
    <col min="12828" max="12828" width="3.42578125" style="221" customWidth="1"/>
    <col min="12829" max="12829" width="0.5703125" style="221" customWidth="1"/>
    <col min="12830" max="12830" width="0.7109375" style="221" customWidth="1"/>
    <col min="12831" max="12831" width="2.140625" style="221" customWidth="1"/>
    <col min="12832" max="12832" width="0.5703125" style="221" customWidth="1"/>
    <col min="12833" max="12833" width="2.140625" style="221" customWidth="1"/>
    <col min="12834" max="12834" width="0.5703125" style="221" customWidth="1"/>
    <col min="12835" max="12835" width="2.140625" style="221" customWidth="1"/>
    <col min="12836" max="12836" width="0.5703125" style="221" customWidth="1"/>
    <col min="12837" max="12837" width="2.140625" style="221" customWidth="1"/>
    <col min="12838" max="12838" width="0.5703125" style="221" customWidth="1"/>
    <col min="12839" max="12839" width="2.140625" style="221" customWidth="1"/>
    <col min="12840" max="12840" width="0.5703125" style="221" customWidth="1"/>
    <col min="12841" max="12841" width="2.140625" style="221" customWidth="1"/>
    <col min="12842" max="12842" width="0.5703125" style="221" customWidth="1"/>
    <col min="12843" max="12843" width="2.140625" style="221" customWidth="1"/>
    <col min="12844" max="12844" width="0.5703125" style="221" customWidth="1"/>
    <col min="12845" max="12845" width="2.7109375" style="221" customWidth="1"/>
    <col min="12846" max="12846" width="0.5703125" style="221" customWidth="1"/>
    <col min="12847" max="12847" width="2.140625" style="221" customWidth="1"/>
    <col min="12848" max="12848" width="0.5703125" style="221" customWidth="1"/>
    <col min="12849" max="12849" width="2.140625" style="221" customWidth="1"/>
    <col min="12850" max="12850" width="0.5703125" style="221" customWidth="1"/>
    <col min="12851" max="12851" width="2.140625" style="221" customWidth="1"/>
    <col min="12852" max="12853" width="0.5703125" style="221" customWidth="1"/>
    <col min="12854" max="12854" width="2.140625" style="221" customWidth="1"/>
    <col min="12855" max="12855" width="0.5703125" style="221" customWidth="1"/>
    <col min="12856" max="12856" width="2.140625" style="221" customWidth="1"/>
    <col min="12857" max="12857" width="0.5703125" style="221" customWidth="1"/>
    <col min="12858" max="12858" width="2.140625" style="221" customWidth="1"/>
    <col min="12859" max="12859" width="0.5703125" style="221" customWidth="1"/>
    <col min="12860" max="12860" width="2.140625" style="221" customWidth="1"/>
    <col min="12861" max="12861" width="0.5703125" style="221" customWidth="1"/>
    <col min="12862" max="12862" width="2" style="221" customWidth="1"/>
    <col min="12863" max="12864" width="0.5703125" style="221" customWidth="1"/>
    <col min="12865" max="12865" width="2.140625" style="221" customWidth="1"/>
    <col min="12866" max="12866" width="0.5703125" style="221" customWidth="1"/>
    <col min="12867" max="12867" width="2.140625" style="221" customWidth="1"/>
    <col min="12868" max="12868" width="0.5703125" style="221" customWidth="1"/>
    <col min="12869" max="12869" width="2.140625" style="221" customWidth="1"/>
    <col min="12870" max="12870" width="0.5703125" style="221" customWidth="1"/>
    <col min="12871" max="12871" width="2.140625" style="221" customWidth="1"/>
    <col min="12872" max="12872" width="0.5703125" style="221" customWidth="1"/>
    <col min="12873" max="12873" width="2.140625" style="221" customWidth="1"/>
    <col min="12874" max="12874" width="0.5703125" style="221" customWidth="1"/>
    <col min="12875" max="12875" width="2.140625" style="221" customWidth="1"/>
    <col min="12876" max="12876" width="0.5703125" style="221" customWidth="1"/>
    <col min="12877" max="12877" width="2.140625" style="221" customWidth="1"/>
    <col min="12878" max="12878" width="0.5703125" style="221" customWidth="1"/>
    <col min="12879" max="12879" width="2.140625" style="221" customWidth="1"/>
    <col min="12880" max="12880" width="0.5703125" style="221" customWidth="1"/>
    <col min="12881" max="12881" width="2.140625" style="221" customWidth="1"/>
    <col min="12882" max="12882" width="0.5703125" style="221" customWidth="1"/>
    <col min="12883" max="12883" width="2.140625" style="221" customWidth="1"/>
    <col min="12884" max="12884" width="0.5703125" style="221" customWidth="1"/>
    <col min="12885" max="12885" width="2.140625" style="221" customWidth="1"/>
    <col min="12886" max="12886" width="0.5703125" style="221" customWidth="1"/>
    <col min="12887" max="12888" width="2.5703125" style="221" customWidth="1"/>
    <col min="12889" max="13056" width="9.140625" style="221"/>
    <col min="13057" max="13057" width="0.7109375" style="221" customWidth="1"/>
    <col min="13058" max="13058" width="0.42578125" style="221" customWidth="1"/>
    <col min="13059" max="13059" width="0.5703125" style="221" customWidth="1"/>
    <col min="13060" max="13060" width="0.28515625" style="221" customWidth="1"/>
    <col min="13061" max="13061" width="3.7109375" style="221" customWidth="1"/>
    <col min="13062" max="13062" width="1.140625" style="221" customWidth="1"/>
    <col min="13063" max="13067" width="0.7109375" style="221" customWidth="1"/>
    <col min="13068" max="13068" width="0.5703125" style="221" customWidth="1"/>
    <col min="13069" max="13081" width="0.7109375" style="221" customWidth="1"/>
    <col min="13082" max="13082" width="1.42578125" style="221" customWidth="1"/>
    <col min="13083" max="13083" width="0.5703125" style="221" customWidth="1"/>
    <col min="13084" max="13084" width="3.42578125" style="221" customWidth="1"/>
    <col min="13085" max="13085" width="0.5703125" style="221" customWidth="1"/>
    <col min="13086" max="13086" width="0.7109375" style="221" customWidth="1"/>
    <col min="13087" max="13087" width="2.140625" style="221" customWidth="1"/>
    <col min="13088" max="13088" width="0.5703125" style="221" customWidth="1"/>
    <col min="13089" max="13089" width="2.140625" style="221" customWidth="1"/>
    <col min="13090" max="13090" width="0.5703125" style="221" customWidth="1"/>
    <col min="13091" max="13091" width="2.140625" style="221" customWidth="1"/>
    <col min="13092" max="13092" width="0.5703125" style="221" customWidth="1"/>
    <col min="13093" max="13093" width="2.140625" style="221" customWidth="1"/>
    <col min="13094" max="13094" width="0.5703125" style="221" customWidth="1"/>
    <col min="13095" max="13095" width="2.140625" style="221" customWidth="1"/>
    <col min="13096" max="13096" width="0.5703125" style="221" customWidth="1"/>
    <col min="13097" max="13097" width="2.140625" style="221" customWidth="1"/>
    <col min="13098" max="13098" width="0.5703125" style="221" customWidth="1"/>
    <col min="13099" max="13099" width="2.140625" style="221" customWidth="1"/>
    <col min="13100" max="13100" width="0.5703125" style="221" customWidth="1"/>
    <col min="13101" max="13101" width="2.7109375" style="221" customWidth="1"/>
    <col min="13102" max="13102" width="0.5703125" style="221" customWidth="1"/>
    <col min="13103" max="13103" width="2.140625" style="221" customWidth="1"/>
    <col min="13104" max="13104" width="0.5703125" style="221" customWidth="1"/>
    <col min="13105" max="13105" width="2.140625" style="221" customWidth="1"/>
    <col min="13106" max="13106" width="0.5703125" style="221" customWidth="1"/>
    <col min="13107" max="13107" width="2.140625" style="221" customWidth="1"/>
    <col min="13108" max="13109" width="0.5703125" style="221" customWidth="1"/>
    <col min="13110" max="13110" width="2.140625" style="221" customWidth="1"/>
    <col min="13111" max="13111" width="0.5703125" style="221" customWidth="1"/>
    <col min="13112" max="13112" width="2.140625" style="221" customWidth="1"/>
    <col min="13113" max="13113" width="0.5703125" style="221" customWidth="1"/>
    <col min="13114" max="13114" width="2.140625" style="221" customWidth="1"/>
    <col min="13115" max="13115" width="0.5703125" style="221" customWidth="1"/>
    <col min="13116" max="13116" width="2.140625" style="221" customWidth="1"/>
    <col min="13117" max="13117" width="0.5703125" style="221" customWidth="1"/>
    <col min="13118" max="13118" width="2" style="221" customWidth="1"/>
    <col min="13119" max="13120" width="0.5703125" style="221" customWidth="1"/>
    <col min="13121" max="13121" width="2.140625" style="221" customWidth="1"/>
    <col min="13122" max="13122" width="0.5703125" style="221" customWidth="1"/>
    <col min="13123" max="13123" width="2.140625" style="221" customWidth="1"/>
    <col min="13124" max="13124" width="0.5703125" style="221" customWidth="1"/>
    <col min="13125" max="13125" width="2.140625" style="221" customWidth="1"/>
    <col min="13126" max="13126" width="0.5703125" style="221" customWidth="1"/>
    <col min="13127" max="13127" width="2.140625" style="221" customWidth="1"/>
    <col min="13128" max="13128" width="0.5703125" style="221" customWidth="1"/>
    <col min="13129" max="13129" width="2.140625" style="221" customWidth="1"/>
    <col min="13130" max="13130" width="0.5703125" style="221" customWidth="1"/>
    <col min="13131" max="13131" width="2.140625" style="221" customWidth="1"/>
    <col min="13132" max="13132" width="0.5703125" style="221" customWidth="1"/>
    <col min="13133" max="13133" width="2.140625" style="221" customWidth="1"/>
    <col min="13134" max="13134" width="0.5703125" style="221" customWidth="1"/>
    <col min="13135" max="13135" width="2.140625" style="221" customWidth="1"/>
    <col min="13136" max="13136" width="0.5703125" style="221" customWidth="1"/>
    <col min="13137" max="13137" width="2.140625" style="221" customWidth="1"/>
    <col min="13138" max="13138" width="0.5703125" style="221" customWidth="1"/>
    <col min="13139" max="13139" width="2.140625" style="221" customWidth="1"/>
    <col min="13140" max="13140" width="0.5703125" style="221" customWidth="1"/>
    <col min="13141" max="13141" width="2.140625" style="221" customWidth="1"/>
    <col min="13142" max="13142" width="0.5703125" style="221" customWidth="1"/>
    <col min="13143" max="13144" width="2.5703125" style="221" customWidth="1"/>
    <col min="13145" max="13312" width="9.140625" style="221"/>
    <col min="13313" max="13313" width="0.7109375" style="221" customWidth="1"/>
    <col min="13314" max="13314" width="0.42578125" style="221" customWidth="1"/>
    <col min="13315" max="13315" width="0.5703125" style="221" customWidth="1"/>
    <col min="13316" max="13316" width="0.28515625" style="221" customWidth="1"/>
    <col min="13317" max="13317" width="3.7109375" style="221" customWidth="1"/>
    <col min="13318" max="13318" width="1.140625" style="221" customWidth="1"/>
    <col min="13319" max="13323" width="0.7109375" style="221" customWidth="1"/>
    <col min="13324" max="13324" width="0.5703125" style="221" customWidth="1"/>
    <col min="13325" max="13337" width="0.7109375" style="221" customWidth="1"/>
    <col min="13338" max="13338" width="1.42578125" style="221" customWidth="1"/>
    <col min="13339" max="13339" width="0.5703125" style="221" customWidth="1"/>
    <col min="13340" max="13340" width="3.42578125" style="221" customWidth="1"/>
    <col min="13341" max="13341" width="0.5703125" style="221" customWidth="1"/>
    <col min="13342" max="13342" width="0.7109375" style="221" customWidth="1"/>
    <col min="13343" max="13343" width="2.140625" style="221" customWidth="1"/>
    <col min="13344" max="13344" width="0.5703125" style="221" customWidth="1"/>
    <col min="13345" max="13345" width="2.140625" style="221" customWidth="1"/>
    <col min="13346" max="13346" width="0.5703125" style="221" customWidth="1"/>
    <col min="13347" max="13347" width="2.140625" style="221" customWidth="1"/>
    <col min="13348" max="13348" width="0.5703125" style="221" customWidth="1"/>
    <col min="13349" max="13349" width="2.140625" style="221" customWidth="1"/>
    <col min="13350" max="13350" width="0.5703125" style="221" customWidth="1"/>
    <col min="13351" max="13351" width="2.140625" style="221" customWidth="1"/>
    <col min="13352" max="13352" width="0.5703125" style="221" customWidth="1"/>
    <col min="13353" max="13353" width="2.140625" style="221" customWidth="1"/>
    <col min="13354" max="13354" width="0.5703125" style="221" customWidth="1"/>
    <col min="13355" max="13355" width="2.140625" style="221" customWidth="1"/>
    <col min="13356" max="13356" width="0.5703125" style="221" customWidth="1"/>
    <col min="13357" max="13357" width="2.7109375" style="221" customWidth="1"/>
    <col min="13358" max="13358" width="0.5703125" style="221" customWidth="1"/>
    <col min="13359" max="13359" width="2.140625" style="221" customWidth="1"/>
    <col min="13360" max="13360" width="0.5703125" style="221" customWidth="1"/>
    <col min="13361" max="13361" width="2.140625" style="221" customWidth="1"/>
    <col min="13362" max="13362" width="0.5703125" style="221" customWidth="1"/>
    <col min="13363" max="13363" width="2.140625" style="221" customWidth="1"/>
    <col min="13364" max="13365" width="0.5703125" style="221" customWidth="1"/>
    <col min="13366" max="13366" width="2.140625" style="221" customWidth="1"/>
    <col min="13367" max="13367" width="0.5703125" style="221" customWidth="1"/>
    <col min="13368" max="13368" width="2.140625" style="221" customWidth="1"/>
    <col min="13369" max="13369" width="0.5703125" style="221" customWidth="1"/>
    <col min="13370" max="13370" width="2.140625" style="221" customWidth="1"/>
    <col min="13371" max="13371" width="0.5703125" style="221" customWidth="1"/>
    <col min="13372" max="13372" width="2.140625" style="221" customWidth="1"/>
    <col min="13373" max="13373" width="0.5703125" style="221" customWidth="1"/>
    <col min="13374" max="13374" width="2" style="221" customWidth="1"/>
    <col min="13375" max="13376" width="0.5703125" style="221" customWidth="1"/>
    <col min="13377" max="13377" width="2.140625" style="221" customWidth="1"/>
    <col min="13378" max="13378" width="0.5703125" style="221" customWidth="1"/>
    <col min="13379" max="13379" width="2.140625" style="221" customWidth="1"/>
    <col min="13380" max="13380" width="0.5703125" style="221" customWidth="1"/>
    <col min="13381" max="13381" width="2.140625" style="221" customWidth="1"/>
    <col min="13382" max="13382" width="0.5703125" style="221" customWidth="1"/>
    <col min="13383" max="13383" width="2.140625" style="221" customWidth="1"/>
    <col min="13384" max="13384" width="0.5703125" style="221" customWidth="1"/>
    <col min="13385" max="13385" width="2.140625" style="221" customWidth="1"/>
    <col min="13386" max="13386" width="0.5703125" style="221" customWidth="1"/>
    <col min="13387" max="13387" width="2.140625" style="221" customWidth="1"/>
    <col min="13388" max="13388" width="0.5703125" style="221" customWidth="1"/>
    <col min="13389" max="13389" width="2.140625" style="221" customWidth="1"/>
    <col min="13390" max="13390" width="0.5703125" style="221" customWidth="1"/>
    <col min="13391" max="13391" width="2.140625" style="221" customWidth="1"/>
    <col min="13392" max="13392" width="0.5703125" style="221" customWidth="1"/>
    <col min="13393" max="13393" width="2.140625" style="221" customWidth="1"/>
    <col min="13394" max="13394" width="0.5703125" style="221" customWidth="1"/>
    <col min="13395" max="13395" width="2.140625" style="221" customWidth="1"/>
    <col min="13396" max="13396" width="0.5703125" style="221" customWidth="1"/>
    <col min="13397" max="13397" width="2.140625" style="221" customWidth="1"/>
    <col min="13398" max="13398" width="0.5703125" style="221" customWidth="1"/>
    <col min="13399" max="13400" width="2.5703125" style="221" customWidth="1"/>
    <col min="13401" max="13568" width="9.140625" style="221"/>
    <col min="13569" max="13569" width="0.7109375" style="221" customWidth="1"/>
    <col min="13570" max="13570" width="0.42578125" style="221" customWidth="1"/>
    <col min="13571" max="13571" width="0.5703125" style="221" customWidth="1"/>
    <col min="13572" max="13572" width="0.28515625" style="221" customWidth="1"/>
    <col min="13573" max="13573" width="3.7109375" style="221" customWidth="1"/>
    <col min="13574" max="13574" width="1.140625" style="221" customWidth="1"/>
    <col min="13575" max="13579" width="0.7109375" style="221" customWidth="1"/>
    <col min="13580" max="13580" width="0.5703125" style="221" customWidth="1"/>
    <col min="13581" max="13593" width="0.7109375" style="221" customWidth="1"/>
    <col min="13594" max="13594" width="1.42578125" style="221" customWidth="1"/>
    <col min="13595" max="13595" width="0.5703125" style="221" customWidth="1"/>
    <col min="13596" max="13596" width="3.42578125" style="221" customWidth="1"/>
    <col min="13597" max="13597" width="0.5703125" style="221" customWidth="1"/>
    <col min="13598" max="13598" width="0.7109375" style="221" customWidth="1"/>
    <col min="13599" max="13599" width="2.140625" style="221" customWidth="1"/>
    <col min="13600" max="13600" width="0.5703125" style="221" customWidth="1"/>
    <col min="13601" max="13601" width="2.140625" style="221" customWidth="1"/>
    <col min="13602" max="13602" width="0.5703125" style="221" customWidth="1"/>
    <col min="13603" max="13603" width="2.140625" style="221" customWidth="1"/>
    <col min="13604" max="13604" width="0.5703125" style="221" customWidth="1"/>
    <col min="13605" max="13605" width="2.140625" style="221" customWidth="1"/>
    <col min="13606" max="13606" width="0.5703125" style="221" customWidth="1"/>
    <col min="13607" max="13607" width="2.140625" style="221" customWidth="1"/>
    <col min="13608" max="13608" width="0.5703125" style="221" customWidth="1"/>
    <col min="13609" max="13609" width="2.140625" style="221" customWidth="1"/>
    <col min="13610" max="13610" width="0.5703125" style="221" customWidth="1"/>
    <col min="13611" max="13611" width="2.140625" style="221" customWidth="1"/>
    <col min="13612" max="13612" width="0.5703125" style="221" customWidth="1"/>
    <col min="13613" max="13613" width="2.7109375" style="221" customWidth="1"/>
    <col min="13614" max="13614" width="0.5703125" style="221" customWidth="1"/>
    <col min="13615" max="13615" width="2.140625" style="221" customWidth="1"/>
    <col min="13616" max="13616" width="0.5703125" style="221" customWidth="1"/>
    <col min="13617" max="13617" width="2.140625" style="221" customWidth="1"/>
    <col min="13618" max="13618" width="0.5703125" style="221" customWidth="1"/>
    <col min="13619" max="13619" width="2.140625" style="221" customWidth="1"/>
    <col min="13620" max="13621" width="0.5703125" style="221" customWidth="1"/>
    <col min="13622" max="13622" width="2.140625" style="221" customWidth="1"/>
    <col min="13623" max="13623" width="0.5703125" style="221" customWidth="1"/>
    <col min="13624" max="13624" width="2.140625" style="221" customWidth="1"/>
    <col min="13625" max="13625" width="0.5703125" style="221" customWidth="1"/>
    <col min="13626" max="13626" width="2.140625" style="221" customWidth="1"/>
    <col min="13627" max="13627" width="0.5703125" style="221" customWidth="1"/>
    <col min="13628" max="13628" width="2.140625" style="221" customWidth="1"/>
    <col min="13629" max="13629" width="0.5703125" style="221" customWidth="1"/>
    <col min="13630" max="13630" width="2" style="221" customWidth="1"/>
    <col min="13631" max="13632" width="0.5703125" style="221" customWidth="1"/>
    <col min="13633" max="13633" width="2.140625" style="221" customWidth="1"/>
    <col min="13634" max="13634" width="0.5703125" style="221" customWidth="1"/>
    <col min="13635" max="13635" width="2.140625" style="221" customWidth="1"/>
    <col min="13636" max="13636" width="0.5703125" style="221" customWidth="1"/>
    <col min="13637" max="13637" width="2.140625" style="221" customWidth="1"/>
    <col min="13638" max="13638" width="0.5703125" style="221" customWidth="1"/>
    <col min="13639" max="13639" width="2.140625" style="221" customWidth="1"/>
    <col min="13640" max="13640" width="0.5703125" style="221" customWidth="1"/>
    <col min="13641" max="13641" width="2.140625" style="221" customWidth="1"/>
    <col min="13642" max="13642" width="0.5703125" style="221" customWidth="1"/>
    <col min="13643" max="13643" width="2.140625" style="221" customWidth="1"/>
    <col min="13644" max="13644" width="0.5703125" style="221" customWidth="1"/>
    <col min="13645" max="13645" width="2.140625" style="221" customWidth="1"/>
    <col min="13646" max="13646" width="0.5703125" style="221" customWidth="1"/>
    <col min="13647" max="13647" width="2.140625" style="221" customWidth="1"/>
    <col min="13648" max="13648" width="0.5703125" style="221" customWidth="1"/>
    <col min="13649" max="13649" width="2.140625" style="221" customWidth="1"/>
    <col min="13650" max="13650" width="0.5703125" style="221" customWidth="1"/>
    <col min="13651" max="13651" width="2.140625" style="221" customWidth="1"/>
    <col min="13652" max="13652" width="0.5703125" style="221" customWidth="1"/>
    <col min="13653" max="13653" width="2.140625" style="221" customWidth="1"/>
    <col min="13654" max="13654" width="0.5703125" style="221" customWidth="1"/>
    <col min="13655" max="13656" width="2.5703125" style="221" customWidth="1"/>
    <col min="13657" max="13824" width="9.140625" style="221"/>
    <col min="13825" max="13825" width="0.7109375" style="221" customWidth="1"/>
    <col min="13826" max="13826" width="0.42578125" style="221" customWidth="1"/>
    <col min="13827" max="13827" width="0.5703125" style="221" customWidth="1"/>
    <col min="13828" max="13828" width="0.28515625" style="221" customWidth="1"/>
    <col min="13829" max="13829" width="3.7109375" style="221" customWidth="1"/>
    <col min="13830" max="13830" width="1.140625" style="221" customWidth="1"/>
    <col min="13831" max="13835" width="0.7109375" style="221" customWidth="1"/>
    <col min="13836" max="13836" width="0.5703125" style="221" customWidth="1"/>
    <col min="13837" max="13849" width="0.7109375" style="221" customWidth="1"/>
    <col min="13850" max="13850" width="1.42578125" style="221" customWidth="1"/>
    <col min="13851" max="13851" width="0.5703125" style="221" customWidth="1"/>
    <col min="13852" max="13852" width="3.42578125" style="221" customWidth="1"/>
    <col min="13853" max="13853" width="0.5703125" style="221" customWidth="1"/>
    <col min="13854" max="13854" width="0.7109375" style="221" customWidth="1"/>
    <col min="13855" max="13855" width="2.140625" style="221" customWidth="1"/>
    <col min="13856" max="13856" width="0.5703125" style="221" customWidth="1"/>
    <col min="13857" max="13857" width="2.140625" style="221" customWidth="1"/>
    <col min="13858" max="13858" width="0.5703125" style="221" customWidth="1"/>
    <col min="13859" max="13859" width="2.140625" style="221" customWidth="1"/>
    <col min="13860" max="13860" width="0.5703125" style="221" customWidth="1"/>
    <col min="13861" max="13861" width="2.140625" style="221" customWidth="1"/>
    <col min="13862" max="13862" width="0.5703125" style="221" customWidth="1"/>
    <col min="13863" max="13863" width="2.140625" style="221" customWidth="1"/>
    <col min="13864" max="13864" width="0.5703125" style="221" customWidth="1"/>
    <col min="13865" max="13865" width="2.140625" style="221" customWidth="1"/>
    <col min="13866" max="13866" width="0.5703125" style="221" customWidth="1"/>
    <col min="13867" max="13867" width="2.140625" style="221" customWidth="1"/>
    <col min="13868" max="13868" width="0.5703125" style="221" customWidth="1"/>
    <col min="13869" max="13869" width="2.7109375" style="221" customWidth="1"/>
    <col min="13870" max="13870" width="0.5703125" style="221" customWidth="1"/>
    <col min="13871" max="13871" width="2.140625" style="221" customWidth="1"/>
    <col min="13872" max="13872" width="0.5703125" style="221" customWidth="1"/>
    <col min="13873" max="13873" width="2.140625" style="221" customWidth="1"/>
    <col min="13874" max="13874" width="0.5703125" style="221" customWidth="1"/>
    <col min="13875" max="13875" width="2.140625" style="221" customWidth="1"/>
    <col min="13876" max="13877" width="0.5703125" style="221" customWidth="1"/>
    <col min="13878" max="13878" width="2.140625" style="221" customWidth="1"/>
    <col min="13879" max="13879" width="0.5703125" style="221" customWidth="1"/>
    <col min="13880" max="13880" width="2.140625" style="221" customWidth="1"/>
    <col min="13881" max="13881" width="0.5703125" style="221" customWidth="1"/>
    <col min="13882" max="13882" width="2.140625" style="221" customWidth="1"/>
    <col min="13883" max="13883" width="0.5703125" style="221" customWidth="1"/>
    <col min="13884" max="13884" width="2.140625" style="221" customWidth="1"/>
    <col min="13885" max="13885" width="0.5703125" style="221" customWidth="1"/>
    <col min="13886" max="13886" width="2" style="221" customWidth="1"/>
    <col min="13887" max="13888" width="0.5703125" style="221" customWidth="1"/>
    <col min="13889" max="13889" width="2.140625" style="221" customWidth="1"/>
    <col min="13890" max="13890" width="0.5703125" style="221" customWidth="1"/>
    <col min="13891" max="13891" width="2.140625" style="221" customWidth="1"/>
    <col min="13892" max="13892" width="0.5703125" style="221" customWidth="1"/>
    <col min="13893" max="13893" width="2.140625" style="221" customWidth="1"/>
    <col min="13894" max="13894" width="0.5703125" style="221" customWidth="1"/>
    <col min="13895" max="13895" width="2.140625" style="221" customWidth="1"/>
    <col min="13896" max="13896" width="0.5703125" style="221" customWidth="1"/>
    <col min="13897" max="13897" width="2.140625" style="221" customWidth="1"/>
    <col min="13898" max="13898" width="0.5703125" style="221" customWidth="1"/>
    <col min="13899" max="13899" width="2.140625" style="221" customWidth="1"/>
    <col min="13900" max="13900" width="0.5703125" style="221" customWidth="1"/>
    <col min="13901" max="13901" width="2.140625" style="221" customWidth="1"/>
    <col min="13902" max="13902" width="0.5703125" style="221" customWidth="1"/>
    <col min="13903" max="13903" width="2.140625" style="221" customWidth="1"/>
    <col min="13904" max="13904" width="0.5703125" style="221" customWidth="1"/>
    <col min="13905" max="13905" width="2.140625" style="221" customWidth="1"/>
    <col min="13906" max="13906" width="0.5703125" style="221" customWidth="1"/>
    <col min="13907" max="13907" width="2.140625" style="221" customWidth="1"/>
    <col min="13908" max="13908" width="0.5703125" style="221" customWidth="1"/>
    <col min="13909" max="13909" width="2.140625" style="221" customWidth="1"/>
    <col min="13910" max="13910" width="0.5703125" style="221" customWidth="1"/>
    <col min="13911" max="13912" width="2.5703125" style="221" customWidth="1"/>
    <col min="13913" max="14080" width="9.140625" style="221"/>
    <col min="14081" max="14081" width="0.7109375" style="221" customWidth="1"/>
    <col min="14082" max="14082" width="0.42578125" style="221" customWidth="1"/>
    <col min="14083" max="14083" width="0.5703125" style="221" customWidth="1"/>
    <col min="14084" max="14084" width="0.28515625" style="221" customWidth="1"/>
    <col min="14085" max="14085" width="3.7109375" style="221" customWidth="1"/>
    <col min="14086" max="14086" width="1.140625" style="221" customWidth="1"/>
    <col min="14087" max="14091" width="0.7109375" style="221" customWidth="1"/>
    <col min="14092" max="14092" width="0.5703125" style="221" customWidth="1"/>
    <col min="14093" max="14105" width="0.7109375" style="221" customWidth="1"/>
    <col min="14106" max="14106" width="1.42578125" style="221" customWidth="1"/>
    <col min="14107" max="14107" width="0.5703125" style="221" customWidth="1"/>
    <col min="14108" max="14108" width="3.42578125" style="221" customWidth="1"/>
    <col min="14109" max="14109" width="0.5703125" style="221" customWidth="1"/>
    <col min="14110" max="14110" width="0.7109375" style="221" customWidth="1"/>
    <col min="14111" max="14111" width="2.140625" style="221" customWidth="1"/>
    <col min="14112" max="14112" width="0.5703125" style="221" customWidth="1"/>
    <col min="14113" max="14113" width="2.140625" style="221" customWidth="1"/>
    <col min="14114" max="14114" width="0.5703125" style="221" customWidth="1"/>
    <col min="14115" max="14115" width="2.140625" style="221" customWidth="1"/>
    <col min="14116" max="14116" width="0.5703125" style="221" customWidth="1"/>
    <col min="14117" max="14117" width="2.140625" style="221" customWidth="1"/>
    <col min="14118" max="14118" width="0.5703125" style="221" customWidth="1"/>
    <col min="14119" max="14119" width="2.140625" style="221" customWidth="1"/>
    <col min="14120" max="14120" width="0.5703125" style="221" customWidth="1"/>
    <col min="14121" max="14121" width="2.140625" style="221" customWidth="1"/>
    <col min="14122" max="14122" width="0.5703125" style="221" customWidth="1"/>
    <col min="14123" max="14123" width="2.140625" style="221" customWidth="1"/>
    <col min="14124" max="14124" width="0.5703125" style="221" customWidth="1"/>
    <col min="14125" max="14125" width="2.7109375" style="221" customWidth="1"/>
    <col min="14126" max="14126" width="0.5703125" style="221" customWidth="1"/>
    <col min="14127" max="14127" width="2.140625" style="221" customWidth="1"/>
    <col min="14128" max="14128" width="0.5703125" style="221" customWidth="1"/>
    <col min="14129" max="14129" width="2.140625" style="221" customWidth="1"/>
    <col min="14130" max="14130" width="0.5703125" style="221" customWidth="1"/>
    <col min="14131" max="14131" width="2.140625" style="221" customWidth="1"/>
    <col min="14132" max="14133" width="0.5703125" style="221" customWidth="1"/>
    <col min="14134" max="14134" width="2.140625" style="221" customWidth="1"/>
    <col min="14135" max="14135" width="0.5703125" style="221" customWidth="1"/>
    <col min="14136" max="14136" width="2.140625" style="221" customWidth="1"/>
    <col min="14137" max="14137" width="0.5703125" style="221" customWidth="1"/>
    <col min="14138" max="14138" width="2.140625" style="221" customWidth="1"/>
    <col min="14139" max="14139" width="0.5703125" style="221" customWidth="1"/>
    <col min="14140" max="14140" width="2.140625" style="221" customWidth="1"/>
    <col min="14141" max="14141" width="0.5703125" style="221" customWidth="1"/>
    <col min="14142" max="14142" width="2" style="221" customWidth="1"/>
    <col min="14143" max="14144" width="0.5703125" style="221" customWidth="1"/>
    <col min="14145" max="14145" width="2.140625" style="221" customWidth="1"/>
    <col min="14146" max="14146" width="0.5703125" style="221" customWidth="1"/>
    <col min="14147" max="14147" width="2.140625" style="221" customWidth="1"/>
    <col min="14148" max="14148" width="0.5703125" style="221" customWidth="1"/>
    <col min="14149" max="14149" width="2.140625" style="221" customWidth="1"/>
    <col min="14150" max="14150" width="0.5703125" style="221" customWidth="1"/>
    <col min="14151" max="14151" width="2.140625" style="221" customWidth="1"/>
    <col min="14152" max="14152" width="0.5703125" style="221" customWidth="1"/>
    <col min="14153" max="14153" width="2.140625" style="221" customWidth="1"/>
    <col min="14154" max="14154" width="0.5703125" style="221" customWidth="1"/>
    <col min="14155" max="14155" width="2.140625" style="221" customWidth="1"/>
    <col min="14156" max="14156" width="0.5703125" style="221" customWidth="1"/>
    <col min="14157" max="14157" width="2.140625" style="221" customWidth="1"/>
    <col min="14158" max="14158" width="0.5703125" style="221" customWidth="1"/>
    <col min="14159" max="14159" width="2.140625" style="221" customWidth="1"/>
    <col min="14160" max="14160" width="0.5703125" style="221" customWidth="1"/>
    <col min="14161" max="14161" width="2.140625" style="221" customWidth="1"/>
    <col min="14162" max="14162" width="0.5703125" style="221" customWidth="1"/>
    <col min="14163" max="14163" width="2.140625" style="221" customWidth="1"/>
    <col min="14164" max="14164" width="0.5703125" style="221" customWidth="1"/>
    <col min="14165" max="14165" width="2.140625" style="221" customWidth="1"/>
    <col min="14166" max="14166" width="0.5703125" style="221" customWidth="1"/>
    <col min="14167" max="14168" width="2.5703125" style="221" customWidth="1"/>
    <col min="14169" max="14336" width="9.140625" style="221"/>
    <col min="14337" max="14337" width="0.7109375" style="221" customWidth="1"/>
    <col min="14338" max="14338" width="0.42578125" style="221" customWidth="1"/>
    <col min="14339" max="14339" width="0.5703125" style="221" customWidth="1"/>
    <col min="14340" max="14340" width="0.28515625" style="221" customWidth="1"/>
    <col min="14341" max="14341" width="3.7109375" style="221" customWidth="1"/>
    <col min="14342" max="14342" width="1.140625" style="221" customWidth="1"/>
    <col min="14343" max="14347" width="0.7109375" style="221" customWidth="1"/>
    <col min="14348" max="14348" width="0.5703125" style="221" customWidth="1"/>
    <col min="14349" max="14361" width="0.7109375" style="221" customWidth="1"/>
    <col min="14362" max="14362" width="1.42578125" style="221" customWidth="1"/>
    <col min="14363" max="14363" width="0.5703125" style="221" customWidth="1"/>
    <col min="14364" max="14364" width="3.42578125" style="221" customWidth="1"/>
    <col min="14365" max="14365" width="0.5703125" style="221" customWidth="1"/>
    <col min="14366" max="14366" width="0.7109375" style="221" customWidth="1"/>
    <col min="14367" max="14367" width="2.140625" style="221" customWidth="1"/>
    <col min="14368" max="14368" width="0.5703125" style="221" customWidth="1"/>
    <col min="14369" max="14369" width="2.140625" style="221" customWidth="1"/>
    <col min="14370" max="14370" width="0.5703125" style="221" customWidth="1"/>
    <col min="14371" max="14371" width="2.140625" style="221" customWidth="1"/>
    <col min="14372" max="14372" width="0.5703125" style="221" customWidth="1"/>
    <col min="14373" max="14373" width="2.140625" style="221" customWidth="1"/>
    <col min="14374" max="14374" width="0.5703125" style="221" customWidth="1"/>
    <col min="14375" max="14375" width="2.140625" style="221" customWidth="1"/>
    <col min="14376" max="14376" width="0.5703125" style="221" customWidth="1"/>
    <col min="14377" max="14377" width="2.140625" style="221" customWidth="1"/>
    <col min="14378" max="14378" width="0.5703125" style="221" customWidth="1"/>
    <col min="14379" max="14379" width="2.140625" style="221" customWidth="1"/>
    <col min="14380" max="14380" width="0.5703125" style="221" customWidth="1"/>
    <col min="14381" max="14381" width="2.7109375" style="221" customWidth="1"/>
    <col min="14382" max="14382" width="0.5703125" style="221" customWidth="1"/>
    <col min="14383" max="14383" width="2.140625" style="221" customWidth="1"/>
    <col min="14384" max="14384" width="0.5703125" style="221" customWidth="1"/>
    <col min="14385" max="14385" width="2.140625" style="221" customWidth="1"/>
    <col min="14386" max="14386" width="0.5703125" style="221" customWidth="1"/>
    <col min="14387" max="14387" width="2.140625" style="221" customWidth="1"/>
    <col min="14388" max="14389" width="0.5703125" style="221" customWidth="1"/>
    <col min="14390" max="14390" width="2.140625" style="221" customWidth="1"/>
    <col min="14391" max="14391" width="0.5703125" style="221" customWidth="1"/>
    <col min="14392" max="14392" width="2.140625" style="221" customWidth="1"/>
    <col min="14393" max="14393" width="0.5703125" style="221" customWidth="1"/>
    <col min="14394" max="14394" width="2.140625" style="221" customWidth="1"/>
    <col min="14395" max="14395" width="0.5703125" style="221" customWidth="1"/>
    <col min="14396" max="14396" width="2.140625" style="221" customWidth="1"/>
    <col min="14397" max="14397" width="0.5703125" style="221" customWidth="1"/>
    <col min="14398" max="14398" width="2" style="221" customWidth="1"/>
    <col min="14399" max="14400" width="0.5703125" style="221" customWidth="1"/>
    <col min="14401" max="14401" width="2.140625" style="221" customWidth="1"/>
    <col min="14402" max="14402" width="0.5703125" style="221" customWidth="1"/>
    <col min="14403" max="14403" width="2.140625" style="221" customWidth="1"/>
    <col min="14404" max="14404" width="0.5703125" style="221" customWidth="1"/>
    <col min="14405" max="14405" width="2.140625" style="221" customWidth="1"/>
    <col min="14406" max="14406" width="0.5703125" style="221" customWidth="1"/>
    <col min="14407" max="14407" width="2.140625" style="221" customWidth="1"/>
    <col min="14408" max="14408" width="0.5703125" style="221" customWidth="1"/>
    <col min="14409" max="14409" width="2.140625" style="221" customWidth="1"/>
    <col min="14410" max="14410" width="0.5703125" style="221" customWidth="1"/>
    <col min="14411" max="14411" width="2.140625" style="221" customWidth="1"/>
    <col min="14412" max="14412" width="0.5703125" style="221" customWidth="1"/>
    <col min="14413" max="14413" width="2.140625" style="221" customWidth="1"/>
    <col min="14414" max="14414" width="0.5703125" style="221" customWidth="1"/>
    <col min="14415" max="14415" width="2.140625" style="221" customWidth="1"/>
    <col min="14416" max="14416" width="0.5703125" style="221" customWidth="1"/>
    <col min="14417" max="14417" width="2.140625" style="221" customWidth="1"/>
    <col min="14418" max="14418" width="0.5703125" style="221" customWidth="1"/>
    <col min="14419" max="14419" width="2.140625" style="221" customWidth="1"/>
    <col min="14420" max="14420" width="0.5703125" style="221" customWidth="1"/>
    <col min="14421" max="14421" width="2.140625" style="221" customWidth="1"/>
    <col min="14422" max="14422" width="0.5703125" style="221" customWidth="1"/>
    <col min="14423" max="14424" width="2.5703125" style="221" customWidth="1"/>
    <col min="14425" max="14592" width="9.140625" style="221"/>
    <col min="14593" max="14593" width="0.7109375" style="221" customWidth="1"/>
    <col min="14594" max="14594" width="0.42578125" style="221" customWidth="1"/>
    <col min="14595" max="14595" width="0.5703125" style="221" customWidth="1"/>
    <col min="14596" max="14596" width="0.28515625" style="221" customWidth="1"/>
    <col min="14597" max="14597" width="3.7109375" style="221" customWidth="1"/>
    <col min="14598" max="14598" width="1.140625" style="221" customWidth="1"/>
    <col min="14599" max="14603" width="0.7109375" style="221" customWidth="1"/>
    <col min="14604" max="14604" width="0.5703125" style="221" customWidth="1"/>
    <col min="14605" max="14617" width="0.7109375" style="221" customWidth="1"/>
    <col min="14618" max="14618" width="1.42578125" style="221" customWidth="1"/>
    <col min="14619" max="14619" width="0.5703125" style="221" customWidth="1"/>
    <col min="14620" max="14620" width="3.42578125" style="221" customWidth="1"/>
    <col min="14621" max="14621" width="0.5703125" style="221" customWidth="1"/>
    <col min="14622" max="14622" width="0.7109375" style="221" customWidth="1"/>
    <col min="14623" max="14623" width="2.140625" style="221" customWidth="1"/>
    <col min="14624" max="14624" width="0.5703125" style="221" customWidth="1"/>
    <col min="14625" max="14625" width="2.140625" style="221" customWidth="1"/>
    <col min="14626" max="14626" width="0.5703125" style="221" customWidth="1"/>
    <col min="14627" max="14627" width="2.140625" style="221" customWidth="1"/>
    <col min="14628" max="14628" width="0.5703125" style="221" customWidth="1"/>
    <col min="14629" max="14629" width="2.140625" style="221" customWidth="1"/>
    <col min="14630" max="14630" width="0.5703125" style="221" customWidth="1"/>
    <col min="14631" max="14631" width="2.140625" style="221" customWidth="1"/>
    <col min="14632" max="14632" width="0.5703125" style="221" customWidth="1"/>
    <col min="14633" max="14633" width="2.140625" style="221" customWidth="1"/>
    <col min="14634" max="14634" width="0.5703125" style="221" customWidth="1"/>
    <col min="14635" max="14635" width="2.140625" style="221" customWidth="1"/>
    <col min="14636" max="14636" width="0.5703125" style="221" customWidth="1"/>
    <col min="14637" max="14637" width="2.7109375" style="221" customWidth="1"/>
    <col min="14638" max="14638" width="0.5703125" style="221" customWidth="1"/>
    <col min="14639" max="14639" width="2.140625" style="221" customWidth="1"/>
    <col min="14640" max="14640" width="0.5703125" style="221" customWidth="1"/>
    <col min="14641" max="14641" width="2.140625" style="221" customWidth="1"/>
    <col min="14642" max="14642" width="0.5703125" style="221" customWidth="1"/>
    <col min="14643" max="14643" width="2.140625" style="221" customWidth="1"/>
    <col min="14644" max="14645" width="0.5703125" style="221" customWidth="1"/>
    <col min="14646" max="14646" width="2.140625" style="221" customWidth="1"/>
    <col min="14647" max="14647" width="0.5703125" style="221" customWidth="1"/>
    <col min="14648" max="14648" width="2.140625" style="221" customWidth="1"/>
    <col min="14649" max="14649" width="0.5703125" style="221" customWidth="1"/>
    <col min="14650" max="14650" width="2.140625" style="221" customWidth="1"/>
    <col min="14651" max="14651" width="0.5703125" style="221" customWidth="1"/>
    <col min="14652" max="14652" width="2.140625" style="221" customWidth="1"/>
    <col min="14653" max="14653" width="0.5703125" style="221" customWidth="1"/>
    <col min="14654" max="14654" width="2" style="221" customWidth="1"/>
    <col min="14655" max="14656" width="0.5703125" style="221" customWidth="1"/>
    <col min="14657" max="14657" width="2.140625" style="221" customWidth="1"/>
    <col min="14658" max="14658" width="0.5703125" style="221" customWidth="1"/>
    <col min="14659" max="14659" width="2.140625" style="221" customWidth="1"/>
    <col min="14660" max="14660" width="0.5703125" style="221" customWidth="1"/>
    <col min="14661" max="14661" width="2.140625" style="221" customWidth="1"/>
    <col min="14662" max="14662" width="0.5703125" style="221" customWidth="1"/>
    <col min="14663" max="14663" width="2.140625" style="221" customWidth="1"/>
    <col min="14664" max="14664" width="0.5703125" style="221" customWidth="1"/>
    <col min="14665" max="14665" width="2.140625" style="221" customWidth="1"/>
    <col min="14666" max="14666" width="0.5703125" style="221" customWidth="1"/>
    <col min="14667" max="14667" width="2.140625" style="221" customWidth="1"/>
    <col min="14668" max="14668" width="0.5703125" style="221" customWidth="1"/>
    <col min="14669" max="14669" width="2.140625" style="221" customWidth="1"/>
    <col min="14670" max="14670" width="0.5703125" style="221" customWidth="1"/>
    <col min="14671" max="14671" width="2.140625" style="221" customWidth="1"/>
    <col min="14672" max="14672" width="0.5703125" style="221" customWidth="1"/>
    <col min="14673" max="14673" width="2.140625" style="221" customWidth="1"/>
    <col min="14674" max="14674" width="0.5703125" style="221" customWidth="1"/>
    <col min="14675" max="14675" width="2.140625" style="221" customWidth="1"/>
    <col min="14676" max="14676" width="0.5703125" style="221" customWidth="1"/>
    <col min="14677" max="14677" width="2.140625" style="221" customWidth="1"/>
    <col min="14678" max="14678" width="0.5703125" style="221" customWidth="1"/>
    <col min="14679" max="14680" width="2.5703125" style="221" customWidth="1"/>
    <col min="14681" max="14848" width="9.140625" style="221"/>
    <col min="14849" max="14849" width="0.7109375" style="221" customWidth="1"/>
    <col min="14850" max="14850" width="0.42578125" style="221" customWidth="1"/>
    <col min="14851" max="14851" width="0.5703125" style="221" customWidth="1"/>
    <col min="14852" max="14852" width="0.28515625" style="221" customWidth="1"/>
    <col min="14853" max="14853" width="3.7109375" style="221" customWidth="1"/>
    <col min="14854" max="14854" width="1.140625" style="221" customWidth="1"/>
    <col min="14855" max="14859" width="0.7109375" style="221" customWidth="1"/>
    <col min="14860" max="14860" width="0.5703125" style="221" customWidth="1"/>
    <col min="14861" max="14873" width="0.7109375" style="221" customWidth="1"/>
    <col min="14874" max="14874" width="1.42578125" style="221" customWidth="1"/>
    <col min="14875" max="14875" width="0.5703125" style="221" customWidth="1"/>
    <col min="14876" max="14876" width="3.42578125" style="221" customWidth="1"/>
    <col min="14877" max="14877" width="0.5703125" style="221" customWidth="1"/>
    <col min="14878" max="14878" width="0.7109375" style="221" customWidth="1"/>
    <col min="14879" max="14879" width="2.140625" style="221" customWidth="1"/>
    <col min="14880" max="14880" width="0.5703125" style="221" customWidth="1"/>
    <col min="14881" max="14881" width="2.140625" style="221" customWidth="1"/>
    <col min="14882" max="14882" width="0.5703125" style="221" customWidth="1"/>
    <col min="14883" max="14883" width="2.140625" style="221" customWidth="1"/>
    <col min="14884" max="14884" width="0.5703125" style="221" customWidth="1"/>
    <col min="14885" max="14885" width="2.140625" style="221" customWidth="1"/>
    <col min="14886" max="14886" width="0.5703125" style="221" customWidth="1"/>
    <col min="14887" max="14887" width="2.140625" style="221" customWidth="1"/>
    <col min="14888" max="14888" width="0.5703125" style="221" customWidth="1"/>
    <col min="14889" max="14889" width="2.140625" style="221" customWidth="1"/>
    <col min="14890" max="14890" width="0.5703125" style="221" customWidth="1"/>
    <col min="14891" max="14891" width="2.140625" style="221" customWidth="1"/>
    <col min="14892" max="14892" width="0.5703125" style="221" customWidth="1"/>
    <col min="14893" max="14893" width="2.7109375" style="221" customWidth="1"/>
    <col min="14894" max="14894" width="0.5703125" style="221" customWidth="1"/>
    <col min="14895" max="14895" width="2.140625" style="221" customWidth="1"/>
    <col min="14896" max="14896" width="0.5703125" style="221" customWidth="1"/>
    <col min="14897" max="14897" width="2.140625" style="221" customWidth="1"/>
    <col min="14898" max="14898" width="0.5703125" style="221" customWidth="1"/>
    <col min="14899" max="14899" width="2.140625" style="221" customWidth="1"/>
    <col min="14900" max="14901" width="0.5703125" style="221" customWidth="1"/>
    <col min="14902" max="14902" width="2.140625" style="221" customWidth="1"/>
    <col min="14903" max="14903" width="0.5703125" style="221" customWidth="1"/>
    <col min="14904" max="14904" width="2.140625" style="221" customWidth="1"/>
    <col min="14905" max="14905" width="0.5703125" style="221" customWidth="1"/>
    <col min="14906" max="14906" width="2.140625" style="221" customWidth="1"/>
    <col min="14907" max="14907" width="0.5703125" style="221" customWidth="1"/>
    <col min="14908" max="14908" width="2.140625" style="221" customWidth="1"/>
    <col min="14909" max="14909" width="0.5703125" style="221" customWidth="1"/>
    <col min="14910" max="14910" width="2" style="221" customWidth="1"/>
    <col min="14911" max="14912" width="0.5703125" style="221" customWidth="1"/>
    <col min="14913" max="14913" width="2.140625" style="221" customWidth="1"/>
    <col min="14914" max="14914" width="0.5703125" style="221" customWidth="1"/>
    <col min="14915" max="14915" width="2.140625" style="221" customWidth="1"/>
    <col min="14916" max="14916" width="0.5703125" style="221" customWidth="1"/>
    <col min="14917" max="14917" width="2.140625" style="221" customWidth="1"/>
    <col min="14918" max="14918" width="0.5703125" style="221" customWidth="1"/>
    <col min="14919" max="14919" width="2.140625" style="221" customWidth="1"/>
    <col min="14920" max="14920" width="0.5703125" style="221" customWidth="1"/>
    <col min="14921" max="14921" width="2.140625" style="221" customWidth="1"/>
    <col min="14922" max="14922" width="0.5703125" style="221" customWidth="1"/>
    <col min="14923" max="14923" width="2.140625" style="221" customWidth="1"/>
    <col min="14924" max="14924" width="0.5703125" style="221" customWidth="1"/>
    <col min="14925" max="14925" width="2.140625" style="221" customWidth="1"/>
    <col min="14926" max="14926" width="0.5703125" style="221" customWidth="1"/>
    <col min="14927" max="14927" width="2.140625" style="221" customWidth="1"/>
    <col min="14928" max="14928" width="0.5703125" style="221" customWidth="1"/>
    <col min="14929" max="14929" width="2.140625" style="221" customWidth="1"/>
    <col min="14930" max="14930" width="0.5703125" style="221" customWidth="1"/>
    <col min="14931" max="14931" width="2.140625" style="221" customWidth="1"/>
    <col min="14932" max="14932" width="0.5703125" style="221" customWidth="1"/>
    <col min="14933" max="14933" width="2.140625" style="221" customWidth="1"/>
    <col min="14934" max="14934" width="0.5703125" style="221" customWidth="1"/>
    <col min="14935" max="14936" width="2.5703125" style="221" customWidth="1"/>
    <col min="14937" max="15104" width="9.140625" style="221"/>
    <col min="15105" max="15105" width="0.7109375" style="221" customWidth="1"/>
    <col min="15106" max="15106" width="0.42578125" style="221" customWidth="1"/>
    <col min="15107" max="15107" width="0.5703125" style="221" customWidth="1"/>
    <col min="15108" max="15108" width="0.28515625" style="221" customWidth="1"/>
    <col min="15109" max="15109" width="3.7109375" style="221" customWidth="1"/>
    <col min="15110" max="15110" width="1.140625" style="221" customWidth="1"/>
    <col min="15111" max="15115" width="0.7109375" style="221" customWidth="1"/>
    <col min="15116" max="15116" width="0.5703125" style="221" customWidth="1"/>
    <col min="15117" max="15129" width="0.7109375" style="221" customWidth="1"/>
    <col min="15130" max="15130" width="1.42578125" style="221" customWidth="1"/>
    <col min="15131" max="15131" width="0.5703125" style="221" customWidth="1"/>
    <col min="15132" max="15132" width="3.42578125" style="221" customWidth="1"/>
    <col min="15133" max="15133" width="0.5703125" style="221" customWidth="1"/>
    <col min="15134" max="15134" width="0.7109375" style="221" customWidth="1"/>
    <col min="15135" max="15135" width="2.140625" style="221" customWidth="1"/>
    <col min="15136" max="15136" width="0.5703125" style="221" customWidth="1"/>
    <col min="15137" max="15137" width="2.140625" style="221" customWidth="1"/>
    <col min="15138" max="15138" width="0.5703125" style="221" customWidth="1"/>
    <col min="15139" max="15139" width="2.140625" style="221" customWidth="1"/>
    <col min="15140" max="15140" width="0.5703125" style="221" customWidth="1"/>
    <col min="15141" max="15141" width="2.140625" style="221" customWidth="1"/>
    <col min="15142" max="15142" width="0.5703125" style="221" customWidth="1"/>
    <col min="15143" max="15143" width="2.140625" style="221" customWidth="1"/>
    <col min="15144" max="15144" width="0.5703125" style="221" customWidth="1"/>
    <col min="15145" max="15145" width="2.140625" style="221" customWidth="1"/>
    <col min="15146" max="15146" width="0.5703125" style="221" customWidth="1"/>
    <col min="15147" max="15147" width="2.140625" style="221" customWidth="1"/>
    <col min="15148" max="15148" width="0.5703125" style="221" customWidth="1"/>
    <col min="15149" max="15149" width="2.7109375" style="221" customWidth="1"/>
    <col min="15150" max="15150" width="0.5703125" style="221" customWidth="1"/>
    <col min="15151" max="15151" width="2.140625" style="221" customWidth="1"/>
    <col min="15152" max="15152" width="0.5703125" style="221" customWidth="1"/>
    <col min="15153" max="15153" width="2.140625" style="221" customWidth="1"/>
    <col min="15154" max="15154" width="0.5703125" style="221" customWidth="1"/>
    <col min="15155" max="15155" width="2.140625" style="221" customWidth="1"/>
    <col min="15156" max="15157" width="0.5703125" style="221" customWidth="1"/>
    <col min="15158" max="15158" width="2.140625" style="221" customWidth="1"/>
    <col min="15159" max="15159" width="0.5703125" style="221" customWidth="1"/>
    <col min="15160" max="15160" width="2.140625" style="221" customWidth="1"/>
    <col min="15161" max="15161" width="0.5703125" style="221" customWidth="1"/>
    <col min="15162" max="15162" width="2.140625" style="221" customWidth="1"/>
    <col min="15163" max="15163" width="0.5703125" style="221" customWidth="1"/>
    <col min="15164" max="15164" width="2.140625" style="221" customWidth="1"/>
    <col min="15165" max="15165" width="0.5703125" style="221" customWidth="1"/>
    <col min="15166" max="15166" width="2" style="221" customWidth="1"/>
    <col min="15167" max="15168" width="0.5703125" style="221" customWidth="1"/>
    <col min="15169" max="15169" width="2.140625" style="221" customWidth="1"/>
    <col min="15170" max="15170" width="0.5703125" style="221" customWidth="1"/>
    <col min="15171" max="15171" width="2.140625" style="221" customWidth="1"/>
    <col min="15172" max="15172" width="0.5703125" style="221" customWidth="1"/>
    <col min="15173" max="15173" width="2.140625" style="221" customWidth="1"/>
    <col min="15174" max="15174" width="0.5703125" style="221" customWidth="1"/>
    <col min="15175" max="15175" width="2.140625" style="221" customWidth="1"/>
    <col min="15176" max="15176" width="0.5703125" style="221" customWidth="1"/>
    <col min="15177" max="15177" width="2.140625" style="221" customWidth="1"/>
    <col min="15178" max="15178" width="0.5703125" style="221" customWidth="1"/>
    <col min="15179" max="15179" width="2.140625" style="221" customWidth="1"/>
    <col min="15180" max="15180" width="0.5703125" style="221" customWidth="1"/>
    <col min="15181" max="15181" width="2.140625" style="221" customWidth="1"/>
    <col min="15182" max="15182" width="0.5703125" style="221" customWidth="1"/>
    <col min="15183" max="15183" width="2.140625" style="221" customWidth="1"/>
    <col min="15184" max="15184" width="0.5703125" style="221" customWidth="1"/>
    <col min="15185" max="15185" width="2.140625" style="221" customWidth="1"/>
    <col min="15186" max="15186" width="0.5703125" style="221" customWidth="1"/>
    <col min="15187" max="15187" width="2.140625" style="221" customWidth="1"/>
    <col min="15188" max="15188" width="0.5703125" style="221" customWidth="1"/>
    <col min="15189" max="15189" width="2.140625" style="221" customWidth="1"/>
    <col min="15190" max="15190" width="0.5703125" style="221" customWidth="1"/>
    <col min="15191" max="15192" width="2.5703125" style="221" customWidth="1"/>
    <col min="15193" max="15360" width="9.140625" style="221"/>
    <col min="15361" max="15361" width="0.7109375" style="221" customWidth="1"/>
    <col min="15362" max="15362" width="0.42578125" style="221" customWidth="1"/>
    <col min="15363" max="15363" width="0.5703125" style="221" customWidth="1"/>
    <col min="15364" max="15364" width="0.28515625" style="221" customWidth="1"/>
    <col min="15365" max="15365" width="3.7109375" style="221" customWidth="1"/>
    <col min="15366" max="15366" width="1.140625" style="221" customWidth="1"/>
    <col min="15367" max="15371" width="0.7109375" style="221" customWidth="1"/>
    <col min="15372" max="15372" width="0.5703125" style="221" customWidth="1"/>
    <col min="15373" max="15385" width="0.7109375" style="221" customWidth="1"/>
    <col min="15386" max="15386" width="1.42578125" style="221" customWidth="1"/>
    <col min="15387" max="15387" width="0.5703125" style="221" customWidth="1"/>
    <col min="15388" max="15388" width="3.42578125" style="221" customWidth="1"/>
    <col min="15389" max="15389" width="0.5703125" style="221" customWidth="1"/>
    <col min="15390" max="15390" width="0.7109375" style="221" customWidth="1"/>
    <col min="15391" max="15391" width="2.140625" style="221" customWidth="1"/>
    <col min="15392" max="15392" width="0.5703125" style="221" customWidth="1"/>
    <col min="15393" max="15393" width="2.140625" style="221" customWidth="1"/>
    <col min="15394" max="15394" width="0.5703125" style="221" customWidth="1"/>
    <col min="15395" max="15395" width="2.140625" style="221" customWidth="1"/>
    <col min="15396" max="15396" width="0.5703125" style="221" customWidth="1"/>
    <col min="15397" max="15397" width="2.140625" style="221" customWidth="1"/>
    <col min="15398" max="15398" width="0.5703125" style="221" customWidth="1"/>
    <col min="15399" max="15399" width="2.140625" style="221" customWidth="1"/>
    <col min="15400" max="15400" width="0.5703125" style="221" customWidth="1"/>
    <col min="15401" max="15401" width="2.140625" style="221" customWidth="1"/>
    <col min="15402" max="15402" width="0.5703125" style="221" customWidth="1"/>
    <col min="15403" max="15403" width="2.140625" style="221" customWidth="1"/>
    <col min="15404" max="15404" width="0.5703125" style="221" customWidth="1"/>
    <col min="15405" max="15405" width="2.7109375" style="221" customWidth="1"/>
    <col min="15406" max="15406" width="0.5703125" style="221" customWidth="1"/>
    <col min="15407" max="15407" width="2.140625" style="221" customWidth="1"/>
    <col min="15408" max="15408" width="0.5703125" style="221" customWidth="1"/>
    <col min="15409" max="15409" width="2.140625" style="221" customWidth="1"/>
    <col min="15410" max="15410" width="0.5703125" style="221" customWidth="1"/>
    <col min="15411" max="15411" width="2.140625" style="221" customWidth="1"/>
    <col min="15412" max="15413" width="0.5703125" style="221" customWidth="1"/>
    <col min="15414" max="15414" width="2.140625" style="221" customWidth="1"/>
    <col min="15415" max="15415" width="0.5703125" style="221" customWidth="1"/>
    <col min="15416" max="15416" width="2.140625" style="221" customWidth="1"/>
    <col min="15417" max="15417" width="0.5703125" style="221" customWidth="1"/>
    <col min="15418" max="15418" width="2.140625" style="221" customWidth="1"/>
    <col min="15419" max="15419" width="0.5703125" style="221" customWidth="1"/>
    <col min="15420" max="15420" width="2.140625" style="221" customWidth="1"/>
    <col min="15421" max="15421" width="0.5703125" style="221" customWidth="1"/>
    <col min="15422" max="15422" width="2" style="221" customWidth="1"/>
    <col min="15423" max="15424" width="0.5703125" style="221" customWidth="1"/>
    <col min="15425" max="15425" width="2.140625" style="221" customWidth="1"/>
    <col min="15426" max="15426" width="0.5703125" style="221" customWidth="1"/>
    <col min="15427" max="15427" width="2.140625" style="221" customWidth="1"/>
    <col min="15428" max="15428" width="0.5703125" style="221" customWidth="1"/>
    <col min="15429" max="15429" width="2.140625" style="221" customWidth="1"/>
    <col min="15430" max="15430" width="0.5703125" style="221" customWidth="1"/>
    <col min="15431" max="15431" width="2.140625" style="221" customWidth="1"/>
    <col min="15432" max="15432" width="0.5703125" style="221" customWidth="1"/>
    <col min="15433" max="15433" width="2.140625" style="221" customWidth="1"/>
    <col min="15434" max="15434" width="0.5703125" style="221" customWidth="1"/>
    <col min="15435" max="15435" width="2.140625" style="221" customWidth="1"/>
    <col min="15436" max="15436" width="0.5703125" style="221" customWidth="1"/>
    <col min="15437" max="15437" width="2.140625" style="221" customWidth="1"/>
    <col min="15438" max="15438" width="0.5703125" style="221" customWidth="1"/>
    <col min="15439" max="15439" width="2.140625" style="221" customWidth="1"/>
    <col min="15440" max="15440" width="0.5703125" style="221" customWidth="1"/>
    <col min="15441" max="15441" width="2.140625" style="221" customWidth="1"/>
    <col min="15442" max="15442" width="0.5703125" style="221" customWidth="1"/>
    <col min="15443" max="15443" width="2.140625" style="221" customWidth="1"/>
    <col min="15444" max="15444" width="0.5703125" style="221" customWidth="1"/>
    <col min="15445" max="15445" width="2.140625" style="221" customWidth="1"/>
    <col min="15446" max="15446" width="0.5703125" style="221" customWidth="1"/>
    <col min="15447" max="15448" width="2.5703125" style="221" customWidth="1"/>
    <col min="15449" max="15616" width="9.140625" style="221"/>
    <col min="15617" max="15617" width="0.7109375" style="221" customWidth="1"/>
    <col min="15618" max="15618" width="0.42578125" style="221" customWidth="1"/>
    <col min="15619" max="15619" width="0.5703125" style="221" customWidth="1"/>
    <col min="15620" max="15620" width="0.28515625" style="221" customWidth="1"/>
    <col min="15621" max="15621" width="3.7109375" style="221" customWidth="1"/>
    <col min="15622" max="15622" width="1.140625" style="221" customWidth="1"/>
    <col min="15623" max="15627" width="0.7109375" style="221" customWidth="1"/>
    <col min="15628" max="15628" width="0.5703125" style="221" customWidth="1"/>
    <col min="15629" max="15641" width="0.7109375" style="221" customWidth="1"/>
    <col min="15642" max="15642" width="1.42578125" style="221" customWidth="1"/>
    <col min="15643" max="15643" width="0.5703125" style="221" customWidth="1"/>
    <col min="15644" max="15644" width="3.42578125" style="221" customWidth="1"/>
    <col min="15645" max="15645" width="0.5703125" style="221" customWidth="1"/>
    <col min="15646" max="15646" width="0.7109375" style="221" customWidth="1"/>
    <col min="15647" max="15647" width="2.140625" style="221" customWidth="1"/>
    <col min="15648" max="15648" width="0.5703125" style="221" customWidth="1"/>
    <col min="15649" max="15649" width="2.140625" style="221" customWidth="1"/>
    <col min="15650" max="15650" width="0.5703125" style="221" customWidth="1"/>
    <col min="15651" max="15651" width="2.140625" style="221" customWidth="1"/>
    <col min="15652" max="15652" width="0.5703125" style="221" customWidth="1"/>
    <col min="15653" max="15653" width="2.140625" style="221" customWidth="1"/>
    <col min="15654" max="15654" width="0.5703125" style="221" customWidth="1"/>
    <col min="15655" max="15655" width="2.140625" style="221" customWidth="1"/>
    <col min="15656" max="15656" width="0.5703125" style="221" customWidth="1"/>
    <col min="15657" max="15657" width="2.140625" style="221" customWidth="1"/>
    <col min="15658" max="15658" width="0.5703125" style="221" customWidth="1"/>
    <col min="15659" max="15659" width="2.140625" style="221" customWidth="1"/>
    <col min="15660" max="15660" width="0.5703125" style="221" customWidth="1"/>
    <col min="15661" max="15661" width="2.7109375" style="221" customWidth="1"/>
    <col min="15662" max="15662" width="0.5703125" style="221" customWidth="1"/>
    <col min="15663" max="15663" width="2.140625" style="221" customWidth="1"/>
    <col min="15664" max="15664" width="0.5703125" style="221" customWidth="1"/>
    <col min="15665" max="15665" width="2.140625" style="221" customWidth="1"/>
    <col min="15666" max="15666" width="0.5703125" style="221" customWidth="1"/>
    <col min="15667" max="15667" width="2.140625" style="221" customWidth="1"/>
    <col min="15668" max="15669" width="0.5703125" style="221" customWidth="1"/>
    <col min="15670" max="15670" width="2.140625" style="221" customWidth="1"/>
    <col min="15671" max="15671" width="0.5703125" style="221" customWidth="1"/>
    <col min="15672" max="15672" width="2.140625" style="221" customWidth="1"/>
    <col min="15673" max="15673" width="0.5703125" style="221" customWidth="1"/>
    <col min="15674" max="15674" width="2.140625" style="221" customWidth="1"/>
    <col min="15675" max="15675" width="0.5703125" style="221" customWidth="1"/>
    <col min="15676" max="15676" width="2.140625" style="221" customWidth="1"/>
    <col min="15677" max="15677" width="0.5703125" style="221" customWidth="1"/>
    <col min="15678" max="15678" width="2" style="221" customWidth="1"/>
    <col min="15679" max="15680" width="0.5703125" style="221" customWidth="1"/>
    <col min="15681" max="15681" width="2.140625" style="221" customWidth="1"/>
    <col min="15682" max="15682" width="0.5703125" style="221" customWidth="1"/>
    <col min="15683" max="15683" width="2.140625" style="221" customWidth="1"/>
    <col min="15684" max="15684" width="0.5703125" style="221" customWidth="1"/>
    <col min="15685" max="15685" width="2.140625" style="221" customWidth="1"/>
    <col min="15686" max="15686" width="0.5703125" style="221" customWidth="1"/>
    <col min="15687" max="15687" width="2.140625" style="221" customWidth="1"/>
    <col min="15688" max="15688" width="0.5703125" style="221" customWidth="1"/>
    <col min="15689" max="15689" width="2.140625" style="221" customWidth="1"/>
    <col min="15690" max="15690" width="0.5703125" style="221" customWidth="1"/>
    <col min="15691" max="15691" width="2.140625" style="221" customWidth="1"/>
    <col min="15692" max="15692" width="0.5703125" style="221" customWidth="1"/>
    <col min="15693" max="15693" width="2.140625" style="221" customWidth="1"/>
    <col min="15694" max="15694" width="0.5703125" style="221" customWidth="1"/>
    <col min="15695" max="15695" width="2.140625" style="221" customWidth="1"/>
    <col min="15696" max="15696" width="0.5703125" style="221" customWidth="1"/>
    <col min="15697" max="15697" width="2.140625" style="221" customWidth="1"/>
    <col min="15698" max="15698" width="0.5703125" style="221" customWidth="1"/>
    <col min="15699" max="15699" width="2.140625" style="221" customWidth="1"/>
    <col min="15700" max="15700" width="0.5703125" style="221" customWidth="1"/>
    <col min="15701" max="15701" width="2.140625" style="221" customWidth="1"/>
    <col min="15702" max="15702" width="0.5703125" style="221" customWidth="1"/>
    <col min="15703" max="15704" width="2.5703125" style="221" customWidth="1"/>
    <col min="15705" max="15872" width="9.140625" style="221"/>
    <col min="15873" max="15873" width="0.7109375" style="221" customWidth="1"/>
    <col min="15874" max="15874" width="0.42578125" style="221" customWidth="1"/>
    <col min="15875" max="15875" width="0.5703125" style="221" customWidth="1"/>
    <col min="15876" max="15876" width="0.28515625" style="221" customWidth="1"/>
    <col min="15877" max="15877" width="3.7109375" style="221" customWidth="1"/>
    <col min="15878" max="15878" width="1.140625" style="221" customWidth="1"/>
    <col min="15879" max="15883" width="0.7109375" style="221" customWidth="1"/>
    <col min="15884" max="15884" width="0.5703125" style="221" customWidth="1"/>
    <col min="15885" max="15897" width="0.7109375" style="221" customWidth="1"/>
    <col min="15898" max="15898" width="1.42578125" style="221" customWidth="1"/>
    <col min="15899" max="15899" width="0.5703125" style="221" customWidth="1"/>
    <col min="15900" max="15900" width="3.42578125" style="221" customWidth="1"/>
    <col min="15901" max="15901" width="0.5703125" style="221" customWidth="1"/>
    <col min="15902" max="15902" width="0.7109375" style="221" customWidth="1"/>
    <col min="15903" max="15903" width="2.140625" style="221" customWidth="1"/>
    <col min="15904" max="15904" width="0.5703125" style="221" customWidth="1"/>
    <col min="15905" max="15905" width="2.140625" style="221" customWidth="1"/>
    <col min="15906" max="15906" width="0.5703125" style="221" customWidth="1"/>
    <col min="15907" max="15907" width="2.140625" style="221" customWidth="1"/>
    <col min="15908" max="15908" width="0.5703125" style="221" customWidth="1"/>
    <col min="15909" max="15909" width="2.140625" style="221" customWidth="1"/>
    <col min="15910" max="15910" width="0.5703125" style="221" customWidth="1"/>
    <col min="15911" max="15911" width="2.140625" style="221" customWidth="1"/>
    <col min="15912" max="15912" width="0.5703125" style="221" customWidth="1"/>
    <col min="15913" max="15913" width="2.140625" style="221" customWidth="1"/>
    <col min="15914" max="15914" width="0.5703125" style="221" customWidth="1"/>
    <col min="15915" max="15915" width="2.140625" style="221" customWidth="1"/>
    <col min="15916" max="15916" width="0.5703125" style="221" customWidth="1"/>
    <col min="15917" max="15917" width="2.7109375" style="221" customWidth="1"/>
    <col min="15918" max="15918" width="0.5703125" style="221" customWidth="1"/>
    <col min="15919" max="15919" width="2.140625" style="221" customWidth="1"/>
    <col min="15920" max="15920" width="0.5703125" style="221" customWidth="1"/>
    <col min="15921" max="15921" width="2.140625" style="221" customWidth="1"/>
    <col min="15922" max="15922" width="0.5703125" style="221" customWidth="1"/>
    <col min="15923" max="15923" width="2.140625" style="221" customWidth="1"/>
    <col min="15924" max="15925" width="0.5703125" style="221" customWidth="1"/>
    <col min="15926" max="15926" width="2.140625" style="221" customWidth="1"/>
    <col min="15927" max="15927" width="0.5703125" style="221" customWidth="1"/>
    <col min="15928" max="15928" width="2.140625" style="221" customWidth="1"/>
    <col min="15929" max="15929" width="0.5703125" style="221" customWidth="1"/>
    <col min="15930" max="15930" width="2.140625" style="221" customWidth="1"/>
    <col min="15931" max="15931" width="0.5703125" style="221" customWidth="1"/>
    <col min="15932" max="15932" width="2.140625" style="221" customWidth="1"/>
    <col min="15933" max="15933" width="0.5703125" style="221" customWidth="1"/>
    <col min="15934" max="15934" width="2" style="221" customWidth="1"/>
    <col min="15935" max="15936" width="0.5703125" style="221" customWidth="1"/>
    <col min="15937" max="15937" width="2.140625" style="221" customWidth="1"/>
    <col min="15938" max="15938" width="0.5703125" style="221" customWidth="1"/>
    <col min="15939" max="15939" width="2.140625" style="221" customWidth="1"/>
    <col min="15940" max="15940" width="0.5703125" style="221" customWidth="1"/>
    <col min="15941" max="15941" width="2.140625" style="221" customWidth="1"/>
    <col min="15942" max="15942" width="0.5703125" style="221" customWidth="1"/>
    <col min="15943" max="15943" width="2.140625" style="221" customWidth="1"/>
    <col min="15944" max="15944" width="0.5703125" style="221" customWidth="1"/>
    <col min="15945" max="15945" width="2.140625" style="221" customWidth="1"/>
    <col min="15946" max="15946" width="0.5703125" style="221" customWidth="1"/>
    <col min="15947" max="15947" width="2.140625" style="221" customWidth="1"/>
    <col min="15948" max="15948" width="0.5703125" style="221" customWidth="1"/>
    <col min="15949" max="15949" width="2.140625" style="221" customWidth="1"/>
    <col min="15950" max="15950" width="0.5703125" style="221" customWidth="1"/>
    <col min="15951" max="15951" width="2.140625" style="221" customWidth="1"/>
    <col min="15952" max="15952" width="0.5703125" style="221" customWidth="1"/>
    <col min="15953" max="15953" width="2.140625" style="221" customWidth="1"/>
    <col min="15954" max="15954" width="0.5703125" style="221" customWidth="1"/>
    <col min="15955" max="15955" width="2.140625" style="221" customWidth="1"/>
    <col min="15956" max="15956" width="0.5703125" style="221" customWidth="1"/>
    <col min="15957" max="15957" width="2.140625" style="221" customWidth="1"/>
    <col min="15958" max="15958" width="0.5703125" style="221" customWidth="1"/>
    <col min="15959" max="15960" width="2.5703125" style="221" customWidth="1"/>
    <col min="15961" max="16128" width="9.140625" style="221"/>
    <col min="16129" max="16129" width="0.7109375" style="221" customWidth="1"/>
    <col min="16130" max="16130" width="0.42578125" style="221" customWidth="1"/>
    <col min="16131" max="16131" width="0.5703125" style="221" customWidth="1"/>
    <col min="16132" max="16132" width="0.28515625" style="221" customWidth="1"/>
    <col min="16133" max="16133" width="3.7109375" style="221" customWidth="1"/>
    <col min="16134" max="16134" width="1.140625" style="221" customWidth="1"/>
    <col min="16135" max="16139" width="0.7109375" style="221" customWidth="1"/>
    <col min="16140" max="16140" width="0.5703125" style="221" customWidth="1"/>
    <col min="16141" max="16153" width="0.7109375" style="221" customWidth="1"/>
    <col min="16154" max="16154" width="1.42578125" style="221" customWidth="1"/>
    <col min="16155" max="16155" width="0.5703125" style="221" customWidth="1"/>
    <col min="16156" max="16156" width="3.42578125" style="221" customWidth="1"/>
    <col min="16157" max="16157" width="0.5703125" style="221" customWidth="1"/>
    <col min="16158" max="16158" width="0.7109375" style="221" customWidth="1"/>
    <col min="16159" max="16159" width="2.140625" style="221" customWidth="1"/>
    <col min="16160" max="16160" width="0.5703125" style="221" customWidth="1"/>
    <col min="16161" max="16161" width="2.140625" style="221" customWidth="1"/>
    <col min="16162" max="16162" width="0.5703125" style="221" customWidth="1"/>
    <col min="16163" max="16163" width="2.140625" style="221" customWidth="1"/>
    <col min="16164" max="16164" width="0.5703125" style="221" customWidth="1"/>
    <col min="16165" max="16165" width="2.140625" style="221" customWidth="1"/>
    <col min="16166" max="16166" width="0.5703125" style="221" customWidth="1"/>
    <col min="16167" max="16167" width="2.140625" style="221" customWidth="1"/>
    <col min="16168" max="16168" width="0.5703125" style="221" customWidth="1"/>
    <col min="16169" max="16169" width="2.140625" style="221" customWidth="1"/>
    <col min="16170" max="16170" width="0.5703125" style="221" customWidth="1"/>
    <col min="16171" max="16171" width="2.140625" style="221" customWidth="1"/>
    <col min="16172" max="16172" width="0.5703125" style="221" customWidth="1"/>
    <col min="16173" max="16173" width="2.7109375" style="221" customWidth="1"/>
    <col min="16174" max="16174" width="0.5703125" style="221" customWidth="1"/>
    <col min="16175" max="16175" width="2.140625" style="221" customWidth="1"/>
    <col min="16176" max="16176" width="0.5703125" style="221" customWidth="1"/>
    <col min="16177" max="16177" width="2.140625" style="221" customWidth="1"/>
    <col min="16178" max="16178" width="0.5703125" style="221" customWidth="1"/>
    <col min="16179" max="16179" width="2.140625" style="221" customWidth="1"/>
    <col min="16180" max="16181" width="0.5703125" style="221" customWidth="1"/>
    <col min="16182" max="16182" width="2.140625" style="221" customWidth="1"/>
    <col min="16183" max="16183" width="0.5703125" style="221" customWidth="1"/>
    <col min="16184" max="16184" width="2.140625" style="221" customWidth="1"/>
    <col min="16185" max="16185" width="0.5703125" style="221" customWidth="1"/>
    <col min="16186" max="16186" width="2.140625" style="221" customWidth="1"/>
    <col min="16187" max="16187" width="0.5703125" style="221" customWidth="1"/>
    <col min="16188" max="16188" width="2.140625" style="221" customWidth="1"/>
    <col min="16189" max="16189" width="0.5703125" style="221" customWidth="1"/>
    <col min="16190" max="16190" width="2" style="221" customWidth="1"/>
    <col min="16191" max="16192" width="0.5703125" style="221" customWidth="1"/>
    <col min="16193" max="16193" width="2.140625" style="221" customWidth="1"/>
    <col min="16194" max="16194" width="0.5703125" style="221" customWidth="1"/>
    <col min="16195" max="16195" width="2.140625" style="221" customWidth="1"/>
    <col min="16196" max="16196" width="0.5703125" style="221" customWidth="1"/>
    <col min="16197" max="16197" width="2.140625" style="221" customWidth="1"/>
    <col min="16198" max="16198" width="0.5703125" style="221" customWidth="1"/>
    <col min="16199" max="16199" width="2.140625" style="221" customWidth="1"/>
    <col min="16200" max="16200" width="0.5703125" style="221" customWidth="1"/>
    <col min="16201" max="16201" width="2.140625" style="221" customWidth="1"/>
    <col min="16202" max="16202" width="0.5703125" style="221" customWidth="1"/>
    <col min="16203" max="16203" width="2.140625" style="221" customWidth="1"/>
    <col min="16204" max="16204" width="0.5703125" style="221" customWidth="1"/>
    <col min="16205" max="16205" width="2.140625" style="221" customWidth="1"/>
    <col min="16206" max="16206" width="0.5703125" style="221" customWidth="1"/>
    <col min="16207" max="16207" width="2.140625" style="221" customWidth="1"/>
    <col min="16208" max="16208" width="0.5703125" style="221" customWidth="1"/>
    <col min="16209" max="16209" width="2.140625" style="221" customWidth="1"/>
    <col min="16210" max="16210" width="0.5703125" style="221" customWidth="1"/>
    <col min="16211" max="16211" width="2.140625" style="221" customWidth="1"/>
    <col min="16212" max="16212" width="0.5703125" style="221" customWidth="1"/>
    <col min="16213" max="16213" width="2.140625" style="221" customWidth="1"/>
    <col min="16214" max="16214" width="0.5703125" style="221" customWidth="1"/>
    <col min="16215" max="16216" width="2.5703125" style="221" customWidth="1"/>
    <col min="16217" max="16384" width="9.140625" style="221"/>
  </cols>
  <sheetData>
    <row r="1" spans="1:89" s="97" customFormat="1" ht="14.25" customHeight="1" thickBot="1">
      <c r="F1" s="98" t="s">
        <v>1759</v>
      </c>
      <c r="G1" s="353"/>
      <c r="AO1" s="220"/>
      <c r="AP1" s="220"/>
      <c r="AQ1" s="220"/>
      <c r="AR1" s="220"/>
      <c r="AS1" s="220"/>
      <c r="AT1" s="220"/>
      <c r="AU1" s="220"/>
      <c r="AV1" s="220"/>
      <c r="AW1" s="220"/>
      <c r="AX1" s="220"/>
      <c r="AY1" s="220"/>
      <c r="AZ1" s="220"/>
      <c r="BA1" s="220"/>
      <c r="BB1" s="220"/>
      <c r="BC1" s="220"/>
      <c r="BD1" s="220"/>
      <c r="BE1" s="220"/>
      <c r="BF1" s="220"/>
      <c r="BG1" s="220"/>
      <c r="BH1" s="220"/>
      <c r="BI1" s="220"/>
      <c r="BJ1" s="220"/>
      <c r="BK1" s="220"/>
      <c r="BL1" s="220"/>
      <c r="BM1" s="220"/>
      <c r="BN1" s="220"/>
      <c r="CK1" s="221"/>
    </row>
    <row r="2" spans="1:89" ht="7.5" customHeight="1" thickTop="1">
      <c r="C2" s="221"/>
      <c r="D2" s="220"/>
      <c r="E2" s="222"/>
      <c r="F2" s="220"/>
      <c r="G2" s="223"/>
      <c r="H2" s="1093" t="str">
        <f>Index!C431</f>
        <v>Výkaz ziskov a strát Úč POD 
2 - 01</v>
      </c>
      <c r="I2" s="1094"/>
      <c r="J2" s="1094"/>
      <c r="K2" s="1094"/>
      <c r="L2" s="1094"/>
      <c r="M2" s="1094"/>
      <c r="N2" s="1094"/>
      <c r="O2" s="1094"/>
      <c r="P2" s="1094"/>
      <c r="Q2" s="1094"/>
      <c r="R2" s="1094"/>
      <c r="S2" s="1094"/>
      <c r="T2" s="1094"/>
      <c r="U2" s="1094"/>
      <c r="V2" s="1094"/>
      <c r="W2" s="1094"/>
      <c r="X2" s="1095"/>
      <c r="Y2" s="223"/>
      <c r="Z2" s="223"/>
      <c r="AA2" s="220"/>
      <c r="AB2" s="921"/>
      <c r="AC2" s="922"/>
      <c r="AD2" s="922"/>
      <c r="AE2" s="922"/>
      <c r="AF2" s="922"/>
      <c r="AG2" s="922"/>
      <c r="AH2" s="922"/>
      <c r="AI2" s="922"/>
      <c r="AJ2" s="922"/>
      <c r="AK2" s="922"/>
      <c r="AL2" s="922"/>
      <c r="AM2" s="922"/>
      <c r="AN2" s="922"/>
      <c r="AO2" s="922"/>
      <c r="AP2" s="922"/>
      <c r="AQ2" s="922"/>
      <c r="AR2" s="922"/>
      <c r="AS2" s="922"/>
      <c r="AT2" s="922"/>
      <c r="AU2" s="922"/>
      <c r="AV2" s="922"/>
      <c r="AW2" s="922"/>
      <c r="AX2" s="923"/>
      <c r="AY2" s="924"/>
      <c r="AZ2" s="925"/>
      <c r="BA2" s="926"/>
      <c r="BB2" s="926"/>
      <c r="BC2" s="926"/>
      <c r="BD2" s="926"/>
      <c r="BE2" s="926"/>
      <c r="BF2" s="926"/>
      <c r="BG2" s="926"/>
      <c r="BH2" s="926"/>
      <c r="BI2" s="926"/>
      <c r="BJ2" s="926"/>
      <c r="BK2" s="926"/>
      <c r="BL2" s="926"/>
      <c r="BM2" s="926"/>
      <c r="BN2" s="926"/>
      <c r="BO2" s="926"/>
      <c r="BP2" s="926"/>
      <c r="BQ2" s="926"/>
      <c r="BR2" s="926"/>
      <c r="BS2" s="926"/>
      <c r="BT2" s="927"/>
      <c r="BU2" s="928"/>
      <c r="BV2" s="928"/>
      <c r="BW2" s="928"/>
      <c r="BX2" s="928"/>
      <c r="BY2" s="928"/>
      <c r="BZ2" s="928"/>
      <c r="CA2" s="928"/>
      <c r="CB2" s="928"/>
      <c r="CC2" s="928"/>
      <c r="CD2" s="928"/>
      <c r="CE2" s="928"/>
      <c r="CF2" s="220"/>
      <c r="CG2" s="220"/>
      <c r="CH2" s="220"/>
      <c r="CI2" s="220"/>
      <c r="CJ2" s="220"/>
    </row>
    <row r="3" spans="1:89" ht="3.75" customHeight="1" thickBot="1">
      <c r="C3" s="224"/>
      <c r="D3" s="224"/>
      <c r="E3" s="225"/>
      <c r="F3" s="220"/>
      <c r="G3" s="223"/>
      <c r="H3" s="1096"/>
      <c r="I3" s="1097"/>
      <c r="J3" s="1097"/>
      <c r="K3" s="1097"/>
      <c r="L3" s="1097"/>
      <c r="M3" s="1097"/>
      <c r="N3" s="1097"/>
      <c r="O3" s="1097"/>
      <c r="P3" s="1097"/>
      <c r="Q3" s="1097"/>
      <c r="R3" s="1097"/>
      <c r="S3" s="1097"/>
      <c r="T3" s="1097"/>
      <c r="U3" s="1097"/>
      <c r="V3" s="1097"/>
      <c r="W3" s="1097"/>
      <c r="X3" s="1098"/>
      <c r="Y3" s="223"/>
      <c r="Z3" s="223"/>
      <c r="AA3" s="220"/>
      <c r="AB3" s="192"/>
      <c r="AC3" s="193"/>
      <c r="AD3" s="193"/>
      <c r="AE3" s="929"/>
      <c r="AF3" s="929"/>
      <c r="AG3" s="929"/>
      <c r="AH3" s="929"/>
      <c r="AI3" s="929"/>
      <c r="AJ3" s="929"/>
      <c r="AK3" s="929"/>
      <c r="AL3" s="929"/>
      <c r="AM3" s="929"/>
      <c r="AN3" s="929"/>
      <c r="AO3" s="929"/>
      <c r="AP3" s="929"/>
      <c r="AQ3" s="929"/>
      <c r="AR3" s="929"/>
      <c r="AS3" s="929"/>
      <c r="AT3" s="929"/>
      <c r="AU3" s="929"/>
      <c r="AV3" s="929"/>
      <c r="AW3" s="929"/>
      <c r="AX3" s="226"/>
      <c r="AY3" s="924"/>
      <c r="AZ3" s="930" t="s">
        <v>890</v>
      </c>
      <c r="BA3" s="931"/>
      <c r="BB3" s="931"/>
      <c r="BC3" s="931"/>
      <c r="BD3" s="928"/>
      <c r="BE3" s="928"/>
      <c r="BF3" s="928"/>
      <c r="BG3" s="928"/>
      <c r="BH3" s="928"/>
      <c r="BI3" s="928"/>
      <c r="BJ3" s="928"/>
      <c r="BK3" s="928"/>
      <c r="BL3" s="928"/>
      <c r="BM3" s="928"/>
      <c r="BN3" s="928"/>
      <c r="BO3" s="928"/>
      <c r="BP3" s="928"/>
      <c r="BQ3" s="928"/>
      <c r="BR3" s="928"/>
      <c r="BS3" s="928"/>
      <c r="BT3" s="227"/>
      <c r="BU3" s="928"/>
      <c r="BV3" s="928"/>
      <c r="BW3" s="928"/>
      <c r="BX3" s="928"/>
      <c r="BY3" s="928"/>
      <c r="BZ3" s="928"/>
      <c r="CA3" s="928"/>
      <c r="CB3" s="928"/>
      <c r="CC3" s="928"/>
      <c r="CD3" s="928"/>
      <c r="CE3" s="928"/>
      <c r="CF3" s="220"/>
      <c r="CG3" s="220"/>
      <c r="CH3" s="220"/>
      <c r="CI3" s="220"/>
      <c r="CJ3" s="220"/>
    </row>
    <row r="4" spans="1:89" ht="16.5" customHeight="1" thickTop="1">
      <c r="C4" s="224"/>
      <c r="D4" s="224"/>
      <c r="E4" s="228"/>
      <c r="F4" s="220"/>
      <c r="G4" s="223"/>
      <c r="H4" s="1099"/>
      <c r="I4" s="1100"/>
      <c r="J4" s="1100"/>
      <c r="K4" s="1100"/>
      <c r="L4" s="1100"/>
      <c r="M4" s="1100"/>
      <c r="N4" s="1100"/>
      <c r="O4" s="1100"/>
      <c r="P4" s="1100"/>
      <c r="Q4" s="1100"/>
      <c r="R4" s="1100"/>
      <c r="S4" s="1100"/>
      <c r="T4" s="1100"/>
      <c r="U4" s="1100"/>
      <c r="V4" s="1100"/>
      <c r="W4" s="1100"/>
      <c r="X4" s="1101"/>
      <c r="Y4" s="223"/>
      <c r="Z4" s="223"/>
      <c r="AA4" s="220"/>
      <c r="AB4" s="932" t="s">
        <v>1535</v>
      </c>
      <c r="AC4" s="933"/>
      <c r="AD4" s="768"/>
      <c r="AE4" s="139" t="str">
        <f>'Závierka titulka'!$C$20</f>
        <v>2</v>
      </c>
      <c r="AF4" s="768"/>
      <c r="AG4" s="139" t="str">
        <f>'Závierka titulka'!$E$20</f>
        <v>0</v>
      </c>
      <c r="AH4" s="768"/>
      <c r="AI4" s="139" t="str">
        <f>'Závierka titulka'!$G$20</f>
        <v>2</v>
      </c>
      <c r="AJ4" s="768"/>
      <c r="AK4" s="139" t="str">
        <f>'Závierka titulka'!$I$20</f>
        <v>1</v>
      </c>
      <c r="AL4" s="768"/>
      <c r="AM4" s="139" t="str">
        <f>'Závierka titulka'!$K$20</f>
        <v>8</v>
      </c>
      <c r="AN4" s="768"/>
      <c r="AO4" s="139" t="str">
        <f>'Závierka titulka'!$M$20</f>
        <v>7</v>
      </c>
      <c r="AP4" s="768"/>
      <c r="AQ4" s="139" t="str">
        <f>'Závierka titulka'!$O$20</f>
        <v>5</v>
      </c>
      <c r="AR4" s="793"/>
      <c r="AS4" s="139" t="str">
        <f>'Závierka titulka'!$Q$20</f>
        <v>3</v>
      </c>
      <c r="AT4" s="136"/>
      <c r="AU4" s="139" t="str">
        <f>'Závierka titulka'!$S$20</f>
        <v>8</v>
      </c>
      <c r="AV4" s="229"/>
      <c r="AW4" s="139" t="str">
        <f>'Závierka titulka'!$U$20</f>
        <v>3</v>
      </c>
      <c r="AX4" s="230"/>
      <c r="AY4" s="924"/>
      <c r="AZ4" s="930"/>
      <c r="BA4" s="931"/>
      <c r="BB4" s="931"/>
      <c r="BC4" s="931"/>
      <c r="BD4" s="139" t="str">
        <f>'Závierka titulka'!$C$27</f>
        <v>3</v>
      </c>
      <c r="BE4" s="231"/>
      <c r="BF4" s="139" t="str">
        <f>'Závierka titulka'!$E$27</f>
        <v>6</v>
      </c>
      <c r="BG4" s="231"/>
      <c r="BH4" s="139" t="str">
        <f>'Závierka titulka'!$G$27</f>
        <v>4</v>
      </c>
      <c r="BI4" s="231"/>
      <c r="BJ4" s="139" t="str">
        <f>'Závierka titulka'!$I$27</f>
        <v>2</v>
      </c>
      <c r="BK4" s="231"/>
      <c r="BL4" s="231"/>
      <c r="BM4" s="139" t="str">
        <f>'Závierka titulka'!K27</f>
        <v>2</v>
      </c>
      <c r="BN4" s="231"/>
      <c r="BO4" s="139" t="str">
        <f>'Závierka titulka'!M27</f>
        <v>9</v>
      </c>
      <c r="BP4" s="136"/>
      <c r="BQ4" s="139" t="str">
        <f>'Závierka titulka'!O27</f>
        <v>9</v>
      </c>
      <c r="BR4" s="136"/>
      <c r="BS4" s="139" t="str">
        <f>'Závierka titulka'!Q27</f>
        <v>1</v>
      </c>
      <c r="BT4" s="230"/>
      <c r="BU4" s="928"/>
      <c r="BV4" s="928"/>
      <c r="BW4" s="928"/>
      <c r="BX4" s="928"/>
      <c r="BY4" s="928"/>
      <c r="BZ4" s="928"/>
      <c r="CA4" s="928"/>
      <c r="CB4" s="928"/>
      <c r="CC4" s="928"/>
      <c r="CD4" s="928"/>
      <c r="CE4" s="928"/>
      <c r="CF4" s="220"/>
      <c r="CG4" s="232"/>
      <c r="CH4" s="233"/>
      <c r="CI4" s="220"/>
      <c r="CJ4" s="220"/>
    </row>
    <row r="5" spans="1:89" ht="3" customHeight="1">
      <c r="C5" s="224"/>
      <c r="D5" s="224"/>
      <c r="E5" s="228"/>
      <c r="F5" s="220"/>
      <c r="G5" s="220"/>
      <c r="H5" s="220"/>
      <c r="I5" s="220"/>
      <c r="J5" s="220"/>
      <c r="K5" s="220"/>
      <c r="L5" s="220"/>
      <c r="M5" s="220"/>
      <c r="N5" s="220"/>
      <c r="O5" s="220"/>
      <c r="P5" s="220"/>
      <c r="Q5" s="220"/>
      <c r="R5" s="220"/>
      <c r="S5" s="220"/>
      <c r="T5" s="220"/>
      <c r="U5" s="220"/>
      <c r="V5" s="220"/>
      <c r="W5" s="220"/>
      <c r="X5" s="220"/>
      <c r="Y5" s="220"/>
      <c r="Z5" s="220"/>
      <c r="AA5" s="220"/>
      <c r="AB5" s="934"/>
      <c r="AC5" s="935"/>
      <c r="AD5" s="899"/>
      <c r="AE5" s="234"/>
      <c r="AF5" s="899"/>
      <c r="AG5" s="234"/>
      <c r="AH5" s="899"/>
      <c r="AI5" s="234"/>
      <c r="AJ5" s="899"/>
      <c r="AK5" s="234"/>
      <c r="AL5" s="899"/>
      <c r="AM5" s="234"/>
      <c r="AN5" s="899"/>
      <c r="AO5" s="234"/>
      <c r="AP5" s="899"/>
      <c r="AQ5" s="234"/>
      <c r="AR5" s="936"/>
      <c r="AS5" s="234"/>
      <c r="AT5" s="234"/>
      <c r="AU5" s="234"/>
      <c r="AV5" s="234"/>
      <c r="AW5" s="234"/>
      <c r="AX5" s="235"/>
      <c r="AY5" s="924"/>
      <c r="AZ5" s="236"/>
      <c r="BA5" s="237"/>
      <c r="BB5" s="234"/>
      <c r="BC5" s="237"/>
      <c r="BD5" s="234"/>
      <c r="BE5" s="237"/>
      <c r="BF5" s="234"/>
      <c r="BG5" s="237"/>
      <c r="BH5" s="234"/>
      <c r="BI5" s="237"/>
      <c r="BJ5" s="234"/>
      <c r="BK5" s="237"/>
      <c r="BL5" s="237"/>
      <c r="BM5" s="234"/>
      <c r="BN5" s="237"/>
      <c r="BO5" s="234"/>
      <c r="BP5" s="234"/>
      <c r="BQ5" s="234"/>
      <c r="BR5" s="234"/>
      <c r="BS5" s="234"/>
      <c r="BT5" s="235"/>
      <c r="BU5" s="928"/>
      <c r="BV5" s="928"/>
      <c r="BW5" s="928"/>
      <c r="BX5" s="928"/>
      <c r="BY5" s="928"/>
      <c r="BZ5" s="928"/>
      <c r="CA5" s="928"/>
      <c r="CB5" s="928"/>
      <c r="CC5" s="928"/>
      <c r="CD5" s="928"/>
      <c r="CE5" s="928"/>
      <c r="CF5" s="220"/>
      <c r="CG5" s="220"/>
      <c r="CH5" s="238"/>
      <c r="CI5" s="220"/>
      <c r="CJ5" s="220"/>
    </row>
    <row r="6" spans="1:89" ht="4.5" customHeight="1" thickBot="1">
      <c r="C6" s="224"/>
      <c r="D6" s="224"/>
      <c r="E6" s="239"/>
      <c r="F6" s="239"/>
      <c r="G6" s="239"/>
      <c r="H6" s="240"/>
      <c r="I6" s="240"/>
      <c r="J6" s="240"/>
      <c r="K6" s="240"/>
      <c r="L6" s="240"/>
      <c r="M6" s="240"/>
      <c r="N6" s="240"/>
      <c r="O6" s="240"/>
      <c r="P6" s="240"/>
      <c r="Q6" s="240"/>
      <c r="R6" s="240"/>
      <c r="S6" s="240"/>
      <c r="T6" s="240"/>
      <c r="U6" s="240"/>
      <c r="V6" s="240"/>
      <c r="W6" s="240"/>
      <c r="X6" s="240"/>
      <c r="Y6" s="240"/>
      <c r="Z6" s="240"/>
      <c r="AA6" s="240"/>
      <c r="AB6" s="240"/>
      <c r="AC6" s="240"/>
      <c r="AD6" s="356"/>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2"/>
      <c r="BY6" s="242"/>
      <c r="BZ6" s="242"/>
      <c r="CA6" s="242"/>
      <c r="CB6" s="242"/>
      <c r="CC6" s="242"/>
      <c r="CD6" s="242"/>
      <c r="CE6" s="242"/>
      <c r="CF6" s="242"/>
      <c r="CG6" s="242"/>
      <c r="CH6" s="242"/>
      <c r="CI6" s="220"/>
      <c r="CJ6" s="220"/>
    </row>
    <row r="7" spans="1:89" ht="12" customHeight="1">
      <c r="C7" s="224"/>
      <c r="D7" s="224"/>
      <c r="E7" s="1102" t="str">
        <f>Index!C410</f>
        <v>Ozna-čenie</v>
      </c>
      <c r="F7" s="1103"/>
      <c r="G7" s="1003" t="str">
        <f>Index!C435</f>
        <v>Text</v>
      </c>
      <c r="H7" s="1106"/>
      <c r="I7" s="1106"/>
      <c r="J7" s="1106"/>
      <c r="K7" s="1106"/>
      <c r="L7" s="1106"/>
      <c r="M7" s="1106"/>
      <c r="N7" s="1106"/>
      <c r="O7" s="1106"/>
      <c r="P7" s="1106"/>
      <c r="Q7" s="1106"/>
      <c r="R7" s="1106"/>
      <c r="S7" s="1106"/>
      <c r="T7" s="1106"/>
      <c r="U7" s="1106"/>
      <c r="V7" s="1106"/>
      <c r="W7" s="1106"/>
      <c r="X7" s="1106"/>
      <c r="Y7" s="1106"/>
      <c r="Z7" s="1106"/>
      <c r="AA7" s="1106"/>
      <c r="AB7" s="1106"/>
      <c r="AC7" s="1106"/>
      <c r="AD7" s="1106"/>
      <c r="AE7" s="1106"/>
      <c r="AF7" s="1106"/>
      <c r="AG7" s="1106"/>
      <c r="AH7" s="1106"/>
      <c r="AI7" s="1106"/>
      <c r="AJ7" s="1139"/>
      <c r="AK7" s="1108" t="str">
        <f>Index!C433</f>
        <v>Číslo riadku</v>
      </c>
      <c r="AL7" s="1109"/>
      <c r="AM7" s="1110"/>
      <c r="AN7" s="1118" t="str">
        <f>Index!C434</f>
        <v>Skutočnosť</v>
      </c>
      <c r="AO7" s="1118"/>
      <c r="AP7" s="1118"/>
      <c r="AQ7" s="1118"/>
      <c r="AR7" s="1118"/>
      <c r="AS7" s="1118"/>
      <c r="AT7" s="1118"/>
      <c r="AU7" s="1118"/>
      <c r="AV7" s="1118"/>
      <c r="AW7" s="1118"/>
      <c r="AX7" s="1118"/>
      <c r="AY7" s="1118"/>
      <c r="AZ7" s="1118"/>
      <c r="BA7" s="1118"/>
      <c r="BB7" s="1118"/>
      <c r="BC7" s="1118"/>
      <c r="BD7" s="1118"/>
      <c r="BE7" s="1118"/>
      <c r="BF7" s="1118"/>
      <c r="BG7" s="1118"/>
      <c r="BH7" s="1118"/>
      <c r="BI7" s="1118"/>
      <c r="BJ7" s="1118"/>
      <c r="BK7" s="1118"/>
      <c r="BL7" s="1118"/>
      <c r="BM7" s="1118"/>
      <c r="BN7" s="1118"/>
      <c r="BO7" s="1118"/>
      <c r="BP7" s="1118"/>
      <c r="BQ7" s="1118"/>
      <c r="BR7" s="1118"/>
      <c r="BS7" s="1118"/>
      <c r="BT7" s="1118"/>
      <c r="BU7" s="1118"/>
      <c r="BV7" s="1118"/>
      <c r="BW7" s="1118"/>
      <c r="BX7" s="1118"/>
      <c r="BY7" s="1118"/>
      <c r="BZ7" s="1118"/>
      <c r="CA7" s="1118"/>
      <c r="CB7" s="1118"/>
      <c r="CC7" s="1118"/>
      <c r="CD7" s="1118"/>
      <c r="CE7" s="1118"/>
      <c r="CF7" s="1118"/>
      <c r="CG7" s="1118"/>
      <c r="CH7" s="1119"/>
      <c r="CI7" s="220"/>
      <c r="CJ7" s="220"/>
    </row>
    <row r="8" spans="1:89" ht="12.75" customHeight="1" thickBot="1">
      <c r="C8" s="224"/>
      <c r="D8" s="224"/>
      <c r="E8" s="1104"/>
      <c r="F8" s="1105"/>
      <c r="G8" s="1140"/>
      <c r="H8" s="1107"/>
      <c r="I8" s="1107"/>
      <c r="J8" s="1107"/>
      <c r="K8" s="1107"/>
      <c r="L8" s="1107"/>
      <c r="M8" s="1107"/>
      <c r="N8" s="1107"/>
      <c r="O8" s="1107"/>
      <c r="P8" s="1107"/>
      <c r="Q8" s="1107"/>
      <c r="R8" s="1107"/>
      <c r="S8" s="1107"/>
      <c r="T8" s="1107"/>
      <c r="U8" s="1107"/>
      <c r="V8" s="1107"/>
      <c r="W8" s="1107"/>
      <c r="X8" s="1107"/>
      <c r="Y8" s="1107"/>
      <c r="Z8" s="1107"/>
      <c r="AA8" s="1107"/>
      <c r="AB8" s="1107"/>
      <c r="AC8" s="1107"/>
      <c r="AD8" s="1107"/>
      <c r="AE8" s="1107"/>
      <c r="AF8" s="1107"/>
      <c r="AG8" s="1107"/>
      <c r="AH8" s="1107"/>
      <c r="AI8" s="1107"/>
      <c r="AJ8" s="1141"/>
      <c r="AK8" s="1111"/>
      <c r="AL8" s="1112"/>
      <c r="AM8" s="1113"/>
      <c r="AN8" s="1120" t="str">
        <f>Index!C414</f>
        <v>Bežné účtovné obdobie</v>
      </c>
      <c r="AO8" s="1121"/>
      <c r="AP8" s="1121"/>
      <c r="AQ8" s="1121"/>
      <c r="AR8" s="1121"/>
      <c r="AS8" s="1121"/>
      <c r="AT8" s="1121"/>
      <c r="AU8" s="1121"/>
      <c r="AV8" s="1121"/>
      <c r="AW8" s="1121"/>
      <c r="AX8" s="1121"/>
      <c r="AY8" s="1121"/>
      <c r="AZ8" s="1121"/>
      <c r="BA8" s="1121"/>
      <c r="BB8" s="1121"/>
      <c r="BC8" s="1121"/>
      <c r="BD8" s="1121"/>
      <c r="BE8" s="1121"/>
      <c r="BF8" s="1121"/>
      <c r="BG8" s="1121"/>
      <c r="BH8" s="1121"/>
      <c r="BI8" s="1121"/>
      <c r="BJ8" s="1122"/>
      <c r="BK8" s="314"/>
      <c r="BL8" s="1124" t="str">
        <f>Index!C415</f>
        <v>Bezprostredne predchádzajúce účtovné obdobie</v>
      </c>
      <c r="BM8" s="1124"/>
      <c r="BN8" s="1124"/>
      <c r="BO8" s="1124"/>
      <c r="BP8" s="1124"/>
      <c r="BQ8" s="1124"/>
      <c r="BR8" s="1124"/>
      <c r="BS8" s="1124"/>
      <c r="BT8" s="1124"/>
      <c r="BU8" s="1124"/>
      <c r="BV8" s="1124"/>
      <c r="BW8" s="1124"/>
      <c r="BX8" s="1124"/>
      <c r="BY8" s="1124"/>
      <c r="BZ8" s="1124"/>
      <c r="CA8" s="1124"/>
      <c r="CB8" s="1124"/>
      <c r="CC8" s="1124"/>
      <c r="CD8" s="1124"/>
      <c r="CE8" s="1124"/>
      <c r="CF8" s="1124"/>
      <c r="CG8" s="1124"/>
      <c r="CH8" s="1124"/>
      <c r="CI8" s="220"/>
      <c r="CJ8" s="220"/>
    </row>
    <row r="9" spans="1:89" ht="11.25" customHeight="1">
      <c r="B9" s="878"/>
      <c r="C9" s="878"/>
      <c r="D9" s="878"/>
      <c r="E9" s="1104"/>
      <c r="F9" s="1105"/>
      <c r="G9" s="1140"/>
      <c r="H9" s="1107"/>
      <c r="I9" s="1107"/>
      <c r="J9" s="1107"/>
      <c r="K9" s="1107"/>
      <c r="L9" s="1107"/>
      <c r="M9" s="1107"/>
      <c r="N9" s="1107"/>
      <c r="O9" s="1107"/>
      <c r="P9" s="1107"/>
      <c r="Q9" s="1107"/>
      <c r="R9" s="1107"/>
      <c r="S9" s="1107"/>
      <c r="T9" s="1107"/>
      <c r="U9" s="1107"/>
      <c r="V9" s="1107"/>
      <c r="W9" s="1107"/>
      <c r="X9" s="1107"/>
      <c r="Y9" s="1107"/>
      <c r="Z9" s="1107"/>
      <c r="AA9" s="1107"/>
      <c r="AB9" s="1107"/>
      <c r="AC9" s="1107"/>
      <c r="AD9" s="1107"/>
      <c r="AE9" s="1107"/>
      <c r="AF9" s="1107"/>
      <c r="AG9" s="1107"/>
      <c r="AH9" s="1107"/>
      <c r="AI9" s="1107"/>
      <c r="AJ9" s="1141"/>
      <c r="AK9" s="1114"/>
      <c r="AL9" s="1115"/>
      <c r="AM9" s="1116"/>
      <c r="AN9" s="1123"/>
      <c r="AO9" s="1001"/>
      <c r="AP9" s="1001"/>
      <c r="AQ9" s="1001"/>
      <c r="AR9" s="1001"/>
      <c r="AS9" s="1001"/>
      <c r="AT9" s="1001"/>
      <c r="AU9" s="1001"/>
      <c r="AV9" s="1001"/>
      <c r="AW9" s="1001"/>
      <c r="AX9" s="1001"/>
      <c r="AY9" s="1001"/>
      <c r="AZ9" s="1001"/>
      <c r="BA9" s="1001"/>
      <c r="BB9" s="1001"/>
      <c r="BC9" s="1001"/>
      <c r="BD9" s="1001"/>
      <c r="BE9" s="1001"/>
      <c r="BF9" s="1001"/>
      <c r="BG9" s="1001"/>
      <c r="BH9" s="1001"/>
      <c r="BI9" s="1001"/>
      <c r="BJ9" s="1003"/>
      <c r="BK9" s="297"/>
      <c r="BL9" s="1004"/>
      <c r="BM9" s="1004"/>
      <c r="BN9" s="1004"/>
      <c r="BO9" s="1004"/>
      <c r="BP9" s="1004"/>
      <c r="BQ9" s="1004"/>
      <c r="BR9" s="1004"/>
      <c r="BS9" s="1004"/>
      <c r="BT9" s="1004"/>
      <c r="BU9" s="1004"/>
      <c r="BV9" s="1004"/>
      <c r="BW9" s="1004"/>
      <c r="BX9" s="1004"/>
      <c r="BY9" s="1004"/>
      <c r="BZ9" s="1004"/>
      <c r="CA9" s="1004"/>
      <c r="CB9" s="1004"/>
      <c r="CC9" s="1004"/>
      <c r="CD9" s="1004"/>
      <c r="CE9" s="1004"/>
      <c r="CF9" s="1004"/>
      <c r="CG9" s="1004"/>
      <c r="CH9" s="1004"/>
      <c r="CI9" s="220"/>
      <c r="CJ9" s="220"/>
    </row>
    <row r="10" spans="1:89" s="301" customFormat="1" ht="9" customHeight="1">
      <c r="A10" s="298"/>
      <c r="B10" s="996"/>
      <c r="C10" s="996"/>
      <c r="D10" s="298"/>
      <c r="E10" s="997" t="s">
        <v>491</v>
      </c>
      <c r="F10" s="997"/>
      <c r="G10" s="998" t="s">
        <v>492</v>
      </c>
      <c r="H10" s="998"/>
      <c r="I10" s="998"/>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t="s">
        <v>493</v>
      </c>
      <c r="AL10" s="998"/>
      <c r="AM10" s="998"/>
      <c r="AN10" s="1138">
        <v>1</v>
      </c>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9"/>
      <c r="BK10" s="299"/>
      <c r="BL10" s="994">
        <v>2</v>
      </c>
      <c r="BM10" s="994"/>
      <c r="BN10" s="994"/>
      <c r="BO10" s="994"/>
      <c r="BP10" s="994"/>
      <c r="BQ10" s="994"/>
      <c r="BR10" s="994"/>
      <c r="BS10" s="994"/>
      <c r="BT10" s="994"/>
      <c r="BU10" s="994"/>
      <c r="BV10" s="994"/>
      <c r="BW10" s="994"/>
      <c r="BX10" s="994"/>
      <c r="BY10" s="994"/>
      <c r="BZ10" s="994"/>
      <c r="CA10" s="994"/>
      <c r="CB10" s="994"/>
      <c r="CC10" s="994"/>
      <c r="CD10" s="994"/>
      <c r="CE10" s="994"/>
      <c r="CF10" s="994"/>
      <c r="CG10" s="994"/>
      <c r="CH10" s="994"/>
      <c r="CI10" s="300"/>
      <c r="CJ10" s="300"/>
    </row>
    <row r="11" spans="1:89" s="307" customFormat="1" ht="3" customHeight="1">
      <c r="A11" s="302"/>
      <c r="B11" s="302"/>
      <c r="C11" s="303"/>
      <c r="D11" s="303"/>
      <c r="E11" s="995" t="s">
        <v>709</v>
      </c>
      <c r="F11" s="995"/>
      <c r="G11" s="992" t="str">
        <f>Index!C259</f>
        <v>Výsledok hospodárenia z finančnej činnosti (+/-) (r. 29 - r. 45)</v>
      </c>
      <c r="H11" s="992"/>
      <c r="I11" s="992"/>
      <c r="J11" s="992"/>
      <c r="K11" s="992"/>
      <c r="L11" s="992"/>
      <c r="M11" s="992"/>
      <c r="N11" s="992"/>
      <c r="O11" s="992"/>
      <c r="P11" s="992"/>
      <c r="Q11" s="992"/>
      <c r="R11" s="992"/>
      <c r="S11" s="992"/>
      <c r="T11" s="992"/>
      <c r="U11" s="992"/>
      <c r="V11" s="992"/>
      <c r="W11" s="992"/>
      <c r="X11" s="992"/>
      <c r="Y11" s="992"/>
      <c r="Z11" s="992"/>
      <c r="AA11" s="992"/>
      <c r="AB11" s="992"/>
      <c r="AC11" s="992"/>
      <c r="AD11" s="992"/>
      <c r="AE11" s="992"/>
      <c r="AF11" s="992"/>
      <c r="AG11" s="992"/>
      <c r="AH11" s="992"/>
      <c r="AI11" s="992"/>
      <c r="AJ11" s="992"/>
      <c r="AK11" s="1069" t="s">
        <v>1613</v>
      </c>
      <c r="AL11" s="977"/>
      <c r="AM11" s="977"/>
      <c r="AN11" s="364"/>
      <c r="AO11" s="366"/>
      <c r="AP11" s="366"/>
      <c r="AQ11" s="366"/>
      <c r="AR11" s="366"/>
      <c r="AS11" s="366"/>
      <c r="AT11" s="366"/>
      <c r="AU11" s="366"/>
      <c r="AV11" s="366"/>
      <c r="AW11" s="366"/>
      <c r="AX11" s="366"/>
      <c r="AY11" s="366"/>
      <c r="AZ11" s="366"/>
      <c r="BA11" s="366"/>
      <c r="BB11" s="366"/>
      <c r="BC11" s="366"/>
      <c r="BD11" s="366"/>
      <c r="BE11" s="304"/>
      <c r="BF11" s="304"/>
      <c r="BG11" s="304"/>
      <c r="BH11" s="304"/>
      <c r="BI11" s="304"/>
      <c r="BJ11" s="304"/>
      <c r="BK11" s="304"/>
      <c r="BL11" s="867"/>
      <c r="BM11" s="867"/>
      <c r="BN11" s="867"/>
      <c r="BO11" s="867"/>
      <c r="BP11" s="867"/>
      <c r="BQ11" s="867"/>
      <c r="BR11" s="867"/>
      <c r="BS11" s="867"/>
      <c r="BT11" s="867"/>
      <c r="BU11" s="867"/>
      <c r="BV11" s="867"/>
      <c r="BW11" s="867"/>
      <c r="BX11" s="867"/>
      <c r="BY11" s="867"/>
      <c r="BZ11" s="867"/>
      <c r="CA11" s="867"/>
      <c r="CB11" s="867"/>
      <c r="CC11" s="304"/>
      <c r="CD11" s="304"/>
      <c r="CE11" s="304"/>
      <c r="CF11" s="304"/>
      <c r="CG11" s="304"/>
      <c r="CH11" s="305"/>
      <c r="CI11" s="306"/>
      <c r="CJ11" s="306"/>
    </row>
    <row r="12" spans="1:89" s="307" customFormat="1" ht="3" customHeight="1">
      <c r="A12" s="302"/>
      <c r="B12" s="302"/>
      <c r="C12" s="302"/>
      <c r="D12" s="302"/>
      <c r="E12" s="995"/>
      <c r="F12" s="995"/>
      <c r="G12" s="992"/>
      <c r="H12" s="992"/>
      <c r="I12" s="992"/>
      <c r="J12" s="992"/>
      <c r="K12" s="992"/>
      <c r="L12" s="992"/>
      <c r="M12" s="992"/>
      <c r="N12" s="992"/>
      <c r="O12" s="992"/>
      <c r="P12" s="992"/>
      <c r="Q12" s="992"/>
      <c r="R12" s="992"/>
      <c r="S12" s="992"/>
      <c r="T12" s="992"/>
      <c r="U12" s="992"/>
      <c r="V12" s="992"/>
      <c r="W12" s="992"/>
      <c r="X12" s="992"/>
      <c r="Y12" s="992"/>
      <c r="Z12" s="992"/>
      <c r="AA12" s="992"/>
      <c r="AB12" s="992"/>
      <c r="AC12" s="992"/>
      <c r="AD12" s="992"/>
      <c r="AE12" s="992"/>
      <c r="AF12" s="992"/>
      <c r="AG12" s="992"/>
      <c r="AH12" s="992"/>
      <c r="AI12" s="992"/>
      <c r="AJ12" s="992"/>
      <c r="AK12" s="977"/>
      <c r="AL12" s="977"/>
      <c r="AM12" s="977"/>
      <c r="AN12" s="367"/>
      <c r="AO12" s="436"/>
      <c r="AP12" s="436"/>
      <c r="AQ12" s="436"/>
      <c r="AR12" s="435"/>
      <c r="AS12" s="433"/>
      <c r="AT12" s="433"/>
      <c r="AU12" s="433"/>
      <c r="AV12" s="433"/>
      <c r="AW12" s="433"/>
      <c r="AX12" s="434"/>
      <c r="AY12" s="1007"/>
      <c r="AZ12" s="1007"/>
      <c r="BA12" s="1007"/>
      <c r="BB12" s="1007"/>
      <c r="BC12" s="1007"/>
      <c r="BD12" s="1007"/>
      <c r="BE12" s="434"/>
      <c r="BF12" s="968"/>
      <c r="BG12" s="968"/>
      <c r="BH12" s="968"/>
      <c r="BI12" s="968"/>
      <c r="BJ12" s="968"/>
      <c r="BK12" s="851"/>
      <c r="BL12" s="826"/>
      <c r="BM12" s="820"/>
      <c r="BN12" s="820"/>
      <c r="BO12" s="820"/>
      <c r="BP12" s="435"/>
      <c r="BQ12" s="1007"/>
      <c r="BR12" s="1007"/>
      <c r="BS12" s="1007"/>
      <c r="BT12" s="1007"/>
      <c r="BU12" s="1007"/>
      <c r="BV12" s="1008"/>
      <c r="BW12" s="968"/>
      <c r="BX12" s="968"/>
      <c r="BY12" s="968"/>
      <c r="BZ12" s="968"/>
      <c r="CA12" s="968"/>
      <c r="CB12" s="1009"/>
      <c r="CC12" s="968"/>
      <c r="CD12" s="968"/>
      <c r="CE12" s="968"/>
      <c r="CF12" s="968"/>
      <c r="CG12" s="968"/>
      <c r="CH12" s="308"/>
      <c r="CI12" s="306"/>
      <c r="CJ12" s="306"/>
    </row>
    <row r="13" spans="1:89" s="309" customFormat="1" ht="15" customHeight="1">
      <c r="A13" s="302"/>
      <c r="B13" s="302"/>
      <c r="C13" s="302"/>
      <c r="E13" s="995"/>
      <c r="F13" s="995"/>
      <c r="G13" s="992"/>
      <c r="H13" s="992"/>
      <c r="I13" s="992"/>
      <c r="J13" s="992"/>
      <c r="K13" s="992"/>
      <c r="L13" s="992"/>
      <c r="M13" s="992"/>
      <c r="N13" s="992"/>
      <c r="O13" s="992"/>
      <c r="P13" s="992"/>
      <c r="Q13" s="992"/>
      <c r="R13" s="992"/>
      <c r="S13" s="992"/>
      <c r="T13" s="992"/>
      <c r="U13" s="992"/>
      <c r="V13" s="992"/>
      <c r="W13" s="992"/>
      <c r="X13" s="992"/>
      <c r="Y13" s="992"/>
      <c r="Z13" s="992"/>
      <c r="AA13" s="992"/>
      <c r="AB13" s="992"/>
      <c r="AC13" s="992"/>
      <c r="AD13" s="992"/>
      <c r="AE13" s="992"/>
      <c r="AF13" s="992"/>
      <c r="AG13" s="992"/>
      <c r="AH13" s="992"/>
      <c r="AI13" s="992"/>
      <c r="AJ13" s="992"/>
      <c r="AK13" s="977"/>
      <c r="AL13" s="977"/>
      <c r="AM13" s="977"/>
      <c r="AN13" s="367"/>
      <c r="AO13" s="432" t="str">
        <f>IF(LEN(VLOOKUP(AK11,vysledovka!$D$8:$F$68,2,FALSE))&lt;11,"",LEFT(RIGHT(VLOOKUP(AK11,vysledovka!$D$8:$F$68,2,FALSE),11),1))</f>
        <v/>
      </c>
      <c r="AP13" s="255"/>
      <c r="AQ13" s="432" t="str">
        <f>IF(LEN(VLOOKUP(AK11,vysledovka!$D$8:$F$68,2,FALSE))&lt;10,"",LEFT(RIGHT(VLOOKUP(AK11,vysledovka!$D$8:$F$68,2,FALSE),10),1))</f>
        <v/>
      </c>
      <c r="AR13" s="434"/>
      <c r="AS13" s="432" t="str">
        <f>IF(LEN(VLOOKUP(AK11,vysledovka!$D$8:$F$68,2,FALSE))&lt;9,"",LEFT(RIGHT(VLOOKUP(AK11,vysledovka!$D$8:$F$68,2,FALSE),9),1))</f>
        <v/>
      </c>
      <c r="AT13" s="255"/>
      <c r="AU13" s="432" t="str">
        <f>IF(LEN(VLOOKUP(AK11,vysledovka!$D$8:$F$68,2,FALSE))&lt;8,"",LEFT(RIGHT(VLOOKUP(AK11,vysledovka!$D$8:$F$68,2,FALSE),8),1))</f>
        <v/>
      </c>
      <c r="AV13" s="434"/>
      <c r="AW13" s="432" t="str">
        <f>IF(LEN(VLOOKUP(AK11,vysledovka!$D$8:$F$68,2,FALSE))&lt;7,"",LEFT(RIGHT(VLOOKUP(AK11,vysledovka!$D$8:$F$68,2,FALSE),7),1))</f>
        <v/>
      </c>
      <c r="AX13" s="434"/>
      <c r="AY13" s="432" t="str">
        <f>IF(LEN(VLOOKUP(AK11,vysledovka!$D$8:$F$68,2,FALSE))&lt;6,"",LEFT(RIGHT(VLOOKUP(AK11,vysledovka!$D$8:$F$68,2,FALSE),6),1))</f>
        <v>1</v>
      </c>
      <c r="AZ13" s="255"/>
      <c r="BA13" s="961" t="str">
        <f>IF(LEN(VLOOKUP(AK11,vysledovka!$D$8:$F$68,2,FALSE))&lt;5,"",LEFT(RIGHT(VLOOKUP(AK11,vysledovka!$D$8:$F$68,2,FALSE),5),1))</f>
        <v>3</v>
      </c>
      <c r="BB13" s="961"/>
      <c r="BC13" s="434"/>
      <c r="BD13" s="432" t="str">
        <f>IF(LEN(VLOOKUP(AK11,vysledovka!$D$8:$F$68,2,FALSE))&lt;4,"",LEFT(RIGHT(VLOOKUP(AK11,vysledovka!$D$8:$F$68,2,FALSE),4),1))</f>
        <v>2</v>
      </c>
      <c r="BE13" s="434"/>
      <c r="BF13" s="432" t="str">
        <f>IF(LEN(VLOOKUP(AK11,vysledovka!$D$8:$F$68,2,FALSE))&lt;3,"",LEFT(RIGHT(VLOOKUP(AK11,vysledovka!$D$8:$F$68,2,FALSE),3),1))</f>
        <v>9</v>
      </c>
      <c r="BG13" s="434"/>
      <c r="BH13" s="432" t="str">
        <f>IF(LEN(VLOOKUP(AK11,vysledovka!$D$8:$F$68,2,FALSE))&lt;2,"",LEFT(RIGHT(VLOOKUP(AK11,vysledovka!$D$8:$F$68,2,FALSE),2),1))</f>
        <v>3</v>
      </c>
      <c r="BI13" s="434"/>
      <c r="BJ13" s="432" t="str">
        <f>IF(VLOOKUP(AK11,vysledovka!$D$8:$F$68,2,FALSE)=0,"",IF(LEN(VLOOKUP(AK11,vysledovka!$D$8:$F$68,2,FALSE))&lt;1,"",LEFT(RIGHT(VLOOKUP(AK11,vysledovka!$D$8:$F$68,2,FALSE),1),1)))</f>
        <v>2</v>
      </c>
      <c r="BK13" s="851"/>
      <c r="BL13" s="826"/>
      <c r="BM13" s="432" t="str">
        <f>IF(LEN(VLOOKUP(AK11,vysledovka!$D$8:$F$68,3,FALSE))&lt;11,"",LEFT(RIGHT(VLOOKUP(AK11,vysledovka!$D$8:$F$68,3,FALSE),11),1))</f>
        <v/>
      </c>
      <c r="BN13" s="255"/>
      <c r="BO13" s="432" t="str">
        <f>IF(LEN(VLOOKUP(AK11,vysledovka!$D$8:$F$68,3,FALSE))&lt;10,"",LEFT(RIGHT(VLOOKUP(AK11,vysledovka!$D$8:$F$68,3,FALSE),10),1))</f>
        <v/>
      </c>
      <c r="BP13" s="434"/>
      <c r="BQ13" s="432" t="str">
        <f>IF(LEN(VLOOKUP(AK11,vysledovka!$D$8:$F$68,3,FALSE))&lt;9,"",LEFT(RIGHT(VLOOKUP(AK11,vysledovka!$D$8:$F$68,3,FALSE),9),1))</f>
        <v/>
      </c>
      <c r="BR13" s="255"/>
      <c r="BS13" s="432" t="str">
        <f>IF(LEN(VLOOKUP(AK11,vysledovka!$D$8:$F$68,3,FALSE))&lt;8,"",LEFT(RIGHT(VLOOKUP(AK11,vysledovka!$D$8:$F$68,3,FALSE),8),1))</f>
        <v/>
      </c>
      <c r="BT13" s="434"/>
      <c r="BU13" s="432" t="str">
        <f>IF(LEN(VLOOKUP(AK11,vysledovka!$D$8:$F$68,3,FALSE))&lt;7,"",LEFT(RIGHT(VLOOKUP(AK11,vysledovka!$D$8:$F$68,3,FALSE),7),1))</f>
        <v>-</v>
      </c>
      <c r="BV13" s="1008"/>
      <c r="BW13" s="432" t="str">
        <f>IF(LEN(VLOOKUP(AK11,vysledovka!$D$8:$F$68,3,FALSE))&lt;6,"",LEFT(RIGHT(VLOOKUP(AK11,vysledovka!$D$8:$F$68,3,FALSE),6),1))</f>
        <v>2</v>
      </c>
      <c r="BX13" s="434"/>
      <c r="BY13" s="432" t="str">
        <f>IF(LEN(VLOOKUP(AK11,vysledovka!$D$8:$F$68,3,FALSE))&lt;5,"",LEFT(RIGHT(VLOOKUP(AK11,vysledovka!$D$8:$F$68,3,FALSE),5),1))</f>
        <v>1</v>
      </c>
      <c r="BZ13" s="434"/>
      <c r="CA13" s="432" t="str">
        <f>IF(LEN(VLOOKUP(AK11,vysledovka!$D$8:$F$68,3,FALSE))&lt;4,"",LEFT(RIGHT(VLOOKUP(AK11,vysledovka!$D$8:$F$68,3,FALSE),4),1))</f>
        <v>9</v>
      </c>
      <c r="CB13" s="1009"/>
      <c r="CC13" s="432" t="str">
        <f>IF(LEN(VLOOKUP(AK11,vysledovka!$D$8:$F$68,3,FALSE))&lt;3,"",LEFT(RIGHT(VLOOKUP(AK11,vysledovka!$D$8:$F$68,3,FALSE),3),1))</f>
        <v>0</v>
      </c>
      <c r="CD13" s="434"/>
      <c r="CE13" s="432" t="str">
        <f>IF(LEN(VLOOKUP(AK11,vysledovka!$D$8:$F$68,3,FALSE))&lt;2,"",LEFT(RIGHT(VLOOKUP(AK11,vysledovka!$D$8:$F$68,3,FALSE),2),1))</f>
        <v>6</v>
      </c>
      <c r="CF13" s="434"/>
      <c r="CG13" s="432" t="str">
        <f>IF(VLOOKUP(AK11,vysledovka!$D$8:$F$68,3,FALSE)=0,"",IF(LEN(VLOOKUP(AK11,vysledovka!$D$8:$F$68,3,FALSE))&lt;1,"",LEFT(RIGHT(VLOOKUP(AK11,vysledovka!$D$8:$F$68,3,FALSE),1),1)))</f>
        <v>7</v>
      </c>
      <c r="CH13" s="308"/>
      <c r="CI13" s="302"/>
      <c r="CJ13" s="302"/>
    </row>
    <row r="14" spans="1:89" s="309" customFormat="1" ht="3" customHeight="1">
      <c r="A14" s="302"/>
      <c r="B14" s="302"/>
      <c r="C14" s="302"/>
      <c r="E14" s="995"/>
      <c r="F14" s="995"/>
      <c r="G14" s="992"/>
      <c r="H14" s="992"/>
      <c r="I14" s="992"/>
      <c r="J14" s="992"/>
      <c r="K14" s="992"/>
      <c r="L14" s="992"/>
      <c r="M14" s="992"/>
      <c r="N14" s="992"/>
      <c r="O14" s="992"/>
      <c r="P14" s="992"/>
      <c r="Q14" s="992"/>
      <c r="R14" s="992"/>
      <c r="S14" s="992"/>
      <c r="T14" s="992"/>
      <c r="U14" s="992"/>
      <c r="V14" s="992"/>
      <c r="W14" s="992"/>
      <c r="X14" s="992"/>
      <c r="Y14" s="992"/>
      <c r="Z14" s="992"/>
      <c r="AA14" s="992"/>
      <c r="AB14" s="992"/>
      <c r="AC14" s="992"/>
      <c r="AD14" s="992"/>
      <c r="AE14" s="992"/>
      <c r="AF14" s="992"/>
      <c r="AG14" s="992"/>
      <c r="AH14" s="992"/>
      <c r="AI14" s="992"/>
      <c r="AJ14" s="992"/>
      <c r="AK14" s="977"/>
      <c r="AL14" s="977"/>
      <c r="AM14" s="977"/>
      <c r="AN14" s="363"/>
      <c r="AO14" s="365"/>
      <c r="AP14" s="365"/>
      <c r="AQ14" s="365"/>
      <c r="AR14" s="365"/>
      <c r="AS14" s="365"/>
      <c r="AT14" s="365"/>
      <c r="AU14" s="365"/>
      <c r="AV14" s="365"/>
      <c r="AW14" s="365"/>
      <c r="AX14" s="365"/>
      <c r="AY14" s="365"/>
      <c r="AZ14" s="365"/>
      <c r="BA14" s="365"/>
      <c r="BB14" s="365"/>
      <c r="BC14" s="365"/>
      <c r="BD14" s="365"/>
      <c r="BE14" s="310"/>
      <c r="BF14" s="310"/>
      <c r="BG14" s="310"/>
      <c r="BH14" s="310"/>
      <c r="BI14" s="310"/>
      <c r="BJ14" s="310"/>
      <c r="BK14" s="310"/>
      <c r="BL14" s="846"/>
      <c r="BM14" s="846"/>
      <c r="BN14" s="846"/>
      <c r="BO14" s="846"/>
      <c r="BP14" s="846"/>
      <c r="BQ14" s="846"/>
      <c r="BR14" s="846"/>
      <c r="BS14" s="846"/>
      <c r="BT14" s="846"/>
      <c r="BU14" s="846"/>
      <c r="BV14" s="846"/>
      <c r="BW14" s="846"/>
      <c r="BX14" s="846"/>
      <c r="BY14" s="846"/>
      <c r="BZ14" s="846"/>
      <c r="CA14" s="846"/>
      <c r="CB14" s="846"/>
      <c r="CC14" s="310"/>
      <c r="CD14" s="310"/>
      <c r="CE14" s="310"/>
      <c r="CF14" s="310"/>
      <c r="CG14" s="310"/>
      <c r="CH14" s="311"/>
      <c r="CI14" s="302"/>
      <c r="CJ14" s="302"/>
    </row>
    <row r="15" spans="1:89" s="307" customFormat="1" ht="3" customHeight="1">
      <c r="A15" s="302"/>
      <c r="B15" s="302"/>
      <c r="C15" s="303"/>
      <c r="D15" s="303"/>
      <c r="E15" s="1068" t="s">
        <v>1760</v>
      </c>
      <c r="F15" s="1068"/>
      <c r="G15" s="992" t="str">
        <f>Index!C260</f>
        <v>Výsledok hospodárenia za účtovné obdobie pred zdanením (+/-) (r. 27 + r. 55)</v>
      </c>
      <c r="H15" s="992"/>
      <c r="I15" s="992"/>
      <c r="J15" s="992"/>
      <c r="K15" s="992"/>
      <c r="L15" s="992"/>
      <c r="M15" s="992"/>
      <c r="N15" s="992"/>
      <c r="O15" s="992"/>
      <c r="P15" s="992"/>
      <c r="Q15" s="992"/>
      <c r="R15" s="992"/>
      <c r="S15" s="992"/>
      <c r="T15" s="992"/>
      <c r="U15" s="992"/>
      <c r="V15" s="992"/>
      <c r="W15" s="992"/>
      <c r="X15" s="992"/>
      <c r="Y15" s="992"/>
      <c r="Z15" s="992"/>
      <c r="AA15" s="992"/>
      <c r="AB15" s="992"/>
      <c r="AC15" s="992"/>
      <c r="AD15" s="992"/>
      <c r="AE15" s="992"/>
      <c r="AF15" s="992"/>
      <c r="AG15" s="992"/>
      <c r="AH15" s="992"/>
      <c r="AI15" s="992"/>
      <c r="AJ15" s="992"/>
      <c r="AK15" s="1069" t="s">
        <v>1614</v>
      </c>
      <c r="AL15" s="977"/>
      <c r="AM15" s="977"/>
      <c r="AN15" s="364"/>
      <c r="AO15" s="366"/>
      <c r="AP15" s="366"/>
      <c r="AQ15" s="366"/>
      <c r="AR15" s="366"/>
      <c r="AS15" s="366"/>
      <c r="AT15" s="366"/>
      <c r="AU15" s="366"/>
      <c r="AV15" s="366"/>
      <c r="AW15" s="366"/>
      <c r="AX15" s="366"/>
      <c r="AY15" s="366"/>
      <c r="AZ15" s="366"/>
      <c r="BA15" s="366"/>
      <c r="BB15" s="366"/>
      <c r="BC15" s="366"/>
      <c r="BD15" s="366"/>
      <c r="BE15" s="304"/>
      <c r="BF15" s="304"/>
      <c r="BG15" s="304"/>
      <c r="BH15" s="304"/>
      <c r="BI15" s="304"/>
      <c r="BJ15" s="304"/>
      <c r="BK15" s="304"/>
      <c r="BL15" s="867"/>
      <c r="BM15" s="867"/>
      <c r="BN15" s="867"/>
      <c r="BO15" s="867"/>
      <c r="BP15" s="867"/>
      <c r="BQ15" s="867"/>
      <c r="BR15" s="867"/>
      <c r="BS15" s="867"/>
      <c r="BT15" s="867"/>
      <c r="BU15" s="867"/>
      <c r="BV15" s="867"/>
      <c r="BW15" s="867"/>
      <c r="BX15" s="867"/>
      <c r="BY15" s="867"/>
      <c r="BZ15" s="867"/>
      <c r="CA15" s="867"/>
      <c r="CB15" s="867"/>
      <c r="CC15" s="304"/>
      <c r="CD15" s="304"/>
      <c r="CE15" s="304"/>
      <c r="CF15" s="304"/>
      <c r="CG15" s="304"/>
      <c r="CH15" s="305"/>
      <c r="CI15" s="306"/>
      <c r="CJ15" s="306"/>
    </row>
    <row r="16" spans="1:89" s="307" customFormat="1" ht="3" customHeight="1">
      <c r="A16" s="302"/>
      <c r="B16" s="302"/>
      <c r="C16" s="302"/>
      <c r="D16" s="302"/>
      <c r="E16" s="1068"/>
      <c r="F16" s="1068"/>
      <c r="G16" s="992"/>
      <c r="H16" s="992"/>
      <c r="I16" s="992"/>
      <c r="J16" s="992"/>
      <c r="K16" s="992"/>
      <c r="L16" s="992"/>
      <c r="M16" s="992"/>
      <c r="N16" s="992"/>
      <c r="O16" s="992"/>
      <c r="P16" s="992"/>
      <c r="Q16" s="992"/>
      <c r="R16" s="992"/>
      <c r="S16" s="992"/>
      <c r="T16" s="992"/>
      <c r="U16" s="992"/>
      <c r="V16" s="992"/>
      <c r="W16" s="992"/>
      <c r="X16" s="992"/>
      <c r="Y16" s="992"/>
      <c r="Z16" s="992"/>
      <c r="AA16" s="992"/>
      <c r="AB16" s="992"/>
      <c r="AC16" s="992"/>
      <c r="AD16" s="992"/>
      <c r="AE16" s="992"/>
      <c r="AF16" s="992"/>
      <c r="AG16" s="992"/>
      <c r="AH16" s="992"/>
      <c r="AI16" s="992"/>
      <c r="AJ16" s="992"/>
      <c r="AK16" s="977"/>
      <c r="AL16" s="977"/>
      <c r="AM16" s="977"/>
      <c r="AN16" s="367"/>
      <c r="AO16" s="436"/>
      <c r="AP16" s="436"/>
      <c r="AQ16" s="436"/>
      <c r="AR16" s="435"/>
      <c r="AS16" s="433"/>
      <c r="AT16" s="433"/>
      <c r="AU16" s="433"/>
      <c r="AV16" s="433"/>
      <c r="AW16" s="433"/>
      <c r="AX16" s="434"/>
      <c r="AY16" s="1007"/>
      <c r="AZ16" s="1007"/>
      <c r="BA16" s="1007"/>
      <c r="BB16" s="1007"/>
      <c r="BC16" s="1007"/>
      <c r="BD16" s="1007"/>
      <c r="BE16" s="434"/>
      <c r="BF16" s="968"/>
      <c r="BG16" s="968"/>
      <c r="BH16" s="968"/>
      <c r="BI16" s="968"/>
      <c r="BJ16" s="968"/>
      <c r="BK16" s="851"/>
      <c r="BL16" s="826"/>
      <c r="BM16" s="820"/>
      <c r="BN16" s="820"/>
      <c r="BO16" s="820"/>
      <c r="BP16" s="435"/>
      <c r="BQ16" s="1007"/>
      <c r="BR16" s="1007"/>
      <c r="BS16" s="1007"/>
      <c r="BT16" s="1007"/>
      <c r="BU16" s="1007"/>
      <c r="BV16" s="1008"/>
      <c r="BW16" s="968"/>
      <c r="BX16" s="968"/>
      <c r="BY16" s="968"/>
      <c r="BZ16" s="968"/>
      <c r="CA16" s="968"/>
      <c r="CB16" s="1009"/>
      <c r="CC16" s="968"/>
      <c r="CD16" s="968"/>
      <c r="CE16" s="968"/>
      <c r="CF16" s="968"/>
      <c r="CG16" s="968"/>
      <c r="CH16" s="308"/>
      <c r="CI16" s="306"/>
      <c r="CJ16" s="306"/>
    </row>
    <row r="17" spans="1:88" s="309" customFormat="1" ht="15" customHeight="1">
      <c r="A17" s="302"/>
      <c r="B17" s="302"/>
      <c r="C17" s="302"/>
      <c r="E17" s="1068"/>
      <c r="F17" s="1068"/>
      <c r="G17" s="992"/>
      <c r="H17" s="992"/>
      <c r="I17" s="992"/>
      <c r="J17" s="992"/>
      <c r="K17" s="992"/>
      <c r="L17" s="992"/>
      <c r="M17" s="992"/>
      <c r="N17" s="992"/>
      <c r="O17" s="992"/>
      <c r="P17" s="992"/>
      <c r="Q17" s="992"/>
      <c r="R17" s="992"/>
      <c r="S17" s="992"/>
      <c r="T17" s="992"/>
      <c r="U17" s="992"/>
      <c r="V17" s="992"/>
      <c r="W17" s="992"/>
      <c r="X17" s="992"/>
      <c r="Y17" s="992"/>
      <c r="Z17" s="992"/>
      <c r="AA17" s="992"/>
      <c r="AB17" s="992"/>
      <c r="AC17" s="992"/>
      <c r="AD17" s="992"/>
      <c r="AE17" s="992"/>
      <c r="AF17" s="992"/>
      <c r="AG17" s="992"/>
      <c r="AH17" s="992"/>
      <c r="AI17" s="992"/>
      <c r="AJ17" s="992"/>
      <c r="AK17" s="977"/>
      <c r="AL17" s="977"/>
      <c r="AM17" s="977"/>
      <c r="AN17" s="367"/>
      <c r="AO17" s="432" t="str">
        <f>IF(LEN(VLOOKUP(AK15,vysledovka!$D$8:$F$68,2,FALSE))&lt;11,"",LEFT(RIGHT(VLOOKUP(AK15,vysledovka!$D$8:$F$68,2,FALSE),11),1))</f>
        <v/>
      </c>
      <c r="AP17" s="255"/>
      <c r="AQ17" s="432" t="str">
        <f>IF(LEN(VLOOKUP(AK15,vysledovka!$D$8:$F$68,2,FALSE))&lt;10,"",LEFT(RIGHT(VLOOKUP(AK15,vysledovka!$D$8:$F$68,2,FALSE),10),1))</f>
        <v/>
      </c>
      <c r="AR17" s="434"/>
      <c r="AS17" s="432" t="str">
        <f>IF(LEN(VLOOKUP(AK15,vysledovka!$D$8:$F$68,2,FALSE))&lt;9,"",LEFT(RIGHT(VLOOKUP(AK15,vysledovka!$D$8:$F$68,2,FALSE),9),1))</f>
        <v/>
      </c>
      <c r="AT17" s="255"/>
      <c r="AU17" s="432" t="str">
        <f>IF(LEN(VLOOKUP(AK15,vysledovka!$D$8:$F$68,2,FALSE))&lt;8,"",LEFT(RIGHT(VLOOKUP(AK15,vysledovka!$D$8:$F$68,2,FALSE),8),1))</f>
        <v/>
      </c>
      <c r="AV17" s="434"/>
      <c r="AW17" s="432" t="str">
        <f>IF(LEN(VLOOKUP(AK15,vysledovka!$D$8:$F$68,2,FALSE))&lt;7,"",LEFT(RIGHT(VLOOKUP(AK15,vysledovka!$D$8:$F$68,2,FALSE),7),1))</f>
        <v/>
      </c>
      <c r="AX17" s="434"/>
      <c r="AY17" s="432" t="str">
        <f>IF(LEN(VLOOKUP(AK15,vysledovka!$D$8:$F$68,2,FALSE))&lt;6,"",LEFT(RIGHT(VLOOKUP(AK15,vysledovka!$D$8:$F$68,2,FALSE),6),1))</f>
        <v>6</v>
      </c>
      <c r="AZ17" s="255"/>
      <c r="BA17" s="961" t="str">
        <f>IF(LEN(VLOOKUP(AK15,vysledovka!$D$8:$F$68,2,FALSE))&lt;5,"",LEFT(RIGHT(VLOOKUP(AK15,vysledovka!$D$8:$F$68,2,FALSE),5),1))</f>
        <v>0</v>
      </c>
      <c r="BB17" s="961"/>
      <c r="BC17" s="434"/>
      <c r="BD17" s="432" t="str">
        <f>IF(LEN(VLOOKUP(AK15,vysledovka!$D$8:$F$68,2,FALSE))&lt;4,"",LEFT(RIGHT(VLOOKUP(AK15,vysledovka!$D$8:$F$68,2,FALSE),4),1))</f>
        <v>4</v>
      </c>
      <c r="BE17" s="434"/>
      <c r="BF17" s="432" t="str">
        <f>IF(LEN(VLOOKUP(AK15,vysledovka!$D$8:$F$68,2,FALSE))&lt;3,"",LEFT(RIGHT(VLOOKUP(AK15,vysledovka!$D$8:$F$68,2,FALSE),3),1))</f>
        <v>9</v>
      </c>
      <c r="BG17" s="434"/>
      <c r="BH17" s="432" t="str">
        <f>IF(LEN(VLOOKUP(AK15,vysledovka!$D$8:$F$68,2,FALSE))&lt;2,"",LEFT(RIGHT(VLOOKUP(AK15,vysledovka!$D$8:$F$68,2,FALSE),2),1))</f>
        <v>4</v>
      </c>
      <c r="BI17" s="434"/>
      <c r="BJ17" s="432" t="str">
        <f>IF(VLOOKUP(AK15,vysledovka!$D$8:$F$68,2,FALSE)=0,"",IF(LEN(VLOOKUP(AK15,vysledovka!$D$8:$F$68,2,FALSE))&lt;1,"",LEFT(RIGHT(VLOOKUP(AK15,vysledovka!$D$8:$F$68,2,FALSE),1),1)))</f>
        <v>8</v>
      </c>
      <c r="BK17" s="851"/>
      <c r="BL17" s="826"/>
      <c r="BM17" s="432" t="str">
        <f>IF(LEN(VLOOKUP(AK15,vysledovka!$D$8:$F$68,3,FALSE))&lt;11,"",LEFT(RIGHT(VLOOKUP(AK15,vysledovka!$D$8:$F$68,3,FALSE),11),1))</f>
        <v/>
      </c>
      <c r="BN17" s="255"/>
      <c r="BO17" s="432" t="str">
        <f>IF(LEN(VLOOKUP(AK15,vysledovka!$D$8:$F$68,3,FALSE))&lt;10,"",LEFT(RIGHT(VLOOKUP(AK15,vysledovka!$D$8:$F$68,3,FALSE),10),1))</f>
        <v/>
      </c>
      <c r="BP17" s="434"/>
      <c r="BQ17" s="432" t="str">
        <f>IF(LEN(VLOOKUP(AK15,vysledovka!$D$8:$F$68,3,FALSE))&lt;9,"",LEFT(RIGHT(VLOOKUP(AK15,vysledovka!$D$8:$F$68,3,FALSE),9),1))</f>
        <v/>
      </c>
      <c r="BR17" s="255"/>
      <c r="BS17" s="432" t="str">
        <f>IF(LEN(VLOOKUP(AK15,vysledovka!$D$8:$F$68,3,FALSE))&lt;8,"",LEFT(RIGHT(VLOOKUP(AK15,vysledovka!$D$8:$F$68,3,FALSE),8),1))</f>
        <v/>
      </c>
      <c r="BT17" s="434"/>
      <c r="BU17" s="432" t="str">
        <f>IF(LEN(VLOOKUP(AK15,vysledovka!$D$8:$F$68,3,FALSE))&lt;7,"",LEFT(RIGHT(VLOOKUP(AK15,vysledovka!$D$8:$F$68,3,FALSE),7),1))</f>
        <v>1</v>
      </c>
      <c r="BV17" s="1008"/>
      <c r="BW17" s="432" t="str">
        <f>IF(LEN(VLOOKUP(AK15,vysledovka!$D$8:$F$68,3,FALSE))&lt;6,"",LEFT(RIGHT(VLOOKUP(AK15,vysledovka!$D$8:$F$68,3,FALSE),6),1))</f>
        <v>3</v>
      </c>
      <c r="BX17" s="434"/>
      <c r="BY17" s="432" t="str">
        <f>IF(LEN(VLOOKUP(AK15,vysledovka!$D$8:$F$68,3,FALSE))&lt;5,"",LEFT(RIGHT(VLOOKUP(AK15,vysledovka!$D$8:$F$68,3,FALSE),5),1))</f>
        <v>7</v>
      </c>
      <c r="BZ17" s="434"/>
      <c r="CA17" s="432" t="str">
        <f>IF(LEN(VLOOKUP(AK15,vysledovka!$D$8:$F$68,3,FALSE))&lt;4,"",LEFT(RIGHT(VLOOKUP(AK15,vysledovka!$D$8:$F$68,3,FALSE),4),1))</f>
        <v>8</v>
      </c>
      <c r="CB17" s="1009"/>
      <c r="CC17" s="432" t="str">
        <f>IF(LEN(VLOOKUP(AK15,vysledovka!$D$8:$F$68,3,FALSE))&lt;3,"",LEFT(RIGHT(VLOOKUP(AK15,vysledovka!$D$8:$F$68,3,FALSE),3),1))</f>
        <v>1</v>
      </c>
      <c r="CD17" s="434"/>
      <c r="CE17" s="432" t="str">
        <f>IF(LEN(VLOOKUP(AK15,vysledovka!$D$8:$F$68,3,FALSE))&lt;2,"",LEFT(RIGHT(VLOOKUP(AK15,vysledovka!$D$8:$F$68,3,FALSE),2),1))</f>
        <v>1</v>
      </c>
      <c r="CF17" s="434"/>
      <c r="CG17" s="432" t="str">
        <f>IF(VLOOKUP(AK15,vysledovka!$D$8:$F$68,3,FALSE)=0,"",IF(LEN(VLOOKUP(AK15,vysledovka!$D$8:$F$68,3,FALSE))&lt;1,"",LEFT(RIGHT(VLOOKUP(AK15,vysledovka!$D$8:$F$68,3,FALSE),1),1)))</f>
        <v>1</v>
      </c>
      <c r="CH17" s="308"/>
      <c r="CI17" s="302"/>
      <c r="CJ17" s="302"/>
    </row>
    <row r="18" spans="1:88" s="309" customFormat="1" ht="3" customHeight="1">
      <c r="A18" s="302"/>
      <c r="B18" s="302"/>
      <c r="C18" s="302"/>
      <c r="E18" s="1068"/>
      <c r="F18" s="1068"/>
      <c r="G18" s="992"/>
      <c r="H18" s="992"/>
      <c r="I18" s="992"/>
      <c r="J18" s="992"/>
      <c r="K18" s="992"/>
      <c r="L18" s="992"/>
      <c r="M18" s="992"/>
      <c r="N18" s="992"/>
      <c r="O18" s="992"/>
      <c r="P18" s="992"/>
      <c r="Q18" s="992"/>
      <c r="R18" s="992"/>
      <c r="S18" s="992"/>
      <c r="T18" s="992"/>
      <c r="U18" s="992"/>
      <c r="V18" s="992"/>
      <c r="W18" s="992"/>
      <c r="X18" s="992"/>
      <c r="Y18" s="992"/>
      <c r="Z18" s="992"/>
      <c r="AA18" s="992"/>
      <c r="AB18" s="992"/>
      <c r="AC18" s="992"/>
      <c r="AD18" s="992"/>
      <c r="AE18" s="992"/>
      <c r="AF18" s="992"/>
      <c r="AG18" s="992"/>
      <c r="AH18" s="992"/>
      <c r="AI18" s="992"/>
      <c r="AJ18" s="992"/>
      <c r="AK18" s="977"/>
      <c r="AL18" s="977"/>
      <c r="AM18" s="977"/>
      <c r="AN18" s="363"/>
      <c r="AO18" s="365"/>
      <c r="AP18" s="365"/>
      <c r="AQ18" s="365"/>
      <c r="AR18" s="365"/>
      <c r="AS18" s="365"/>
      <c r="AT18" s="365"/>
      <c r="AU18" s="365"/>
      <c r="AV18" s="365"/>
      <c r="AW18" s="365"/>
      <c r="AX18" s="365"/>
      <c r="AY18" s="365"/>
      <c r="AZ18" s="365"/>
      <c r="BA18" s="365"/>
      <c r="BB18" s="365"/>
      <c r="BC18" s="365"/>
      <c r="BD18" s="365"/>
      <c r="BE18" s="310"/>
      <c r="BF18" s="310"/>
      <c r="BG18" s="310"/>
      <c r="BH18" s="310"/>
      <c r="BI18" s="310"/>
      <c r="BJ18" s="310"/>
      <c r="BK18" s="310"/>
      <c r="BL18" s="846"/>
      <c r="BM18" s="846"/>
      <c r="BN18" s="846"/>
      <c r="BO18" s="846"/>
      <c r="BP18" s="846"/>
      <c r="BQ18" s="846"/>
      <c r="BR18" s="846"/>
      <c r="BS18" s="846"/>
      <c r="BT18" s="846"/>
      <c r="BU18" s="846"/>
      <c r="BV18" s="846"/>
      <c r="BW18" s="846"/>
      <c r="BX18" s="846"/>
      <c r="BY18" s="846"/>
      <c r="BZ18" s="846"/>
      <c r="CA18" s="846"/>
      <c r="CB18" s="846"/>
      <c r="CC18" s="310"/>
      <c r="CD18" s="310"/>
      <c r="CE18" s="310"/>
      <c r="CF18" s="310"/>
      <c r="CG18" s="310"/>
      <c r="CH18" s="311"/>
      <c r="CI18" s="302"/>
      <c r="CJ18" s="302"/>
    </row>
    <row r="19" spans="1:88" s="250" customFormat="1" ht="3" customHeight="1">
      <c r="A19" s="312"/>
      <c r="B19" s="312"/>
      <c r="C19" s="224"/>
      <c r="D19" s="224"/>
      <c r="E19" s="1057" t="s">
        <v>705</v>
      </c>
      <c r="F19" s="1058"/>
      <c r="G19" s="972" t="str">
        <f>Index!C261</f>
        <v>Daň z príjmov (r. 58 + r. 59)</v>
      </c>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1056" t="s">
        <v>1617</v>
      </c>
      <c r="AL19" s="1014"/>
      <c r="AM19" s="1014"/>
      <c r="AN19" s="357"/>
      <c r="AO19" s="366"/>
      <c r="AP19" s="366"/>
      <c r="AQ19" s="366"/>
      <c r="AR19" s="366"/>
      <c r="AS19" s="366"/>
      <c r="AT19" s="366"/>
      <c r="AU19" s="366"/>
      <c r="AV19" s="366"/>
      <c r="AW19" s="366"/>
      <c r="AX19" s="366"/>
      <c r="AY19" s="366"/>
      <c r="AZ19" s="366"/>
      <c r="BA19" s="366"/>
      <c r="BB19" s="366"/>
      <c r="BC19" s="366"/>
      <c r="BD19" s="366"/>
      <c r="BE19" s="304"/>
      <c r="BF19" s="304"/>
      <c r="BG19" s="304"/>
      <c r="BH19" s="304"/>
      <c r="BI19" s="304"/>
      <c r="BJ19" s="304"/>
      <c r="BK19" s="304"/>
      <c r="BL19" s="867"/>
      <c r="BM19" s="867"/>
      <c r="BN19" s="867"/>
      <c r="BO19" s="867"/>
      <c r="BP19" s="867"/>
      <c r="BQ19" s="867"/>
      <c r="BR19" s="867"/>
      <c r="BS19" s="867"/>
      <c r="BT19" s="867"/>
      <c r="BU19" s="867"/>
      <c r="BV19" s="867"/>
      <c r="BW19" s="867"/>
      <c r="BX19" s="867"/>
      <c r="BY19" s="867"/>
      <c r="BZ19" s="867"/>
      <c r="CA19" s="867"/>
      <c r="CB19" s="867"/>
      <c r="CC19" s="304"/>
      <c r="CD19" s="304"/>
      <c r="CE19" s="304"/>
      <c r="CF19" s="304"/>
      <c r="CG19" s="304"/>
      <c r="CH19" s="284"/>
      <c r="CI19" s="288"/>
      <c r="CJ19" s="288"/>
    </row>
    <row r="20" spans="1:88" s="250" customFormat="1" ht="3" customHeight="1">
      <c r="A20" s="312"/>
      <c r="B20" s="312"/>
      <c r="C20" s="312"/>
      <c r="D20" s="312"/>
      <c r="E20" s="1057"/>
      <c r="F20" s="1058"/>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1014"/>
      <c r="AL20" s="1014"/>
      <c r="AM20" s="1014"/>
      <c r="AN20" s="355"/>
      <c r="AO20" s="436"/>
      <c r="AP20" s="436"/>
      <c r="AQ20" s="436"/>
      <c r="AR20" s="435"/>
      <c r="AS20" s="433"/>
      <c r="AT20" s="433"/>
      <c r="AU20" s="433"/>
      <c r="AV20" s="433"/>
      <c r="AW20" s="433"/>
      <c r="AX20" s="434"/>
      <c r="AY20" s="1007"/>
      <c r="AZ20" s="1007"/>
      <c r="BA20" s="1007"/>
      <c r="BB20" s="1007"/>
      <c r="BC20" s="1007"/>
      <c r="BD20" s="1007"/>
      <c r="BE20" s="434"/>
      <c r="BF20" s="968"/>
      <c r="BG20" s="968"/>
      <c r="BH20" s="968"/>
      <c r="BI20" s="968"/>
      <c r="BJ20" s="968"/>
      <c r="BK20" s="851"/>
      <c r="BL20" s="826"/>
      <c r="BM20" s="820"/>
      <c r="BN20" s="820"/>
      <c r="BO20" s="820"/>
      <c r="BP20" s="435"/>
      <c r="BQ20" s="1007"/>
      <c r="BR20" s="1007"/>
      <c r="BS20" s="1007"/>
      <c r="BT20" s="1007"/>
      <c r="BU20" s="1007"/>
      <c r="BV20" s="1008"/>
      <c r="BW20" s="968"/>
      <c r="BX20" s="968"/>
      <c r="BY20" s="968"/>
      <c r="BZ20" s="968"/>
      <c r="CA20" s="968"/>
      <c r="CB20" s="1009"/>
      <c r="CC20" s="968"/>
      <c r="CD20" s="968"/>
      <c r="CE20" s="968"/>
      <c r="CF20" s="968"/>
      <c r="CG20" s="968"/>
      <c r="CH20" s="285"/>
      <c r="CI20" s="288"/>
      <c r="CJ20" s="288"/>
    </row>
    <row r="21" spans="1:88" s="313" customFormat="1" ht="15" customHeight="1">
      <c r="A21" s="312"/>
      <c r="B21" s="312"/>
      <c r="C21" s="312"/>
      <c r="E21" s="1057"/>
      <c r="F21" s="1058"/>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1014"/>
      <c r="AL21" s="1014"/>
      <c r="AM21" s="1014"/>
      <c r="AN21" s="355"/>
      <c r="AO21" s="432" t="str">
        <f>IF(LEN(VLOOKUP(AK19,vysledovka!$D$8:$F$68,2,FALSE))&lt;11,"",LEFT(RIGHT(VLOOKUP(AK19,vysledovka!$D$8:$F$68,2,FALSE),11),1))</f>
        <v/>
      </c>
      <c r="AP21" s="255"/>
      <c r="AQ21" s="432" t="str">
        <f>IF(LEN(VLOOKUP(AK19,vysledovka!$D$8:$F$68,2,FALSE))&lt;10,"",LEFT(RIGHT(VLOOKUP(AK19,vysledovka!$D$8:$F$68,2,FALSE),10),1))</f>
        <v/>
      </c>
      <c r="AR21" s="434"/>
      <c r="AS21" s="432" t="str">
        <f>IF(LEN(VLOOKUP(AK19,vysledovka!$D$8:$F$68,2,FALSE))&lt;9,"",LEFT(RIGHT(VLOOKUP(AK19,vysledovka!$D$8:$F$68,2,FALSE),9),1))</f>
        <v/>
      </c>
      <c r="AT21" s="255"/>
      <c r="AU21" s="432" t="str">
        <f>IF(LEN(VLOOKUP(AK19,vysledovka!$D$8:$F$68,2,FALSE))&lt;8,"",LEFT(RIGHT(VLOOKUP(AK19,vysledovka!$D$8:$F$68,2,FALSE),8),1))</f>
        <v/>
      </c>
      <c r="AV21" s="434"/>
      <c r="AW21" s="432" t="str">
        <f>IF(LEN(VLOOKUP(AK19,vysledovka!$D$8:$F$68,2,FALSE))&lt;7,"",LEFT(RIGHT(VLOOKUP(AK19,vysledovka!$D$8:$F$68,2,FALSE),7),1))</f>
        <v/>
      </c>
      <c r="AX21" s="434"/>
      <c r="AY21" s="432" t="str">
        <f>IF(LEN(VLOOKUP(AK19,vysledovka!$D$8:$F$68,2,FALSE))&lt;6,"",LEFT(RIGHT(VLOOKUP(AK19,vysledovka!$D$8:$F$68,2,FALSE),6),1))</f>
        <v>1</v>
      </c>
      <c r="AZ21" s="255"/>
      <c r="BA21" s="961" t="str">
        <f>IF(LEN(VLOOKUP(AK19,vysledovka!$D$8:$F$68,2,FALSE))&lt;5,"",LEFT(RIGHT(VLOOKUP(AK19,vysledovka!$D$8:$F$68,2,FALSE),5),1))</f>
        <v>4</v>
      </c>
      <c r="BB21" s="961"/>
      <c r="BC21" s="434"/>
      <c r="BD21" s="432" t="str">
        <f>IF(LEN(VLOOKUP(AK19,vysledovka!$D$8:$F$68,2,FALSE))&lt;4,"",LEFT(RIGHT(VLOOKUP(AK19,vysledovka!$D$8:$F$68,2,FALSE),4),1))</f>
        <v>9</v>
      </c>
      <c r="BE21" s="434"/>
      <c r="BF21" s="432" t="str">
        <f>IF(LEN(VLOOKUP(AK19,vysledovka!$D$8:$F$68,2,FALSE))&lt;3,"",LEFT(RIGHT(VLOOKUP(AK19,vysledovka!$D$8:$F$68,2,FALSE),3),1))</f>
        <v>2</v>
      </c>
      <c r="BG21" s="434"/>
      <c r="BH21" s="432" t="str">
        <f>IF(LEN(VLOOKUP(AK19,vysledovka!$D$8:$F$68,2,FALSE))&lt;2,"",LEFT(RIGHT(VLOOKUP(AK19,vysledovka!$D$8:$F$68,2,FALSE),2),1))</f>
        <v>0</v>
      </c>
      <c r="BI21" s="434"/>
      <c r="BJ21" s="432" t="str">
        <f>IF(VLOOKUP(AK19,vysledovka!$D$8:$F$68,2,FALSE)=0,"",IF(LEN(VLOOKUP(AK19,vysledovka!$D$8:$F$68,2,FALSE))&lt;1,"",LEFT(RIGHT(VLOOKUP(AK19,vysledovka!$D$8:$F$68,2,FALSE),1),1)))</f>
        <v>1</v>
      </c>
      <c r="BK21" s="851"/>
      <c r="BL21" s="826"/>
      <c r="BM21" s="432" t="str">
        <f>IF(LEN(VLOOKUP(AK19,vysledovka!$D$8:$F$68,3,FALSE))&lt;11,"",LEFT(RIGHT(VLOOKUP(AK19,vysledovka!$D$8:$F$68,3,FALSE),11),1))</f>
        <v/>
      </c>
      <c r="BN21" s="255"/>
      <c r="BO21" s="432" t="str">
        <f>IF(LEN(VLOOKUP(AK19,vysledovka!$D$8:$F$68,3,FALSE))&lt;10,"",LEFT(RIGHT(VLOOKUP(AK19,vysledovka!$D$8:$F$68,3,FALSE),10),1))</f>
        <v/>
      </c>
      <c r="BP21" s="434"/>
      <c r="BQ21" s="432" t="str">
        <f>IF(LEN(VLOOKUP(AK19,vysledovka!$D$8:$F$68,3,FALSE))&lt;9,"",LEFT(RIGHT(VLOOKUP(AK19,vysledovka!$D$8:$F$68,3,FALSE),9),1))</f>
        <v/>
      </c>
      <c r="BR21" s="255"/>
      <c r="BS21" s="432" t="str">
        <f>IF(LEN(VLOOKUP(AK19,vysledovka!$D$8:$F$68,3,FALSE))&lt;8,"",LEFT(RIGHT(VLOOKUP(AK19,vysledovka!$D$8:$F$68,3,FALSE),8),1))</f>
        <v/>
      </c>
      <c r="BT21" s="434"/>
      <c r="BU21" s="432" t="str">
        <f>IF(LEN(VLOOKUP(AK19,vysledovka!$D$8:$F$68,3,FALSE))&lt;7,"",LEFT(RIGHT(VLOOKUP(AK19,vysledovka!$D$8:$F$68,3,FALSE),7),1))</f>
        <v/>
      </c>
      <c r="BV21" s="1008"/>
      <c r="BW21" s="432" t="str">
        <f>IF(LEN(VLOOKUP(AK19,vysledovka!$D$8:$F$68,3,FALSE))&lt;6,"",LEFT(RIGHT(VLOOKUP(AK19,vysledovka!$D$8:$F$68,3,FALSE),6),1))</f>
        <v>2</v>
      </c>
      <c r="BX21" s="434"/>
      <c r="BY21" s="432" t="str">
        <f>IF(LEN(VLOOKUP(AK19,vysledovka!$D$8:$F$68,3,FALSE))&lt;5,"",LEFT(RIGHT(VLOOKUP(AK19,vysledovka!$D$8:$F$68,3,FALSE),5),1))</f>
        <v>7</v>
      </c>
      <c r="BZ21" s="434"/>
      <c r="CA21" s="432" t="str">
        <f>IF(LEN(VLOOKUP(AK19,vysledovka!$D$8:$F$68,3,FALSE))&lt;4,"",LEFT(RIGHT(VLOOKUP(AK19,vysledovka!$D$8:$F$68,3,FALSE),4),1))</f>
        <v>8</v>
      </c>
      <c r="CB21" s="1009"/>
      <c r="CC21" s="432" t="str">
        <f>IF(LEN(VLOOKUP(AK19,vysledovka!$D$8:$F$68,3,FALSE))&lt;3,"",LEFT(RIGHT(VLOOKUP(AK19,vysledovka!$D$8:$F$68,3,FALSE),3),1))</f>
        <v>9</v>
      </c>
      <c r="CD21" s="434"/>
      <c r="CE21" s="432" t="str">
        <f>IF(LEN(VLOOKUP(AK19,vysledovka!$D$8:$F$68,3,FALSE))&lt;2,"",LEFT(RIGHT(VLOOKUP(AK19,vysledovka!$D$8:$F$68,3,FALSE),2),1))</f>
        <v>1</v>
      </c>
      <c r="CF21" s="434"/>
      <c r="CG21" s="432" t="str">
        <f>IF(VLOOKUP(AK19,vysledovka!$D$8:$F$68,3,FALSE)=0,"",IF(LEN(VLOOKUP(AK19,vysledovka!$D$8:$F$68,3,FALSE))&lt;1,"",LEFT(RIGHT(VLOOKUP(AK19,vysledovka!$D$8:$F$68,3,FALSE),1),1)))</f>
        <v>4</v>
      </c>
      <c r="CH21" s="285"/>
      <c r="CI21" s="312"/>
      <c r="CJ21" s="312"/>
    </row>
    <row r="22" spans="1:88" s="313" customFormat="1" ht="3" customHeight="1">
      <c r="A22" s="312"/>
      <c r="B22" s="312"/>
      <c r="C22" s="312"/>
      <c r="E22" s="1057"/>
      <c r="F22" s="1058"/>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1014"/>
      <c r="AL22" s="1014"/>
      <c r="AM22" s="1014"/>
      <c r="AN22" s="358"/>
      <c r="AO22" s="365"/>
      <c r="AP22" s="365"/>
      <c r="AQ22" s="365"/>
      <c r="AR22" s="365"/>
      <c r="AS22" s="365"/>
      <c r="AT22" s="365"/>
      <c r="AU22" s="365"/>
      <c r="AV22" s="365"/>
      <c r="AW22" s="365"/>
      <c r="AX22" s="365"/>
      <c r="AY22" s="365"/>
      <c r="AZ22" s="365"/>
      <c r="BA22" s="365"/>
      <c r="BB22" s="365"/>
      <c r="BC22" s="365"/>
      <c r="BD22" s="365"/>
      <c r="BE22" s="310"/>
      <c r="BF22" s="310"/>
      <c r="BG22" s="310"/>
      <c r="BH22" s="310"/>
      <c r="BI22" s="310"/>
      <c r="BJ22" s="310"/>
      <c r="BK22" s="310"/>
      <c r="BL22" s="846"/>
      <c r="BM22" s="846"/>
      <c r="BN22" s="846"/>
      <c r="BO22" s="846"/>
      <c r="BP22" s="846"/>
      <c r="BQ22" s="846"/>
      <c r="BR22" s="846"/>
      <c r="BS22" s="846"/>
      <c r="BT22" s="846"/>
      <c r="BU22" s="846"/>
      <c r="BV22" s="846"/>
      <c r="BW22" s="846"/>
      <c r="BX22" s="846"/>
      <c r="BY22" s="846"/>
      <c r="BZ22" s="846"/>
      <c r="CA22" s="846"/>
      <c r="CB22" s="846"/>
      <c r="CC22" s="310"/>
      <c r="CD22" s="310"/>
      <c r="CE22" s="310"/>
      <c r="CF22" s="310"/>
      <c r="CG22" s="310"/>
      <c r="CH22" s="286"/>
      <c r="CI22" s="312"/>
      <c r="CJ22" s="312"/>
    </row>
    <row r="23" spans="1:88" s="250" customFormat="1" ht="3" customHeight="1">
      <c r="A23" s="312"/>
      <c r="B23" s="312"/>
      <c r="C23" s="224"/>
      <c r="D23" s="224"/>
      <c r="E23" s="1136" t="s">
        <v>1763</v>
      </c>
      <c r="F23" s="1137"/>
      <c r="G23" s="1062" t="str">
        <f>Index!C262</f>
        <v>Daň z príjmov splatná (591, 595)</v>
      </c>
      <c r="H23" s="1063"/>
      <c r="I23" s="1063"/>
      <c r="J23" s="1063"/>
      <c r="K23" s="1063"/>
      <c r="L23" s="1063"/>
      <c r="M23" s="1063"/>
      <c r="N23" s="1063"/>
      <c r="O23" s="1063"/>
      <c r="P23" s="1063"/>
      <c r="Q23" s="1063"/>
      <c r="R23" s="1063"/>
      <c r="S23" s="1063"/>
      <c r="T23" s="1063"/>
      <c r="U23" s="1063"/>
      <c r="V23" s="1063"/>
      <c r="W23" s="1063"/>
      <c r="X23" s="1063"/>
      <c r="Y23" s="1063"/>
      <c r="Z23" s="1063"/>
      <c r="AA23" s="1063"/>
      <c r="AB23" s="1063"/>
      <c r="AC23" s="1063"/>
      <c r="AD23" s="1063"/>
      <c r="AE23" s="1063"/>
      <c r="AF23" s="1063"/>
      <c r="AG23" s="1063"/>
      <c r="AH23" s="1063"/>
      <c r="AI23" s="1063"/>
      <c r="AJ23" s="1064"/>
      <c r="AK23" s="1056" t="s">
        <v>1618</v>
      </c>
      <c r="AL23" s="1014"/>
      <c r="AM23" s="1014"/>
      <c r="AN23" s="357"/>
      <c r="AO23" s="366"/>
      <c r="AP23" s="366"/>
      <c r="AQ23" s="366"/>
      <c r="AR23" s="366"/>
      <c r="AS23" s="366"/>
      <c r="AT23" s="366"/>
      <c r="AU23" s="366"/>
      <c r="AV23" s="366"/>
      <c r="AW23" s="366"/>
      <c r="AX23" s="366"/>
      <c r="AY23" s="366"/>
      <c r="AZ23" s="366"/>
      <c r="BA23" s="366"/>
      <c r="BB23" s="366"/>
      <c r="BC23" s="366"/>
      <c r="BD23" s="366"/>
      <c r="BE23" s="304"/>
      <c r="BF23" s="304"/>
      <c r="BG23" s="304"/>
      <c r="BH23" s="304"/>
      <c r="BI23" s="304"/>
      <c r="BJ23" s="304"/>
      <c r="BK23" s="304"/>
      <c r="BL23" s="867"/>
      <c r="BM23" s="867"/>
      <c r="BN23" s="867"/>
      <c r="BO23" s="867"/>
      <c r="BP23" s="867"/>
      <c r="BQ23" s="867"/>
      <c r="BR23" s="867"/>
      <c r="BS23" s="867"/>
      <c r="BT23" s="867"/>
      <c r="BU23" s="867"/>
      <c r="BV23" s="867"/>
      <c r="BW23" s="867"/>
      <c r="BX23" s="867"/>
      <c r="BY23" s="867"/>
      <c r="BZ23" s="867"/>
      <c r="CA23" s="867"/>
      <c r="CB23" s="867"/>
      <c r="CC23" s="304"/>
      <c r="CD23" s="304"/>
      <c r="CE23" s="304"/>
      <c r="CF23" s="304"/>
      <c r="CG23" s="304"/>
      <c r="CH23" s="284"/>
      <c r="CI23" s="288"/>
      <c r="CJ23" s="288"/>
    </row>
    <row r="24" spans="1:88" s="250" customFormat="1" ht="3" customHeight="1">
      <c r="A24" s="312"/>
      <c r="B24" s="312"/>
      <c r="C24" s="312"/>
      <c r="D24" s="312"/>
      <c r="E24" s="1136"/>
      <c r="F24" s="1137"/>
      <c r="G24" s="1062"/>
      <c r="H24" s="1063"/>
      <c r="I24" s="1063"/>
      <c r="J24" s="1063"/>
      <c r="K24" s="1063"/>
      <c r="L24" s="1063"/>
      <c r="M24" s="1063"/>
      <c r="N24" s="1063"/>
      <c r="O24" s="1063"/>
      <c r="P24" s="1063"/>
      <c r="Q24" s="1063"/>
      <c r="R24" s="1063"/>
      <c r="S24" s="1063"/>
      <c r="T24" s="1063"/>
      <c r="U24" s="1063"/>
      <c r="V24" s="1063"/>
      <c r="W24" s="1063"/>
      <c r="X24" s="1063"/>
      <c r="Y24" s="1063"/>
      <c r="Z24" s="1063"/>
      <c r="AA24" s="1063"/>
      <c r="AB24" s="1063"/>
      <c r="AC24" s="1063"/>
      <c r="AD24" s="1063"/>
      <c r="AE24" s="1063"/>
      <c r="AF24" s="1063"/>
      <c r="AG24" s="1063"/>
      <c r="AH24" s="1063"/>
      <c r="AI24" s="1063"/>
      <c r="AJ24" s="1064"/>
      <c r="AK24" s="1014"/>
      <c r="AL24" s="1014"/>
      <c r="AM24" s="1014"/>
      <c r="AN24" s="355"/>
      <c r="AO24" s="436"/>
      <c r="AP24" s="436"/>
      <c r="AQ24" s="436"/>
      <c r="AR24" s="435"/>
      <c r="AS24" s="433"/>
      <c r="AT24" s="433"/>
      <c r="AU24" s="433"/>
      <c r="AV24" s="433"/>
      <c r="AW24" s="433"/>
      <c r="AX24" s="434"/>
      <c r="AY24" s="1007"/>
      <c r="AZ24" s="1007"/>
      <c r="BA24" s="1007"/>
      <c r="BB24" s="1007"/>
      <c r="BC24" s="1007"/>
      <c r="BD24" s="1007"/>
      <c r="BE24" s="434"/>
      <c r="BF24" s="968"/>
      <c r="BG24" s="968"/>
      <c r="BH24" s="968"/>
      <c r="BI24" s="968"/>
      <c r="BJ24" s="968"/>
      <c r="BK24" s="851"/>
      <c r="BL24" s="826"/>
      <c r="BM24" s="820"/>
      <c r="BN24" s="820"/>
      <c r="BO24" s="820"/>
      <c r="BP24" s="435"/>
      <c r="BQ24" s="1007"/>
      <c r="BR24" s="1007"/>
      <c r="BS24" s="1007"/>
      <c r="BT24" s="1007"/>
      <c r="BU24" s="1007"/>
      <c r="BV24" s="1008"/>
      <c r="BW24" s="968"/>
      <c r="BX24" s="968"/>
      <c r="BY24" s="968"/>
      <c r="BZ24" s="968"/>
      <c r="CA24" s="968"/>
      <c r="CB24" s="1009"/>
      <c r="CC24" s="968"/>
      <c r="CD24" s="968"/>
      <c r="CE24" s="968"/>
      <c r="CF24" s="968"/>
      <c r="CG24" s="968"/>
      <c r="CH24" s="285"/>
      <c r="CI24" s="288"/>
      <c r="CJ24" s="288"/>
    </row>
    <row r="25" spans="1:88" s="313" customFormat="1" ht="15" customHeight="1">
      <c r="A25" s="312"/>
      <c r="B25" s="312"/>
      <c r="C25" s="312"/>
      <c r="E25" s="1136"/>
      <c r="F25" s="1137"/>
      <c r="G25" s="1062"/>
      <c r="H25" s="1063"/>
      <c r="I25" s="1063"/>
      <c r="J25" s="1063"/>
      <c r="K25" s="1063"/>
      <c r="L25" s="1063"/>
      <c r="M25" s="1063"/>
      <c r="N25" s="1063"/>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c r="AJ25" s="1064"/>
      <c r="AK25" s="1014"/>
      <c r="AL25" s="1014"/>
      <c r="AM25" s="1014"/>
      <c r="AN25" s="355"/>
      <c r="AO25" s="432" t="str">
        <f>IF(LEN(VLOOKUP(AK23,vysledovka!$D$8:$F$68,2,FALSE))&lt;11,"",LEFT(RIGHT(VLOOKUP(AK23,vysledovka!$D$8:$F$68,2,FALSE),11),1))</f>
        <v/>
      </c>
      <c r="AP25" s="255"/>
      <c r="AQ25" s="432" t="str">
        <f>IF(LEN(VLOOKUP(AK23,vysledovka!$D$8:$F$68,2,FALSE))&lt;10,"",LEFT(RIGHT(VLOOKUP(AK23,vysledovka!$D$8:$F$68,2,FALSE),10),1))</f>
        <v/>
      </c>
      <c r="AR25" s="434"/>
      <c r="AS25" s="432" t="str">
        <f>IF(LEN(VLOOKUP(AK23,vysledovka!$D$8:$F$68,2,FALSE))&lt;9,"",LEFT(RIGHT(VLOOKUP(AK23,vysledovka!$D$8:$F$68,2,FALSE),9),1))</f>
        <v/>
      </c>
      <c r="AT25" s="255"/>
      <c r="AU25" s="432" t="str">
        <f>IF(LEN(VLOOKUP(AK23,vysledovka!$D$8:$F$68,2,FALSE))&lt;8,"",LEFT(RIGHT(VLOOKUP(AK23,vysledovka!$D$8:$F$68,2,FALSE),8),1))</f>
        <v/>
      </c>
      <c r="AV25" s="434"/>
      <c r="AW25" s="432" t="str">
        <f>IF(LEN(VLOOKUP(AK23,vysledovka!$D$8:$F$68,2,FALSE))&lt;7,"",LEFT(RIGHT(VLOOKUP(AK23,vysledovka!$D$8:$F$68,2,FALSE),7),1))</f>
        <v>1</v>
      </c>
      <c r="AX25" s="434"/>
      <c r="AY25" s="432" t="str">
        <f>IF(LEN(VLOOKUP(AK23,vysledovka!$D$8:$F$68,2,FALSE))&lt;6,"",LEFT(RIGHT(VLOOKUP(AK23,vysledovka!$D$8:$F$68,2,FALSE),6),1))</f>
        <v>0</v>
      </c>
      <c r="AZ25" s="255"/>
      <c r="BA25" s="961" t="str">
        <f>IF(LEN(VLOOKUP(AK23,vysledovka!$D$8:$F$68,2,FALSE))&lt;5,"",LEFT(RIGHT(VLOOKUP(AK23,vysledovka!$D$8:$F$68,2,FALSE),5),1))</f>
        <v>4</v>
      </c>
      <c r="BB25" s="961"/>
      <c r="BC25" s="434"/>
      <c r="BD25" s="432" t="str">
        <f>IF(LEN(VLOOKUP(AK23,vysledovka!$D$8:$F$68,2,FALSE))&lt;4,"",LEFT(RIGHT(VLOOKUP(AK23,vysledovka!$D$8:$F$68,2,FALSE),4),1))</f>
        <v>3</v>
      </c>
      <c r="BE25" s="434"/>
      <c r="BF25" s="432" t="str">
        <f>IF(LEN(VLOOKUP(AK23,vysledovka!$D$8:$F$68,2,FALSE))&lt;3,"",LEFT(RIGHT(VLOOKUP(AK23,vysledovka!$D$8:$F$68,2,FALSE),3),1))</f>
        <v>2</v>
      </c>
      <c r="BG25" s="434"/>
      <c r="BH25" s="432" t="str">
        <f>IF(LEN(VLOOKUP(AK23,vysledovka!$D$8:$F$68,2,FALSE))&lt;2,"",LEFT(RIGHT(VLOOKUP(AK23,vysledovka!$D$8:$F$68,2,FALSE),2),1))</f>
        <v>1</v>
      </c>
      <c r="BI25" s="434"/>
      <c r="BJ25" s="432" t="str">
        <f>IF(VLOOKUP(AK23,vysledovka!$D$8:$F$68,2,FALSE)=0,"",IF(LEN(VLOOKUP(AK23,vysledovka!$D$8:$F$68,2,FALSE))&lt;1,"",LEFT(RIGHT(VLOOKUP(AK23,vysledovka!$D$8:$F$68,2,FALSE),1),1)))</f>
        <v>3</v>
      </c>
      <c r="BK25" s="851"/>
      <c r="BL25" s="826"/>
      <c r="BM25" s="432" t="str">
        <f>IF(LEN(VLOOKUP(AK23,vysledovka!$D$8:$F$68,3,FALSE))&lt;11,"",LEFT(RIGHT(VLOOKUP(AK23,vysledovka!$D$8:$F$68,3,FALSE),11),1))</f>
        <v/>
      </c>
      <c r="BN25" s="255"/>
      <c r="BO25" s="432" t="str">
        <f>IF(LEN(VLOOKUP(AK23,vysledovka!$D$8:$F$68,3,FALSE))&lt;10,"",LEFT(RIGHT(VLOOKUP(AK23,vysledovka!$D$8:$F$68,3,FALSE),10),1))</f>
        <v/>
      </c>
      <c r="BP25" s="434"/>
      <c r="BQ25" s="432" t="str">
        <f>IF(LEN(VLOOKUP(AK23,vysledovka!$D$8:$F$68,3,FALSE))&lt;9,"",LEFT(RIGHT(VLOOKUP(AK23,vysledovka!$D$8:$F$68,3,FALSE),9),1))</f>
        <v/>
      </c>
      <c r="BR25" s="255"/>
      <c r="BS25" s="432" t="str">
        <f>IF(LEN(VLOOKUP(AK23,vysledovka!$D$8:$F$68,3,FALSE))&lt;8,"",LEFT(RIGHT(VLOOKUP(AK23,vysledovka!$D$8:$F$68,3,FALSE),8),1))</f>
        <v/>
      </c>
      <c r="BT25" s="434"/>
      <c r="BU25" s="432" t="str">
        <f>IF(LEN(VLOOKUP(AK23,vysledovka!$D$8:$F$68,3,FALSE))&lt;7,"",LEFT(RIGHT(VLOOKUP(AK23,vysledovka!$D$8:$F$68,3,FALSE),7),1))</f>
        <v/>
      </c>
      <c r="BV25" s="1008"/>
      <c r="BW25" s="432" t="str">
        <f>IF(LEN(VLOOKUP(AK23,vysledovka!$D$8:$F$68,3,FALSE))&lt;6,"",LEFT(RIGHT(VLOOKUP(AK23,vysledovka!$D$8:$F$68,3,FALSE),6),1))</f>
        <v>6</v>
      </c>
      <c r="BX25" s="434"/>
      <c r="BY25" s="432" t="str">
        <f>IF(LEN(VLOOKUP(AK23,vysledovka!$D$8:$F$68,3,FALSE))&lt;5,"",LEFT(RIGHT(VLOOKUP(AK23,vysledovka!$D$8:$F$68,3,FALSE),5),1))</f>
        <v>3</v>
      </c>
      <c r="BZ25" s="434"/>
      <c r="CA25" s="432" t="str">
        <f>IF(LEN(VLOOKUP(AK23,vysledovka!$D$8:$F$68,3,FALSE))&lt;4,"",LEFT(RIGHT(VLOOKUP(AK23,vysledovka!$D$8:$F$68,3,FALSE),4),1))</f>
        <v>4</v>
      </c>
      <c r="CB25" s="1009"/>
      <c r="CC25" s="432" t="str">
        <f>IF(LEN(VLOOKUP(AK23,vysledovka!$D$8:$F$68,3,FALSE))&lt;3,"",LEFT(RIGHT(VLOOKUP(AK23,vysledovka!$D$8:$F$68,3,FALSE),3),1))</f>
        <v>1</v>
      </c>
      <c r="CD25" s="434"/>
      <c r="CE25" s="432" t="str">
        <f>IF(LEN(VLOOKUP(AK23,vysledovka!$D$8:$F$68,3,FALSE))&lt;2,"",LEFT(RIGHT(VLOOKUP(AK23,vysledovka!$D$8:$F$68,3,FALSE),2),1))</f>
        <v>7</v>
      </c>
      <c r="CF25" s="434"/>
      <c r="CG25" s="432" t="str">
        <f>IF(VLOOKUP(AK23,vysledovka!$D$8:$F$68,3,FALSE)=0,"",IF(LEN(VLOOKUP(AK23,vysledovka!$D$8:$F$68,3,FALSE))&lt;1,"",LEFT(RIGHT(VLOOKUP(AK23,vysledovka!$D$8:$F$68,3,FALSE),1),1)))</f>
        <v>5</v>
      </c>
      <c r="CH25" s="285"/>
      <c r="CI25" s="312"/>
      <c r="CJ25" s="312"/>
    </row>
    <row r="26" spans="1:88" s="313" customFormat="1" ht="3" customHeight="1">
      <c r="A26" s="312"/>
      <c r="B26" s="312"/>
      <c r="C26" s="312"/>
      <c r="E26" s="1136"/>
      <c r="F26" s="1137"/>
      <c r="G26" s="1062"/>
      <c r="H26" s="1063"/>
      <c r="I26" s="1063"/>
      <c r="J26" s="1063"/>
      <c r="K26" s="1063"/>
      <c r="L26" s="1063"/>
      <c r="M26" s="1063"/>
      <c r="N26" s="1063"/>
      <c r="O26" s="1063"/>
      <c r="P26" s="1063"/>
      <c r="Q26" s="1063"/>
      <c r="R26" s="1063"/>
      <c r="S26" s="1063"/>
      <c r="T26" s="1063"/>
      <c r="U26" s="1063"/>
      <c r="V26" s="1063"/>
      <c r="W26" s="1063"/>
      <c r="X26" s="1063"/>
      <c r="Y26" s="1063"/>
      <c r="Z26" s="1063"/>
      <c r="AA26" s="1063"/>
      <c r="AB26" s="1063"/>
      <c r="AC26" s="1063"/>
      <c r="AD26" s="1063"/>
      <c r="AE26" s="1063"/>
      <c r="AF26" s="1063"/>
      <c r="AG26" s="1063"/>
      <c r="AH26" s="1063"/>
      <c r="AI26" s="1063"/>
      <c r="AJ26" s="1064"/>
      <c r="AK26" s="1014"/>
      <c r="AL26" s="1014"/>
      <c r="AM26" s="1014"/>
      <c r="AN26" s="358"/>
      <c r="AO26" s="365"/>
      <c r="AP26" s="365"/>
      <c r="AQ26" s="365"/>
      <c r="AR26" s="365"/>
      <c r="AS26" s="365"/>
      <c r="AT26" s="365"/>
      <c r="AU26" s="365"/>
      <c r="AV26" s="365"/>
      <c r="AW26" s="365"/>
      <c r="AX26" s="365"/>
      <c r="AY26" s="365"/>
      <c r="AZ26" s="365"/>
      <c r="BA26" s="365"/>
      <c r="BB26" s="365"/>
      <c r="BC26" s="365"/>
      <c r="BD26" s="365"/>
      <c r="BE26" s="310"/>
      <c r="BF26" s="310"/>
      <c r="BG26" s="310"/>
      <c r="BH26" s="310"/>
      <c r="BI26" s="310"/>
      <c r="BJ26" s="310"/>
      <c r="BK26" s="310"/>
      <c r="BL26" s="846"/>
      <c r="BM26" s="846"/>
      <c r="BN26" s="846"/>
      <c r="BO26" s="846"/>
      <c r="BP26" s="846"/>
      <c r="BQ26" s="846"/>
      <c r="BR26" s="846"/>
      <c r="BS26" s="846"/>
      <c r="BT26" s="846"/>
      <c r="BU26" s="846"/>
      <c r="BV26" s="846"/>
      <c r="BW26" s="846"/>
      <c r="BX26" s="846"/>
      <c r="BY26" s="846"/>
      <c r="BZ26" s="846"/>
      <c r="CA26" s="846"/>
      <c r="CB26" s="846"/>
      <c r="CC26" s="310"/>
      <c r="CD26" s="310"/>
      <c r="CE26" s="310"/>
      <c r="CF26" s="310"/>
      <c r="CG26" s="310"/>
      <c r="CH26" s="286"/>
      <c r="CI26" s="312"/>
      <c r="CJ26" s="312"/>
    </row>
    <row r="27" spans="1:88" s="250" customFormat="1" ht="3" customHeight="1">
      <c r="A27" s="312"/>
      <c r="B27" s="312"/>
      <c r="C27" s="224"/>
      <c r="D27" s="224"/>
      <c r="E27" s="1011" t="s">
        <v>1542</v>
      </c>
      <c r="F27" s="1012"/>
      <c r="G27" s="1006" t="str">
        <f>Index!C263</f>
        <v>Daň z príjmov odložená (+/-) (592)</v>
      </c>
      <c r="H27" s="1047"/>
      <c r="I27" s="1047"/>
      <c r="J27" s="1047"/>
      <c r="K27" s="1047"/>
      <c r="L27" s="1047"/>
      <c r="M27" s="1047"/>
      <c r="N27" s="1047"/>
      <c r="O27" s="1047"/>
      <c r="P27" s="1047"/>
      <c r="Q27" s="1047"/>
      <c r="R27" s="1047"/>
      <c r="S27" s="1047"/>
      <c r="T27" s="1047"/>
      <c r="U27" s="1047"/>
      <c r="V27" s="1047"/>
      <c r="W27" s="1047"/>
      <c r="X27" s="1047"/>
      <c r="Y27" s="1047"/>
      <c r="Z27" s="1047"/>
      <c r="AA27" s="1047"/>
      <c r="AB27" s="1047"/>
      <c r="AC27" s="1047"/>
      <c r="AD27" s="1047"/>
      <c r="AE27" s="1047"/>
      <c r="AF27" s="1047"/>
      <c r="AG27" s="1047"/>
      <c r="AH27" s="1047"/>
      <c r="AI27" s="1047"/>
      <c r="AJ27" s="1047"/>
      <c r="AK27" s="1056" t="s">
        <v>1619</v>
      </c>
      <c r="AL27" s="1014"/>
      <c r="AM27" s="1014"/>
      <c r="AN27" s="357"/>
      <c r="AO27" s="366"/>
      <c r="AP27" s="366"/>
      <c r="AQ27" s="366"/>
      <c r="AR27" s="366"/>
      <c r="AS27" s="366"/>
      <c r="AT27" s="366"/>
      <c r="AU27" s="366"/>
      <c r="AV27" s="366"/>
      <c r="AW27" s="366"/>
      <c r="AX27" s="366"/>
      <c r="AY27" s="366"/>
      <c r="AZ27" s="366"/>
      <c r="BA27" s="366"/>
      <c r="BB27" s="366"/>
      <c r="BC27" s="366"/>
      <c r="BD27" s="366"/>
      <c r="BE27" s="304"/>
      <c r="BF27" s="304"/>
      <c r="BG27" s="304"/>
      <c r="BH27" s="304"/>
      <c r="BI27" s="304"/>
      <c r="BJ27" s="304"/>
      <c r="BK27" s="304"/>
      <c r="BL27" s="867"/>
      <c r="BM27" s="867"/>
      <c r="BN27" s="867"/>
      <c r="BO27" s="867"/>
      <c r="BP27" s="867"/>
      <c r="BQ27" s="867"/>
      <c r="BR27" s="867"/>
      <c r="BS27" s="867"/>
      <c r="BT27" s="867"/>
      <c r="BU27" s="867"/>
      <c r="BV27" s="867"/>
      <c r="BW27" s="867"/>
      <c r="BX27" s="867"/>
      <c r="BY27" s="867"/>
      <c r="BZ27" s="867"/>
      <c r="CA27" s="867"/>
      <c r="CB27" s="867"/>
      <c r="CC27" s="304"/>
      <c r="CD27" s="304"/>
      <c r="CE27" s="304"/>
      <c r="CF27" s="304"/>
      <c r="CG27" s="304"/>
      <c r="CH27" s="284"/>
      <c r="CI27" s="288"/>
      <c r="CJ27" s="288"/>
    </row>
    <row r="28" spans="1:88" s="250" customFormat="1" ht="3" customHeight="1">
      <c r="A28" s="312"/>
      <c r="B28" s="312"/>
      <c r="C28" s="312"/>
      <c r="D28" s="312"/>
      <c r="E28" s="1011"/>
      <c r="F28" s="1012"/>
      <c r="G28" s="1047"/>
      <c r="H28" s="1047"/>
      <c r="I28" s="1047"/>
      <c r="J28" s="1047"/>
      <c r="K28" s="1047"/>
      <c r="L28" s="1047"/>
      <c r="M28" s="1047"/>
      <c r="N28" s="1047"/>
      <c r="O28" s="1047"/>
      <c r="P28" s="1047"/>
      <c r="Q28" s="1047"/>
      <c r="R28" s="1047"/>
      <c r="S28" s="1047"/>
      <c r="T28" s="1047"/>
      <c r="U28" s="1047"/>
      <c r="V28" s="1047"/>
      <c r="W28" s="1047"/>
      <c r="X28" s="1047"/>
      <c r="Y28" s="1047"/>
      <c r="Z28" s="1047"/>
      <c r="AA28" s="1047"/>
      <c r="AB28" s="1047"/>
      <c r="AC28" s="1047"/>
      <c r="AD28" s="1047"/>
      <c r="AE28" s="1047"/>
      <c r="AF28" s="1047"/>
      <c r="AG28" s="1047"/>
      <c r="AH28" s="1047"/>
      <c r="AI28" s="1047"/>
      <c r="AJ28" s="1047"/>
      <c r="AK28" s="1014"/>
      <c r="AL28" s="1014"/>
      <c r="AM28" s="1014"/>
      <c r="AN28" s="355"/>
      <c r="AO28" s="436"/>
      <c r="AP28" s="436"/>
      <c r="AQ28" s="436"/>
      <c r="AR28" s="435"/>
      <c r="AS28" s="433"/>
      <c r="AT28" s="433"/>
      <c r="AU28" s="433"/>
      <c r="AV28" s="433"/>
      <c r="AW28" s="433"/>
      <c r="AX28" s="434"/>
      <c r="AY28" s="1007"/>
      <c r="AZ28" s="1007"/>
      <c r="BA28" s="1007"/>
      <c r="BB28" s="1007"/>
      <c r="BC28" s="1007"/>
      <c r="BD28" s="1007"/>
      <c r="BE28" s="434"/>
      <c r="BF28" s="968"/>
      <c r="BG28" s="968"/>
      <c r="BH28" s="968"/>
      <c r="BI28" s="968"/>
      <c r="BJ28" s="968"/>
      <c r="BK28" s="851"/>
      <c r="BL28" s="826"/>
      <c r="BM28" s="820"/>
      <c r="BN28" s="820"/>
      <c r="BO28" s="820"/>
      <c r="BP28" s="435"/>
      <c r="BQ28" s="1007"/>
      <c r="BR28" s="1007"/>
      <c r="BS28" s="1007"/>
      <c r="BT28" s="1007"/>
      <c r="BU28" s="1007"/>
      <c r="BV28" s="1008"/>
      <c r="BW28" s="968"/>
      <c r="BX28" s="968"/>
      <c r="BY28" s="968"/>
      <c r="BZ28" s="968"/>
      <c r="CA28" s="968"/>
      <c r="CB28" s="1009"/>
      <c r="CC28" s="968"/>
      <c r="CD28" s="968"/>
      <c r="CE28" s="968"/>
      <c r="CF28" s="968"/>
      <c r="CG28" s="968"/>
      <c r="CH28" s="285"/>
      <c r="CI28" s="288"/>
      <c r="CJ28" s="288"/>
    </row>
    <row r="29" spans="1:88" s="313" customFormat="1" ht="15" customHeight="1">
      <c r="A29" s="312"/>
      <c r="B29" s="312"/>
      <c r="C29" s="312"/>
      <c r="E29" s="1011"/>
      <c r="F29" s="1012"/>
      <c r="G29" s="1047"/>
      <c r="H29" s="1047"/>
      <c r="I29" s="1047"/>
      <c r="J29" s="1047"/>
      <c r="K29" s="1047"/>
      <c r="L29" s="1047"/>
      <c r="M29" s="1047"/>
      <c r="N29" s="1047"/>
      <c r="O29" s="1047"/>
      <c r="P29" s="1047"/>
      <c r="Q29" s="1047"/>
      <c r="R29" s="1047"/>
      <c r="S29" s="1047"/>
      <c r="T29" s="1047"/>
      <c r="U29" s="1047"/>
      <c r="V29" s="1047"/>
      <c r="W29" s="1047"/>
      <c r="X29" s="1047"/>
      <c r="Y29" s="1047"/>
      <c r="Z29" s="1047"/>
      <c r="AA29" s="1047"/>
      <c r="AB29" s="1047"/>
      <c r="AC29" s="1047"/>
      <c r="AD29" s="1047"/>
      <c r="AE29" s="1047"/>
      <c r="AF29" s="1047"/>
      <c r="AG29" s="1047"/>
      <c r="AH29" s="1047"/>
      <c r="AI29" s="1047"/>
      <c r="AJ29" s="1047"/>
      <c r="AK29" s="1014"/>
      <c r="AL29" s="1014"/>
      <c r="AM29" s="1014"/>
      <c r="AN29" s="355"/>
      <c r="AO29" s="432" t="str">
        <f>IF(LEN(VLOOKUP(AK27,vysledovka!$D$8:$F$68,2,FALSE))&lt;11,"",LEFT(RIGHT(VLOOKUP(AK27,vysledovka!$D$8:$F$68,2,FALSE),11),1))</f>
        <v/>
      </c>
      <c r="AP29" s="255"/>
      <c r="AQ29" s="432" t="str">
        <f>IF(LEN(VLOOKUP(AK27,vysledovka!$D$8:$F$68,2,FALSE))&lt;10,"",LEFT(RIGHT(VLOOKUP(AK27,vysledovka!$D$8:$F$68,2,FALSE),10),1))</f>
        <v/>
      </c>
      <c r="AR29" s="434"/>
      <c r="AS29" s="432" t="str">
        <f>IF(LEN(VLOOKUP(AK27,vysledovka!$D$8:$F$68,2,FALSE))&lt;9,"",LEFT(RIGHT(VLOOKUP(AK27,vysledovka!$D$8:$F$68,2,FALSE),9),1))</f>
        <v/>
      </c>
      <c r="AT29" s="255"/>
      <c r="AU29" s="432" t="str">
        <f>IF(LEN(VLOOKUP(AK27,vysledovka!$D$8:$F$68,2,FALSE))&lt;8,"",LEFT(RIGHT(VLOOKUP(AK27,vysledovka!$D$8:$F$68,2,FALSE),8),1))</f>
        <v/>
      </c>
      <c r="AV29" s="434"/>
      <c r="AW29" s="432" t="str">
        <f>IF(LEN(VLOOKUP(AK27,vysledovka!$D$8:$F$68,2,FALSE))&lt;7,"",LEFT(RIGHT(VLOOKUP(AK27,vysledovka!$D$8:$F$68,2,FALSE),7),1))</f>
        <v>-</v>
      </c>
      <c r="AX29" s="434"/>
      <c r="AY29" s="432" t="str">
        <f>IF(LEN(VLOOKUP(AK27,vysledovka!$D$8:$F$68,2,FALSE))&lt;6,"",LEFT(RIGHT(VLOOKUP(AK27,vysledovka!$D$8:$F$68,2,FALSE),6),1))</f>
        <v>8</v>
      </c>
      <c r="AZ29" s="255"/>
      <c r="BA29" s="961" t="str">
        <f>IF(LEN(VLOOKUP(AK27,vysledovka!$D$8:$F$68,2,FALSE))&lt;5,"",LEFT(RIGHT(VLOOKUP(AK27,vysledovka!$D$8:$F$68,2,FALSE),5),1))</f>
        <v>9</v>
      </c>
      <c r="BB29" s="961"/>
      <c r="BC29" s="434"/>
      <c r="BD29" s="432" t="str">
        <f>IF(LEN(VLOOKUP(AK27,vysledovka!$D$8:$F$68,2,FALSE))&lt;4,"",LEFT(RIGHT(VLOOKUP(AK27,vysledovka!$D$8:$F$68,2,FALSE),4),1))</f>
        <v>4</v>
      </c>
      <c r="BE29" s="434"/>
      <c r="BF29" s="432" t="str">
        <f>IF(LEN(VLOOKUP(AK27,vysledovka!$D$8:$F$68,2,FALSE))&lt;3,"",LEFT(RIGHT(VLOOKUP(AK27,vysledovka!$D$8:$F$68,2,FALSE),3),1))</f>
        <v>0</v>
      </c>
      <c r="BG29" s="434"/>
      <c r="BH29" s="432" t="str">
        <f>IF(LEN(VLOOKUP(AK27,vysledovka!$D$8:$F$68,2,FALSE))&lt;2,"",LEFT(RIGHT(VLOOKUP(AK27,vysledovka!$D$8:$F$68,2,FALSE),2),1))</f>
        <v>1</v>
      </c>
      <c r="BI29" s="434"/>
      <c r="BJ29" s="432" t="str">
        <f>IF(VLOOKUP(AK27,vysledovka!$D$8:$F$68,2,FALSE)=0,"",IF(LEN(VLOOKUP(AK27,vysledovka!$D$8:$F$68,2,FALSE))&lt;1,"",LEFT(RIGHT(VLOOKUP(AK27,vysledovka!$D$8:$F$68,2,FALSE),1),1)))</f>
        <v>2</v>
      </c>
      <c r="BK29" s="851"/>
      <c r="BL29" s="826"/>
      <c r="BM29" s="432" t="str">
        <f>IF(LEN(VLOOKUP(AK27,vysledovka!$D$8:$F$68,3,FALSE))&lt;11,"",LEFT(RIGHT(VLOOKUP(AK27,vysledovka!$D$8:$F$68,3,FALSE),11),1))</f>
        <v/>
      </c>
      <c r="BN29" s="255"/>
      <c r="BO29" s="432" t="str">
        <f>IF(LEN(VLOOKUP(AK27,vysledovka!$D$8:$F$68,3,FALSE))&lt;10,"",LEFT(RIGHT(VLOOKUP(AK27,vysledovka!$D$8:$F$68,3,FALSE),10),1))</f>
        <v/>
      </c>
      <c r="BP29" s="434"/>
      <c r="BQ29" s="432" t="str">
        <f>IF(LEN(VLOOKUP(AK27,vysledovka!$D$8:$F$68,3,FALSE))&lt;9,"",LEFT(RIGHT(VLOOKUP(AK27,vysledovka!$D$8:$F$68,3,FALSE),9),1))</f>
        <v/>
      </c>
      <c r="BR29" s="255"/>
      <c r="BS29" s="432" t="str">
        <f>IF(LEN(VLOOKUP(AK27,vysledovka!$D$8:$F$68,3,FALSE))&lt;8,"",LEFT(RIGHT(VLOOKUP(AK27,vysledovka!$D$8:$F$68,3,FALSE),8),1))</f>
        <v/>
      </c>
      <c r="BT29" s="434"/>
      <c r="BU29" s="432" t="str">
        <f>IF(LEN(VLOOKUP(AK27,vysledovka!$D$8:$F$68,3,FALSE))&lt;7,"",LEFT(RIGHT(VLOOKUP(AK27,vysledovka!$D$8:$F$68,3,FALSE),7),1))</f>
        <v>-</v>
      </c>
      <c r="BV29" s="1008"/>
      <c r="BW29" s="432" t="str">
        <f>IF(LEN(VLOOKUP(AK27,vysledovka!$D$8:$F$68,3,FALSE))&lt;6,"",LEFT(RIGHT(VLOOKUP(AK27,vysledovka!$D$8:$F$68,3,FALSE),6),1))</f>
        <v>3</v>
      </c>
      <c r="BX29" s="434"/>
      <c r="BY29" s="432" t="str">
        <f>IF(LEN(VLOOKUP(AK27,vysledovka!$D$8:$F$68,3,FALSE))&lt;5,"",LEFT(RIGHT(VLOOKUP(AK27,vysledovka!$D$8:$F$68,3,FALSE),5),1))</f>
        <v>5</v>
      </c>
      <c r="BZ29" s="434"/>
      <c r="CA29" s="432" t="str">
        <f>IF(LEN(VLOOKUP(AK27,vysledovka!$D$8:$F$68,3,FALSE))&lt;4,"",LEFT(RIGHT(VLOOKUP(AK27,vysledovka!$D$8:$F$68,3,FALSE),4),1))</f>
        <v>5</v>
      </c>
      <c r="CB29" s="1009"/>
      <c r="CC29" s="432" t="str">
        <f>IF(LEN(VLOOKUP(AK27,vysledovka!$D$8:$F$68,3,FALSE))&lt;3,"",LEFT(RIGHT(VLOOKUP(AK27,vysledovka!$D$8:$F$68,3,FALSE),3),1))</f>
        <v>2</v>
      </c>
      <c r="CD29" s="434"/>
      <c r="CE29" s="432" t="str">
        <f>IF(LEN(VLOOKUP(AK27,vysledovka!$D$8:$F$68,3,FALSE))&lt;2,"",LEFT(RIGHT(VLOOKUP(AK27,vysledovka!$D$8:$F$68,3,FALSE),2),1))</f>
        <v>6</v>
      </c>
      <c r="CF29" s="434"/>
      <c r="CG29" s="432" t="str">
        <f>IF(VLOOKUP(AK27,vysledovka!$D$8:$F$68,3,FALSE)=0,"",IF(LEN(VLOOKUP(AK27,vysledovka!$D$8:$F$68,3,FALSE))&lt;1,"",LEFT(RIGHT(VLOOKUP(AK27,vysledovka!$D$8:$F$68,3,FALSE),1),1)))</f>
        <v>1</v>
      </c>
      <c r="CH29" s="285"/>
      <c r="CI29" s="312"/>
      <c r="CJ29" s="312"/>
    </row>
    <row r="30" spans="1:88" s="313" customFormat="1" ht="3" customHeight="1">
      <c r="A30" s="312"/>
      <c r="B30" s="312"/>
      <c r="C30" s="312"/>
      <c r="E30" s="1011"/>
      <c r="F30" s="1012"/>
      <c r="G30" s="1047"/>
      <c r="H30" s="1047"/>
      <c r="I30" s="1047"/>
      <c r="J30" s="1047"/>
      <c r="K30" s="1047"/>
      <c r="L30" s="1047"/>
      <c r="M30" s="1047"/>
      <c r="N30" s="1047"/>
      <c r="O30" s="1047"/>
      <c r="P30" s="1047"/>
      <c r="Q30" s="1047"/>
      <c r="R30" s="1047"/>
      <c r="S30" s="1047"/>
      <c r="T30" s="1047"/>
      <c r="U30" s="1047"/>
      <c r="V30" s="1047"/>
      <c r="W30" s="1047"/>
      <c r="X30" s="1047"/>
      <c r="Y30" s="1047"/>
      <c r="Z30" s="1047"/>
      <c r="AA30" s="1047"/>
      <c r="AB30" s="1047"/>
      <c r="AC30" s="1047"/>
      <c r="AD30" s="1047"/>
      <c r="AE30" s="1047"/>
      <c r="AF30" s="1047"/>
      <c r="AG30" s="1047"/>
      <c r="AH30" s="1047"/>
      <c r="AI30" s="1047"/>
      <c r="AJ30" s="1047"/>
      <c r="AK30" s="1014"/>
      <c r="AL30" s="1014"/>
      <c r="AM30" s="1014"/>
      <c r="AN30" s="358"/>
      <c r="AO30" s="365"/>
      <c r="AP30" s="365"/>
      <c r="AQ30" s="365"/>
      <c r="AR30" s="365"/>
      <c r="AS30" s="365"/>
      <c r="AT30" s="365"/>
      <c r="AU30" s="365"/>
      <c r="AV30" s="365"/>
      <c r="AW30" s="365"/>
      <c r="AX30" s="365"/>
      <c r="AY30" s="365"/>
      <c r="AZ30" s="365"/>
      <c r="BA30" s="365"/>
      <c r="BB30" s="365"/>
      <c r="BC30" s="365"/>
      <c r="BD30" s="365"/>
      <c r="BE30" s="310"/>
      <c r="BF30" s="310"/>
      <c r="BG30" s="310"/>
      <c r="BH30" s="310"/>
      <c r="BI30" s="310"/>
      <c r="BJ30" s="310"/>
      <c r="BK30" s="310"/>
      <c r="BL30" s="846"/>
      <c r="BM30" s="846"/>
      <c r="BN30" s="846"/>
      <c r="BO30" s="846"/>
      <c r="BP30" s="846"/>
      <c r="BQ30" s="846"/>
      <c r="BR30" s="846"/>
      <c r="BS30" s="846"/>
      <c r="BT30" s="846"/>
      <c r="BU30" s="846"/>
      <c r="BV30" s="846"/>
      <c r="BW30" s="846"/>
      <c r="BX30" s="846"/>
      <c r="BY30" s="846"/>
      <c r="BZ30" s="846"/>
      <c r="CA30" s="846"/>
      <c r="CB30" s="846"/>
      <c r="CC30" s="310"/>
      <c r="CD30" s="310"/>
      <c r="CE30" s="310"/>
      <c r="CF30" s="310"/>
      <c r="CG30" s="310"/>
      <c r="CH30" s="286"/>
      <c r="CI30" s="312"/>
      <c r="CJ30" s="312"/>
    </row>
    <row r="31" spans="1:88" s="250" customFormat="1" ht="3" customHeight="1">
      <c r="A31" s="312"/>
      <c r="B31" s="312"/>
      <c r="C31" s="224"/>
      <c r="D31" s="224"/>
      <c r="E31" s="1136" t="s">
        <v>707</v>
      </c>
      <c r="F31" s="1137"/>
      <c r="G31" s="1061" t="str">
        <f>Index!C264</f>
        <v>Prevod podielov na výsledku hospodárenia spoločníkom (+/- 596)</v>
      </c>
      <c r="H31" s="1082"/>
      <c r="I31" s="1082"/>
      <c r="J31" s="1082"/>
      <c r="K31" s="1082"/>
      <c r="L31" s="1082"/>
      <c r="M31" s="1082"/>
      <c r="N31" s="1082"/>
      <c r="O31" s="1082"/>
      <c r="P31" s="1082"/>
      <c r="Q31" s="1082"/>
      <c r="R31" s="1082"/>
      <c r="S31" s="1082"/>
      <c r="T31" s="1082"/>
      <c r="U31" s="1082"/>
      <c r="V31" s="1082"/>
      <c r="W31" s="1082"/>
      <c r="X31" s="1082"/>
      <c r="Y31" s="1082"/>
      <c r="Z31" s="1082"/>
      <c r="AA31" s="1082"/>
      <c r="AB31" s="1082"/>
      <c r="AC31" s="1082"/>
      <c r="AD31" s="1082"/>
      <c r="AE31" s="1082"/>
      <c r="AF31" s="1082"/>
      <c r="AG31" s="1082"/>
      <c r="AH31" s="1082"/>
      <c r="AI31" s="1082"/>
      <c r="AJ31" s="1082"/>
      <c r="AK31" s="1056" t="s">
        <v>1620</v>
      </c>
      <c r="AL31" s="1014"/>
      <c r="AM31" s="1014"/>
      <c r="AN31" s="357"/>
      <c r="AO31" s="366"/>
      <c r="AP31" s="366"/>
      <c r="AQ31" s="366"/>
      <c r="AR31" s="366"/>
      <c r="AS31" s="366"/>
      <c r="AT31" s="366"/>
      <c r="AU31" s="366"/>
      <c r="AV31" s="366"/>
      <c r="AW31" s="366"/>
      <c r="AX31" s="366"/>
      <c r="AY31" s="366"/>
      <c r="AZ31" s="366"/>
      <c r="BA31" s="366"/>
      <c r="BB31" s="366"/>
      <c r="BC31" s="366"/>
      <c r="BD31" s="366"/>
      <c r="BE31" s="304"/>
      <c r="BF31" s="304"/>
      <c r="BG31" s="304"/>
      <c r="BH31" s="304"/>
      <c r="BI31" s="304"/>
      <c r="BJ31" s="304"/>
      <c r="BK31" s="304"/>
      <c r="BL31" s="867"/>
      <c r="BM31" s="867"/>
      <c r="BN31" s="867"/>
      <c r="BO31" s="867"/>
      <c r="BP31" s="867"/>
      <c r="BQ31" s="867"/>
      <c r="BR31" s="867"/>
      <c r="BS31" s="867"/>
      <c r="BT31" s="867"/>
      <c r="BU31" s="867"/>
      <c r="BV31" s="867"/>
      <c r="BW31" s="867"/>
      <c r="BX31" s="867"/>
      <c r="BY31" s="867"/>
      <c r="BZ31" s="867"/>
      <c r="CA31" s="867"/>
      <c r="CB31" s="867"/>
      <c r="CC31" s="304"/>
      <c r="CD31" s="304"/>
      <c r="CE31" s="304"/>
      <c r="CF31" s="304"/>
      <c r="CG31" s="304"/>
      <c r="CH31" s="284"/>
      <c r="CI31" s="288"/>
      <c r="CJ31" s="288"/>
    </row>
    <row r="32" spans="1:88" s="250" customFormat="1" ht="3" customHeight="1">
      <c r="A32" s="312"/>
      <c r="B32" s="312"/>
      <c r="C32" s="312"/>
      <c r="D32" s="312"/>
      <c r="E32" s="1136"/>
      <c r="F32" s="1137"/>
      <c r="G32" s="1082"/>
      <c r="H32" s="1082"/>
      <c r="I32" s="1082"/>
      <c r="J32" s="1082"/>
      <c r="K32" s="1082"/>
      <c r="L32" s="1082"/>
      <c r="M32" s="1082"/>
      <c r="N32" s="1082"/>
      <c r="O32" s="1082"/>
      <c r="P32" s="1082"/>
      <c r="Q32" s="1082"/>
      <c r="R32" s="1082"/>
      <c r="S32" s="1082"/>
      <c r="T32" s="1082"/>
      <c r="U32" s="1082"/>
      <c r="V32" s="1082"/>
      <c r="W32" s="1082"/>
      <c r="X32" s="1082"/>
      <c r="Y32" s="1082"/>
      <c r="Z32" s="1082"/>
      <c r="AA32" s="1082"/>
      <c r="AB32" s="1082"/>
      <c r="AC32" s="1082"/>
      <c r="AD32" s="1082"/>
      <c r="AE32" s="1082"/>
      <c r="AF32" s="1082"/>
      <c r="AG32" s="1082"/>
      <c r="AH32" s="1082"/>
      <c r="AI32" s="1082"/>
      <c r="AJ32" s="1082"/>
      <c r="AK32" s="1014"/>
      <c r="AL32" s="1014"/>
      <c r="AM32" s="1014"/>
      <c r="AN32" s="355"/>
      <c r="AO32" s="436"/>
      <c r="AP32" s="436"/>
      <c r="AQ32" s="436"/>
      <c r="AR32" s="435"/>
      <c r="AS32" s="433"/>
      <c r="AT32" s="433"/>
      <c r="AU32" s="433"/>
      <c r="AV32" s="433"/>
      <c r="AW32" s="433"/>
      <c r="AX32" s="434"/>
      <c r="AY32" s="1007"/>
      <c r="AZ32" s="1007"/>
      <c r="BA32" s="1007"/>
      <c r="BB32" s="1007"/>
      <c r="BC32" s="1007"/>
      <c r="BD32" s="1007"/>
      <c r="BE32" s="434"/>
      <c r="BF32" s="968"/>
      <c r="BG32" s="968"/>
      <c r="BH32" s="968"/>
      <c r="BI32" s="968"/>
      <c r="BJ32" s="968"/>
      <c r="BK32" s="851"/>
      <c r="BL32" s="826"/>
      <c r="BM32" s="820"/>
      <c r="BN32" s="820"/>
      <c r="BO32" s="820"/>
      <c r="BP32" s="435"/>
      <c r="BQ32" s="1007"/>
      <c r="BR32" s="1007"/>
      <c r="BS32" s="1007"/>
      <c r="BT32" s="1007"/>
      <c r="BU32" s="1007"/>
      <c r="BV32" s="1008"/>
      <c r="BW32" s="968"/>
      <c r="BX32" s="968"/>
      <c r="BY32" s="968"/>
      <c r="BZ32" s="968"/>
      <c r="CA32" s="968"/>
      <c r="CB32" s="1009"/>
      <c r="CC32" s="968"/>
      <c r="CD32" s="968"/>
      <c r="CE32" s="968"/>
      <c r="CF32" s="968"/>
      <c r="CG32" s="968"/>
      <c r="CH32" s="285"/>
      <c r="CI32" s="288"/>
      <c r="CJ32" s="288"/>
    </row>
    <row r="33" spans="1:88" s="313" customFormat="1" ht="15" customHeight="1">
      <c r="A33" s="312"/>
      <c r="B33" s="312"/>
      <c r="C33" s="312"/>
      <c r="E33" s="1136"/>
      <c r="F33" s="1137"/>
      <c r="G33" s="1082"/>
      <c r="H33" s="1082"/>
      <c r="I33" s="1082"/>
      <c r="J33" s="1082"/>
      <c r="K33" s="1082"/>
      <c r="L33" s="1082"/>
      <c r="M33" s="1082"/>
      <c r="N33" s="1082"/>
      <c r="O33" s="1082"/>
      <c r="P33" s="1082"/>
      <c r="Q33" s="1082"/>
      <c r="R33" s="1082"/>
      <c r="S33" s="1082"/>
      <c r="T33" s="1082"/>
      <c r="U33" s="1082"/>
      <c r="V33" s="1082"/>
      <c r="W33" s="1082"/>
      <c r="X33" s="1082"/>
      <c r="Y33" s="1082"/>
      <c r="Z33" s="1082"/>
      <c r="AA33" s="1082"/>
      <c r="AB33" s="1082"/>
      <c r="AC33" s="1082"/>
      <c r="AD33" s="1082"/>
      <c r="AE33" s="1082"/>
      <c r="AF33" s="1082"/>
      <c r="AG33" s="1082"/>
      <c r="AH33" s="1082"/>
      <c r="AI33" s="1082"/>
      <c r="AJ33" s="1082"/>
      <c r="AK33" s="1014"/>
      <c r="AL33" s="1014"/>
      <c r="AM33" s="1014"/>
      <c r="AN33" s="355"/>
      <c r="AO33" s="432" t="str">
        <f>IF(LEN(VLOOKUP(AK31,vysledovka!$D$8:$F$68,2,FALSE))&lt;11,"",LEFT(RIGHT(VLOOKUP(AK31,vysledovka!$D$8:$F$68,2,FALSE),11),1))</f>
        <v/>
      </c>
      <c r="AP33" s="255"/>
      <c r="AQ33" s="432" t="str">
        <f>IF(LEN(VLOOKUP(AK31,vysledovka!$D$8:$F$68,2,FALSE))&lt;10,"",LEFT(RIGHT(VLOOKUP(AK31,vysledovka!$D$8:$F$68,2,FALSE),10),1))</f>
        <v/>
      </c>
      <c r="AR33" s="434"/>
      <c r="AS33" s="432" t="str">
        <f>IF(LEN(VLOOKUP(AK31,vysledovka!$D$8:$F$68,2,FALSE))&lt;9,"",LEFT(RIGHT(VLOOKUP(AK31,vysledovka!$D$8:$F$68,2,FALSE),9),1))</f>
        <v/>
      </c>
      <c r="AT33" s="255"/>
      <c r="AU33" s="432" t="str">
        <f>IF(LEN(VLOOKUP(AK31,vysledovka!$D$8:$F$68,2,FALSE))&lt;8,"",LEFT(RIGHT(VLOOKUP(AK31,vysledovka!$D$8:$F$68,2,FALSE),8),1))</f>
        <v/>
      </c>
      <c r="AV33" s="434"/>
      <c r="AW33" s="432" t="str">
        <f>IF(LEN(VLOOKUP(AK31,vysledovka!$D$8:$F$68,2,FALSE))&lt;7,"",LEFT(RIGHT(VLOOKUP(AK31,vysledovka!$D$8:$F$68,2,FALSE),7),1))</f>
        <v/>
      </c>
      <c r="AX33" s="434"/>
      <c r="AY33" s="432" t="str">
        <f>IF(LEN(VLOOKUP(AK31,vysledovka!$D$8:$F$68,2,FALSE))&lt;6,"",LEFT(RIGHT(VLOOKUP(AK31,vysledovka!$D$8:$F$68,2,FALSE),6),1))</f>
        <v/>
      </c>
      <c r="AZ33" s="255"/>
      <c r="BA33" s="961" t="str">
        <f>IF(LEN(VLOOKUP(AK31,vysledovka!$D$8:$F$68,2,FALSE))&lt;5,"",LEFT(RIGHT(VLOOKUP(AK31,vysledovka!$D$8:$F$68,2,FALSE),5),1))</f>
        <v/>
      </c>
      <c r="BB33" s="961"/>
      <c r="BC33" s="434"/>
      <c r="BD33" s="432" t="str">
        <f>IF(LEN(VLOOKUP(AK31,vysledovka!$D$8:$F$68,2,FALSE))&lt;4,"",LEFT(RIGHT(VLOOKUP(AK31,vysledovka!$D$8:$F$68,2,FALSE),4),1))</f>
        <v/>
      </c>
      <c r="BE33" s="434"/>
      <c r="BF33" s="432" t="str">
        <f>IF(LEN(VLOOKUP(AK31,vysledovka!$D$8:$F$68,2,FALSE))&lt;3,"",LEFT(RIGHT(VLOOKUP(AK31,vysledovka!$D$8:$F$68,2,FALSE),3),1))</f>
        <v/>
      </c>
      <c r="BG33" s="434"/>
      <c r="BH33" s="432" t="str">
        <f>IF(LEN(VLOOKUP(AK31,vysledovka!$D$8:$F$68,2,FALSE))&lt;2,"",LEFT(RIGHT(VLOOKUP(AK31,vysledovka!$D$8:$F$68,2,FALSE),2),1))</f>
        <v/>
      </c>
      <c r="BI33" s="434"/>
      <c r="BJ33" s="432" t="str">
        <f>IF(VLOOKUP(AK31,vysledovka!$D$8:$F$68,2,FALSE)=0,"",IF(LEN(VLOOKUP(AK31,vysledovka!$D$8:$F$68,2,FALSE))&lt;1,"",LEFT(RIGHT(VLOOKUP(AK31,vysledovka!$D$8:$F$68,2,FALSE),1),1)))</f>
        <v/>
      </c>
      <c r="BK33" s="851"/>
      <c r="BL33" s="826"/>
      <c r="BM33" s="432" t="str">
        <f>IF(LEN(VLOOKUP(AK31,vysledovka!$D$8:$F$68,3,FALSE))&lt;11,"",LEFT(RIGHT(VLOOKUP(AK31,vysledovka!$D$8:$F$68,3,FALSE),11),1))</f>
        <v/>
      </c>
      <c r="BN33" s="255"/>
      <c r="BO33" s="432" t="str">
        <f>IF(LEN(VLOOKUP(AK31,vysledovka!$D$8:$F$68,3,FALSE))&lt;10,"",LEFT(RIGHT(VLOOKUP(AK31,vysledovka!$D$8:$F$68,3,FALSE),10),1))</f>
        <v/>
      </c>
      <c r="BP33" s="434"/>
      <c r="BQ33" s="432" t="str">
        <f>IF(LEN(VLOOKUP(AK31,vysledovka!$D$8:$F$68,3,FALSE))&lt;9,"",LEFT(RIGHT(VLOOKUP(AK31,vysledovka!$D$8:$F$68,3,FALSE),9),1))</f>
        <v/>
      </c>
      <c r="BR33" s="255"/>
      <c r="BS33" s="432" t="str">
        <f>IF(LEN(VLOOKUP(AK31,vysledovka!$D$8:$F$68,3,FALSE))&lt;8,"",LEFT(RIGHT(VLOOKUP(AK31,vysledovka!$D$8:$F$68,3,FALSE),8),1))</f>
        <v/>
      </c>
      <c r="BT33" s="434"/>
      <c r="BU33" s="432" t="str">
        <f>IF(LEN(VLOOKUP(AK31,vysledovka!$D$8:$F$68,3,FALSE))&lt;7,"",LEFT(RIGHT(VLOOKUP(AK31,vysledovka!$D$8:$F$68,3,FALSE),7),1))</f>
        <v/>
      </c>
      <c r="BV33" s="1008"/>
      <c r="BW33" s="432" t="str">
        <f>IF(LEN(VLOOKUP(AK31,vysledovka!$D$8:$F$68,3,FALSE))&lt;6,"",LEFT(RIGHT(VLOOKUP(AK31,vysledovka!$D$8:$F$68,3,FALSE),6),1))</f>
        <v/>
      </c>
      <c r="BX33" s="434"/>
      <c r="BY33" s="432" t="str">
        <f>IF(LEN(VLOOKUP(AK31,vysledovka!$D$8:$F$68,3,FALSE))&lt;5,"",LEFT(RIGHT(VLOOKUP(AK31,vysledovka!$D$8:$F$68,3,FALSE),5),1))</f>
        <v/>
      </c>
      <c r="BZ33" s="434"/>
      <c r="CA33" s="432" t="str">
        <f>IF(LEN(VLOOKUP(AK31,vysledovka!$D$8:$F$68,3,FALSE))&lt;4,"",LEFT(RIGHT(VLOOKUP(AK31,vysledovka!$D$8:$F$68,3,FALSE),4),1))</f>
        <v/>
      </c>
      <c r="CB33" s="1009"/>
      <c r="CC33" s="432" t="str">
        <f>IF(LEN(VLOOKUP(AK31,vysledovka!$D$8:$F$68,3,FALSE))&lt;3,"",LEFT(RIGHT(VLOOKUP(AK31,vysledovka!$D$8:$F$68,3,FALSE),3),1))</f>
        <v/>
      </c>
      <c r="CD33" s="434"/>
      <c r="CE33" s="432" t="str">
        <f>IF(LEN(VLOOKUP(AK31,vysledovka!$D$8:$F$68,3,FALSE))&lt;2,"",LEFT(RIGHT(VLOOKUP(AK31,vysledovka!$D$8:$F$68,3,FALSE),2),1))</f>
        <v/>
      </c>
      <c r="CF33" s="434"/>
      <c r="CG33" s="432" t="str">
        <f>IF(VLOOKUP(AK31,vysledovka!$D$8:$F$68,3,FALSE)=0,"",IF(LEN(VLOOKUP(AK31,vysledovka!$D$8:$F$68,3,FALSE))&lt;1,"",LEFT(RIGHT(VLOOKUP(AK31,vysledovka!$D$8:$F$68,3,FALSE),1),1)))</f>
        <v/>
      </c>
      <c r="CH33" s="285"/>
      <c r="CI33" s="312"/>
      <c r="CJ33" s="312"/>
    </row>
    <row r="34" spans="1:88" s="313" customFormat="1" ht="3" customHeight="1">
      <c r="A34" s="312"/>
      <c r="B34" s="312"/>
      <c r="C34" s="312"/>
      <c r="E34" s="1136"/>
      <c r="F34" s="1137"/>
      <c r="G34" s="1082"/>
      <c r="H34" s="1082"/>
      <c r="I34" s="1082"/>
      <c r="J34" s="1082"/>
      <c r="K34" s="1082"/>
      <c r="L34" s="1082"/>
      <c r="M34" s="1082"/>
      <c r="N34" s="1082"/>
      <c r="O34" s="1082"/>
      <c r="P34" s="1082"/>
      <c r="Q34" s="1082"/>
      <c r="R34" s="1082"/>
      <c r="S34" s="1082"/>
      <c r="T34" s="1082"/>
      <c r="U34" s="1082"/>
      <c r="V34" s="1082"/>
      <c r="W34" s="1082"/>
      <c r="X34" s="1082"/>
      <c r="Y34" s="1082"/>
      <c r="Z34" s="1082"/>
      <c r="AA34" s="1082"/>
      <c r="AB34" s="1082"/>
      <c r="AC34" s="1082"/>
      <c r="AD34" s="1082"/>
      <c r="AE34" s="1082"/>
      <c r="AF34" s="1082"/>
      <c r="AG34" s="1082"/>
      <c r="AH34" s="1082"/>
      <c r="AI34" s="1082"/>
      <c r="AJ34" s="1082"/>
      <c r="AK34" s="1014"/>
      <c r="AL34" s="1014"/>
      <c r="AM34" s="1014"/>
      <c r="AN34" s="358"/>
      <c r="AO34" s="365"/>
      <c r="AP34" s="365"/>
      <c r="AQ34" s="365"/>
      <c r="AR34" s="365"/>
      <c r="AS34" s="365"/>
      <c r="AT34" s="365"/>
      <c r="AU34" s="365"/>
      <c r="AV34" s="365"/>
      <c r="AW34" s="365"/>
      <c r="AX34" s="365"/>
      <c r="AY34" s="365"/>
      <c r="AZ34" s="365"/>
      <c r="BA34" s="365"/>
      <c r="BB34" s="365"/>
      <c r="BC34" s="365"/>
      <c r="BD34" s="365"/>
      <c r="BE34" s="310"/>
      <c r="BF34" s="310"/>
      <c r="BG34" s="310"/>
      <c r="BH34" s="310"/>
      <c r="BI34" s="310"/>
      <c r="BJ34" s="310"/>
      <c r="BK34" s="310"/>
      <c r="BL34" s="846"/>
      <c r="BM34" s="846"/>
      <c r="BN34" s="846"/>
      <c r="BO34" s="846"/>
      <c r="BP34" s="846"/>
      <c r="BQ34" s="846"/>
      <c r="BR34" s="846"/>
      <c r="BS34" s="846"/>
      <c r="BT34" s="846"/>
      <c r="BU34" s="846"/>
      <c r="BV34" s="846"/>
      <c r="BW34" s="846"/>
      <c r="BX34" s="846"/>
      <c r="BY34" s="846"/>
      <c r="BZ34" s="846"/>
      <c r="CA34" s="846"/>
      <c r="CB34" s="846"/>
      <c r="CC34" s="310"/>
      <c r="CD34" s="310"/>
      <c r="CE34" s="310"/>
      <c r="CF34" s="310"/>
      <c r="CG34" s="310"/>
      <c r="CH34" s="286"/>
      <c r="CI34" s="312"/>
      <c r="CJ34" s="312"/>
    </row>
    <row r="35" spans="1:88" s="307" customFormat="1" ht="3" customHeight="1" thickBot="1">
      <c r="A35" s="302"/>
      <c r="B35" s="302"/>
      <c r="C35" s="303"/>
      <c r="D35" s="303"/>
      <c r="E35" s="1050" t="s">
        <v>709</v>
      </c>
      <c r="F35" s="1050"/>
      <c r="G35" s="1052" t="str">
        <f>Index!C265</f>
        <v>Výsledok hospodárenia za účtovné obdobie po zdanení (+/-) 
(r. 56 - r. 57 - r. 60)</v>
      </c>
      <c r="H35" s="1052"/>
      <c r="I35" s="1052"/>
      <c r="J35" s="1052"/>
      <c r="K35" s="1052"/>
      <c r="L35" s="1052"/>
      <c r="M35" s="1052"/>
      <c r="N35" s="1052"/>
      <c r="O35" s="1052"/>
      <c r="P35" s="1052"/>
      <c r="Q35" s="1052"/>
      <c r="R35" s="1052"/>
      <c r="S35" s="1052"/>
      <c r="T35" s="1052"/>
      <c r="U35" s="1052"/>
      <c r="V35" s="1052"/>
      <c r="W35" s="1052"/>
      <c r="X35" s="1052"/>
      <c r="Y35" s="1052"/>
      <c r="Z35" s="1052"/>
      <c r="AA35" s="1052"/>
      <c r="AB35" s="1052"/>
      <c r="AC35" s="1052"/>
      <c r="AD35" s="1052"/>
      <c r="AE35" s="1052"/>
      <c r="AF35" s="1052"/>
      <c r="AG35" s="1052"/>
      <c r="AH35" s="1052"/>
      <c r="AI35" s="1052"/>
      <c r="AJ35" s="1052"/>
      <c r="AK35" s="1069" t="s">
        <v>1621</v>
      </c>
      <c r="AL35" s="977"/>
      <c r="AM35" s="977"/>
      <c r="AN35" s="364"/>
      <c r="AO35" s="366"/>
      <c r="AP35" s="366"/>
      <c r="AQ35" s="366"/>
      <c r="AR35" s="366"/>
      <c r="AS35" s="366"/>
      <c r="AT35" s="366"/>
      <c r="AU35" s="366"/>
      <c r="AV35" s="366"/>
      <c r="AW35" s="366"/>
      <c r="AX35" s="366"/>
      <c r="AY35" s="366"/>
      <c r="AZ35" s="366"/>
      <c r="BA35" s="366"/>
      <c r="BB35" s="366"/>
      <c r="BC35" s="366"/>
      <c r="BD35" s="366"/>
      <c r="BE35" s="304"/>
      <c r="BF35" s="304"/>
      <c r="BG35" s="304"/>
      <c r="BH35" s="304"/>
      <c r="BI35" s="304"/>
      <c r="BJ35" s="304"/>
      <c r="BK35" s="304"/>
      <c r="BL35" s="867"/>
      <c r="BM35" s="867"/>
      <c r="BN35" s="867"/>
      <c r="BO35" s="867"/>
      <c r="BP35" s="867"/>
      <c r="BQ35" s="867"/>
      <c r="BR35" s="867"/>
      <c r="BS35" s="867"/>
      <c r="BT35" s="867"/>
      <c r="BU35" s="867"/>
      <c r="BV35" s="867"/>
      <c r="BW35" s="867"/>
      <c r="BX35" s="867"/>
      <c r="BY35" s="867"/>
      <c r="BZ35" s="867"/>
      <c r="CA35" s="867"/>
      <c r="CB35" s="867"/>
      <c r="CC35" s="304"/>
      <c r="CD35" s="304"/>
      <c r="CE35" s="304"/>
      <c r="CF35" s="304"/>
      <c r="CG35" s="304"/>
      <c r="CH35" s="305"/>
      <c r="CI35" s="306"/>
      <c r="CJ35" s="306"/>
    </row>
    <row r="36" spans="1:88" s="307" customFormat="1" ht="3" customHeight="1" thickBot="1">
      <c r="A36" s="302"/>
      <c r="B36" s="302"/>
      <c r="C36" s="302"/>
      <c r="D36" s="302"/>
      <c r="E36" s="1050"/>
      <c r="F36" s="1050"/>
      <c r="G36" s="1052"/>
      <c r="H36" s="1052"/>
      <c r="I36" s="1052"/>
      <c r="J36" s="1052"/>
      <c r="K36" s="1052"/>
      <c r="L36" s="1052"/>
      <c r="M36" s="1052"/>
      <c r="N36" s="1052"/>
      <c r="O36" s="1052"/>
      <c r="P36" s="1052"/>
      <c r="Q36" s="1052"/>
      <c r="R36" s="1052"/>
      <c r="S36" s="1052"/>
      <c r="T36" s="1052"/>
      <c r="U36" s="1052"/>
      <c r="V36" s="1052"/>
      <c r="W36" s="1052"/>
      <c r="X36" s="1052"/>
      <c r="Y36" s="1052"/>
      <c r="Z36" s="1052"/>
      <c r="AA36" s="1052"/>
      <c r="AB36" s="1052"/>
      <c r="AC36" s="1052"/>
      <c r="AD36" s="1052"/>
      <c r="AE36" s="1052"/>
      <c r="AF36" s="1052"/>
      <c r="AG36" s="1052"/>
      <c r="AH36" s="1052"/>
      <c r="AI36" s="1052"/>
      <c r="AJ36" s="1052"/>
      <c r="AK36" s="977"/>
      <c r="AL36" s="977"/>
      <c r="AM36" s="977"/>
      <c r="AN36" s="367"/>
      <c r="AO36" s="436"/>
      <c r="AP36" s="436"/>
      <c r="AQ36" s="436"/>
      <c r="AR36" s="435"/>
      <c r="AS36" s="433"/>
      <c r="AT36" s="433"/>
      <c r="AU36" s="433"/>
      <c r="AV36" s="433"/>
      <c r="AW36" s="433"/>
      <c r="AX36" s="434"/>
      <c r="AY36" s="1007"/>
      <c r="AZ36" s="1007"/>
      <c r="BA36" s="1007"/>
      <c r="BB36" s="1007"/>
      <c r="BC36" s="1007"/>
      <c r="BD36" s="1007"/>
      <c r="BE36" s="434"/>
      <c r="BF36" s="968"/>
      <c r="BG36" s="968"/>
      <c r="BH36" s="968"/>
      <c r="BI36" s="968"/>
      <c r="BJ36" s="968"/>
      <c r="BK36" s="851"/>
      <c r="BL36" s="826"/>
      <c r="BM36" s="820"/>
      <c r="BN36" s="820"/>
      <c r="BO36" s="820"/>
      <c r="BP36" s="435"/>
      <c r="BQ36" s="1007"/>
      <c r="BR36" s="1007"/>
      <c r="BS36" s="1007"/>
      <c r="BT36" s="1007"/>
      <c r="BU36" s="1007"/>
      <c r="BV36" s="1008"/>
      <c r="BW36" s="968"/>
      <c r="BX36" s="968"/>
      <c r="BY36" s="968"/>
      <c r="BZ36" s="968"/>
      <c r="CA36" s="968"/>
      <c r="CB36" s="1009"/>
      <c r="CC36" s="968"/>
      <c r="CD36" s="968"/>
      <c r="CE36" s="968"/>
      <c r="CF36" s="968"/>
      <c r="CG36" s="968"/>
      <c r="CH36" s="308"/>
      <c r="CI36" s="306"/>
      <c r="CJ36" s="306"/>
    </row>
    <row r="37" spans="1:88" s="309" customFormat="1" ht="13.5" thickBot="1">
      <c r="A37" s="302"/>
      <c r="B37" s="302"/>
      <c r="C37" s="302"/>
      <c r="E37" s="1050"/>
      <c r="F37" s="1050"/>
      <c r="G37" s="1052"/>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977"/>
      <c r="AL37" s="977"/>
      <c r="AM37" s="977"/>
      <c r="AN37" s="367"/>
      <c r="AO37" s="432" t="str">
        <f>IF(LEN(VLOOKUP(AK35,vysledovka!$D$8:$F$68,2,FALSE))&lt;11,"",LEFT(RIGHT(VLOOKUP(AK35,vysledovka!$D$8:$F$68,2,FALSE),11),1))</f>
        <v/>
      </c>
      <c r="AP37" s="255"/>
      <c r="AQ37" s="432" t="str">
        <f>IF(LEN(VLOOKUP(AK35,vysledovka!$D$8:$F$68,2,FALSE))&lt;10,"",LEFT(RIGHT(VLOOKUP(AK35,vysledovka!$D$8:$F$68,2,FALSE),10),1))</f>
        <v/>
      </c>
      <c r="AR37" s="434"/>
      <c r="AS37" s="432" t="str">
        <f>IF(LEN(VLOOKUP(AK35,vysledovka!$D$8:$F$68,2,FALSE))&lt;9,"",LEFT(RIGHT(VLOOKUP(AK35,vysledovka!$D$8:$F$68,2,FALSE),9),1))</f>
        <v/>
      </c>
      <c r="AT37" s="255"/>
      <c r="AU37" s="432" t="str">
        <f>IF(LEN(VLOOKUP(AK35,vysledovka!$D$8:$F$68,2,FALSE))&lt;8,"",LEFT(RIGHT(VLOOKUP(AK35,vysledovka!$D$8:$F$68,2,FALSE),8),1))</f>
        <v/>
      </c>
      <c r="AV37" s="434"/>
      <c r="AW37" s="432" t="str">
        <f>IF(LEN(VLOOKUP(AK35,vysledovka!$D$8:$F$68,2,FALSE))&lt;7,"",LEFT(RIGHT(VLOOKUP(AK35,vysledovka!$D$8:$F$68,2,FALSE),7),1))</f>
        <v/>
      </c>
      <c r="AX37" s="434"/>
      <c r="AY37" s="432" t="str">
        <f>IF(LEN(VLOOKUP(AK35,vysledovka!$D$8:$F$68,2,FALSE))&lt;6,"",LEFT(RIGHT(VLOOKUP(AK35,vysledovka!$D$8:$F$68,2,FALSE),6),1))</f>
        <v>4</v>
      </c>
      <c r="AZ37" s="255"/>
      <c r="BA37" s="961" t="str">
        <f>IF(LEN(VLOOKUP(AK35,vysledovka!$D$8:$F$68,2,FALSE))&lt;5,"",LEFT(RIGHT(VLOOKUP(AK35,vysledovka!$D$8:$F$68,2,FALSE),5),1))</f>
        <v>5</v>
      </c>
      <c r="BB37" s="961"/>
      <c r="BC37" s="434"/>
      <c r="BD37" s="432" t="str">
        <f>IF(LEN(VLOOKUP(AK35,vysledovka!$D$8:$F$68,2,FALSE))&lt;4,"",LEFT(RIGHT(VLOOKUP(AK35,vysledovka!$D$8:$F$68,2,FALSE),4),1))</f>
        <v>5</v>
      </c>
      <c r="BE37" s="434"/>
      <c r="BF37" s="432" t="str">
        <f>IF(LEN(VLOOKUP(AK35,vysledovka!$D$8:$F$68,2,FALSE))&lt;3,"",LEFT(RIGHT(VLOOKUP(AK35,vysledovka!$D$8:$F$68,2,FALSE),3),1))</f>
        <v>7</v>
      </c>
      <c r="BG37" s="434"/>
      <c r="BH37" s="432" t="str">
        <f>IF(LEN(VLOOKUP(AK35,vysledovka!$D$8:$F$68,2,FALSE))&lt;2,"",LEFT(RIGHT(VLOOKUP(AK35,vysledovka!$D$8:$F$68,2,FALSE),2),1))</f>
        <v>4</v>
      </c>
      <c r="BI37" s="434"/>
      <c r="BJ37" s="432" t="str">
        <f>IF(VLOOKUP(AK35,vysledovka!$D$8:$F$68,2,FALSE)=0,"",IF(LEN(VLOOKUP(AK35,vysledovka!$D$8:$F$68,2,FALSE))&lt;1,"",LEFT(RIGHT(VLOOKUP(AK35,vysledovka!$D$8:$F$68,2,FALSE),1),1)))</f>
        <v>7</v>
      </c>
      <c r="BK37" s="851"/>
      <c r="BL37" s="826"/>
      <c r="BM37" s="432" t="str">
        <f>IF(LEN(VLOOKUP(AK35,vysledovka!$D$8:$F$68,3,FALSE))&lt;11,"",LEFT(RIGHT(VLOOKUP(AK35,vysledovka!$D$8:$F$68,3,FALSE),11),1))</f>
        <v/>
      </c>
      <c r="BN37" s="255"/>
      <c r="BO37" s="432" t="str">
        <f>IF(LEN(VLOOKUP(AK35,vysledovka!$D$8:$F$68,3,FALSE))&lt;10,"",LEFT(RIGHT(VLOOKUP(AK35,vysledovka!$D$8:$F$68,3,FALSE),10),1))</f>
        <v/>
      </c>
      <c r="BP37" s="434"/>
      <c r="BQ37" s="432" t="str">
        <f>IF(LEN(VLOOKUP(AK35,vysledovka!$D$8:$F$68,3,FALSE))&lt;9,"",LEFT(RIGHT(VLOOKUP(AK35,vysledovka!$D$8:$F$68,3,FALSE),9),1))</f>
        <v/>
      </c>
      <c r="BR37" s="255"/>
      <c r="BS37" s="432" t="str">
        <f>IF(LEN(VLOOKUP(AK35,vysledovka!$D$8:$F$68,3,FALSE))&lt;8,"",LEFT(RIGHT(VLOOKUP(AK35,vysledovka!$D$8:$F$68,3,FALSE),8),1))</f>
        <v/>
      </c>
      <c r="BT37" s="434"/>
      <c r="BU37" s="432" t="str">
        <f>IF(LEN(VLOOKUP(AK35,vysledovka!$D$8:$F$68,3,FALSE))&lt;7,"",LEFT(RIGHT(VLOOKUP(AK35,vysledovka!$D$8:$F$68,3,FALSE),7),1))</f>
        <v>1</v>
      </c>
      <c r="BV37" s="1008"/>
      <c r="BW37" s="432" t="str">
        <f>IF(LEN(VLOOKUP(AK35,vysledovka!$D$8:$F$68,3,FALSE))&lt;6,"",LEFT(RIGHT(VLOOKUP(AK35,vysledovka!$D$8:$F$68,3,FALSE),6),1))</f>
        <v>0</v>
      </c>
      <c r="BX37" s="434"/>
      <c r="BY37" s="432" t="str">
        <f>IF(LEN(VLOOKUP(AK35,vysledovka!$D$8:$F$68,3,FALSE))&lt;5,"",LEFT(RIGHT(VLOOKUP(AK35,vysledovka!$D$8:$F$68,3,FALSE),5),1))</f>
        <v>9</v>
      </c>
      <c r="BZ37" s="434"/>
      <c r="CA37" s="432" t="str">
        <f>IF(LEN(VLOOKUP(AK35,vysledovka!$D$8:$F$68,3,FALSE))&lt;4,"",LEFT(RIGHT(VLOOKUP(AK35,vysledovka!$D$8:$F$68,3,FALSE),4),1))</f>
        <v>9</v>
      </c>
      <c r="CB37" s="1009"/>
      <c r="CC37" s="432" t="str">
        <f>IF(LEN(VLOOKUP(AK35,vysledovka!$D$8:$F$68,3,FALSE))&lt;3,"",LEFT(RIGHT(VLOOKUP(AK35,vysledovka!$D$8:$F$68,3,FALSE),3),1))</f>
        <v>1</v>
      </c>
      <c r="CD37" s="434"/>
      <c r="CE37" s="432" t="str">
        <f>IF(LEN(VLOOKUP(AK35,vysledovka!$D$8:$F$68,3,FALSE))&lt;2,"",LEFT(RIGHT(VLOOKUP(AK35,vysledovka!$D$8:$F$68,3,FALSE),2),1))</f>
        <v>9</v>
      </c>
      <c r="CF37" s="434"/>
      <c r="CG37" s="432" t="str">
        <f>IF(VLOOKUP(AK35,vysledovka!$D$8:$F$68,3,FALSE)=0,"",IF(LEN(VLOOKUP(AK35,vysledovka!$D$8:$F$68,3,FALSE))&lt;1,"",LEFT(RIGHT(VLOOKUP(AK35,vysledovka!$D$8:$F$68,3,FALSE),1),1)))</f>
        <v>7</v>
      </c>
      <c r="CH37" s="308"/>
      <c r="CI37" s="302"/>
      <c r="CJ37" s="302"/>
    </row>
    <row r="38" spans="1:88" s="309" customFormat="1" ht="13.5" thickBot="1">
      <c r="A38" s="302"/>
      <c r="B38" s="302"/>
      <c r="C38" s="302"/>
      <c r="E38" s="1050"/>
      <c r="F38" s="1050"/>
      <c r="G38" s="1052"/>
      <c r="H38" s="1052"/>
      <c r="I38" s="1052"/>
      <c r="J38" s="1052"/>
      <c r="K38" s="1052"/>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981"/>
      <c r="AL38" s="981"/>
      <c r="AM38" s="981"/>
      <c r="AN38" s="369"/>
      <c r="AO38" s="316"/>
      <c r="AP38" s="316"/>
      <c r="AQ38" s="316"/>
      <c r="AR38" s="316"/>
      <c r="AS38" s="316"/>
      <c r="AT38" s="316"/>
      <c r="AU38" s="316"/>
      <c r="AV38" s="316"/>
      <c r="AW38" s="316"/>
      <c r="AX38" s="316"/>
      <c r="AY38" s="316"/>
      <c r="AZ38" s="316"/>
      <c r="BA38" s="316"/>
      <c r="BB38" s="316"/>
      <c r="BC38" s="316"/>
      <c r="BD38" s="316"/>
      <c r="BE38" s="317"/>
      <c r="BF38" s="317"/>
      <c r="BG38" s="317"/>
      <c r="BH38" s="317"/>
      <c r="BI38" s="317"/>
      <c r="BJ38" s="317"/>
      <c r="BK38" s="317"/>
      <c r="BL38" s="1135"/>
      <c r="BM38" s="1135"/>
      <c r="BN38" s="1135"/>
      <c r="BO38" s="1135"/>
      <c r="BP38" s="1135"/>
      <c r="BQ38" s="1135"/>
      <c r="BR38" s="1135"/>
      <c r="BS38" s="1135"/>
      <c r="BT38" s="1135"/>
      <c r="BU38" s="1135"/>
      <c r="BV38" s="1135"/>
      <c r="BW38" s="1135"/>
      <c r="BX38" s="1135"/>
      <c r="BY38" s="1135"/>
      <c r="BZ38" s="1135"/>
      <c r="CA38" s="1135"/>
      <c r="CB38" s="1135"/>
      <c r="CC38" s="317"/>
      <c r="CD38" s="317"/>
      <c r="CE38" s="317"/>
      <c r="CF38" s="317"/>
      <c r="CG38" s="317"/>
      <c r="CH38" s="318"/>
      <c r="CI38" s="302"/>
      <c r="CJ38" s="302"/>
    </row>
    <row r="39" spans="1:88" ht="6" customHeight="1">
      <c r="D39" s="220"/>
      <c r="E39" s="268"/>
      <c r="F39" s="268"/>
      <c r="G39" s="268"/>
      <c r="H39" s="240"/>
      <c r="I39" s="240"/>
      <c r="J39" s="240"/>
      <c r="K39" s="356"/>
      <c r="L39" s="356"/>
      <c r="M39" s="356"/>
      <c r="N39" s="356"/>
      <c r="O39" s="356"/>
      <c r="P39" s="356"/>
      <c r="Q39" s="356"/>
      <c r="R39" s="356"/>
      <c r="S39" s="356"/>
      <c r="T39" s="356"/>
      <c r="U39" s="356"/>
      <c r="V39" s="356"/>
      <c r="W39" s="356"/>
      <c r="X39" s="356"/>
      <c r="Y39" s="356"/>
      <c r="Z39" s="356"/>
      <c r="AA39" s="356"/>
      <c r="AB39" s="356"/>
      <c r="AC39" s="356"/>
      <c r="AD39" s="356"/>
      <c r="AE39" s="356"/>
      <c r="AF39" s="356"/>
      <c r="AG39" s="356"/>
      <c r="AH39" s="356"/>
      <c r="AI39" s="356"/>
      <c r="AJ39" s="356"/>
      <c r="AK39" s="356"/>
      <c r="AL39" s="356"/>
      <c r="AM39" s="356"/>
      <c r="AN39" s="356"/>
      <c r="AO39" s="356"/>
      <c r="AP39" s="356"/>
      <c r="AQ39" s="356"/>
      <c r="AR39" s="356"/>
      <c r="AS39" s="356"/>
      <c r="AT39" s="356"/>
      <c r="AU39" s="356"/>
      <c r="AV39" s="356"/>
      <c r="AW39" s="356"/>
      <c r="AX39" s="356"/>
      <c r="AY39" s="356"/>
      <c r="AZ39" s="356"/>
      <c r="BA39" s="356"/>
      <c r="BB39" s="356"/>
      <c r="BC39" s="356"/>
      <c r="BD39" s="356"/>
      <c r="BE39" s="356"/>
      <c r="BF39" s="356"/>
      <c r="BG39" s="356"/>
      <c r="BH39" s="356"/>
      <c r="BI39" s="356"/>
      <c r="BJ39" s="356"/>
      <c r="BK39" s="356"/>
      <c r="BL39" s="356"/>
      <c r="BM39" s="356"/>
      <c r="BN39" s="356"/>
      <c r="BO39" s="356"/>
      <c r="BP39" s="356"/>
      <c r="BQ39" s="356"/>
      <c r="BR39" s="356"/>
      <c r="BS39" s="356"/>
      <c r="BT39" s="356"/>
      <c r="BU39" s="356"/>
      <c r="BV39" s="356"/>
      <c r="BW39" s="356"/>
      <c r="BX39" s="356"/>
      <c r="BY39" s="356"/>
      <c r="BZ39" s="356"/>
      <c r="CA39" s="356"/>
      <c r="CB39" s="356"/>
      <c r="CC39" s="356"/>
      <c r="CD39" s="356"/>
      <c r="CE39" s="356"/>
      <c r="CF39" s="356"/>
      <c r="CG39" s="356"/>
      <c r="CH39" s="356"/>
      <c r="CI39" s="220"/>
      <c r="CJ39" s="220"/>
    </row>
    <row r="40" spans="1:88" ht="13.5" customHeight="1">
      <c r="D40" s="220"/>
      <c r="E40" s="268"/>
      <c r="F40" s="268"/>
      <c r="G40" s="268"/>
      <c r="H40" s="240"/>
      <c r="I40" s="240"/>
      <c r="J40" s="240"/>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356"/>
      <c r="AZ40" s="356"/>
      <c r="BA40" s="356"/>
      <c r="BB40" s="356"/>
      <c r="BC40" s="356"/>
      <c r="BD40" s="356"/>
      <c r="BE40" s="356"/>
      <c r="BF40" s="356"/>
      <c r="BG40" s="356"/>
      <c r="BH40" s="356"/>
      <c r="BI40" s="356"/>
      <c r="BJ40" s="356"/>
      <c r="BK40" s="356"/>
      <c r="BL40" s="356"/>
      <c r="BM40" s="356"/>
      <c r="BN40" s="356"/>
      <c r="BO40" s="356"/>
      <c r="BP40" s="356"/>
      <c r="BQ40" s="356"/>
      <c r="BR40" s="356"/>
      <c r="BS40" s="356"/>
      <c r="BT40" s="356"/>
      <c r="BU40" s="356"/>
      <c r="BV40" s="356"/>
      <c r="BW40" s="356"/>
      <c r="BX40" s="356"/>
      <c r="BY40" s="356"/>
      <c r="BZ40" s="356"/>
      <c r="CA40" s="356"/>
      <c r="CB40" s="356"/>
      <c r="CC40" s="356"/>
      <c r="CD40" s="356"/>
      <c r="CE40" s="356"/>
      <c r="CF40" s="356"/>
      <c r="CG40" s="356"/>
      <c r="CH40" s="356"/>
      <c r="CI40" s="220"/>
      <c r="CJ40" s="220"/>
    </row>
    <row r="41" spans="1:88" ht="13.5" customHeight="1">
      <c r="D41" s="220"/>
      <c r="E41" s="268"/>
      <c r="F41" s="268"/>
      <c r="G41" s="268"/>
      <c r="H41" s="240"/>
      <c r="I41" s="240"/>
      <c r="J41" s="240"/>
      <c r="K41" s="356"/>
      <c r="L41" s="356"/>
      <c r="M41" s="356"/>
      <c r="N41" s="356"/>
      <c r="O41" s="356"/>
      <c r="P41" s="356"/>
      <c r="Q41" s="356"/>
      <c r="R41" s="356"/>
      <c r="S41" s="356"/>
      <c r="T41" s="356"/>
      <c r="U41" s="356"/>
      <c r="V41" s="356"/>
      <c r="W41" s="356"/>
      <c r="X41" s="356"/>
      <c r="Y41" s="356"/>
      <c r="Z41" s="356"/>
      <c r="AA41" s="356"/>
      <c r="AB41" s="356"/>
      <c r="AC41" s="356"/>
      <c r="AD41" s="356"/>
      <c r="AE41" s="356"/>
      <c r="AF41" s="356"/>
      <c r="AG41" s="356"/>
      <c r="AH41" s="356"/>
      <c r="AI41" s="356"/>
      <c r="AJ41" s="356"/>
      <c r="AK41" s="356"/>
      <c r="AL41" s="356"/>
      <c r="AM41" s="356"/>
      <c r="AN41" s="356"/>
      <c r="AO41" s="356"/>
      <c r="AP41" s="356"/>
      <c r="AQ41" s="356"/>
      <c r="AR41" s="356"/>
      <c r="AS41" s="356"/>
      <c r="AT41" s="356"/>
      <c r="AU41" s="356"/>
      <c r="AV41" s="356"/>
      <c r="AW41" s="356"/>
      <c r="AX41" s="356"/>
      <c r="AY41" s="356"/>
      <c r="AZ41" s="356"/>
      <c r="BA41" s="356"/>
      <c r="BB41" s="356"/>
      <c r="BC41" s="356"/>
      <c r="BD41" s="356"/>
      <c r="BE41" s="356"/>
      <c r="BF41" s="356"/>
      <c r="BG41" s="356"/>
      <c r="BH41" s="356"/>
      <c r="BI41" s="356"/>
      <c r="BJ41" s="356"/>
      <c r="BK41" s="356"/>
      <c r="BL41" s="356"/>
      <c r="BM41" s="356"/>
      <c r="BN41" s="356"/>
      <c r="BO41" s="356"/>
      <c r="BP41" s="356"/>
      <c r="BQ41" s="356"/>
      <c r="BR41" s="356"/>
      <c r="BS41" s="356"/>
      <c r="BT41" s="356"/>
      <c r="BU41" s="356"/>
      <c r="BV41" s="356"/>
      <c r="BW41" s="356"/>
      <c r="BX41" s="356"/>
      <c r="BY41" s="356"/>
      <c r="BZ41" s="356"/>
      <c r="CA41" s="356"/>
      <c r="CB41" s="356"/>
      <c r="CC41" s="356"/>
      <c r="CD41" s="356"/>
      <c r="CE41" s="356"/>
      <c r="CF41" s="356"/>
      <c r="CG41" s="356"/>
      <c r="CH41" s="356"/>
      <c r="CI41" s="220"/>
      <c r="CJ41" s="220"/>
    </row>
    <row r="42" spans="1:88" ht="13.5" customHeight="1">
      <c r="D42" s="220"/>
      <c r="E42" s="268"/>
      <c r="F42" s="268"/>
      <c r="G42" s="268"/>
      <c r="H42" s="240"/>
      <c r="I42" s="240"/>
      <c r="J42" s="240"/>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356"/>
      <c r="BL42" s="356"/>
      <c r="BM42" s="356"/>
      <c r="BN42" s="356"/>
      <c r="BO42" s="356"/>
      <c r="BP42" s="356"/>
      <c r="BQ42" s="356"/>
      <c r="BR42" s="356"/>
      <c r="BS42" s="356"/>
      <c r="BT42" s="356"/>
      <c r="BU42" s="356"/>
      <c r="BV42" s="356"/>
      <c r="BW42" s="356"/>
      <c r="BX42" s="356"/>
      <c r="BY42" s="356"/>
      <c r="BZ42" s="356"/>
      <c r="CA42" s="356"/>
      <c r="CB42" s="356"/>
      <c r="CC42" s="356"/>
      <c r="CD42" s="356"/>
      <c r="CE42" s="356"/>
      <c r="CF42" s="356"/>
      <c r="CG42" s="356"/>
      <c r="CH42" s="356"/>
      <c r="CI42" s="220"/>
      <c r="CJ42" s="220"/>
    </row>
    <row r="43" spans="1:88" ht="13.5" customHeight="1">
      <c r="D43" s="220"/>
      <c r="E43" s="268"/>
      <c r="F43" s="268"/>
      <c r="G43" s="268"/>
      <c r="H43" s="240"/>
      <c r="I43" s="240"/>
      <c r="J43" s="240"/>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356"/>
      <c r="BM43" s="356"/>
      <c r="BN43" s="356"/>
      <c r="BO43" s="356"/>
      <c r="BP43" s="356"/>
      <c r="BQ43" s="356"/>
      <c r="BR43" s="356"/>
      <c r="BS43" s="356"/>
      <c r="BT43" s="356"/>
      <c r="BU43" s="356"/>
      <c r="BV43" s="356"/>
      <c r="BW43" s="356"/>
      <c r="BX43" s="356"/>
      <c r="BY43" s="356"/>
      <c r="BZ43" s="356"/>
      <c r="CA43" s="356"/>
      <c r="CB43" s="356"/>
      <c r="CC43" s="356"/>
      <c r="CD43" s="356"/>
      <c r="CE43" s="356"/>
      <c r="CF43" s="356"/>
      <c r="CG43" s="356"/>
      <c r="CH43" s="356"/>
      <c r="CI43" s="220"/>
      <c r="CJ43" s="220"/>
    </row>
    <row r="44" spans="1:88" ht="13.5" customHeight="1">
      <c r="D44" s="220"/>
      <c r="E44" s="268"/>
      <c r="F44" s="268"/>
      <c r="G44" s="268"/>
      <c r="H44" s="240"/>
      <c r="I44" s="240"/>
      <c r="J44" s="240"/>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356"/>
      <c r="BM44" s="356"/>
      <c r="BN44" s="356"/>
      <c r="BO44" s="356"/>
      <c r="BP44" s="356"/>
      <c r="BQ44" s="356"/>
      <c r="BR44" s="356"/>
      <c r="BS44" s="356"/>
      <c r="BT44" s="356"/>
      <c r="BU44" s="356"/>
      <c r="BV44" s="356"/>
      <c r="BW44" s="356"/>
      <c r="BX44" s="356"/>
      <c r="BY44" s="356"/>
      <c r="BZ44" s="356"/>
      <c r="CA44" s="356"/>
      <c r="CB44" s="356"/>
      <c r="CC44" s="356"/>
      <c r="CD44" s="356"/>
      <c r="CE44" s="356"/>
      <c r="CF44" s="356"/>
      <c r="CG44" s="356"/>
      <c r="CH44" s="356"/>
      <c r="CI44" s="220"/>
      <c r="CJ44" s="220"/>
    </row>
    <row r="45" spans="1:88" ht="13.5" customHeight="1">
      <c r="D45" s="220"/>
      <c r="E45" s="268"/>
      <c r="F45" s="268"/>
      <c r="G45" s="268"/>
      <c r="H45" s="240"/>
      <c r="I45" s="240"/>
      <c r="J45" s="240"/>
      <c r="K45" s="356"/>
      <c r="L45" s="356"/>
      <c r="M45" s="356"/>
      <c r="N45" s="356"/>
      <c r="O45" s="356"/>
      <c r="P45" s="356"/>
      <c r="Q45" s="356"/>
      <c r="R45" s="356"/>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6"/>
      <c r="AU45" s="356"/>
      <c r="AV45" s="356"/>
      <c r="AW45" s="356"/>
      <c r="AX45" s="356"/>
      <c r="AY45" s="356"/>
      <c r="AZ45" s="356"/>
      <c r="BA45" s="356"/>
      <c r="BB45" s="356"/>
      <c r="BC45" s="356"/>
      <c r="BD45" s="356"/>
      <c r="BE45" s="356"/>
      <c r="BF45" s="356"/>
      <c r="BG45" s="356"/>
      <c r="BH45" s="356"/>
      <c r="BI45" s="356"/>
      <c r="BJ45" s="356"/>
      <c r="BK45" s="356"/>
      <c r="BL45" s="356"/>
      <c r="BM45" s="356"/>
      <c r="BN45" s="356"/>
      <c r="BO45" s="356"/>
      <c r="BP45" s="356"/>
      <c r="BQ45" s="356"/>
      <c r="BR45" s="356"/>
      <c r="BS45" s="356"/>
      <c r="BT45" s="356"/>
      <c r="BU45" s="356"/>
      <c r="BV45" s="356"/>
      <c r="BW45" s="356"/>
      <c r="BX45" s="356"/>
      <c r="BY45" s="356"/>
      <c r="BZ45" s="356"/>
      <c r="CA45" s="356"/>
      <c r="CB45" s="356"/>
      <c r="CC45" s="356"/>
      <c r="CD45" s="356"/>
      <c r="CE45" s="356"/>
      <c r="CF45" s="356"/>
      <c r="CG45" s="356"/>
      <c r="CH45" s="356"/>
      <c r="CI45" s="220"/>
      <c r="CJ45" s="220"/>
    </row>
    <row r="46" spans="1:88" ht="13.5" customHeight="1">
      <c r="D46" s="220"/>
      <c r="E46" s="268"/>
      <c r="F46" s="268"/>
      <c r="G46" s="268"/>
      <c r="H46" s="240"/>
      <c r="I46" s="240"/>
      <c r="J46" s="240"/>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c r="CI46" s="220"/>
      <c r="CJ46" s="220"/>
    </row>
    <row r="47" spans="1:88" ht="13.5" customHeight="1">
      <c r="D47" s="220"/>
      <c r="E47" s="268"/>
      <c r="F47" s="268"/>
      <c r="G47" s="268"/>
      <c r="H47" s="240"/>
      <c r="I47" s="240"/>
      <c r="J47" s="240"/>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356"/>
      <c r="AZ47" s="356"/>
      <c r="BA47" s="356"/>
      <c r="BB47" s="356"/>
      <c r="BC47" s="356"/>
      <c r="BD47" s="356"/>
      <c r="BE47" s="356"/>
      <c r="BF47" s="356"/>
      <c r="BG47" s="356"/>
      <c r="BH47" s="356"/>
      <c r="BI47" s="356"/>
      <c r="BJ47" s="356"/>
      <c r="BK47" s="356"/>
      <c r="BL47" s="356"/>
      <c r="BM47" s="356"/>
      <c r="BN47" s="356"/>
      <c r="BO47" s="356"/>
      <c r="BP47" s="356"/>
      <c r="BQ47" s="356"/>
      <c r="BR47" s="356"/>
      <c r="BS47" s="356"/>
      <c r="BT47" s="356"/>
      <c r="BU47" s="356"/>
      <c r="BV47" s="356"/>
      <c r="BW47" s="356"/>
      <c r="BX47" s="356"/>
      <c r="BY47" s="356"/>
      <c r="BZ47" s="356"/>
      <c r="CA47" s="356"/>
      <c r="CB47" s="356"/>
      <c r="CC47" s="356"/>
      <c r="CD47" s="356"/>
      <c r="CE47" s="356"/>
      <c r="CF47" s="356"/>
      <c r="CG47" s="356"/>
      <c r="CH47" s="356"/>
      <c r="CI47" s="220"/>
      <c r="CJ47" s="220"/>
    </row>
    <row r="48" spans="1:88" ht="13.5" customHeight="1">
      <c r="D48" s="220"/>
      <c r="E48" s="268"/>
      <c r="F48" s="268"/>
      <c r="G48" s="268"/>
      <c r="H48" s="240"/>
      <c r="I48" s="240"/>
      <c r="J48" s="240"/>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220"/>
      <c r="CJ48" s="220"/>
    </row>
    <row r="49" spans="4:88" ht="13.5" customHeight="1">
      <c r="D49" s="220"/>
      <c r="E49" s="268"/>
      <c r="F49" s="268"/>
      <c r="G49" s="268"/>
      <c r="H49" s="240"/>
      <c r="I49" s="240"/>
      <c r="J49" s="240"/>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220"/>
      <c r="CJ49" s="220"/>
    </row>
    <row r="50" spans="4:88" ht="13.5" customHeight="1">
      <c r="D50" s="220"/>
      <c r="E50" s="268"/>
      <c r="F50" s="268"/>
      <c r="G50" s="268"/>
      <c r="H50" s="240"/>
      <c r="I50" s="240"/>
      <c r="J50" s="240"/>
      <c r="K50" s="356"/>
      <c r="L50" s="356"/>
      <c r="M50" s="356"/>
      <c r="N50" s="356"/>
      <c r="O50" s="356"/>
      <c r="P50" s="356"/>
      <c r="Q50" s="356"/>
      <c r="R50" s="356"/>
      <c r="S50" s="356"/>
      <c r="T50" s="356"/>
      <c r="U50" s="356"/>
      <c r="V50" s="356"/>
      <c r="W50" s="356"/>
      <c r="X50" s="356"/>
      <c r="Y50" s="356"/>
      <c r="Z50" s="356"/>
      <c r="AA50" s="356"/>
      <c r="AB50" s="356"/>
      <c r="AC50" s="356"/>
      <c r="AD50" s="356"/>
      <c r="AE50" s="356"/>
      <c r="AF50" s="356"/>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220"/>
      <c r="CJ50" s="220"/>
    </row>
    <row r="51" spans="4:88" ht="13.5" customHeight="1">
      <c r="D51" s="220"/>
      <c r="E51" s="268"/>
      <c r="F51" s="268"/>
      <c r="G51" s="268"/>
      <c r="H51" s="240"/>
      <c r="I51" s="240"/>
      <c r="J51" s="240"/>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220"/>
      <c r="CJ51" s="220"/>
    </row>
    <row r="52" spans="4:88" ht="13.5" customHeight="1">
      <c r="D52" s="220"/>
      <c r="E52" s="268"/>
      <c r="F52" s="268"/>
      <c r="G52" s="268"/>
      <c r="H52" s="240"/>
      <c r="I52" s="240"/>
      <c r="J52" s="240"/>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220"/>
      <c r="CJ52" s="220"/>
    </row>
    <row r="53" spans="4:88" ht="13.5" customHeight="1">
      <c r="D53" s="220"/>
      <c r="E53" s="268"/>
      <c r="F53" s="268"/>
      <c r="G53" s="268"/>
      <c r="H53" s="240"/>
      <c r="I53" s="240"/>
      <c r="J53" s="240"/>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220"/>
      <c r="CJ53" s="220"/>
    </row>
    <row r="54" spans="4:88" ht="13.5" customHeight="1">
      <c r="D54" s="220"/>
      <c r="E54" s="268"/>
      <c r="F54" s="268"/>
      <c r="G54" s="268"/>
      <c r="H54" s="240"/>
      <c r="I54" s="240"/>
      <c r="J54" s="240"/>
      <c r="K54" s="356"/>
      <c r="L54" s="356"/>
      <c r="M54" s="356"/>
      <c r="N54" s="356"/>
      <c r="O54" s="356"/>
      <c r="P54" s="356"/>
      <c r="Q54" s="356"/>
      <c r="R54" s="356"/>
      <c r="S54" s="356"/>
      <c r="T54" s="356"/>
      <c r="U54" s="356"/>
      <c r="V54" s="356"/>
      <c r="W54" s="356"/>
      <c r="X54" s="356"/>
      <c r="Y54" s="356"/>
      <c r="Z54" s="356"/>
      <c r="AA54" s="356"/>
      <c r="AB54" s="356"/>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220"/>
      <c r="CJ54" s="220"/>
    </row>
    <row r="55" spans="4:88" ht="13.5" customHeight="1">
      <c r="D55" s="220"/>
      <c r="E55" s="268"/>
      <c r="F55" s="268"/>
      <c r="G55" s="268"/>
      <c r="H55" s="240"/>
      <c r="I55" s="240"/>
      <c r="J55" s="240"/>
      <c r="K55" s="356"/>
      <c r="L55" s="356"/>
      <c r="M55" s="356"/>
      <c r="N55" s="356"/>
      <c r="O55" s="356"/>
      <c r="P55" s="356"/>
      <c r="Q55" s="356"/>
      <c r="R55" s="356"/>
      <c r="S55" s="356"/>
      <c r="T55" s="356"/>
      <c r="U55" s="356"/>
      <c r="V55" s="356"/>
      <c r="W55" s="356"/>
      <c r="X55" s="356"/>
      <c r="Y55" s="356"/>
      <c r="Z55" s="356"/>
      <c r="AA55" s="356"/>
      <c r="AB55" s="356"/>
      <c r="AC55" s="356"/>
      <c r="AD55" s="356"/>
      <c r="AE55" s="356"/>
      <c r="AF55" s="356"/>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220"/>
      <c r="CJ55" s="220"/>
    </row>
    <row r="56" spans="4:88" ht="13.5" customHeight="1">
      <c r="D56" s="220"/>
      <c r="E56" s="268"/>
      <c r="F56" s="268"/>
      <c r="G56" s="268"/>
      <c r="H56" s="240"/>
      <c r="I56" s="240"/>
      <c r="J56" s="240"/>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220"/>
      <c r="CJ56" s="220"/>
    </row>
    <row r="57" spans="4:88" ht="13.5" customHeight="1">
      <c r="D57" s="220"/>
      <c r="E57" s="268"/>
      <c r="F57" s="268"/>
      <c r="G57" s="268"/>
      <c r="H57" s="240"/>
      <c r="I57" s="240"/>
      <c r="J57" s="240"/>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220"/>
      <c r="CJ57" s="220"/>
    </row>
    <row r="58" spans="4:88" ht="13.5" customHeight="1">
      <c r="D58" s="220"/>
      <c r="E58" s="268"/>
      <c r="F58" s="268"/>
      <c r="G58" s="268"/>
      <c r="H58" s="240"/>
      <c r="I58" s="240"/>
      <c r="J58" s="240"/>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220"/>
      <c r="CJ58" s="220"/>
    </row>
    <row r="59" spans="4:88" ht="13.5" customHeight="1">
      <c r="D59" s="220"/>
      <c r="E59" s="268"/>
      <c r="F59" s="268"/>
      <c r="G59" s="268"/>
      <c r="H59" s="240"/>
      <c r="I59" s="240"/>
      <c r="J59" s="240"/>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220"/>
      <c r="CJ59" s="220"/>
    </row>
    <row r="60" spans="4:88" ht="13.5" customHeight="1">
      <c r="D60" s="220"/>
      <c r="E60" s="268"/>
      <c r="F60" s="268"/>
      <c r="G60" s="268"/>
      <c r="H60" s="240"/>
      <c r="I60" s="240"/>
      <c r="J60" s="240"/>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220"/>
      <c r="CJ60" s="220"/>
    </row>
    <row r="61" spans="4:88" ht="13.5" customHeight="1">
      <c r="D61" s="220"/>
      <c r="E61" s="268"/>
      <c r="F61" s="268"/>
      <c r="G61" s="268"/>
      <c r="H61" s="240"/>
      <c r="I61" s="240"/>
      <c r="J61" s="240"/>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220"/>
      <c r="CJ61" s="220"/>
    </row>
    <row r="62" spans="4:88" ht="13.5" customHeight="1">
      <c r="D62" s="220"/>
      <c r="E62" s="268"/>
      <c r="F62" s="268"/>
      <c r="G62" s="268"/>
      <c r="H62" s="240"/>
      <c r="I62" s="240"/>
      <c r="J62" s="240"/>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220"/>
      <c r="CJ62" s="220"/>
    </row>
    <row r="63" spans="4:88" ht="13.5" customHeight="1">
      <c r="D63" s="220"/>
      <c r="E63" s="268"/>
      <c r="F63" s="268"/>
      <c r="G63" s="268"/>
      <c r="H63" s="240"/>
      <c r="I63" s="240"/>
      <c r="J63" s="240"/>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220"/>
      <c r="CJ63" s="220"/>
    </row>
    <row r="64" spans="4:88" ht="13.5" customHeight="1">
      <c r="D64" s="220"/>
      <c r="E64" s="268"/>
      <c r="F64" s="268"/>
      <c r="G64" s="268"/>
      <c r="H64" s="240"/>
      <c r="I64" s="240"/>
      <c r="J64" s="240"/>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220"/>
      <c r="CJ64" s="220"/>
    </row>
    <row r="65" spans="4:88" ht="13.5" customHeight="1">
      <c r="D65" s="220"/>
      <c r="E65" s="268"/>
      <c r="F65" s="268"/>
      <c r="G65" s="268"/>
      <c r="H65" s="240"/>
      <c r="I65" s="240"/>
      <c r="J65" s="240"/>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220"/>
      <c r="CJ65" s="220"/>
    </row>
    <row r="66" spans="4:88" ht="13.5" customHeight="1">
      <c r="D66" s="220"/>
      <c r="E66" s="268"/>
      <c r="F66" s="268"/>
      <c r="G66" s="268"/>
      <c r="H66" s="240"/>
      <c r="I66" s="240"/>
      <c r="J66" s="240"/>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220"/>
      <c r="CJ66" s="220"/>
    </row>
    <row r="67" spans="4:88" ht="13.5" customHeight="1">
      <c r="D67" s="220"/>
      <c r="E67" s="268"/>
      <c r="F67" s="268"/>
      <c r="G67" s="268"/>
      <c r="H67" s="240"/>
      <c r="I67" s="240"/>
      <c r="J67" s="240"/>
      <c r="K67" s="356"/>
      <c r="L67" s="356"/>
      <c r="M67" s="356"/>
      <c r="N67" s="356"/>
      <c r="O67" s="356"/>
      <c r="P67" s="356"/>
      <c r="Q67" s="356"/>
      <c r="R67" s="356"/>
      <c r="S67" s="356"/>
      <c r="T67" s="356"/>
      <c r="U67" s="356"/>
      <c r="V67" s="356"/>
      <c r="W67" s="356"/>
      <c r="X67" s="356"/>
      <c r="Y67" s="356"/>
      <c r="Z67" s="356"/>
      <c r="AA67" s="356"/>
      <c r="AB67" s="356"/>
      <c r="AC67" s="356"/>
      <c r="AD67" s="356"/>
      <c r="AE67" s="356"/>
      <c r="AF67" s="356"/>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220"/>
      <c r="CJ67" s="220"/>
    </row>
    <row r="68" spans="4:88" ht="13.5" customHeight="1">
      <c r="D68" s="220"/>
      <c r="E68" s="268"/>
      <c r="F68" s="268"/>
      <c r="G68" s="268"/>
      <c r="H68" s="240"/>
      <c r="I68" s="240"/>
      <c r="J68" s="240"/>
      <c r="K68" s="356"/>
      <c r="L68" s="356"/>
      <c r="M68" s="356"/>
      <c r="N68" s="356"/>
      <c r="O68" s="356"/>
      <c r="P68" s="356"/>
      <c r="Q68" s="356"/>
      <c r="R68" s="356"/>
      <c r="S68" s="356"/>
      <c r="T68" s="356"/>
      <c r="U68" s="356"/>
      <c r="V68" s="356"/>
      <c r="W68" s="356"/>
      <c r="X68" s="356"/>
      <c r="Y68" s="356"/>
      <c r="Z68" s="356"/>
      <c r="AA68" s="356"/>
      <c r="AB68" s="356"/>
      <c r="AC68" s="356"/>
      <c r="AD68" s="356"/>
      <c r="AE68" s="356"/>
      <c r="AF68" s="356"/>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220"/>
      <c r="CJ68" s="220"/>
    </row>
    <row r="69" spans="4:88" ht="13.5" customHeight="1">
      <c r="D69" s="220"/>
      <c r="E69" s="268"/>
      <c r="F69" s="268"/>
      <c r="G69" s="268"/>
      <c r="H69" s="240"/>
      <c r="I69" s="240"/>
      <c r="J69" s="240"/>
      <c r="K69" s="356"/>
      <c r="L69" s="356"/>
      <c r="M69" s="356"/>
      <c r="N69" s="356"/>
      <c r="O69" s="356"/>
      <c r="P69" s="356"/>
      <c r="Q69" s="356"/>
      <c r="R69" s="356"/>
      <c r="S69" s="356"/>
      <c r="T69" s="356"/>
      <c r="U69" s="356"/>
      <c r="V69" s="356"/>
      <c r="W69" s="356"/>
      <c r="X69" s="356"/>
      <c r="Y69" s="356"/>
      <c r="Z69" s="356"/>
      <c r="AA69" s="356"/>
      <c r="AB69" s="356"/>
      <c r="AC69" s="356"/>
      <c r="AD69" s="356"/>
      <c r="AE69" s="356"/>
      <c r="AF69" s="356"/>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220"/>
      <c r="CJ69" s="220"/>
    </row>
    <row r="70" spans="4:88" ht="13.5" customHeight="1">
      <c r="D70" s="220"/>
      <c r="E70" s="268"/>
      <c r="F70" s="268"/>
      <c r="G70" s="268"/>
      <c r="H70" s="240"/>
      <c r="I70" s="240"/>
      <c r="J70" s="240"/>
      <c r="K70" s="356"/>
      <c r="L70" s="356"/>
      <c r="M70" s="356"/>
      <c r="N70" s="356"/>
      <c r="O70" s="356"/>
      <c r="P70" s="356"/>
      <c r="Q70" s="356"/>
      <c r="R70" s="356"/>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220"/>
      <c r="CJ70" s="220"/>
    </row>
    <row r="71" spans="4:88" ht="13.5" customHeight="1">
      <c r="D71" s="220"/>
      <c r="E71" s="268"/>
      <c r="F71" s="268"/>
      <c r="G71" s="268"/>
      <c r="H71" s="240"/>
      <c r="I71" s="240"/>
      <c r="J71" s="240"/>
      <c r="K71" s="356"/>
      <c r="L71" s="356"/>
      <c r="M71" s="356"/>
      <c r="N71" s="356"/>
      <c r="O71" s="356"/>
      <c r="P71" s="356"/>
      <c r="Q71" s="356"/>
      <c r="R71" s="356"/>
      <c r="S71" s="356"/>
      <c r="T71" s="356"/>
      <c r="U71" s="356"/>
      <c r="V71" s="356"/>
      <c r="W71" s="3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220"/>
      <c r="CJ71" s="220"/>
    </row>
    <row r="72" spans="4:88" ht="13.5" customHeight="1">
      <c r="D72" s="220"/>
      <c r="E72" s="268"/>
      <c r="F72" s="268"/>
      <c r="G72" s="268"/>
      <c r="H72" s="240"/>
      <c r="I72" s="240"/>
      <c r="J72" s="240"/>
      <c r="K72" s="356"/>
      <c r="L72" s="356"/>
      <c r="M72" s="356"/>
      <c r="N72" s="356"/>
      <c r="O72" s="356"/>
      <c r="P72" s="356"/>
      <c r="Q72" s="356"/>
      <c r="R72" s="356"/>
      <c r="S72" s="356"/>
      <c r="T72" s="356"/>
      <c r="U72" s="356"/>
      <c r="V72" s="356"/>
      <c r="W72" s="3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220"/>
      <c r="CJ72" s="220"/>
    </row>
    <row r="73" spans="4:88" ht="13.5" customHeight="1">
      <c r="D73" s="220"/>
      <c r="E73" s="268"/>
      <c r="F73" s="268"/>
      <c r="G73" s="268"/>
      <c r="H73" s="240"/>
      <c r="I73" s="240"/>
      <c r="J73" s="240"/>
      <c r="K73" s="356"/>
      <c r="L73" s="356"/>
      <c r="M73" s="356"/>
      <c r="N73" s="356"/>
      <c r="O73" s="356"/>
      <c r="P73" s="356"/>
      <c r="Q73" s="356"/>
      <c r="R73" s="356"/>
      <c r="S73" s="356"/>
      <c r="T73" s="356"/>
      <c r="U73" s="356"/>
      <c r="V73" s="356"/>
      <c r="W73" s="3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220"/>
      <c r="CJ73" s="220"/>
    </row>
    <row r="74" spans="4:88" ht="13.5" customHeight="1">
      <c r="D74" s="220"/>
      <c r="E74" s="268"/>
      <c r="F74" s="268"/>
      <c r="G74" s="268"/>
      <c r="H74" s="240"/>
      <c r="I74" s="240"/>
      <c r="J74" s="240"/>
      <c r="K74" s="356"/>
      <c r="L74" s="356"/>
      <c r="M74" s="356"/>
      <c r="N74" s="356"/>
      <c r="O74" s="356"/>
      <c r="P74" s="356"/>
      <c r="Q74" s="356"/>
      <c r="R74" s="356"/>
      <c r="S74" s="356"/>
      <c r="T74" s="356"/>
      <c r="U74" s="356"/>
      <c r="V74" s="356"/>
      <c r="W74" s="3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220"/>
      <c r="CJ74" s="220"/>
    </row>
    <row r="75" spans="4:88" ht="13.5" customHeight="1">
      <c r="D75" s="220"/>
      <c r="E75" s="268"/>
      <c r="F75" s="268"/>
      <c r="G75" s="268"/>
      <c r="H75" s="240"/>
      <c r="I75" s="240"/>
      <c r="J75" s="240"/>
      <c r="K75" s="356"/>
      <c r="L75" s="356"/>
      <c r="M75" s="356"/>
      <c r="N75" s="356"/>
      <c r="O75" s="356"/>
      <c r="P75" s="356"/>
      <c r="Q75" s="356"/>
      <c r="R75" s="356"/>
      <c r="S75" s="356"/>
      <c r="T75" s="356"/>
      <c r="U75" s="356"/>
      <c r="V75" s="356"/>
      <c r="W75" s="3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220"/>
      <c r="CJ75" s="220"/>
    </row>
    <row r="76" spans="4:88" ht="13.5" customHeight="1">
      <c r="D76" s="220"/>
      <c r="E76" s="268"/>
      <c r="F76" s="268"/>
      <c r="G76" s="268"/>
      <c r="H76" s="240"/>
      <c r="I76" s="240"/>
      <c r="J76" s="240"/>
      <c r="K76" s="356"/>
      <c r="L76" s="356"/>
      <c r="M76" s="356"/>
      <c r="N76" s="356"/>
      <c r="O76" s="356"/>
      <c r="P76" s="356"/>
      <c r="Q76" s="356"/>
      <c r="R76" s="356"/>
      <c r="S76" s="356"/>
      <c r="T76" s="356"/>
      <c r="U76" s="356"/>
      <c r="V76" s="356"/>
      <c r="W76" s="3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220"/>
      <c r="CJ76" s="220"/>
    </row>
    <row r="77" spans="4:88" ht="13.5" customHeight="1">
      <c r="D77" s="220"/>
      <c r="E77" s="268"/>
      <c r="F77" s="268"/>
      <c r="G77" s="268"/>
      <c r="H77" s="240"/>
      <c r="I77" s="240"/>
      <c r="J77" s="240"/>
      <c r="K77" s="356"/>
      <c r="L77" s="356"/>
      <c r="M77" s="356"/>
      <c r="N77" s="356"/>
      <c r="O77" s="356"/>
      <c r="P77" s="356"/>
      <c r="Q77" s="356"/>
      <c r="R77" s="356"/>
      <c r="S77" s="356"/>
      <c r="T77" s="356"/>
      <c r="U77" s="356"/>
      <c r="V77" s="356"/>
      <c r="W77" s="35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220"/>
      <c r="CJ77" s="220"/>
    </row>
    <row r="78" spans="4:88" ht="13.5" customHeight="1">
      <c r="D78" s="220"/>
      <c r="E78" s="268"/>
      <c r="F78" s="268"/>
      <c r="G78" s="268"/>
      <c r="H78" s="240"/>
      <c r="I78" s="240"/>
      <c r="J78" s="240"/>
      <c r="K78" s="356"/>
      <c r="L78" s="356"/>
      <c r="M78" s="356"/>
      <c r="N78" s="356"/>
      <c r="O78" s="356"/>
      <c r="P78" s="356"/>
      <c r="Q78" s="356"/>
      <c r="R78" s="356"/>
      <c r="S78" s="356"/>
      <c r="T78" s="356"/>
      <c r="U78" s="356"/>
      <c r="V78" s="356"/>
      <c r="W78" s="356"/>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220"/>
      <c r="CJ78" s="220"/>
    </row>
    <row r="79" spans="4:88" ht="13.5" customHeight="1">
      <c r="D79" s="220"/>
      <c r="E79" s="268"/>
      <c r="F79" s="268"/>
      <c r="G79" s="268"/>
      <c r="H79" s="240"/>
      <c r="I79" s="240"/>
      <c r="J79" s="240"/>
      <c r="K79" s="356"/>
      <c r="L79" s="356"/>
      <c r="M79" s="356"/>
      <c r="N79" s="356"/>
      <c r="O79" s="356"/>
      <c r="P79" s="356"/>
      <c r="Q79" s="356"/>
      <c r="R79" s="356"/>
      <c r="S79" s="356"/>
      <c r="T79" s="356"/>
      <c r="U79" s="356"/>
      <c r="V79" s="356"/>
      <c r="W79" s="356"/>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220"/>
      <c r="CJ79" s="220"/>
    </row>
    <row r="80" spans="4:88" ht="13.5" customHeight="1" thickBot="1">
      <c r="D80" s="220"/>
      <c r="E80" s="289"/>
      <c r="F80" s="268"/>
      <c r="G80" s="268"/>
      <c r="H80" s="98"/>
      <c r="I80" s="240"/>
      <c r="J80" s="240"/>
      <c r="K80" s="356"/>
      <c r="L80" s="356"/>
      <c r="M80" s="356"/>
      <c r="N80" s="356"/>
      <c r="O80" s="356"/>
      <c r="P80" s="356"/>
      <c r="Q80" s="356"/>
      <c r="R80" s="356"/>
      <c r="S80" s="356"/>
      <c r="T80" s="356"/>
      <c r="U80" s="356"/>
      <c r="V80" s="356"/>
      <c r="W80" s="35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959"/>
      <c r="CH80" s="959"/>
      <c r="CI80" s="220"/>
      <c r="CJ80" s="220"/>
    </row>
    <row r="81" spans="1:88" ht="8.25" customHeight="1" thickTop="1">
      <c r="D81" s="220"/>
      <c r="E81" s="268"/>
      <c r="F81" s="268"/>
      <c r="G81" s="268"/>
      <c r="H81" s="98" t="s">
        <v>1532</v>
      </c>
      <c r="I81" s="240"/>
      <c r="J81" s="240"/>
      <c r="K81" s="356"/>
      <c r="L81" s="356"/>
      <c r="M81" s="356"/>
      <c r="N81" s="356"/>
      <c r="O81" s="356"/>
      <c r="P81" s="356"/>
      <c r="Q81" s="356"/>
      <c r="R81" s="356"/>
      <c r="S81" s="356"/>
      <c r="T81" s="356"/>
      <c r="U81" s="356"/>
      <c r="V81" s="356"/>
      <c r="W81" s="35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290"/>
      <c r="BZ81" s="356"/>
      <c r="CA81" s="291" t="s">
        <v>1766</v>
      </c>
      <c r="CB81" s="356"/>
      <c r="CC81" s="356"/>
      <c r="CD81" s="356"/>
      <c r="CE81" s="356"/>
      <c r="CF81" s="356"/>
      <c r="CG81" s="356"/>
      <c r="CH81" s="356"/>
    </row>
    <row r="82" spans="1:88" s="277" customFormat="1">
      <c r="A82" s="272"/>
      <c r="B82" s="272"/>
      <c r="C82" s="272"/>
      <c r="D82" s="272"/>
      <c r="E82" s="273"/>
      <c r="F82" s="273"/>
      <c r="G82" s="273"/>
      <c r="H82" s="274"/>
      <c r="I82" s="274"/>
      <c r="J82" s="274"/>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c r="AO82" s="275"/>
      <c r="AP82" s="275"/>
      <c r="AQ82" s="275"/>
      <c r="AR82" s="275"/>
      <c r="AS82" s="275"/>
      <c r="AT82" s="2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c r="CG82" s="275"/>
      <c r="CH82" s="275"/>
    </row>
    <row r="83" spans="1:88" s="277" customFormat="1">
      <c r="A83" s="272"/>
      <c r="B83" s="272"/>
      <c r="C83" s="272"/>
      <c r="D83" s="272"/>
      <c r="E83" s="273"/>
      <c r="F83" s="273"/>
      <c r="G83" s="273"/>
      <c r="H83" s="274"/>
      <c r="I83" s="274"/>
      <c r="J83" s="274"/>
      <c r="K83" s="275"/>
      <c r="L83" s="275"/>
      <c r="M83" s="275"/>
      <c r="N83" s="275"/>
      <c r="O83" s="275"/>
      <c r="P83" s="275"/>
      <c r="Q83" s="275"/>
      <c r="R83" s="275"/>
      <c r="S83" s="275"/>
      <c r="T83" s="275"/>
      <c r="U83" s="275"/>
      <c r="V83" s="275"/>
      <c r="W83" s="275"/>
      <c r="X83" s="275"/>
      <c r="Y83" s="275"/>
      <c r="Z83" s="275"/>
      <c r="AA83" s="275"/>
      <c r="AB83" s="275"/>
      <c r="AC83" s="275"/>
      <c r="AD83" s="275"/>
      <c r="AE83" s="276">
        <v>10</v>
      </c>
      <c r="AF83" s="275"/>
      <c r="AG83" s="276">
        <v>9</v>
      </c>
      <c r="AH83" s="275"/>
      <c r="AI83" s="276">
        <v>8</v>
      </c>
      <c r="AJ83" s="275"/>
      <c r="AK83" s="276">
        <v>7</v>
      </c>
      <c r="AL83" s="275"/>
      <c r="AM83" s="276">
        <v>6</v>
      </c>
      <c r="AN83" s="275"/>
      <c r="AO83" s="276">
        <v>5</v>
      </c>
      <c r="AP83" s="275"/>
      <c r="AQ83" s="276">
        <v>4</v>
      </c>
      <c r="AR83" s="275"/>
      <c r="AS83" s="276">
        <v>3</v>
      </c>
      <c r="AT83" s="275"/>
      <c r="AU83" s="276">
        <v>2</v>
      </c>
      <c r="AV83" s="275"/>
      <c r="AW83" s="276">
        <v>1</v>
      </c>
      <c r="AX83" s="275"/>
      <c r="AY83" s="276">
        <v>0</v>
      </c>
      <c r="AZ83" s="275"/>
      <c r="BA83" s="275"/>
      <c r="BB83" s="276">
        <v>10</v>
      </c>
      <c r="BC83" s="275"/>
      <c r="BD83" s="276">
        <v>9</v>
      </c>
      <c r="BE83" s="275"/>
      <c r="BF83" s="276">
        <v>8</v>
      </c>
      <c r="BG83" s="275"/>
      <c r="BH83" s="276">
        <v>7</v>
      </c>
      <c r="BI83" s="275"/>
      <c r="BJ83" s="276">
        <v>6</v>
      </c>
      <c r="BK83" s="276">
        <v>5</v>
      </c>
      <c r="BL83" s="276">
        <v>5</v>
      </c>
      <c r="BM83" s="276">
        <v>5</v>
      </c>
      <c r="BN83" s="276"/>
      <c r="BO83" s="276">
        <v>4</v>
      </c>
      <c r="BP83" s="276"/>
      <c r="BQ83" s="276">
        <v>3</v>
      </c>
      <c r="BR83" s="276">
        <v>2</v>
      </c>
      <c r="BS83" s="276">
        <v>2</v>
      </c>
      <c r="BT83" s="276">
        <v>1</v>
      </c>
      <c r="BU83" s="276">
        <v>1</v>
      </c>
      <c r="BV83" s="276"/>
      <c r="BW83" s="276">
        <v>0</v>
      </c>
      <c r="BX83" s="275"/>
      <c r="BY83" s="275"/>
      <c r="BZ83" s="275"/>
      <c r="CA83" s="275"/>
      <c r="CB83" s="275"/>
      <c r="CC83" s="275"/>
      <c r="CD83" s="275"/>
      <c r="CE83" s="275"/>
      <c r="CF83" s="275"/>
      <c r="CG83" s="275"/>
      <c r="CH83" s="272"/>
      <c r="CI83" s="272"/>
      <c r="CJ83" s="272"/>
    </row>
    <row r="84" spans="1:88" s="277" customFormat="1">
      <c r="B84" s="272"/>
      <c r="C84" s="272"/>
      <c r="D84" s="272"/>
      <c r="E84" s="273"/>
      <c r="F84" s="273"/>
      <c r="G84" s="273"/>
      <c r="H84" s="274"/>
      <c r="I84" s="274"/>
      <c r="J84" s="274"/>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6">
        <v>10</v>
      </c>
      <c r="AP84" s="276"/>
      <c r="AQ84" s="276">
        <v>9</v>
      </c>
      <c r="AR84" s="276"/>
      <c r="AS84" s="276">
        <v>8</v>
      </c>
      <c r="AT84" s="276"/>
      <c r="AU84" s="276">
        <v>7</v>
      </c>
      <c r="AV84" s="276"/>
      <c r="AW84" s="276">
        <v>6</v>
      </c>
      <c r="AX84" s="276"/>
      <c r="AY84" s="276">
        <v>5</v>
      </c>
      <c r="AZ84" s="276"/>
      <c r="BA84" s="276"/>
      <c r="BB84" s="276">
        <v>4</v>
      </c>
      <c r="BC84" s="276"/>
      <c r="BD84" s="276">
        <v>3</v>
      </c>
      <c r="BE84" s="276"/>
      <c r="BF84" s="276">
        <v>2</v>
      </c>
      <c r="BG84" s="276"/>
      <c r="BH84" s="276">
        <v>1</v>
      </c>
      <c r="BI84" s="276"/>
      <c r="BJ84" s="276">
        <v>0</v>
      </c>
      <c r="BK84" s="276">
        <v>10</v>
      </c>
      <c r="BL84" s="276">
        <v>10</v>
      </c>
      <c r="BM84" s="276">
        <v>10</v>
      </c>
      <c r="BN84" s="276"/>
      <c r="BO84" s="276">
        <v>9</v>
      </c>
      <c r="BP84" s="276"/>
      <c r="BQ84" s="276">
        <v>8</v>
      </c>
      <c r="BR84" s="276"/>
      <c r="BS84" s="276">
        <v>7</v>
      </c>
      <c r="BT84" s="276"/>
      <c r="BU84" s="276">
        <v>6</v>
      </c>
      <c r="BV84" s="276"/>
      <c r="BW84" s="276">
        <v>5</v>
      </c>
      <c r="BX84" s="276"/>
      <c r="BY84" s="276">
        <v>4</v>
      </c>
      <c r="BZ84" s="276"/>
      <c r="CA84" s="276">
        <v>3</v>
      </c>
      <c r="CB84" s="276"/>
      <c r="CC84" s="276">
        <v>2</v>
      </c>
      <c r="CD84" s="276"/>
      <c r="CE84" s="276">
        <v>1</v>
      </c>
      <c r="CF84" s="276"/>
      <c r="CG84" s="276">
        <v>0</v>
      </c>
      <c r="CH84" s="272"/>
      <c r="CJ84" s="272"/>
    </row>
    <row r="85" spans="1:88" s="293" customFormat="1">
      <c r="A85" s="292"/>
      <c r="B85" s="292"/>
      <c r="C85" s="292"/>
      <c r="E85" s="294"/>
      <c r="F85" s="294"/>
      <c r="G85" s="294"/>
      <c r="H85" s="295"/>
      <c r="I85" s="295"/>
      <c r="J85" s="295"/>
      <c r="K85" s="296"/>
      <c r="L85" s="296"/>
      <c r="M85" s="296"/>
      <c r="N85" s="296"/>
      <c r="O85" s="296"/>
      <c r="P85" s="296"/>
      <c r="Q85" s="296"/>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c r="CA85" s="296"/>
      <c r="CB85" s="296"/>
      <c r="CC85" s="296"/>
      <c r="CD85" s="296"/>
      <c r="CE85" s="296"/>
      <c r="CF85" s="296"/>
      <c r="CG85" s="296"/>
      <c r="CH85" s="296"/>
    </row>
    <row r="86" spans="1:88">
      <c r="E86" s="268"/>
      <c r="F86" s="268"/>
      <c r="G86" s="268"/>
      <c r="H86" s="240"/>
      <c r="I86" s="240"/>
      <c r="J86" s="240"/>
      <c r="K86" s="356"/>
      <c r="L86" s="356"/>
      <c r="M86" s="356"/>
      <c r="N86" s="356"/>
      <c r="O86" s="356"/>
      <c r="P86" s="356"/>
      <c r="Q86" s="356"/>
      <c r="R86" s="356"/>
      <c r="S86" s="356"/>
      <c r="T86" s="356"/>
      <c r="U86" s="356"/>
      <c r="V86" s="356"/>
      <c r="W86" s="356"/>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row>
    <row r="87" spans="1:88">
      <c r="E87" s="268"/>
      <c r="F87" s="268"/>
      <c r="G87" s="268"/>
      <c r="H87" s="240"/>
      <c r="I87" s="240"/>
      <c r="J87" s="240"/>
      <c r="K87" s="356"/>
      <c r="L87" s="356"/>
      <c r="M87" s="356"/>
      <c r="N87" s="356"/>
      <c r="O87" s="356"/>
      <c r="P87" s="356"/>
      <c r="Q87" s="356"/>
      <c r="R87" s="356"/>
      <c r="S87" s="356"/>
      <c r="T87" s="356"/>
      <c r="U87" s="356"/>
      <c r="V87" s="356"/>
      <c r="W87" s="356"/>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row>
  </sheetData>
  <sheetProtection sheet="1" objects="1" scenarios="1"/>
  <mergeCells count="143">
    <mergeCell ref="B9:D9"/>
    <mergeCell ref="B10:C10"/>
    <mergeCell ref="E10:F10"/>
    <mergeCell ref="G10:AJ10"/>
    <mergeCell ref="AN10:BJ10"/>
    <mergeCell ref="BL10:CH10"/>
    <mergeCell ref="AR4:AR5"/>
    <mergeCell ref="E7:F9"/>
    <mergeCell ref="G7:AJ9"/>
    <mergeCell ref="AN7:CH7"/>
    <mergeCell ref="AN8:BJ9"/>
    <mergeCell ref="BL8:CH9"/>
    <mergeCell ref="AF4:AF5"/>
    <mergeCell ref="AH4:AH5"/>
    <mergeCell ref="AJ4:AJ5"/>
    <mergeCell ref="AL4:AL5"/>
    <mergeCell ref="AK7:AM9"/>
    <mergeCell ref="AK10:AM10"/>
    <mergeCell ref="AN4:AN5"/>
    <mergeCell ref="AP4:AP5"/>
    <mergeCell ref="H2:X4"/>
    <mergeCell ref="AB2:AX2"/>
    <mergeCell ref="AY2:AY5"/>
    <mergeCell ref="AZ2:BT2"/>
    <mergeCell ref="BU2:CE5"/>
    <mergeCell ref="BL14:CB14"/>
    <mergeCell ref="E11:F14"/>
    <mergeCell ref="G11:AJ14"/>
    <mergeCell ref="AK11:AM14"/>
    <mergeCell ref="BL11:CB11"/>
    <mergeCell ref="AY12:BD12"/>
    <mergeCell ref="BF12:BJ12"/>
    <mergeCell ref="BK12:BK13"/>
    <mergeCell ref="BL12:BL13"/>
    <mergeCell ref="BM12:BO12"/>
    <mergeCell ref="BQ12:BU12"/>
    <mergeCell ref="BV12:BV13"/>
    <mergeCell ref="BW12:CA12"/>
    <mergeCell ref="CB12:CB13"/>
    <mergeCell ref="CC12:CG12"/>
    <mergeCell ref="BA13:BB13"/>
    <mergeCell ref="AE3:AW3"/>
    <mergeCell ref="AZ3:BC4"/>
    <mergeCell ref="BD3:BS3"/>
    <mergeCell ref="AB4:AC5"/>
    <mergeCell ref="AD4:AD5"/>
    <mergeCell ref="BV16:BV17"/>
    <mergeCell ref="BW16:CA16"/>
    <mergeCell ref="CB16:CB17"/>
    <mergeCell ref="CC16:CG16"/>
    <mergeCell ref="BA17:BB17"/>
    <mergeCell ref="BL18:CB18"/>
    <mergeCell ref="E15:F18"/>
    <mergeCell ref="G15:AJ18"/>
    <mergeCell ref="AK15:AM18"/>
    <mergeCell ref="BL15:CB15"/>
    <mergeCell ref="AY16:BD16"/>
    <mergeCell ref="BF16:BJ16"/>
    <mergeCell ref="BK16:BK17"/>
    <mergeCell ref="BL16:BL17"/>
    <mergeCell ref="BM16:BO16"/>
    <mergeCell ref="BQ16:BU16"/>
    <mergeCell ref="BV20:BV21"/>
    <mergeCell ref="BW20:CA20"/>
    <mergeCell ref="CB20:CB21"/>
    <mergeCell ref="CC20:CG20"/>
    <mergeCell ref="BA21:BB21"/>
    <mergeCell ref="BL22:CB22"/>
    <mergeCell ref="E19:F22"/>
    <mergeCell ref="G19:AJ22"/>
    <mergeCell ref="AK19:AM22"/>
    <mergeCell ref="BL19:CB19"/>
    <mergeCell ref="AY20:BD20"/>
    <mergeCell ref="BF20:BJ20"/>
    <mergeCell ref="BK20:BK21"/>
    <mergeCell ref="BL20:BL21"/>
    <mergeCell ref="BM20:BO20"/>
    <mergeCell ref="BQ20:BU20"/>
    <mergeCell ref="BV24:BV25"/>
    <mergeCell ref="BW24:CA24"/>
    <mergeCell ref="CB24:CB25"/>
    <mergeCell ref="CC24:CG24"/>
    <mergeCell ref="BA25:BB25"/>
    <mergeCell ref="BL26:CB26"/>
    <mergeCell ref="E23:F26"/>
    <mergeCell ref="G23:AJ26"/>
    <mergeCell ref="AK23:AM26"/>
    <mergeCell ref="BL23:CB23"/>
    <mergeCell ref="AY24:BD24"/>
    <mergeCell ref="BF24:BJ24"/>
    <mergeCell ref="BK24:BK25"/>
    <mergeCell ref="BL24:BL25"/>
    <mergeCell ref="BM24:BO24"/>
    <mergeCell ref="BQ24:BU24"/>
    <mergeCell ref="BV28:BV29"/>
    <mergeCell ref="BW28:CA28"/>
    <mergeCell ref="CB28:CB29"/>
    <mergeCell ref="CC28:CG28"/>
    <mergeCell ref="BA29:BB29"/>
    <mergeCell ref="BL30:CB30"/>
    <mergeCell ref="E27:F30"/>
    <mergeCell ref="G27:AJ30"/>
    <mergeCell ref="AK27:AM30"/>
    <mergeCell ref="BL27:CB27"/>
    <mergeCell ref="AY28:BD28"/>
    <mergeCell ref="BF28:BJ28"/>
    <mergeCell ref="BK28:BK29"/>
    <mergeCell ref="BL28:BL29"/>
    <mergeCell ref="BM28:BO28"/>
    <mergeCell ref="BQ28:BU28"/>
    <mergeCell ref="BV32:BV33"/>
    <mergeCell ref="BW32:CA32"/>
    <mergeCell ref="CB32:CB33"/>
    <mergeCell ref="CC32:CG32"/>
    <mergeCell ref="BA33:BB33"/>
    <mergeCell ref="BL34:CB34"/>
    <mergeCell ref="E31:F34"/>
    <mergeCell ref="G31:AJ34"/>
    <mergeCell ref="AK31:AM34"/>
    <mergeCell ref="BL31:CB31"/>
    <mergeCell ref="AY32:BD32"/>
    <mergeCell ref="BF32:BJ32"/>
    <mergeCell ref="BK32:BK33"/>
    <mergeCell ref="BL32:BL33"/>
    <mergeCell ref="BM32:BO32"/>
    <mergeCell ref="BQ32:BU32"/>
    <mergeCell ref="CG80:CH80"/>
    <mergeCell ref="BV36:BV37"/>
    <mergeCell ref="BW36:CA36"/>
    <mergeCell ref="CB36:CB37"/>
    <mergeCell ref="CC36:CG36"/>
    <mergeCell ref="BA37:BB37"/>
    <mergeCell ref="BL38:CB38"/>
    <mergeCell ref="E35:F38"/>
    <mergeCell ref="G35:AJ38"/>
    <mergeCell ref="AK35:AM38"/>
    <mergeCell ref="BL35:CB35"/>
    <mergeCell ref="AY36:BD36"/>
    <mergeCell ref="BF36:BJ36"/>
    <mergeCell ref="BK36:BK37"/>
    <mergeCell ref="BL36:BL37"/>
    <mergeCell ref="BM36:BO36"/>
    <mergeCell ref="BQ36:BU36"/>
  </mergeCells>
  <pageMargins left="0.55118110236220474" right="0.15748031496062992" top="0.15748031496062992" bottom="0.19685039370078741" header="0.51181102362204722" footer="0.51181102362204722"/>
  <pageSetup paperSize="9" scale="95" firstPageNumber="0" orientation="portrait" r:id="rId1"/>
  <headerFooter alignWithMargins="0"/>
  <drawing r:id="rId2"/>
  <extLst>
    <ext xmlns:x14="http://schemas.microsoft.com/office/spreadsheetml/2009/9/main" uri="{CCE6A557-97BC-4b89-ADB6-D9C93CAAB3DF}">
      <x14:dataValidations xmlns:xm="http://schemas.microsoft.com/office/excel/2006/main" disablePrompts="1" count="1">
        <x14:dataValidation type="whole" allowBlank="1" showErrorMessage="1" error="Môže byť iba číslica." xr:uid="{00000000-0002-0000-1300-000000000000}">
          <x14:formula1>
            <xm:f>0</xm:f>
          </x14:formula1>
          <x14:formula2>
            <xm:f>9</xm:f>
          </x14:formula2>
          <xm:sqref>BM4:BM5 LI4:LI5 VE4:VE5 AFA4:AFA5 AOW4:AOW5 AYS4:AYS5 BIO4:BIO5 BSK4:BSK5 CCG4:CCG5 CMC4:CMC5 CVY4:CVY5 DFU4:DFU5 DPQ4:DPQ5 DZM4:DZM5 EJI4:EJI5 ETE4:ETE5 FDA4:FDA5 FMW4:FMW5 FWS4:FWS5 GGO4:GGO5 GQK4:GQK5 HAG4:HAG5 HKC4:HKC5 HTY4:HTY5 IDU4:IDU5 INQ4:INQ5 IXM4:IXM5 JHI4:JHI5 JRE4:JRE5 KBA4:KBA5 KKW4:KKW5 KUS4:KUS5 LEO4:LEO5 LOK4:LOK5 LYG4:LYG5 MIC4:MIC5 MRY4:MRY5 NBU4:NBU5 NLQ4:NLQ5 NVM4:NVM5 OFI4:OFI5 OPE4:OPE5 OZA4:OZA5 PIW4:PIW5 PSS4:PSS5 QCO4:QCO5 QMK4:QMK5 QWG4:QWG5 RGC4:RGC5 RPY4:RPY5 RZU4:RZU5 SJQ4:SJQ5 STM4:STM5 TDI4:TDI5 TNE4:TNE5 TXA4:TXA5 UGW4:UGW5 UQS4:UQS5 VAO4:VAO5 VKK4:VKK5 VUG4:VUG5 WEC4:WEC5 WNY4:WNY5 WXU4:WXU5 BM65540:BM65541 LI65540:LI65541 VE65540:VE65541 AFA65540:AFA65541 AOW65540:AOW65541 AYS65540:AYS65541 BIO65540:BIO65541 BSK65540:BSK65541 CCG65540:CCG65541 CMC65540:CMC65541 CVY65540:CVY65541 DFU65540:DFU65541 DPQ65540:DPQ65541 DZM65540:DZM65541 EJI65540:EJI65541 ETE65540:ETE65541 FDA65540:FDA65541 FMW65540:FMW65541 FWS65540:FWS65541 GGO65540:GGO65541 GQK65540:GQK65541 HAG65540:HAG65541 HKC65540:HKC65541 HTY65540:HTY65541 IDU65540:IDU65541 INQ65540:INQ65541 IXM65540:IXM65541 JHI65540:JHI65541 JRE65540:JRE65541 KBA65540:KBA65541 KKW65540:KKW65541 KUS65540:KUS65541 LEO65540:LEO65541 LOK65540:LOK65541 LYG65540:LYG65541 MIC65540:MIC65541 MRY65540:MRY65541 NBU65540:NBU65541 NLQ65540:NLQ65541 NVM65540:NVM65541 OFI65540:OFI65541 OPE65540:OPE65541 OZA65540:OZA65541 PIW65540:PIW65541 PSS65540:PSS65541 QCO65540:QCO65541 QMK65540:QMK65541 QWG65540:QWG65541 RGC65540:RGC65541 RPY65540:RPY65541 RZU65540:RZU65541 SJQ65540:SJQ65541 STM65540:STM65541 TDI65540:TDI65541 TNE65540:TNE65541 TXA65540:TXA65541 UGW65540:UGW65541 UQS65540:UQS65541 VAO65540:VAO65541 VKK65540:VKK65541 VUG65540:VUG65541 WEC65540:WEC65541 WNY65540:WNY65541 WXU65540:WXU65541 BM131076:BM131077 LI131076:LI131077 VE131076:VE131077 AFA131076:AFA131077 AOW131076:AOW131077 AYS131076:AYS131077 BIO131076:BIO131077 BSK131076:BSK131077 CCG131076:CCG131077 CMC131076:CMC131077 CVY131076:CVY131077 DFU131076:DFU131077 DPQ131076:DPQ131077 DZM131076:DZM131077 EJI131076:EJI131077 ETE131076:ETE131077 FDA131076:FDA131077 FMW131076:FMW131077 FWS131076:FWS131077 GGO131076:GGO131077 GQK131076:GQK131077 HAG131076:HAG131077 HKC131076:HKC131077 HTY131076:HTY131077 IDU131076:IDU131077 INQ131076:INQ131077 IXM131076:IXM131077 JHI131076:JHI131077 JRE131076:JRE131077 KBA131076:KBA131077 KKW131076:KKW131077 KUS131076:KUS131077 LEO131076:LEO131077 LOK131076:LOK131077 LYG131076:LYG131077 MIC131076:MIC131077 MRY131076:MRY131077 NBU131076:NBU131077 NLQ131076:NLQ131077 NVM131076:NVM131077 OFI131076:OFI131077 OPE131076:OPE131077 OZA131076:OZA131077 PIW131076:PIW131077 PSS131076:PSS131077 QCO131076:QCO131077 QMK131076:QMK131077 QWG131076:QWG131077 RGC131076:RGC131077 RPY131076:RPY131077 RZU131076:RZU131077 SJQ131076:SJQ131077 STM131076:STM131077 TDI131076:TDI131077 TNE131076:TNE131077 TXA131076:TXA131077 UGW131076:UGW131077 UQS131076:UQS131077 VAO131076:VAO131077 VKK131076:VKK131077 VUG131076:VUG131077 WEC131076:WEC131077 WNY131076:WNY131077 WXU131076:WXU131077 BM196612:BM196613 LI196612:LI196613 VE196612:VE196613 AFA196612:AFA196613 AOW196612:AOW196613 AYS196612:AYS196613 BIO196612:BIO196613 BSK196612:BSK196613 CCG196612:CCG196613 CMC196612:CMC196613 CVY196612:CVY196613 DFU196612:DFU196613 DPQ196612:DPQ196613 DZM196612:DZM196613 EJI196612:EJI196613 ETE196612:ETE196613 FDA196612:FDA196613 FMW196612:FMW196613 FWS196612:FWS196613 GGO196612:GGO196613 GQK196612:GQK196613 HAG196612:HAG196613 HKC196612:HKC196613 HTY196612:HTY196613 IDU196612:IDU196613 INQ196612:INQ196613 IXM196612:IXM196613 JHI196612:JHI196613 JRE196612:JRE196613 KBA196612:KBA196613 KKW196612:KKW196613 KUS196612:KUS196613 LEO196612:LEO196613 LOK196612:LOK196613 LYG196612:LYG196613 MIC196612:MIC196613 MRY196612:MRY196613 NBU196612:NBU196613 NLQ196612:NLQ196613 NVM196612:NVM196613 OFI196612:OFI196613 OPE196612:OPE196613 OZA196612:OZA196613 PIW196612:PIW196613 PSS196612:PSS196613 QCO196612:QCO196613 QMK196612:QMK196613 QWG196612:QWG196613 RGC196612:RGC196613 RPY196612:RPY196613 RZU196612:RZU196613 SJQ196612:SJQ196613 STM196612:STM196613 TDI196612:TDI196613 TNE196612:TNE196613 TXA196612:TXA196613 UGW196612:UGW196613 UQS196612:UQS196613 VAO196612:VAO196613 VKK196612:VKK196613 VUG196612:VUG196613 WEC196612:WEC196613 WNY196612:WNY196613 WXU196612:WXU196613 BM262148:BM262149 LI262148:LI262149 VE262148:VE262149 AFA262148:AFA262149 AOW262148:AOW262149 AYS262148:AYS262149 BIO262148:BIO262149 BSK262148:BSK262149 CCG262148:CCG262149 CMC262148:CMC262149 CVY262148:CVY262149 DFU262148:DFU262149 DPQ262148:DPQ262149 DZM262148:DZM262149 EJI262148:EJI262149 ETE262148:ETE262149 FDA262148:FDA262149 FMW262148:FMW262149 FWS262148:FWS262149 GGO262148:GGO262149 GQK262148:GQK262149 HAG262148:HAG262149 HKC262148:HKC262149 HTY262148:HTY262149 IDU262148:IDU262149 INQ262148:INQ262149 IXM262148:IXM262149 JHI262148:JHI262149 JRE262148:JRE262149 KBA262148:KBA262149 KKW262148:KKW262149 KUS262148:KUS262149 LEO262148:LEO262149 LOK262148:LOK262149 LYG262148:LYG262149 MIC262148:MIC262149 MRY262148:MRY262149 NBU262148:NBU262149 NLQ262148:NLQ262149 NVM262148:NVM262149 OFI262148:OFI262149 OPE262148:OPE262149 OZA262148:OZA262149 PIW262148:PIW262149 PSS262148:PSS262149 QCO262148:QCO262149 QMK262148:QMK262149 QWG262148:QWG262149 RGC262148:RGC262149 RPY262148:RPY262149 RZU262148:RZU262149 SJQ262148:SJQ262149 STM262148:STM262149 TDI262148:TDI262149 TNE262148:TNE262149 TXA262148:TXA262149 UGW262148:UGW262149 UQS262148:UQS262149 VAO262148:VAO262149 VKK262148:VKK262149 VUG262148:VUG262149 WEC262148:WEC262149 WNY262148:WNY262149 WXU262148:WXU262149 BM327684:BM327685 LI327684:LI327685 VE327684:VE327685 AFA327684:AFA327685 AOW327684:AOW327685 AYS327684:AYS327685 BIO327684:BIO327685 BSK327684:BSK327685 CCG327684:CCG327685 CMC327684:CMC327685 CVY327684:CVY327685 DFU327684:DFU327685 DPQ327684:DPQ327685 DZM327684:DZM327685 EJI327684:EJI327685 ETE327684:ETE327685 FDA327684:FDA327685 FMW327684:FMW327685 FWS327684:FWS327685 GGO327684:GGO327685 GQK327684:GQK327685 HAG327684:HAG327685 HKC327684:HKC327685 HTY327684:HTY327685 IDU327684:IDU327685 INQ327684:INQ327685 IXM327684:IXM327685 JHI327684:JHI327685 JRE327684:JRE327685 KBA327684:KBA327685 KKW327684:KKW327685 KUS327684:KUS327685 LEO327684:LEO327685 LOK327684:LOK327685 LYG327684:LYG327685 MIC327684:MIC327685 MRY327684:MRY327685 NBU327684:NBU327685 NLQ327684:NLQ327685 NVM327684:NVM327685 OFI327684:OFI327685 OPE327684:OPE327685 OZA327684:OZA327685 PIW327684:PIW327685 PSS327684:PSS327685 QCO327684:QCO327685 QMK327684:QMK327685 QWG327684:QWG327685 RGC327684:RGC327685 RPY327684:RPY327685 RZU327684:RZU327685 SJQ327684:SJQ327685 STM327684:STM327685 TDI327684:TDI327685 TNE327684:TNE327685 TXA327684:TXA327685 UGW327684:UGW327685 UQS327684:UQS327685 VAO327684:VAO327685 VKK327684:VKK327685 VUG327684:VUG327685 WEC327684:WEC327685 WNY327684:WNY327685 WXU327684:WXU327685 BM393220:BM393221 LI393220:LI393221 VE393220:VE393221 AFA393220:AFA393221 AOW393220:AOW393221 AYS393220:AYS393221 BIO393220:BIO393221 BSK393220:BSK393221 CCG393220:CCG393221 CMC393220:CMC393221 CVY393220:CVY393221 DFU393220:DFU393221 DPQ393220:DPQ393221 DZM393220:DZM393221 EJI393220:EJI393221 ETE393220:ETE393221 FDA393220:FDA393221 FMW393220:FMW393221 FWS393220:FWS393221 GGO393220:GGO393221 GQK393220:GQK393221 HAG393220:HAG393221 HKC393220:HKC393221 HTY393220:HTY393221 IDU393220:IDU393221 INQ393220:INQ393221 IXM393220:IXM393221 JHI393220:JHI393221 JRE393220:JRE393221 KBA393220:KBA393221 KKW393220:KKW393221 KUS393220:KUS393221 LEO393220:LEO393221 LOK393220:LOK393221 LYG393220:LYG393221 MIC393220:MIC393221 MRY393220:MRY393221 NBU393220:NBU393221 NLQ393220:NLQ393221 NVM393220:NVM393221 OFI393220:OFI393221 OPE393220:OPE393221 OZA393220:OZA393221 PIW393220:PIW393221 PSS393220:PSS393221 QCO393220:QCO393221 QMK393220:QMK393221 QWG393220:QWG393221 RGC393220:RGC393221 RPY393220:RPY393221 RZU393220:RZU393221 SJQ393220:SJQ393221 STM393220:STM393221 TDI393220:TDI393221 TNE393220:TNE393221 TXA393220:TXA393221 UGW393220:UGW393221 UQS393220:UQS393221 VAO393220:VAO393221 VKK393220:VKK393221 VUG393220:VUG393221 WEC393220:WEC393221 WNY393220:WNY393221 WXU393220:WXU393221 BM458756:BM458757 LI458756:LI458757 VE458756:VE458757 AFA458756:AFA458757 AOW458756:AOW458757 AYS458756:AYS458757 BIO458756:BIO458757 BSK458756:BSK458757 CCG458756:CCG458757 CMC458756:CMC458757 CVY458756:CVY458757 DFU458756:DFU458757 DPQ458756:DPQ458757 DZM458756:DZM458757 EJI458756:EJI458757 ETE458756:ETE458757 FDA458756:FDA458757 FMW458756:FMW458757 FWS458756:FWS458757 GGO458756:GGO458757 GQK458756:GQK458757 HAG458756:HAG458757 HKC458756:HKC458757 HTY458756:HTY458757 IDU458756:IDU458757 INQ458756:INQ458757 IXM458756:IXM458757 JHI458756:JHI458757 JRE458756:JRE458757 KBA458756:KBA458757 KKW458756:KKW458757 KUS458756:KUS458757 LEO458756:LEO458757 LOK458756:LOK458757 LYG458756:LYG458757 MIC458756:MIC458757 MRY458756:MRY458757 NBU458756:NBU458757 NLQ458756:NLQ458757 NVM458756:NVM458757 OFI458756:OFI458757 OPE458756:OPE458757 OZA458756:OZA458757 PIW458756:PIW458757 PSS458756:PSS458757 QCO458756:QCO458757 QMK458756:QMK458757 QWG458756:QWG458757 RGC458756:RGC458757 RPY458756:RPY458757 RZU458756:RZU458757 SJQ458756:SJQ458757 STM458756:STM458757 TDI458756:TDI458757 TNE458756:TNE458757 TXA458756:TXA458757 UGW458756:UGW458757 UQS458756:UQS458757 VAO458756:VAO458757 VKK458756:VKK458757 VUG458756:VUG458757 WEC458756:WEC458757 WNY458756:WNY458757 WXU458756:WXU458757 BM524292:BM524293 LI524292:LI524293 VE524292:VE524293 AFA524292:AFA524293 AOW524292:AOW524293 AYS524292:AYS524293 BIO524292:BIO524293 BSK524292:BSK524293 CCG524292:CCG524293 CMC524292:CMC524293 CVY524292:CVY524293 DFU524292:DFU524293 DPQ524292:DPQ524293 DZM524292:DZM524293 EJI524292:EJI524293 ETE524292:ETE524293 FDA524292:FDA524293 FMW524292:FMW524293 FWS524292:FWS524293 GGO524292:GGO524293 GQK524292:GQK524293 HAG524292:HAG524293 HKC524292:HKC524293 HTY524292:HTY524293 IDU524292:IDU524293 INQ524292:INQ524293 IXM524292:IXM524293 JHI524292:JHI524293 JRE524292:JRE524293 KBA524292:KBA524293 KKW524292:KKW524293 KUS524292:KUS524293 LEO524292:LEO524293 LOK524292:LOK524293 LYG524292:LYG524293 MIC524292:MIC524293 MRY524292:MRY524293 NBU524292:NBU524293 NLQ524292:NLQ524293 NVM524292:NVM524293 OFI524292:OFI524293 OPE524292:OPE524293 OZA524292:OZA524293 PIW524292:PIW524293 PSS524292:PSS524293 QCO524292:QCO524293 QMK524292:QMK524293 QWG524292:QWG524293 RGC524292:RGC524293 RPY524292:RPY524293 RZU524292:RZU524293 SJQ524292:SJQ524293 STM524292:STM524293 TDI524292:TDI524293 TNE524292:TNE524293 TXA524292:TXA524293 UGW524292:UGW524293 UQS524292:UQS524293 VAO524292:VAO524293 VKK524292:VKK524293 VUG524292:VUG524293 WEC524292:WEC524293 WNY524292:WNY524293 WXU524292:WXU524293 BM589828:BM589829 LI589828:LI589829 VE589828:VE589829 AFA589828:AFA589829 AOW589828:AOW589829 AYS589828:AYS589829 BIO589828:BIO589829 BSK589828:BSK589829 CCG589828:CCG589829 CMC589828:CMC589829 CVY589828:CVY589829 DFU589828:DFU589829 DPQ589828:DPQ589829 DZM589828:DZM589829 EJI589828:EJI589829 ETE589828:ETE589829 FDA589828:FDA589829 FMW589828:FMW589829 FWS589828:FWS589829 GGO589828:GGO589829 GQK589828:GQK589829 HAG589828:HAG589829 HKC589828:HKC589829 HTY589828:HTY589829 IDU589828:IDU589829 INQ589828:INQ589829 IXM589828:IXM589829 JHI589828:JHI589829 JRE589828:JRE589829 KBA589828:KBA589829 KKW589828:KKW589829 KUS589828:KUS589829 LEO589828:LEO589829 LOK589828:LOK589829 LYG589828:LYG589829 MIC589828:MIC589829 MRY589828:MRY589829 NBU589828:NBU589829 NLQ589828:NLQ589829 NVM589828:NVM589829 OFI589828:OFI589829 OPE589828:OPE589829 OZA589828:OZA589829 PIW589828:PIW589829 PSS589828:PSS589829 QCO589828:QCO589829 QMK589828:QMK589829 QWG589828:QWG589829 RGC589828:RGC589829 RPY589828:RPY589829 RZU589828:RZU589829 SJQ589828:SJQ589829 STM589828:STM589829 TDI589828:TDI589829 TNE589828:TNE589829 TXA589828:TXA589829 UGW589828:UGW589829 UQS589828:UQS589829 VAO589828:VAO589829 VKK589828:VKK589829 VUG589828:VUG589829 WEC589828:WEC589829 WNY589828:WNY589829 WXU589828:WXU589829 BM655364:BM655365 LI655364:LI655365 VE655364:VE655365 AFA655364:AFA655365 AOW655364:AOW655365 AYS655364:AYS655365 BIO655364:BIO655365 BSK655364:BSK655365 CCG655364:CCG655365 CMC655364:CMC655365 CVY655364:CVY655365 DFU655364:DFU655365 DPQ655364:DPQ655365 DZM655364:DZM655365 EJI655364:EJI655365 ETE655364:ETE655365 FDA655364:FDA655365 FMW655364:FMW655365 FWS655364:FWS655365 GGO655364:GGO655365 GQK655364:GQK655365 HAG655364:HAG655365 HKC655364:HKC655365 HTY655364:HTY655365 IDU655364:IDU655365 INQ655364:INQ655365 IXM655364:IXM655365 JHI655364:JHI655365 JRE655364:JRE655365 KBA655364:KBA655365 KKW655364:KKW655365 KUS655364:KUS655365 LEO655364:LEO655365 LOK655364:LOK655365 LYG655364:LYG655365 MIC655364:MIC655365 MRY655364:MRY655365 NBU655364:NBU655365 NLQ655364:NLQ655365 NVM655364:NVM655365 OFI655364:OFI655365 OPE655364:OPE655365 OZA655364:OZA655365 PIW655364:PIW655365 PSS655364:PSS655365 QCO655364:QCO655365 QMK655364:QMK655365 QWG655364:QWG655365 RGC655364:RGC655365 RPY655364:RPY655365 RZU655364:RZU655365 SJQ655364:SJQ655365 STM655364:STM655365 TDI655364:TDI655365 TNE655364:TNE655365 TXA655364:TXA655365 UGW655364:UGW655365 UQS655364:UQS655365 VAO655364:VAO655365 VKK655364:VKK655365 VUG655364:VUG655365 WEC655364:WEC655365 WNY655364:WNY655365 WXU655364:WXU655365 BM720900:BM720901 LI720900:LI720901 VE720900:VE720901 AFA720900:AFA720901 AOW720900:AOW720901 AYS720900:AYS720901 BIO720900:BIO720901 BSK720900:BSK720901 CCG720900:CCG720901 CMC720900:CMC720901 CVY720900:CVY720901 DFU720900:DFU720901 DPQ720900:DPQ720901 DZM720900:DZM720901 EJI720900:EJI720901 ETE720900:ETE720901 FDA720900:FDA720901 FMW720900:FMW720901 FWS720900:FWS720901 GGO720900:GGO720901 GQK720900:GQK720901 HAG720900:HAG720901 HKC720900:HKC720901 HTY720900:HTY720901 IDU720900:IDU720901 INQ720900:INQ720901 IXM720900:IXM720901 JHI720900:JHI720901 JRE720900:JRE720901 KBA720900:KBA720901 KKW720900:KKW720901 KUS720900:KUS720901 LEO720900:LEO720901 LOK720900:LOK720901 LYG720900:LYG720901 MIC720900:MIC720901 MRY720900:MRY720901 NBU720900:NBU720901 NLQ720900:NLQ720901 NVM720900:NVM720901 OFI720900:OFI720901 OPE720900:OPE720901 OZA720900:OZA720901 PIW720900:PIW720901 PSS720900:PSS720901 QCO720900:QCO720901 QMK720900:QMK720901 QWG720900:QWG720901 RGC720900:RGC720901 RPY720900:RPY720901 RZU720900:RZU720901 SJQ720900:SJQ720901 STM720900:STM720901 TDI720900:TDI720901 TNE720900:TNE720901 TXA720900:TXA720901 UGW720900:UGW720901 UQS720900:UQS720901 VAO720900:VAO720901 VKK720900:VKK720901 VUG720900:VUG720901 WEC720900:WEC720901 WNY720900:WNY720901 WXU720900:WXU720901 BM786436:BM786437 LI786436:LI786437 VE786436:VE786437 AFA786436:AFA786437 AOW786436:AOW786437 AYS786436:AYS786437 BIO786436:BIO786437 BSK786436:BSK786437 CCG786436:CCG786437 CMC786436:CMC786437 CVY786436:CVY786437 DFU786436:DFU786437 DPQ786436:DPQ786437 DZM786436:DZM786437 EJI786436:EJI786437 ETE786436:ETE786437 FDA786436:FDA786437 FMW786436:FMW786437 FWS786436:FWS786437 GGO786436:GGO786437 GQK786436:GQK786437 HAG786436:HAG786437 HKC786436:HKC786437 HTY786436:HTY786437 IDU786436:IDU786437 INQ786436:INQ786437 IXM786436:IXM786437 JHI786436:JHI786437 JRE786436:JRE786437 KBA786436:KBA786437 KKW786436:KKW786437 KUS786436:KUS786437 LEO786436:LEO786437 LOK786436:LOK786437 LYG786436:LYG786437 MIC786436:MIC786437 MRY786436:MRY786437 NBU786436:NBU786437 NLQ786436:NLQ786437 NVM786436:NVM786437 OFI786436:OFI786437 OPE786436:OPE786437 OZA786436:OZA786437 PIW786436:PIW786437 PSS786436:PSS786437 QCO786436:QCO786437 QMK786436:QMK786437 QWG786436:QWG786437 RGC786436:RGC786437 RPY786436:RPY786437 RZU786436:RZU786437 SJQ786436:SJQ786437 STM786436:STM786437 TDI786436:TDI786437 TNE786436:TNE786437 TXA786436:TXA786437 UGW786436:UGW786437 UQS786436:UQS786437 VAO786436:VAO786437 VKK786436:VKK786437 VUG786436:VUG786437 WEC786436:WEC786437 WNY786436:WNY786437 WXU786436:WXU786437 BM851972:BM851973 LI851972:LI851973 VE851972:VE851973 AFA851972:AFA851973 AOW851972:AOW851973 AYS851972:AYS851973 BIO851972:BIO851973 BSK851972:BSK851973 CCG851972:CCG851973 CMC851972:CMC851973 CVY851972:CVY851973 DFU851972:DFU851973 DPQ851972:DPQ851973 DZM851972:DZM851973 EJI851972:EJI851973 ETE851972:ETE851973 FDA851972:FDA851973 FMW851972:FMW851973 FWS851972:FWS851973 GGO851972:GGO851973 GQK851972:GQK851973 HAG851972:HAG851973 HKC851972:HKC851973 HTY851972:HTY851973 IDU851972:IDU851973 INQ851972:INQ851973 IXM851972:IXM851973 JHI851972:JHI851973 JRE851972:JRE851973 KBA851972:KBA851973 KKW851972:KKW851973 KUS851972:KUS851973 LEO851972:LEO851973 LOK851972:LOK851973 LYG851972:LYG851973 MIC851972:MIC851973 MRY851972:MRY851973 NBU851972:NBU851973 NLQ851972:NLQ851973 NVM851972:NVM851973 OFI851972:OFI851973 OPE851972:OPE851973 OZA851972:OZA851973 PIW851972:PIW851973 PSS851972:PSS851973 QCO851972:QCO851973 QMK851972:QMK851973 QWG851972:QWG851973 RGC851972:RGC851973 RPY851972:RPY851973 RZU851972:RZU851973 SJQ851972:SJQ851973 STM851972:STM851973 TDI851972:TDI851973 TNE851972:TNE851973 TXA851972:TXA851973 UGW851972:UGW851973 UQS851972:UQS851973 VAO851972:VAO851973 VKK851972:VKK851973 VUG851972:VUG851973 WEC851972:WEC851973 WNY851972:WNY851973 WXU851972:WXU851973 BM917508:BM917509 LI917508:LI917509 VE917508:VE917509 AFA917508:AFA917509 AOW917508:AOW917509 AYS917508:AYS917509 BIO917508:BIO917509 BSK917508:BSK917509 CCG917508:CCG917509 CMC917508:CMC917509 CVY917508:CVY917509 DFU917508:DFU917509 DPQ917508:DPQ917509 DZM917508:DZM917509 EJI917508:EJI917509 ETE917508:ETE917509 FDA917508:FDA917509 FMW917508:FMW917509 FWS917508:FWS917509 GGO917508:GGO917509 GQK917508:GQK917509 HAG917508:HAG917509 HKC917508:HKC917509 HTY917508:HTY917509 IDU917508:IDU917509 INQ917508:INQ917509 IXM917508:IXM917509 JHI917508:JHI917509 JRE917508:JRE917509 KBA917508:KBA917509 KKW917508:KKW917509 KUS917508:KUS917509 LEO917508:LEO917509 LOK917508:LOK917509 LYG917508:LYG917509 MIC917508:MIC917509 MRY917508:MRY917509 NBU917508:NBU917509 NLQ917508:NLQ917509 NVM917508:NVM917509 OFI917508:OFI917509 OPE917508:OPE917509 OZA917508:OZA917509 PIW917508:PIW917509 PSS917508:PSS917509 QCO917508:QCO917509 QMK917508:QMK917509 QWG917508:QWG917509 RGC917508:RGC917509 RPY917508:RPY917509 RZU917508:RZU917509 SJQ917508:SJQ917509 STM917508:STM917509 TDI917508:TDI917509 TNE917508:TNE917509 TXA917508:TXA917509 UGW917508:UGW917509 UQS917508:UQS917509 VAO917508:VAO917509 VKK917508:VKK917509 VUG917508:VUG917509 WEC917508:WEC917509 WNY917508:WNY917509 WXU917508:WXU917509 BM983044:BM983045 LI983044:LI983045 VE983044:VE983045 AFA983044:AFA983045 AOW983044:AOW983045 AYS983044:AYS983045 BIO983044:BIO983045 BSK983044:BSK983045 CCG983044:CCG983045 CMC983044:CMC983045 CVY983044:CVY983045 DFU983044:DFU983045 DPQ983044:DPQ983045 DZM983044:DZM983045 EJI983044:EJI983045 ETE983044:ETE983045 FDA983044:FDA983045 FMW983044:FMW983045 FWS983044:FWS983045 GGO983044:GGO983045 GQK983044:GQK983045 HAG983044:HAG983045 HKC983044:HKC983045 HTY983044:HTY983045 IDU983044:IDU983045 INQ983044:INQ983045 IXM983044:IXM983045 JHI983044:JHI983045 JRE983044:JRE983045 KBA983044:KBA983045 KKW983044:KKW983045 KUS983044:KUS983045 LEO983044:LEO983045 LOK983044:LOK983045 LYG983044:LYG983045 MIC983044:MIC983045 MRY983044:MRY983045 NBU983044:NBU983045 NLQ983044:NLQ983045 NVM983044:NVM983045 OFI983044:OFI983045 OPE983044:OPE983045 OZA983044:OZA983045 PIW983044:PIW983045 PSS983044:PSS983045 QCO983044:QCO983045 QMK983044:QMK983045 QWG983044:QWG983045 RGC983044:RGC983045 RPY983044:RPY983045 RZU983044:RZU983045 SJQ983044:SJQ983045 STM983044:STM983045 TDI983044:TDI983045 TNE983044:TNE983045 TXA983044:TXA983045 UGW983044:UGW983045 UQS983044:UQS983045 VAO983044:VAO983045 VKK983044:VKK983045 VUG983044:VUG983045 WEC983044:WEC983045 WNY983044:WNY983045 WXU983044:WXU983045 BD4:BD5 KZ4:KZ5 UV4:UV5 AER4:AER5 AON4:AON5 AYJ4:AYJ5 BIF4:BIF5 BSB4:BSB5 CBX4:CBX5 CLT4:CLT5 CVP4:CVP5 DFL4:DFL5 DPH4:DPH5 DZD4:DZD5 EIZ4:EIZ5 ESV4:ESV5 FCR4:FCR5 FMN4:FMN5 FWJ4:FWJ5 GGF4:GGF5 GQB4:GQB5 GZX4:GZX5 HJT4:HJT5 HTP4:HTP5 IDL4:IDL5 INH4:INH5 IXD4:IXD5 JGZ4:JGZ5 JQV4:JQV5 KAR4:KAR5 KKN4:KKN5 KUJ4:KUJ5 LEF4:LEF5 LOB4:LOB5 LXX4:LXX5 MHT4:MHT5 MRP4:MRP5 NBL4:NBL5 NLH4:NLH5 NVD4:NVD5 OEZ4:OEZ5 OOV4:OOV5 OYR4:OYR5 PIN4:PIN5 PSJ4:PSJ5 QCF4:QCF5 QMB4:QMB5 QVX4:QVX5 RFT4:RFT5 RPP4:RPP5 RZL4:RZL5 SJH4:SJH5 STD4:STD5 TCZ4:TCZ5 TMV4:TMV5 TWR4:TWR5 UGN4:UGN5 UQJ4:UQJ5 VAF4:VAF5 VKB4:VKB5 VTX4:VTX5 WDT4:WDT5 WNP4:WNP5 WXL4:WXL5 BD65540:BD65541 KZ65540:KZ65541 UV65540:UV65541 AER65540:AER65541 AON65540:AON65541 AYJ65540:AYJ65541 BIF65540:BIF65541 BSB65540:BSB65541 CBX65540:CBX65541 CLT65540:CLT65541 CVP65540:CVP65541 DFL65540:DFL65541 DPH65540:DPH65541 DZD65540:DZD65541 EIZ65540:EIZ65541 ESV65540:ESV65541 FCR65540:FCR65541 FMN65540:FMN65541 FWJ65540:FWJ65541 GGF65540:GGF65541 GQB65540:GQB65541 GZX65540:GZX65541 HJT65540:HJT65541 HTP65540:HTP65541 IDL65540:IDL65541 INH65540:INH65541 IXD65540:IXD65541 JGZ65540:JGZ65541 JQV65540:JQV65541 KAR65540:KAR65541 KKN65540:KKN65541 KUJ65540:KUJ65541 LEF65540:LEF65541 LOB65540:LOB65541 LXX65540:LXX65541 MHT65540:MHT65541 MRP65540:MRP65541 NBL65540:NBL65541 NLH65540:NLH65541 NVD65540:NVD65541 OEZ65540:OEZ65541 OOV65540:OOV65541 OYR65540:OYR65541 PIN65540:PIN65541 PSJ65540:PSJ65541 QCF65540:QCF65541 QMB65540:QMB65541 QVX65540:QVX65541 RFT65540:RFT65541 RPP65540:RPP65541 RZL65540:RZL65541 SJH65540:SJH65541 STD65540:STD65541 TCZ65540:TCZ65541 TMV65540:TMV65541 TWR65540:TWR65541 UGN65540:UGN65541 UQJ65540:UQJ65541 VAF65540:VAF65541 VKB65540:VKB65541 VTX65540:VTX65541 WDT65540:WDT65541 WNP65540:WNP65541 WXL65540:WXL65541 BD131076:BD131077 KZ131076:KZ131077 UV131076:UV131077 AER131076:AER131077 AON131076:AON131077 AYJ131076:AYJ131077 BIF131076:BIF131077 BSB131076:BSB131077 CBX131076:CBX131077 CLT131076:CLT131077 CVP131076:CVP131077 DFL131076:DFL131077 DPH131076:DPH131077 DZD131076:DZD131077 EIZ131076:EIZ131077 ESV131076:ESV131077 FCR131076:FCR131077 FMN131076:FMN131077 FWJ131076:FWJ131077 GGF131076:GGF131077 GQB131076:GQB131077 GZX131076:GZX131077 HJT131076:HJT131077 HTP131076:HTP131077 IDL131076:IDL131077 INH131076:INH131077 IXD131076:IXD131077 JGZ131076:JGZ131077 JQV131076:JQV131077 KAR131076:KAR131077 KKN131076:KKN131077 KUJ131076:KUJ131077 LEF131076:LEF131077 LOB131076:LOB131077 LXX131076:LXX131077 MHT131076:MHT131077 MRP131076:MRP131077 NBL131076:NBL131077 NLH131076:NLH131077 NVD131076:NVD131077 OEZ131076:OEZ131077 OOV131076:OOV131077 OYR131076:OYR131077 PIN131076:PIN131077 PSJ131076:PSJ131077 QCF131076:QCF131077 QMB131076:QMB131077 QVX131076:QVX131077 RFT131076:RFT131077 RPP131076:RPP131077 RZL131076:RZL131077 SJH131076:SJH131077 STD131076:STD131077 TCZ131076:TCZ131077 TMV131076:TMV131077 TWR131076:TWR131077 UGN131076:UGN131077 UQJ131076:UQJ131077 VAF131076:VAF131077 VKB131076:VKB131077 VTX131076:VTX131077 WDT131076:WDT131077 WNP131076:WNP131077 WXL131076:WXL131077 BD196612:BD196613 KZ196612:KZ196613 UV196612:UV196613 AER196612:AER196613 AON196612:AON196613 AYJ196612:AYJ196613 BIF196612:BIF196613 BSB196612:BSB196613 CBX196612:CBX196613 CLT196612:CLT196613 CVP196612:CVP196613 DFL196612:DFL196613 DPH196612:DPH196613 DZD196612:DZD196613 EIZ196612:EIZ196613 ESV196612:ESV196613 FCR196612:FCR196613 FMN196612:FMN196613 FWJ196612:FWJ196613 GGF196612:GGF196613 GQB196612:GQB196613 GZX196612:GZX196613 HJT196612:HJT196613 HTP196612:HTP196613 IDL196612:IDL196613 INH196612:INH196613 IXD196612:IXD196613 JGZ196612:JGZ196613 JQV196612:JQV196613 KAR196612:KAR196613 KKN196612:KKN196613 KUJ196612:KUJ196613 LEF196612:LEF196613 LOB196612:LOB196613 LXX196612:LXX196613 MHT196612:MHT196613 MRP196612:MRP196613 NBL196612:NBL196613 NLH196612:NLH196613 NVD196612:NVD196613 OEZ196612:OEZ196613 OOV196612:OOV196613 OYR196612:OYR196613 PIN196612:PIN196613 PSJ196612:PSJ196613 QCF196612:QCF196613 QMB196612:QMB196613 QVX196612:QVX196613 RFT196612:RFT196613 RPP196612:RPP196613 RZL196612:RZL196613 SJH196612:SJH196613 STD196612:STD196613 TCZ196612:TCZ196613 TMV196612:TMV196613 TWR196612:TWR196613 UGN196612:UGN196613 UQJ196612:UQJ196613 VAF196612:VAF196613 VKB196612:VKB196613 VTX196612:VTX196613 WDT196612:WDT196613 WNP196612:WNP196613 WXL196612:WXL196613 BD262148:BD262149 KZ262148:KZ262149 UV262148:UV262149 AER262148:AER262149 AON262148:AON262149 AYJ262148:AYJ262149 BIF262148:BIF262149 BSB262148:BSB262149 CBX262148:CBX262149 CLT262148:CLT262149 CVP262148:CVP262149 DFL262148:DFL262149 DPH262148:DPH262149 DZD262148:DZD262149 EIZ262148:EIZ262149 ESV262148:ESV262149 FCR262148:FCR262149 FMN262148:FMN262149 FWJ262148:FWJ262149 GGF262148:GGF262149 GQB262148:GQB262149 GZX262148:GZX262149 HJT262148:HJT262149 HTP262148:HTP262149 IDL262148:IDL262149 INH262148:INH262149 IXD262148:IXD262149 JGZ262148:JGZ262149 JQV262148:JQV262149 KAR262148:KAR262149 KKN262148:KKN262149 KUJ262148:KUJ262149 LEF262148:LEF262149 LOB262148:LOB262149 LXX262148:LXX262149 MHT262148:MHT262149 MRP262148:MRP262149 NBL262148:NBL262149 NLH262148:NLH262149 NVD262148:NVD262149 OEZ262148:OEZ262149 OOV262148:OOV262149 OYR262148:OYR262149 PIN262148:PIN262149 PSJ262148:PSJ262149 QCF262148:QCF262149 QMB262148:QMB262149 QVX262148:QVX262149 RFT262148:RFT262149 RPP262148:RPP262149 RZL262148:RZL262149 SJH262148:SJH262149 STD262148:STD262149 TCZ262148:TCZ262149 TMV262148:TMV262149 TWR262148:TWR262149 UGN262148:UGN262149 UQJ262148:UQJ262149 VAF262148:VAF262149 VKB262148:VKB262149 VTX262148:VTX262149 WDT262148:WDT262149 WNP262148:WNP262149 WXL262148:WXL262149 BD327684:BD327685 KZ327684:KZ327685 UV327684:UV327685 AER327684:AER327685 AON327684:AON327685 AYJ327684:AYJ327685 BIF327684:BIF327685 BSB327684:BSB327685 CBX327684:CBX327685 CLT327684:CLT327685 CVP327684:CVP327685 DFL327684:DFL327685 DPH327684:DPH327685 DZD327684:DZD327685 EIZ327684:EIZ327685 ESV327684:ESV327685 FCR327684:FCR327685 FMN327684:FMN327685 FWJ327684:FWJ327685 GGF327684:GGF327685 GQB327684:GQB327685 GZX327684:GZX327685 HJT327684:HJT327685 HTP327684:HTP327685 IDL327684:IDL327685 INH327684:INH327685 IXD327684:IXD327685 JGZ327684:JGZ327685 JQV327684:JQV327685 KAR327684:KAR327685 KKN327684:KKN327685 KUJ327684:KUJ327685 LEF327684:LEF327685 LOB327684:LOB327685 LXX327684:LXX327685 MHT327684:MHT327685 MRP327684:MRP327685 NBL327684:NBL327685 NLH327684:NLH327685 NVD327684:NVD327685 OEZ327684:OEZ327685 OOV327684:OOV327685 OYR327684:OYR327685 PIN327684:PIN327685 PSJ327684:PSJ327685 QCF327684:QCF327685 QMB327684:QMB327685 QVX327684:QVX327685 RFT327684:RFT327685 RPP327684:RPP327685 RZL327684:RZL327685 SJH327684:SJH327685 STD327684:STD327685 TCZ327684:TCZ327685 TMV327684:TMV327685 TWR327684:TWR327685 UGN327684:UGN327685 UQJ327684:UQJ327685 VAF327684:VAF327685 VKB327684:VKB327685 VTX327684:VTX327685 WDT327684:WDT327685 WNP327684:WNP327685 WXL327684:WXL327685 BD393220:BD393221 KZ393220:KZ393221 UV393220:UV393221 AER393220:AER393221 AON393220:AON393221 AYJ393220:AYJ393221 BIF393220:BIF393221 BSB393220:BSB393221 CBX393220:CBX393221 CLT393220:CLT393221 CVP393220:CVP393221 DFL393220:DFL393221 DPH393220:DPH393221 DZD393220:DZD393221 EIZ393220:EIZ393221 ESV393220:ESV393221 FCR393220:FCR393221 FMN393220:FMN393221 FWJ393220:FWJ393221 GGF393220:GGF393221 GQB393220:GQB393221 GZX393220:GZX393221 HJT393220:HJT393221 HTP393220:HTP393221 IDL393220:IDL393221 INH393220:INH393221 IXD393220:IXD393221 JGZ393220:JGZ393221 JQV393220:JQV393221 KAR393220:KAR393221 KKN393220:KKN393221 KUJ393220:KUJ393221 LEF393220:LEF393221 LOB393220:LOB393221 LXX393220:LXX393221 MHT393220:MHT393221 MRP393220:MRP393221 NBL393220:NBL393221 NLH393220:NLH393221 NVD393220:NVD393221 OEZ393220:OEZ393221 OOV393220:OOV393221 OYR393220:OYR393221 PIN393220:PIN393221 PSJ393220:PSJ393221 QCF393220:QCF393221 QMB393220:QMB393221 QVX393220:QVX393221 RFT393220:RFT393221 RPP393220:RPP393221 RZL393220:RZL393221 SJH393220:SJH393221 STD393220:STD393221 TCZ393220:TCZ393221 TMV393220:TMV393221 TWR393220:TWR393221 UGN393220:UGN393221 UQJ393220:UQJ393221 VAF393220:VAF393221 VKB393220:VKB393221 VTX393220:VTX393221 WDT393220:WDT393221 WNP393220:WNP393221 WXL393220:WXL393221 BD458756:BD458757 KZ458756:KZ458757 UV458756:UV458757 AER458756:AER458757 AON458756:AON458757 AYJ458756:AYJ458757 BIF458756:BIF458757 BSB458756:BSB458757 CBX458756:CBX458757 CLT458756:CLT458757 CVP458756:CVP458757 DFL458756:DFL458757 DPH458756:DPH458757 DZD458756:DZD458757 EIZ458756:EIZ458757 ESV458756:ESV458757 FCR458756:FCR458757 FMN458756:FMN458757 FWJ458756:FWJ458757 GGF458756:GGF458757 GQB458756:GQB458757 GZX458756:GZX458757 HJT458756:HJT458757 HTP458756:HTP458757 IDL458756:IDL458757 INH458756:INH458757 IXD458756:IXD458757 JGZ458756:JGZ458757 JQV458756:JQV458757 KAR458756:KAR458757 KKN458756:KKN458757 KUJ458756:KUJ458757 LEF458756:LEF458757 LOB458756:LOB458757 LXX458756:LXX458757 MHT458756:MHT458757 MRP458756:MRP458757 NBL458756:NBL458757 NLH458756:NLH458757 NVD458756:NVD458757 OEZ458756:OEZ458757 OOV458756:OOV458757 OYR458756:OYR458757 PIN458756:PIN458757 PSJ458756:PSJ458757 QCF458756:QCF458757 QMB458756:QMB458757 QVX458756:QVX458757 RFT458756:RFT458757 RPP458756:RPP458757 RZL458756:RZL458757 SJH458756:SJH458757 STD458756:STD458757 TCZ458756:TCZ458757 TMV458756:TMV458757 TWR458756:TWR458757 UGN458756:UGN458757 UQJ458756:UQJ458757 VAF458756:VAF458757 VKB458756:VKB458757 VTX458756:VTX458757 WDT458756:WDT458757 WNP458756:WNP458757 WXL458756:WXL458757 BD524292:BD524293 KZ524292:KZ524293 UV524292:UV524293 AER524292:AER524293 AON524292:AON524293 AYJ524292:AYJ524293 BIF524292:BIF524293 BSB524292:BSB524293 CBX524292:CBX524293 CLT524292:CLT524293 CVP524292:CVP524293 DFL524292:DFL524293 DPH524292:DPH524293 DZD524292:DZD524293 EIZ524292:EIZ524293 ESV524292:ESV524293 FCR524292:FCR524293 FMN524292:FMN524293 FWJ524292:FWJ524293 GGF524292:GGF524293 GQB524292:GQB524293 GZX524292:GZX524293 HJT524292:HJT524293 HTP524292:HTP524293 IDL524292:IDL524293 INH524292:INH524293 IXD524292:IXD524293 JGZ524292:JGZ524293 JQV524292:JQV524293 KAR524292:KAR524293 KKN524292:KKN524293 KUJ524292:KUJ524293 LEF524292:LEF524293 LOB524292:LOB524293 LXX524292:LXX524293 MHT524292:MHT524293 MRP524292:MRP524293 NBL524292:NBL524293 NLH524292:NLH524293 NVD524292:NVD524293 OEZ524292:OEZ524293 OOV524292:OOV524293 OYR524292:OYR524293 PIN524292:PIN524293 PSJ524292:PSJ524293 QCF524292:QCF524293 QMB524292:QMB524293 QVX524292:QVX524293 RFT524292:RFT524293 RPP524292:RPP524293 RZL524292:RZL524293 SJH524292:SJH524293 STD524292:STD524293 TCZ524292:TCZ524293 TMV524292:TMV524293 TWR524292:TWR524293 UGN524292:UGN524293 UQJ524292:UQJ524293 VAF524292:VAF524293 VKB524292:VKB524293 VTX524292:VTX524293 WDT524292:WDT524293 WNP524292:WNP524293 WXL524292:WXL524293 BD589828:BD589829 KZ589828:KZ589829 UV589828:UV589829 AER589828:AER589829 AON589828:AON589829 AYJ589828:AYJ589829 BIF589828:BIF589829 BSB589828:BSB589829 CBX589828:CBX589829 CLT589828:CLT589829 CVP589828:CVP589829 DFL589828:DFL589829 DPH589828:DPH589829 DZD589828:DZD589829 EIZ589828:EIZ589829 ESV589828:ESV589829 FCR589828:FCR589829 FMN589828:FMN589829 FWJ589828:FWJ589829 GGF589828:GGF589829 GQB589828:GQB589829 GZX589828:GZX589829 HJT589828:HJT589829 HTP589828:HTP589829 IDL589828:IDL589829 INH589828:INH589829 IXD589828:IXD589829 JGZ589828:JGZ589829 JQV589828:JQV589829 KAR589828:KAR589829 KKN589828:KKN589829 KUJ589828:KUJ589829 LEF589828:LEF589829 LOB589828:LOB589829 LXX589828:LXX589829 MHT589828:MHT589829 MRP589828:MRP589829 NBL589828:NBL589829 NLH589828:NLH589829 NVD589828:NVD589829 OEZ589828:OEZ589829 OOV589828:OOV589829 OYR589828:OYR589829 PIN589828:PIN589829 PSJ589828:PSJ589829 QCF589828:QCF589829 QMB589828:QMB589829 QVX589828:QVX589829 RFT589828:RFT589829 RPP589828:RPP589829 RZL589828:RZL589829 SJH589828:SJH589829 STD589828:STD589829 TCZ589828:TCZ589829 TMV589828:TMV589829 TWR589828:TWR589829 UGN589828:UGN589829 UQJ589828:UQJ589829 VAF589828:VAF589829 VKB589828:VKB589829 VTX589828:VTX589829 WDT589828:WDT589829 WNP589828:WNP589829 WXL589828:WXL589829 BD655364:BD655365 KZ655364:KZ655365 UV655364:UV655365 AER655364:AER655365 AON655364:AON655365 AYJ655364:AYJ655365 BIF655364:BIF655365 BSB655364:BSB655365 CBX655364:CBX655365 CLT655364:CLT655365 CVP655364:CVP655365 DFL655364:DFL655365 DPH655364:DPH655365 DZD655364:DZD655365 EIZ655364:EIZ655365 ESV655364:ESV655365 FCR655364:FCR655365 FMN655364:FMN655365 FWJ655364:FWJ655365 GGF655364:GGF655365 GQB655364:GQB655365 GZX655364:GZX655365 HJT655364:HJT655365 HTP655364:HTP655365 IDL655364:IDL655365 INH655364:INH655365 IXD655364:IXD655365 JGZ655364:JGZ655365 JQV655364:JQV655365 KAR655364:KAR655365 KKN655364:KKN655365 KUJ655364:KUJ655365 LEF655364:LEF655365 LOB655364:LOB655365 LXX655364:LXX655365 MHT655364:MHT655365 MRP655364:MRP655365 NBL655364:NBL655365 NLH655364:NLH655365 NVD655364:NVD655365 OEZ655364:OEZ655365 OOV655364:OOV655365 OYR655364:OYR655365 PIN655364:PIN655365 PSJ655364:PSJ655365 QCF655364:QCF655365 QMB655364:QMB655365 QVX655364:QVX655365 RFT655364:RFT655365 RPP655364:RPP655365 RZL655364:RZL655365 SJH655364:SJH655365 STD655364:STD655365 TCZ655364:TCZ655365 TMV655364:TMV655365 TWR655364:TWR655365 UGN655364:UGN655365 UQJ655364:UQJ655365 VAF655364:VAF655365 VKB655364:VKB655365 VTX655364:VTX655365 WDT655364:WDT655365 WNP655364:WNP655365 WXL655364:WXL655365 BD720900:BD720901 KZ720900:KZ720901 UV720900:UV720901 AER720900:AER720901 AON720900:AON720901 AYJ720900:AYJ720901 BIF720900:BIF720901 BSB720900:BSB720901 CBX720900:CBX720901 CLT720900:CLT720901 CVP720900:CVP720901 DFL720900:DFL720901 DPH720900:DPH720901 DZD720900:DZD720901 EIZ720900:EIZ720901 ESV720900:ESV720901 FCR720900:FCR720901 FMN720900:FMN720901 FWJ720900:FWJ720901 GGF720900:GGF720901 GQB720900:GQB720901 GZX720900:GZX720901 HJT720900:HJT720901 HTP720900:HTP720901 IDL720900:IDL720901 INH720900:INH720901 IXD720900:IXD720901 JGZ720900:JGZ720901 JQV720900:JQV720901 KAR720900:KAR720901 KKN720900:KKN720901 KUJ720900:KUJ720901 LEF720900:LEF720901 LOB720900:LOB720901 LXX720900:LXX720901 MHT720900:MHT720901 MRP720900:MRP720901 NBL720900:NBL720901 NLH720900:NLH720901 NVD720900:NVD720901 OEZ720900:OEZ720901 OOV720900:OOV720901 OYR720900:OYR720901 PIN720900:PIN720901 PSJ720900:PSJ720901 QCF720900:QCF720901 QMB720900:QMB720901 QVX720900:QVX720901 RFT720900:RFT720901 RPP720900:RPP720901 RZL720900:RZL720901 SJH720900:SJH720901 STD720900:STD720901 TCZ720900:TCZ720901 TMV720900:TMV720901 TWR720900:TWR720901 UGN720900:UGN720901 UQJ720900:UQJ720901 VAF720900:VAF720901 VKB720900:VKB720901 VTX720900:VTX720901 WDT720900:WDT720901 WNP720900:WNP720901 WXL720900:WXL720901 BD786436:BD786437 KZ786436:KZ786437 UV786436:UV786437 AER786436:AER786437 AON786436:AON786437 AYJ786436:AYJ786437 BIF786436:BIF786437 BSB786436:BSB786437 CBX786436:CBX786437 CLT786436:CLT786437 CVP786436:CVP786437 DFL786436:DFL786437 DPH786436:DPH786437 DZD786436:DZD786437 EIZ786436:EIZ786437 ESV786436:ESV786437 FCR786436:FCR786437 FMN786436:FMN786437 FWJ786436:FWJ786437 GGF786436:GGF786437 GQB786436:GQB786437 GZX786436:GZX786437 HJT786436:HJT786437 HTP786436:HTP786437 IDL786436:IDL786437 INH786436:INH786437 IXD786436:IXD786437 JGZ786436:JGZ786437 JQV786436:JQV786437 KAR786436:KAR786437 KKN786436:KKN786437 KUJ786436:KUJ786437 LEF786436:LEF786437 LOB786436:LOB786437 LXX786436:LXX786437 MHT786436:MHT786437 MRP786436:MRP786437 NBL786436:NBL786437 NLH786436:NLH786437 NVD786436:NVD786437 OEZ786436:OEZ786437 OOV786436:OOV786437 OYR786436:OYR786437 PIN786436:PIN786437 PSJ786436:PSJ786437 QCF786436:QCF786437 QMB786436:QMB786437 QVX786436:QVX786437 RFT786436:RFT786437 RPP786436:RPP786437 RZL786436:RZL786437 SJH786436:SJH786437 STD786436:STD786437 TCZ786436:TCZ786437 TMV786436:TMV786437 TWR786436:TWR786437 UGN786436:UGN786437 UQJ786436:UQJ786437 VAF786436:VAF786437 VKB786436:VKB786437 VTX786436:VTX786437 WDT786436:WDT786437 WNP786436:WNP786437 WXL786436:WXL786437 BD851972:BD851973 KZ851972:KZ851973 UV851972:UV851973 AER851972:AER851973 AON851972:AON851973 AYJ851972:AYJ851973 BIF851972:BIF851973 BSB851972:BSB851973 CBX851972:CBX851973 CLT851972:CLT851973 CVP851972:CVP851973 DFL851972:DFL851973 DPH851972:DPH851973 DZD851972:DZD851973 EIZ851972:EIZ851973 ESV851972:ESV851973 FCR851972:FCR851973 FMN851972:FMN851973 FWJ851972:FWJ851973 GGF851972:GGF851973 GQB851972:GQB851973 GZX851972:GZX851973 HJT851972:HJT851973 HTP851972:HTP851973 IDL851972:IDL851973 INH851972:INH851973 IXD851972:IXD851973 JGZ851972:JGZ851973 JQV851972:JQV851973 KAR851972:KAR851973 KKN851972:KKN851973 KUJ851972:KUJ851973 LEF851972:LEF851973 LOB851972:LOB851973 LXX851972:LXX851973 MHT851972:MHT851973 MRP851972:MRP851973 NBL851972:NBL851973 NLH851972:NLH851973 NVD851972:NVD851973 OEZ851972:OEZ851973 OOV851972:OOV851973 OYR851972:OYR851973 PIN851972:PIN851973 PSJ851972:PSJ851973 QCF851972:QCF851973 QMB851972:QMB851973 QVX851972:QVX851973 RFT851972:RFT851973 RPP851972:RPP851973 RZL851972:RZL851973 SJH851972:SJH851973 STD851972:STD851973 TCZ851972:TCZ851973 TMV851972:TMV851973 TWR851972:TWR851973 UGN851972:UGN851973 UQJ851972:UQJ851973 VAF851972:VAF851973 VKB851972:VKB851973 VTX851972:VTX851973 WDT851972:WDT851973 WNP851972:WNP851973 WXL851972:WXL851973 BD917508:BD917509 KZ917508:KZ917509 UV917508:UV917509 AER917508:AER917509 AON917508:AON917509 AYJ917508:AYJ917509 BIF917508:BIF917509 BSB917508:BSB917509 CBX917508:CBX917509 CLT917508:CLT917509 CVP917508:CVP917509 DFL917508:DFL917509 DPH917508:DPH917509 DZD917508:DZD917509 EIZ917508:EIZ917509 ESV917508:ESV917509 FCR917508:FCR917509 FMN917508:FMN917509 FWJ917508:FWJ917509 GGF917508:GGF917509 GQB917508:GQB917509 GZX917508:GZX917509 HJT917508:HJT917509 HTP917508:HTP917509 IDL917508:IDL917509 INH917508:INH917509 IXD917508:IXD917509 JGZ917508:JGZ917509 JQV917508:JQV917509 KAR917508:KAR917509 KKN917508:KKN917509 KUJ917508:KUJ917509 LEF917508:LEF917509 LOB917508:LOB917509 LXX917508:LXX917509 MHT917508:MHT917509 MRP917508:MRP917509 NBL917508:NBL917509 NLH917508:NLH917509 NVD917508:NVD917509 OEZ917508:OEZ917509 OOV917508:OOV917509 OYR917508:OYR917509 PIN917508:PIN917509 PSJ917508:PSJ917509 QCF917508:QCF917509 QMB917508:QMB917509 QVX917508:QVX917509 RFT917508:RFT917509 RPP917508:RPP917509 RZL917508:RZL917509 SJH917508:SJH917509 STD917508:STD917509 TCZ917508:TCZ917509 TMV917508:TMV917509 TWR917508:TWR917509 UGN917508:UGN917509 UQJ917508:UQJ917509 VAF917508:VAF917509 VKB917508:VKB917509 VTX917508:VTX917509 WDT917508:WDT917509 WNP917508:WNP917509 WXL917508:WXL917509 BD983044:BD983045 KZ983044:KZ983045 UV983044:UV983045 AER983044:AER983045 AON983044:AON983045 AYJ983044:AYJ983045 BIF983044:BIF983045 BSB983044:BSB983045 CBX983044:CBX983045 CLT983044:CLT983045 CVP983044:CVP983045 DFL983044:DFL983045 DPH983044:DPH983045 DZD983044:DZD983045 EIZ983044:EIZ983045 ESV983044:ESV983045 FCR983044:FCR983045 FMN983044:FMN983045 FWJ983044:FWJ983045 GGF983044:GGF983045 GQB983044:GQB983045 GZX983044:GZX983045 HJT983044:HJT983045 HTP983044:HTP983045 IDL983044:IDL983045 INH983044:INH983045 IXD983044:IXD983045 JGZ983044:JGZ983045 JQV983044:JQV983045 KAR983044:KAR983045 KKN983044:KKN983045 KUJ983044:KUJ983045 LEF983044:LEF983045 LOB983044:LOB983045 LXX983044:LXX983045 MHT983044:MHT983045 MRP983044:MRP983045 NBL983044:NBL983045 NLH983044:NLH983045 NVD983044:NVD983045 OEZ983044:OEZ983045 OOV983044:OOV983045 OYR983044:OYR983045 PIN983044:PIN983045 PSJ983044:PSJ983045 QCF983044:QCF983045 QMB983044:QMB983045 QVX983044:QVX983045 RFT983044:RFT983045 RPP983044:RPP983045 RZL983044:RZL983045 SJH983044:SJH983045 STD983044:STD983045 TCZ983044:TCZ983045 TMV983044:TMV983045 TWR983044:TWR983045 UGN983044:UGN983045 UQJ983044:UQJ983045 VAF983044:VAF983045 VKB983044:VKB983045 VTX983044:VTX983045 WDT983044:WDT983045 WNP983044:WNP983045 WXL983044:WXL983045 BF4:BF5 LB4:LB5 UX4:UX5 AET4:AET5 AOP4:AOP5 AYL4:AYL5 BIH4:BIH5 BSD4:BSD5 CBZ4:CBZ5 CLV4:CLV5 CVR4:CVR5 DFN4:DFN5 DPJ4:DPJ5 DZF4:DZF5 EJB4:EJB5 ESX4:ESX5 FCT4:FCT5 FMP4:FMP5 FWL4:FWL5 GGH4:GGH5 GQD4:GQD5 GZZ4:GZZ5 HJV4:HJV5 HTR4:HTR5 IDN4:IDN5 INJ4:INJ5 IXF4:IXF5 JHB4:JHB5 JQX4:JQX5 KAT4:KAT5 KKP4:KKP5 KUL4:KUL5 LEH4:LEH5 LOD4:LOD5 LXZ4:LXZ5 MHV4:MHV5 MRR4:MRR5 NBN4:NBN5 NLJ4:NLJ5 NVF4:NVF5 OFB4:OFB5 OOX4:OOX5 OYT4:OYT5 PIP4:PIP5 PSL4:PSL5 QCH4:QCH5 QMD4:QMD5 QVZ4:QVZ5 RFV4:RFV5 RPR4:RPR5 RZN4:RZN5 SJJ4:SJJ5 STF4:STF5 TDB4:TDB5 TMX4:TMX5 TWT4:TWT5 UGP4:UGP5 UQL4:UQL5 VAH4:VAH5 VKD4:VKD5 VTZ4:VTZ5 WDV4:WDV5 WNR4:WNR5 WXN4:WXN5 BF65540:BF65541 LB65540:LB65541 UX65540:UX65541 AET65540:AET65541 AOP65540:AOP65541 AYL65540:AYL65541 BIH65540:BIH65541 BSD65540:BSD65541 CBZ65540:CBZ65541 CLV65540:CLV65541 CVR65540:CVR65541 DFN65540:DFN65541 DPJ65540:DPJ65541 DZF65540:DZF65541 EJB65540:EJB65541 ESX65540:ESX65541 FCT65540:FCT65541 FMP65540:FMP65541 FWL65540:FWL65541 GGH65540:GGH65541 GQD65540:GQD65541 GZZ65540:GZZ65541 HJV65540:HJV65541 HTR65540:HTR65541 IDN65540:IDN65541 INJ65540:INJ65541 IXF65540:IXF65541 JHB65540:JHB65541 JQX65540:JQX65541 KAT65540:KAT65541 KKP65540:KKP65541 KUL65540:KUL65541 LEH65540:LEH65541 LOD65540:LOD65541 LXZ65540:LXZ65541 MHV65540:MHV65541 MRR65540:MRR65541 NBN65540:NBN65541 NLJ65540:NLJ65541 NVF65540:NVF65541 OFB65540:OFB65541 OOX65540:OOX65541 OYT65540:OYT65541 PIP65540:PIP65541 PSL65540:PSL65541 QCH65540:QCH65541 QMD65540:QMD65541 QVZ65540:QVZ65541 RFV65540:RFV65541 RPR65540:RPR65541 RZN65540:RZN65541 SJJ65540:SJJ65541 STF65540:STF65541 TDB65540:TDB65541 TMX65540:TMX65541 TWT65540:TWT65541 UGP65540:UGP65541 UQL65540:UQL65541 VAH65540:VAH65541 VKD65540:VKD65541 VTZ65540:VTZ65541 WDV65540:WDV65541 WNR65540:WNR65541 WXN65540:WXN65541 BF131076:BF131077 LB131076:LB131077 UX131076:UX131077 AET131076:AET131077 AOP131076:AOP131077 AYL131076:AYL131077 BIH131076:BIH131077 BSD131076:BSD131077 CBZ131076:CBZ131077 CLV131076:CLV131077 CVR131076:CVR131077 DFN131076:DFN131077 DPJ131076:DPJ131077 DZF131076:DZF131077 EJB131076:EJB131077 ESX131076:ESX131077 FCT131076:FCT131077 FMP131076:FMP131077 FWL131076:FWL131077 GGH131076:GGH131077 GQD131076:GQD131077 GZZ131076:GZZ131077 HJV131076:HJV131077 HTR131076:HTR131077 IDN131076:IDN131077 INJ131076:INJ131077 IXF131076:IXF131077 JHB131076:JHB131077 JQX131076:JQX131077 KAT131076:KAT131077 KKP131076:KKP131077 KUL131076:KUL131077 LEH131076:LEH131077 LOD131076:LOD131077 LXZ131076:LXZ131077 MHV131076:MHV131077 MRR131076:MRR131077 NBN131076:NBN131077 NLJ131076:NLJ131077 NVF131076:NVF131077 OFB131076:OFB131077 OOX131076:OOX131077 OYT131076:OYT131077 PIP131076:PIP131077 PSL131076:PSL131077 QCH131076:QCH131077 QMD131076:QMD131077 QVZ131076:QVZ131077 RFV131076:RFV131077 RPR131076:RPR131077 RZN131076:RZN131077 SJJ131076:SJJ131077 STF131076:STF131077 TDB131076:TDB131077 TMX131076:TMX131077 TWT131076:TWT131077 UGP131076:UGP131077 UQL131076:UQL131077 VAH131076:VAH131077 VKD131076:VKD131077 VTZ131076:VTZ131077 WDV131076:WDV131077 WNR131076:WNR131077 WXN131076:WXN131077 BF196612:BF196613 LB196612:LB196613 UX196612:UX196613 AET196612:AET196613 AOP196612:AOP196613 AYL196612:AYL196613 BIH196612:BIH196613 BSD196612:BSD196613 CBZ196612:CBZ196613 CLV196612:CLV196613 CVR196612:CVR196613 DFN196612:DFN196613 DPJ196612:DPJ196613 DZF196612:DZF196613 EJB196612:EJB196613 ESX196612:ESX196613 FCT196612:FCT196613 FMP196612:FMP196613 FWL196612:FWL196613 GGH196612:GGH196613 GQD196612:GQD196613 GZZ196612:GZZ196613 HJV196612:HJV196613 HTR196612:HTR196613 IDN196612:IDN196613 INJ196612:INJ196613 IXF196612:IXF196613 JHB196612:JHB196613 JQX196612:JQX196613 KAT196612:KAT196613 KKP196612:KKP196613 KUL196612:KUL196613 LEH196612:LEH196613 LOD196612:LOD196613 LXZ196612:LXZ196613 MHV196612:MHV196613 MRR196612:MRR196613 NBN196612:NBN196613 NLJ196612:NLJ196613 NVF196612:NVF196613 OFB196612:OFB196613 OOX196612:OOX196613 OYT196612:OYT196613 PIP196612:PIP196613 PSL196612:PSL196613 QCH196612:QCH196613 QMD196612:QMD196613 QVZ196612:QVZ196613 RFV196612:RFV196613 RPR196612:RPR196613 RZN196612:RZN196613 SJJ196612:SJJ196613 STF196612:STF196613 TDB196612:TDB196613 TMX196612:TMX196613 TWT196612:TWT196613 UGP196612:UGP196613 UQL196612:UQL196613 VAH196612:VAH196613 VKD196612:VKD196613 VTZ196612:VTZ196613 WDV196612:WDV196613 WNR196612:WNR196613 WXN196612:WXN196613 BF262148:BF262149 LB262148:LB262149 UX262148:UX262149 AET262148:AET262149 AOP262148:AOP262149 AYL262148:AYL262149 BIH262148:BIH262149 BSD262148:BSD262149 CBZ262148:CBZ262149 CLV262148:CLV262149 CVR262148:CVR262149 DFN262148:DFN262149 DPJ262148:DPJ262149 DZF262148:DZF262149 EJB262148:EJB262149 ESX262148:ESX262149 FCT262148:FCT262149 FMP262148:FMP262149 FWL262148:FWL262149 GGH262148:GGH262149 GQD262148:GQD262149 GZZ262148:GZZ262149 HJV262148:HJV262149 HTR262148:HTR262149 IDN262148:IDN262149 INJ262148:INJ262149 IXF262148:IXF262149 JHB262148:JHB262149 JQX262148:JQX262149 KAT262148:KAT262149 KKP262148:KKP262149 KUL262148:KUL262149 LEH262148:LEH262149 LOD262148:LOD262149 LXZ262148:LXZ262149 MHV262148:MHV262149 MRR262148:MRR262149 NBN262148:NBN262149 NLJ262148:NLJ262149 NVF262148:NVF262149 OFB262148:OFB262149 OOX262148:OOX262149 OYT262148:OYT262149 PIP262148:PIP262149 PSL262148:PSL262149 QCH262148:QCH262149 QMD262148:QMD262149 QVZ262148:QVZ262149 RFV262148:RFV262149 RPR262148:RPR262149 RZN262148:RZN262149 SJJ262148:SJJ262149 STF262148:STF262149 TDB262148:TDB262149 TMX262148:TMX262149 TWT262148:TWT262149 UGP262148:UGP262149 UQL262148:UQL262149 VAH262148:VAH262149 VKD262148:VKD262149 VTZ262148:VTZ262149 WDV262148:WDV262149 WNR262148:WNR262149 WXN262148:WXN262149 BF327684:BF327685 LB327684:LB327685 UX327684:UX327685 AET327684:AET327685 AOP327684:AOP327685 AYL327684:AYL327685 BIH327684:BIH327685 BSD327684:BSD327685 CBZ327684:CBZ327685 CLV327684:CLV327685 CVR327684:CVR327685 DFN327684:DFN327685 DPJ327684:DPJ327685 DZF327684:DZF327685 EJB327684:EJB327685 ESX327684:ESX327685 FCT327684:FCT327685 FMP327684:FMP327685 FWL327684:FWL327685 GGH327684:GGH327685 GQD327684:GQD327685 GZZ327684:GZZ327685 HJV327684:HJV327685 HTR327684:HTR327685 IDN327684:IDN327685 INJ327684:INJ327685 IXF327684:IXF327685 JHB327684:JHB327685 JQX327684:JQX327685 KAT327684:KAT327685 KKP327684:KKP327685 KUL327684:KUL327685 LEH327684:LEH327685 LOD327684:LOD327685 LXZ327684:LXZ327685 MHV327684:MHV327685 MRR327684:MRR327685 NBN327684:NBN327685 NLJ327684:NLJ327685 NVF327684:NVF327685 OFB327684:OFB327685 OOX327684:OOX327685 OYT327684:OYT327685 PIP327684:PIP327685 PSL327684:PSL327685 QCH327684:QCH327685 QMD327684:QMD327685 QVZ327684:QVZ327685 RFV327684:RFV327685 RPR327684:RPR327685 RZN327684:RZN327685 SJJ327684:SJJ327685 STF327684:STF327685 TDB327684:TDB327685 TMX327684:TMX327685 TWT327684:TWT327685 UGP327684:UGP327685 UQL327684:UQL327685 VAH327684:VAH327685 VKD327684:VKD327685 VTZ327684:VTZ327685 WDV327684:WDV327685 WNR327684:WNR327685 WXN327684:WXN327685 BF393220:BF393221 LB393220:LB393221 UX393220:UX393221 AET393220:AET393221 AOP393220:AOP393221 AYL393220:AYL393221 BIH393220:BIH393221 BSD393220:BSD393221 CBZ393220:CBZ393221 CLV393220:CLV393221 CVR393220:CVR393221 DFN393220:DFN393221 DPJ393220:DPJ393221 DZF393220:DZF393221 EJB393220:EJB393221 ESX393220:ESX393221 FCT393220:FCT393221 FMP393220:FMP393221 FWL393220:FWL393221 GGH393220:GGH393221 GQD393220:GQD393221 GZZ393220:GZZ393221 HJV393220:HJV393221 HTR393220:HTR393221 IDN393220:IDN393221 INJ393220:INJ393221 IXF393220:IXF393221 JHB393220:JHB393221 JQX393220:JQX393221 KAT393220:KAT393221 KKP393220:KKP393221 KUL393220:KUL393221 LEH393220:LEH393221 LOD393220:LOD393221 LXZ393220:LXZ393221 MHV393220:MHV393221 MRR393220:MRR393221 NBN393220:NBN393221 NLJ393220:NLJ393221 NVF393220:NVF393221 OFB393220:OFB393221 OOX393220:OOX393221 OYT393220:OYT393221 PIP393220:PIP393221 PSL393220:PSL393221 QCH393220:QCH393221 QMD393220:QMD393221 QVZ393220:QVZ393221 RFV393220:RFV393221 RPR393220:RPR393221 RZN393220:RZN393221 SJJ393220:SJJ393221 STF393220:STF393221 TDB393220:TDB393221 TMX393220:TMX393221 TWT393220:TWT393221 UGP393220:UGP393221 UQL393220:UQL393221 VAH393220:VAH393221 VKD393220:VKD393221 VTZ393220:VTZ393221 WDV393220:WDV393221 WNR393220:WNR393221 WXN393220:WXN393221 BF458756:BF458757 LB458756:LB458757 UX458756:UX458757 AET458756:AET458757 AOP458756:AOP458757 AYL458756:AYL458757 BIH458756:BIH458757 BSD458756:BSD458757 CBZ458756:CBZ458757 CLV458756:CLV458757 CVR458756:CVR458757 DFN458756:DFN458757 DPJ458756:DPJ458757 DZF458756:DZF458757 EJB458756:EJB458757 ESX458756:ESX458757 FCT458756:FCT458757 FMP458756:FMP458757 FWL458756:FWL458757 GGH458756:GGH458757 GQD458756:GQD458757 GZZ458756:GZZ458757 HJV458756:HJV458757 HTR458756:HTR458757 IDN458756:IDN458757 INJ458756:INJ458757 IXF458756:IXF458757 JHB458756:JHB458757 JQX458756:JQX458757 KAT458756:KAT458757 KKP458756:KKP458757 KUL458756:KUL458757 LEH458756:LEH458757 LOD458756:LOD458757 LXZ458756:LXZ458757 MHV458756:MHV458757 MRR458756:MRR458757 NBN458756:NBN458757 NLJ458756:NLJ458757 NVF458756:NVF458757 OFB458756:OFB458757 OOX458756:OOX458757 OYT458756:OYT458757 PIP458756:PIP458757 PSL458756:PSL458757 QCH458756:QCH458757 QMD458756:QMD458757 QVZ458756:QVZ458757 RFV458756:RFV458757 RPR458756:RPR458757 RZN458756:RZN458757 SJJ458756:SJJ458757 STF458756:STF458757 TDB458756:TDB458757 TMX458756:TMX458757 TWT458756:TWT458757 UGP458756:UGP458757 UQL458756:UQL458757 VAH458756:VAH458757 VKD458756:VKD458757 VTZ458756:VTZ458757 WDV458756:WDV458757 WNR458756:WNR458757 WXN458756:WXN458757 BF524292:BF524293 LB524292:LB524293 UX524292:UX524293 AET524292:AET524293 AOP524292:AOP524293 AYL524292:AYL524293 BIH524292:BIH524293 BSD524292:BSD524293 CBZ524292:CBZ524293 CLV524292:CLV524293 CVR524292:CVR524293 DFN524292:DFN524293 DPJ524292:DPJ524293 DZF524292:DZF524293 EJB524292:EJB524293 ESX524292:ESX524293 FCT524292:FCT524293 FMP524292:FMP524293 FWL524292:FWL524293 GGH524292:GGH524293 GQD524292:GQD524293 GZZ524292:GZZ524293 HJV524292:HJV524293 HTR524292:HTR524293 IDN524292:IDN524293 INJ524292:INJ524293 IXF524292:IXF524293 JHB524292:JHB524293 JQX524292:JQX524293 KAT524292:KAT524293 KKP524292:KKP524293 KUL524292:KUL524293 LEH524292:LEH524293 LOD524292:LOD524293 LXZ524292:LXZ524293 MHV524292:MHV524293 MRR524292:MRR524293 NBN524292:NBN524293 NLJ524292:NLJ524293 NVF524292:NVF524293 OFB524292:OFB524293 OOX524292:OOX524293 OYT524292:OYT524293 PIP524292:PIP524293 PSL524292:PSL524293 QCH524292:QCH524293 QMD524292:QMD524293 QVZ524292:QVZ524293 RFV524292:RFV524293 RPR524292:RPR524293 RZN524292:RZN524293 SJJ524292:SJJ524293 STF524292:STF524293 TDB524292:TDB524293 TMX524292:TMX524293 TWT524292:TWT524293 UGP524292:UGP524293 UQL524292:UQL524293 VAH524292:VAH524293 VKD524292:VKD524293 VTZ524292:VTZ524293 WDV524292:WDV524293 WNR524292:WNR524293 WXN524292:WXN524293 BF589828:BF589829 LB589828:LB589829 UX589828:UX589829 AET589828:AET589829 AOP589828:AOP589829 AYL589828:AYL589829 BIH589828:BIH589829 BSD589828:BSD589829 CBZ589828:CBZ589829 CLV589828:CLV589829 CVR589828:CVR589829 DFN589828:DFN589829 DPJ589828:DPJ589829 DZF589828:DZF589829 EJB589828:EJB589829 ESX589828:ESX589829 FCT589828:FCT589829 FMP589828:FMP589829 FWL589828:FWL589829 GGH589828:GGH589829 GQD589828:GQD589829 GZZ589828:GZZ589829 HJV589828:HJV589829 HTR589828:HTR589829 IDN589828:IDN589829 INJ589828:INJ589829 IXF589828:IXF589829 JHB589828:JHB589829 JQX589828:JQX589829 KAT589828:KAT589829 KKP589828:KKP589829 KUL589828:KUL589829 LEH589828:LEH589829 LOD589828:LOD589829 LXZ589828:LXZ589829 MHV589828:MHV589829 MRR589828:MRR589829 NBN589828:NBN589829 NLJ589828:NLJ589829 NVF589828:NVF589829 OFB589828:OFB589829 OOX589828:OOX589829 OYT589828:OYT589829 PIP589828:PIP589829 PSL589828:PSL589829 QCH589828:QCH589829 QMD589828:QMD589829 QVZ589828:QVZ589829 RFV589828:RFV589829 RPR589828:RPR589829 RZN589828:RZN589829 SJJ589828:SJJ589829 STF589828:STF589829 TDB589828:TDB589829 TMX589828:TMX589829 TWT589828:TWT589829 UGP589828:UGP589829 UQL589828:UQL589829 VAH589828:VAH589829 VKD589828:VKD589829 VTZ589828:VTZ589829 WDV589828:WDV589829 WNR589828:WNR589829 WXN589828:WXN589829 BF655364:BF655365 LB655364:LB655365 UX655364:UX655365 AET655364:AET655365 AOP655364:AOP655365 AYL655364:AYL655365 BIH655364:BIH655365 BSD655364:BSD655365 CBZ655364:CBZ655365 CLV655364:CLV655365 CVR655364:CVR655365 DFN655364:DFN655365 DPJ655364:DPJ655365 DZF655364:DZF655365 EJB655364:EJB655365 ESX655364:ESX655365 FCT655364:FCT655365 FMP655364:FMP655365 FWL655364:FWL655365 GGH655364:GGH655365 GQD655364:GQD655365 GZZ655364:GZZ655365 HJV655364:HJV655365 HTR655364:HTR655365 IDN655364:IDN655365 INJ655364:INJ655365 IXF655364:IXF655365 JHB655364:JHB655365 JQX655364:JQX655365 KAT655364:KAT655365 KKP655364:KKP655365 KUL655364:KUL655365 LEH655364:LEH655365 LOD655364:LOD655365 LXZ655364:LXZ655365 MHV655364:MHV655365 MRR655364:MRR655365 NBN655364:NBN655365 NLJ655364:NLJ655365 NVF655364:NVF655365 OFB655364:OFB655365 OOX655364:OOX655365 OYT655364:OYT655365 PIP655364:PIP655365 PSL655364:PSL655365 QCH655364:QCH655365 QMD655364:QMD655365 QVZ655364:QVZ655365 RFV655364:RFV655365 RPR655364:RPR655365 RZN655364:RZN655365 SJJ655364:SJJ655365 STF655364:STF655365 TDB655364:TDB655365 TMX655364:TMX655365 TWT655364:TWT655365 UGP655364:UGP655365 UQL655364:UQL655365 VAH655364:VAH655365 VKD655364:VKD655365 VTZ655364:VTZ655365 WDV655364:WDV655365 WNR655364:WNR655365 WXN655364:WXN655365 BF720900:BF720901 LB720900:LB720901 UX720900:UX720901 AET720900:AET720901 AOP720900:AOP720901 AYL720900:AYL720901 BIH720900:BIH720901 BSD720900:BSD720901 CBZ720900:CBZ720901 CLV720900:CLV720901 CVR720900:CVR720901 DFN720900:DFN720901 DPJ720900:DPJ720901 DZF720900:DZF720901 EJB720900:EJB720901 ESX720900:ESX720901 FCT720900:FCT720901 FMP720900:FMP720901 FWL720900:FWL720901 GGH720900:GGH720901 GQD720900:GQD720901 GZZ720900:GZZ720901 HJV720900:HJV720901 HTR720900:HTR720901 IDN720900:IDN720901 INJ720900:INJ720901 IXF720900:IXF720901 JHB720900:JHB720901 JQX720900:JQX720901 KAT720900:KAT720901 KKP720900:KKP720901 KUL720900:KUL720901 LEH720900:LEH720901 LOD720900:LOD720901 LXZ720900:LXZ720901 MHV720900:MHV720901 MRR720900:MRR720901 NBN720900:NBN720901 NLJ720900:NLJ720901 NVF720900:NVF720901 OFB720900:OFB720901 OOX720900:OOX720901 OYT720900:OYT720901 PIP720900:PIP720901 PSL720900:PSL720901 QCH720900:QCH720901 QMD720900:QMD720901 QVZ720900:QVZ720901 RFV720900:RFV720901 RPR720900:RPR720901 RZN720900:RZN720901 SJJ720900:SJJ720901 STF720900:STF720901 TDB720900:TDB720901 TMX720900:TMX720901 TWT720900:TWT720901 UGP720900:UGP720901 UQL720900:UQL720901 VAH720900:VAH720901 VKD720900:VKD720901 VTZ720900:VTZ720901 WDV720900:WDV720901 WNR720900:WNR720901 WXN720900:WXN720901 BF786436:BF786437 LB786436:LB786437 UX786436:UX786437 AET786436:AET786437 AOP786436:AOP786437 AYL786436:AYL786437 BIH786436:BIH786437 BSD786436:BSD786437 CBZ786436:CBZ786437 CLV786436:CLV786437 CVR786436:CVR786437 DFN786436:DFN786437 DPJ786436:DPJ786437 DZF786436:DZF786437 EJB786436:EJB786437 ESX786436:ESX786437 FCT786436:FCT786437 FMP786436:FMP786437 FWL786436:FWL786437 GGH786436:GGH786437 GQD786436:GQD786437 GZZ786436:GZZ786437 HJV786436:HJV786437 HTR786436:HTR786437 IDN786436:IDN786437 INJ786436:INJ786437 IXF786436:IXF786437 JHB786436:JHB786437 JQX786436:JQX786437 KAT786436:KAT786437 KKP786436:KKP786437 KUL786436:KUL786437 LEH786436:LEH786437 LOD786436:LOD786437 LXZ786436:LXZ786437 MHV786436:MHV786437 MRR786436:MRR786437 NBN786436:NBN786437 NLJ786436:NLJ786437 NVF786436:NVF786437 OFB786436:OFB786437 OOX786436:OOX786437 OYT786436:OYT786437 PIP786436:PIP786437 PSL786436:PSL786437 QCH786436:QCH786437 QMD786436:QMD786437 QVZ786436:QVZ786437 RFV786436:RFV786437 RPR786436:RPR786437 RZN786436:RZN786437 SJJ786436:SJJ786437 STF786436:STF786437 TDB786436:TDB786437 TMX786436:TMX786437 TWT786436:TWT786437 UGP786436:UGP786437 UQL786436:UQL786437 VAH786436:VAH786437 VKD786436:VKD786437 VTZ786436:VTZ786437 WDV786436:WDV786437 WNR786436:WNR786437 WXN786436:WXN786437 BF851972:BF851973 LB851972:LB851973 UX851972:UX851973 AET851972:AET851973 AOP851972:AOP851973 AYL851972:AYL851973 BIH851972:BIH851973 BSD851972:BSD851973 CBZ851972:CBZ851973 CLV851972:CLV851973 CVR851972:CVR851973 DFN851972:DFN851973 DPJ851972:DPJ851973 DZF851972:DZF851973 EJB851972:EJB851973 ESX851972:ESX851973 FCT851972:FCT851973 FMP851972:FMP851973 FWL851972:FWL851973 GGH851972:GGH851973 GQD851972:GQD851973 GZZ851972:GZZ851973 HJV851972:HJV851973 HTR851972:HTR851973 IDN851972:IDN851973 INJ851972:INJ851973 IXF851972:IXF851973 JHB851972:JHB851973 JQX851972:JQX851973 KAT851972:KAT851973 KKP851972:KKP851973 KUL851972:KUL851973 LEH851972:LEH851973 LOD851972:LOD851973 LXZ851972:LXZ851973 MHV851972:MHV851973 MRR851972:MRR851973 NBN851972:NBN851973 NLJ851972:NLJ851973 NVF851972:NVF851973 OFB851972:OFB851973 OOX851972:OOX851973 OYT851972:OYT851973 PIP851972:PIP851973 PSL851972:PSL851973 QCH851972:QCH851973 QMD851972:QMD851973 QVZ851972:QVZ851973 RFV851972:RFV851973 RPR851972:RPR851973 RZN851972:RZN851973 SJJ851972:SJJ851973 STF851972:STF851973 TDB851972:TDB851973 TMX851972:TMX851973 TWT851972:TWT851973 UGP851972:UGP851973 UQL851972:UQL851973 VAH851972:VAH851973 VKD851972:VKD851973 VTZ851972:VTZ851973 WDV851972:WDV851973 WNR851972:WNR851973 WXN851972:WXN851973 BF917508:BF917509 LB917508:LB917509 UX917508:UX917509 AET917508:AET917509 AOP917508:AOP917509 AYL917508:AYL917509 BIH917508:BIH917509 BSD917508:BSD917509 CBZ917508:CBZ917509 CLV917508:CLV917509 CVR917508:CVR917509 DFN917508:DFN917509 DPJ917508:DPJ917509 DZF917508:DZF917509 EJB917508:EJB917509 ESX917508:ESX917509 FCT917508:FCT917509 FMP917508:FMP917509 FWL917508:FWL917509 GGH917508:GGH917509 GQD917508:GQD917509 GZZ917508:GZZ917509 HJV917508:HJV917509 HTR917508:HTR917509 IDN917508:IDN917509 INJ917508:INJ917509 IXF917508:IXF917509 JHB917508:JHB917509 JQX917508:JQX917509 KAT917508:KAT917509 KKP917508:KKP917509 KUL917508:KUL917509 LEH917508:LEH917509 LOD917508:LOD917509 LXZ917508:LXZ917509 MHV917508:MHV917509 MRR917508:MRR917509 NBN917508:NBN917509 NLJ917508:NLJ917509 NVF917508:NVF917509 OFB917508:OFB917509 OOX917508:OOX917509 OYT917508:OYT917509 PIP917508:PIP917509 PSL917508:PSL917509 QCH917508:QCH917509 QMD917508:QMD917509 QVZ917508:QVZ917509 RFV917508:RFV917509 RPR917508:RPR917509 RZN917508:RZN917509 SJJ917508:SJJ917509 STF917508:STF917509 TDB917508:TDB917509 TMX917508:TMX917509 TWT917508:TWT917509 UGP917508:UGP917509 UQL917508:UQL917509 VAH917508:VAH917509 VKD917508:VKD917509 VTZ917508:VTZ917509 WDV917508:WDV917509 WNR917508:WNR917509 WXN917508:WXN917509 BF983044:BF983045 LB983044:LB983045 UX983044:UX983045 AET983044:AET983045 AOP983044:AOP983045 AYL983044:AYL983045 BIH983044:BIH983045 BSD983044:BSD983045 CBZ983044:CBZ983045 CLV983044:CLV983045 CVR983044:CVR983045 DFN983044:DFN983045 DPJ983044:DPJ983045 DZF983044:DZF983045 EJB983044:EJB983045 ESX983044:ESX983045 FCT983044:FCT983045 FMP983044:FMP983045 FWL983044:FWL983045 GGH983044:GGH983045 GQD983044:GQD983045 GZZ983044:GZZ983045 HJV983044:HJV983045 HTR983044:HTR983045 IDN983044:IDN983045 INJ983044:INJ983045 IXF983044:IXF983045 JHB983044:JHB983045 JQX983044:JQX983045 KAT983044:KAT983045 KKP983044:KKP983045 KUL983044:KUL983045 LEH983044:LEH983045 LOD983044:LOD983045 LXZ983044:LXZ983045 MHV983044:MHV983045 MRR983044:MRR983045 NBN983044:NBN983045 NLJ983044:NLJ983045 NVF983044:NVF983045 OFB983044:OFB983045 OOX983044:OOX983045 OYT983044:OYT983045 PIP983044:PIP983045 PSL983044:PSL983045 QCH983044:QCH983045 QMD983044:QMD983045 QVZ983044:QVZ983045 RFV983044:RFV983045 RPR983044:RPR983045 RZN983044:RZN983045 SJJ983044:SJJ983045 STF983044:STF983045 TDB983044:TDB983045 TMX983044:TMX983045 TWT983044:TWT983045 UGP983044:UGP983045 UQL983044:UQL983045 VAH983044:VAH983045 VKD983044:VKD983045 VTZ983044:VTZ983045 WDV983044:WDV983045 WNR983044:WNR983045 WXN983044:WXN983045 BH4:BH5 LD4:LD5 UZ4:UZ5 AEV4:AEV5 AOR4:AOR5 AYN4:AYN5 BIJ4:BIJ5 BSF4:BSF5 CCB4:CCB5 CLX4:CLX5 CVT4:CVT5 DFP4:DFP5 DPL4:DPL5 DZH4:DZH5 EJD4:EJD5 ESZ4:ESZ5 FCV4:FCV5 FMR4:FMR5 FWN4:FWN5 GGJ4:GGJ5 GQF4:GQF5 HAB4:HAB5 HJX4:HJX5 HTT4:HTT5 IDP4:IDP5 INL4:INL5 IXH4:IXH5 JHD4:JHD5 JQZ4:JQZ5 KAV4:KAV5 KKR4:KKR5 KUN4:KUN5 LEJ4:LEJ5 LOF4:LOF5 LYB4:LYB5 MHX4:MHX5 MRT4:MRT5 NBP4:NBP5 NLL4:NLL5 NVH4:NVH5 OFD4:OFD5 OOZ4:OOZ5 OYV4:OYV5 PIR4:PIR5 PSN4:PSN5 QCJ4:QCJ5 QMF4:QMF5 QWB4:QWB5 RFX4:RFX5 RPT4:RPT5 RZP4:RZP5 SJL4:SJL5 STH4:STH5 TDD4:TDD5 TMZ4:TMZ5 TWV4:TWV5 UGR4:UGR5 UQN4:UQN5 VAJ4:VAJ5 VKF4:VKF5 VUB4:VUB5 WDX4:WDX5 WNT4:WNT5 WXP4:WXP5 BH65540:BH65541 LD65540:LD65541 UZ65540:UZ65541 AEV65540:AEV65541 AOR65540:AOR65541 AYN65540:AYN65541 BIJ65540:BIJ65541 BSF65540:BSF65541 CCB65540:CCB65541 CLX65540:CLX65541 CVT65540:CVT65541 DFP65540:DFP65541 DPL65540:DPL65541 DZH65540:DZH65541 EJD65540:EJD65541 ESZ65540:ESZ65541 FCV65540:FCV65541 FMR65540:FMR65541 FWN65540:FWN65541 GGJ65540:GGJ65541 GQF65540:GQF65541 HAB65540:HAB65541 HJX65540:HJX65541 HTT65540:HTT65541 IDP65540:IDP65541 INL65540:INL65541 IXH65540:IXH65541 JHD65540:JHD65541 JQZ65540:JQZ65541 KAV65540:KAV65541 KKR65540:KKR65541 KUN65540:KUN65541 LEJ65540:LEJ65541 LOF65540:LOF65541 LYB65540:LYB65541 MHX65540:MHX65541 MRT65540:MRT65541 NBP65540:NBP65541 NLL65540:NLL65541 NVH65540:NVH65541 OFD65540:OFD65541 OOZ65540:OOZ65541 OYV65540:OYV65541 PIR65540:PIR65541 PSN65540:PSN65541 QCJ65540:QCJ65541 QMF65540:QMF65541 QWB65540:QWB65541 RFX65540:RFX65541 RPT65540:RPT65541 RZP65540:RZP65541 SJL65540:SJL65541 STH65540:STH65541 TDD65540:TDD65541 TMZ65540:TMZ65541 TWV65540:TWV65541 UGR65540:UGR65541 UQN65540:UQN65541 VAJ65540:VAJ65541 VKF65540:VKF65541 VUB65540:VUB65541 WDX65540:WDX65541 WNT65540:WNT65541 WXP65540:WXP65541 BH131076:BH131077 LD131076:LD131077 UZ131076:UZ131077 AEV131076:AEV131077 AOR131076:AOR131077 AYN131076:AYN131077 BIJ131076:BIJ131077 BSF131076:BSF131077 CCB131076:CCB131077 CLX131076:CLX131077 CVT131076:CVT131077 DFP131076:DFP131077 DPL131076:DPL131077 DZH131076:DZH131077 EJD131076:EJD131077 ESZ131076:ESZ131077 FCV131076:FCV131077 FMR131076:FMR131077 FWN131076:FWN131077 GGJ131076:GGJ131077 GQF131076:GQF131077 HAB131076:HAB131077 HJX131076:HJX131077 HTT131076:HTT131077 IDP131076:IDP131077 INL131076:INL131077 IXH131076:IXH131077 JHD131076:JHD131077 JQZ131076:JQZ131077 KAV131076:KAV131077 KKR131076:KKR131077 KUN131076:KUN131077 LEJ131076:LEJ131077 LOF131076:LOF131077 LYB131076:LYB131077 MHX131076:MHX131077 MRT131076:MRT131077 NBP131076:NBP131077 NLL131076:NLL131077 NVH131076:NVH131077 OFD131076:OFD131077 OOZ131076:OOZ131077 OYV131076:OYV131077 PIR131076:PIR131077 PSN131076:PSN131077 QCJ131076:QCJ131077 QMF131076:QMF131077 QWB131076:QWB131077 RFX131076:RFX131077 RPT131076:RPT131077 RZP131076:RZP131077 SJL131076:SJL131077 STH131076:STH131077 TDD131076:TDD131077 TMZ131076:TMZ131077 TWV131076:TWV131077 UGR131076:UGR131077 UQN131076:UQN131077 VAJ131076:VAJ131077 VKF131076:VKF131077 VUB131076:VUB131077 WDX131076:WDX131077 WNT131076:WNT131077 WXP131076:WXP131077 BH196612:BH196613 LD196612:LD196613 UZ196612:UZ196613 AEV196612:AEV196613 AOR196612:AOR196613 AYN196612:AYN196613 BIJ196612:BIJ196613 BSF196612:BSF196613 CCB196612:CCB196613 CLX196612:CLX196613 CVT196612:CVT196613 DFP196612:DFP196613 DPL196612:DPL196613 DZH196612:DZH196613 EJD196612:EJD196613 ESZ196612:ESZ196613 FCV196612:FCV196613 FMR196612:FMR196613 FWN196612:FWN196613 GGJ196612:GGJ196613 GQF196612:GQF196613 HAB196612:HAB196613 HJX196612:HJX196613 HTT196612:HTT196613 IDP196612:IDP196613 INL196612:INL196613 IXH196612:IXH196613 JHD196612:JHD196613 JQZ196612:JQZ196613 KAV196612:KAV196613 KKR196612:KKR196613 KUN196612:KUN196613 LEJ196612:LEJ196613 LOF196612:LOF196613 LYB196612:LYB196613 MHX196612:MHX196613 MRT196612:MRT196613 NBP196612:NBP196613 NLL196612:NLL196613 NVH196612:NVH196613 OFD196612:OFD196613 OOZ196612:OOZ196613 OYV196612:OYV196613 PIR196612:PIR196613 PSN196612:PSN196613 QCJ196612:QCJ196613 QMF196612:QMF196613 QWB196612:QWB196613 RFX196612:RFX196613 RPT196612:RPT196613 RZP196612:RZP196613 SJL196612:SJL196613 STH196612:STH196613 TDD196612:TDD196613 TMZ196612:TMZ196613 TWV196612:TWV196613 UGR196612:UGR196613 UQN196612:UQN196613 VAJ196612:VAJ196613 VKF196612:VKF196613 VUB196612:VUB196613 WDX196612:WDX196613 WNT196612:WNT196613 WXP196612:WXP196613 BH262148:BH262149 LD262148:LD262149 UZ262148:UZ262149 AEV262148:AEV262149 AOR262148:AOR262149 AYN262148:AYN262149 BIJ262148:BIJ262149 BSF262148:BSF262149 CCB262148:CCB262149 CLX262148:CLX262149 CVT262148:CVT262149 DFP262148:DFP262149 DPL262148:DPL262149 DZH262148:DZH262149 EJD262148:EJD262149 ESZ262148:ESZ262149 FCV262148:FCV262149 FMR262148:FMR262149 FWN262148:FWN262149 GGJ262148:GGJ262149 GQF262148:GQF262149 HAB262148:HAB262149 HJX262148:HJX262149 HTT262148:HTT262149 IDP262148:IDP262149 INL262148:INL262149 IXH262148:IXH262149 JHD262148:JHD262149 JQZ262148:JQZ262149 KAV262148:KAV262149 KKR262148:KKR262149 KUN262148:KUN262149 LEJ262148:LEJ262149 LOF262148:LOF262149 LYB262148:LYB262149 MHX262148:MHX262149 MRT262148:MRT262149 NBP262148:NBP262149 NLL262148:NLL262149 NVH262148:NVH262149 OFD262148:OFD262149 OOZ262148:OOZ262149 OYV262148:OYV262149 PIR262148:PIR262149 PSN262148:PSN262149 QCJ262148:QCJ262149 QMF262148:QMF262149 QWB262148:QWB262149 RFX262148:RFX262149 RPT262148:RPT262149 RZP262148:RZP262149 SJL262148:SJL262149 STH262148:STH262149 TDD262148:TDD262149 TMZ262148:TMZ262149 TWV262148:TWV262149 UGR262148:UGR262149 UQN262148:UQN262149 VAJ262148:VAJ262149 VKF262148:VKF262149 VUB262148:VUB262149 WDX262148:WDX262149 WNT262148:WNT262149 WXP262148:WXP262149 BH327684:BH327685 LD327684:LD327685 UZ327684:UZ327685 AEV327684:AEV327685 AOR327684:AOR327685 AYN327684:AYN327685 BIJ327684:BIJ327685 BSF327684:BSF327685 CCB327684:CCB327685 CLX327684:CLX327685 CVT327684:CVT327685 DFP327684:DFP327685 DPL327684:DPL327685 DZH327684:DZH327685 EJD327684:EJD327685 ESZ327684:ESZ327685 FCV327684:FCV327685 FMR327684:FMR327685 FWN327684:FWN327685 GGJ327684:GGJ327685 GQF327684:GQF327685 HAB327684:HAB327685 HJX327684:HJX327685 HTT327684:HTT327685 IDP327684:IDP327685 INL327684:INL327685 IXH327684:IXH327685 JHD327684:JHD327685 JQZ327684:JQZ327685 KAV327684:KAV327685 KKR327684:KKR327685 KUN327684:KUN327685 LEJ327684:LEJ327685 LOF327684:LOF327685 LYB327684:LYB327685 MHX327684:MHX327685 MRT327684:MRT327685 NBP327684:NBP327685 NLL327684:NLL327685 NVH327684:NVH327685 OFD327684:OFD327685 OOZ327684:OOZ327685 OYV327684:OYV327685 PIR327684:PIR327685 PSN327684:PSN327685 QCJ327684:QCJ327685 QMF327684:QMF327685 QWB327684:QWB327685 RFX327684:RFX327685 RPT327684:RPT327685 RZP327684:RZP327685 SJL327684:SJL327685 STH327684:STH327685 TDD327684:TDD327685 TMZ327684:TMZ327685 TWV327684:TWV327685 UGR327684:UGR327685 UQN327684:UQN327685 VAJ327684:VAJ327685 VKF327684:VKF327685 VUB327684:VUB327685 WDX327684:WDX327685 WNT327684:WNT327685 WXP327684:WXP327685 BH393220:BH393221 LD393220:LD393221 UZ393220:UZ393221 AEV393220:AEV393221 AOR393220:AOR393221 AYN393220:AYN393221 BIJ393220:BIJ393221 BSF393220:BSF393221 CCB393220:CCB393221 CLX393220:CLX393221 CVT393220:CVT393221 DFP393220:DFP393221 DPL393220:DPL393221 DZH393220:DZH393221 EJD393220:EJD393221 ESZ393220:ESZ393221 FCV393220:FCV393221 FMR393220:FMR393221 FWN393220:FWN393221 GGJ393220:GGJ393221 GQF393220:GQF393221 HAB393220:HAB393221 HJX393220:HJX393221 HTT393220:HTT393221 IDP393220:IDP393221 INL393220:INL393221 IXH393220:IXH393221 JHD393220:JHD393221 JQZ393220:JQZ393221 KAV393220:KAV393221 KKR393220:KKR393221 KUN393220:KUN393221 LEJ393220:LEJ393221 LOF393220:LOF393221 LYB393220:LYB393221 MHX393220:MHX393221 MRT393220:MRT393221 NBP393220:NBP393221 NLL393220:NLL393221 NVH393220:NVH393221 OFD393220:OFD393221 OOZ393220:OOZ393221 OYV393220:OYV393221 PIR393220:PIR393221 PSN393220:PSN393221 QCJ393220:QCJ393221 QMF393220:QMF393221 QWB393220:QWB393221 RFX393220:RFX393221 RPT393220:RPT393221 RZP393220:RZP393221 SJL393220:SJL393221 STH393220:STH393221 TDD393220:TDD393221 TMZ393220:TMZ393221 TWV393220:TWV393221 UGR393220:UGR393221 UQN393220:UQN393221 VAJ393220:VAJ393221 VKF393220:VKF393221 VUB393220:VUB393221 WDX393220:WDX393221 WNT393220:WNT393221 WXP393220:WXP393221 BH458756:BH458757 LD458756:LD458757 UZ458756:UZ458757 AEV458756:AEV458757 AOR458756:AOR458757 AYN458756:AYN458757 BIJ458756:BIJ458757 BSF458756:BSF458757 CCB458756:CCB458757 CLX458756:CLX458757 CVT458756:CVT458757 DFP458756:DFP458757 DPL458756:DPL458757 DZH458756:DZH458757 EJD458756:EJD458757 ESZ458756:ESZ458757 FCV458756:FCV458757 FMR458756:FMR458757 FWN458756:FWN458757 GGJ458756:GGJ458757 GQF458756:GQF458757 HAB458756:HAB458757 HJX458756:HJX458757 HTT458756:HTT458757 IDP458756:IDP458757 INL458756:INL458757 IXH458756:IXH458757 JHD458756:JHD458757 JQZ458756:JQZ458757 KAV458756:KAV458757 KKR458756:KKR458757 KUN458756:KUN458757 LEJ458756:LEJ458757 LOF458756:LOF458757 LYB458756:LYB458757 MHX458756:MHX458757 MRT458756:MRT458757 NBP458756:NBP458757 NLL458756:NLL458757 NVH458756:NVH458757 OFD458756:OFD458757 OOZ458756:OOZ458757 OYV458756:OYV458757 PIR458756:PIR458757 PSN458756:PSN458757 QCJ458756:QCJ458757 QMF458756:QMF458757 QWB458756:QWB458757 RFX458756:RFX458757 RPT458756:RPT458757 RZP458756:RZP458757 SJL458756:SJL458757 STH458756:STH458757 TDD458756:TDD458757 TMZ458756:TMZ458757 TWV458756:TWV458757 UGR458756:UGR458757 UQN458756:UQN458757 VAJ458756:VAJ458757 VKF458756:VKF458757 VUB458756:VUB458757 WDX458756:WDX458757 WNT458756:WNT458757 WXP458756:WXP458757 BH524292:BH524293 LD524292:LD524293 UZ524292:UZ524293 AEV524292:AEV524293 AOR524292:AOR524293 AYN524292:AYN524293 BIJ524292:BIJ524293 BSF524292:BSF524293 CCB524292:CCB524293 CLX524292:CLX524293 CVT524292:CVT524293 DFP524292:DFP524293 DPL524292:DPL524293 DZH524292:DZH524293 EJD524292:EJD524293 ESZ524292:ESZ524293 FCV524292:FCV524293 FMR524292:FMR524293 FWN524292:FWN524293 GGJ524292:GGJ524293 GQF524292:GQF524293 HAB524292:HAB524293 HJX524292:HJX524293 HTT524292:HTT524293 IDP524292:IDP524293 INL524292:INL524293 IXH524292:IXH524293 JHD524292:JHD524293 JQZ524292:JQZ524293 KAV524292:KAV524293 KKR524292:KKR524293 KUN524292:KUN524293 LEJ524292:LEJ524293 LOF524292:LOF524293 LYB524292:LYB524293 MHX524292:MHX524293 MRT524292:MRT524293 NBP524292:NBP524293 NLL524292:NLL524293 NVH524292:NVH524293 OFD524292:OFD524293 OOZ524292:OOZ524293 OYV524292:OYV524293 PIR524292:PIR524293 PSN524292:PSN524293 QCJ524292:QCJ524293 QMF524292:QMF524293 QWB524292:QWB524293 RFX524292:RFX524293 RPT524292:RPT524293 RZP524292:RZP524293 SJL524292:SJL524293 STH524292:STH524293 TDD524292:TDD524293 TMZ524292:TMZ524293 TWV524292:TWV524293 UGR524292:UGR524293 UQN524292:UQN524293 VAJ524292:VAJ524293 VKF524292:VKF524293 VUB524292:VUB524293 WDX524292:WDX524293 WNT524292:WNT524293 WXP524292:WXP524293 BH589828:BH589829 LD589828:LD589829 UZ589828:UZ589829 AEV589828:AEV589829 AOR589828:AOR589829 AYN589828:AYN589829 BIJ589828:BIJ589829 BSF589828:BSF589829 CCB589828:CCB589829 CLX589828:CLX589829 CVT589828:CVT589829 DFP589828:DFP589829 DPL589828:DPL589829 DZH589828:DZH589829 EJD589828:EJD589829 ESZ589828:ESZ589829 FCV589828:FCV589829 FMR589828:FMR589829 FWN589828:FWN589829 GGJ589828:GGJ589829 GQF589828:GQF589829 HAB589828:HAB589829 HJX589828:HJX589829 HTT589828:HTT589829 IDP589828:IDP589829 INL589828:INL589829 IXH589828:IXH589829 JHD589828:JHD589829 JQZ589828:JQZ589829 KAV589828:KAV589829 KKR589828:KKR589829 KUN589828:KUN589829 LEJ589828:LEJ589829 LOF589828:LOF589829 LYB589828:LYB589829 MHX589828:MHX589829 MRT589828:MRT589829 NBP589828:NBP589829 NLL589828:NLL589829 NVH589828:NVH589829 OFD589828:OFD589829 OOZ589828:OOZ589829 OYV589828:OYV589829 PIR589828:PIR589829 PSN589828:PSN589829 QCJ589828:QCJ589829 QMF589828:QMF589829 QWB589828:QWB589829 RFX589828:RFX589829 RPT589828:RPT589829 RZP589828:RZP589829 SJL589828:SJL589829 STH589828:STH589829 TDD589828:TDD589829 TMZ589828:TMZ589829 TWV589828:TWV589829 UGR589828:UGR589829 UQN589828:UQN589829 VAJ589828:VAJ589829 VKF589828:VKF589829 VUB589828:VUB589829 WDX589828:WDX589829 WNT589828:WNT589829 WXP589828:WXP589829 BH655364:BH655365 LD655364:LD655365 UZ655364:UZ655365 AEV655364:AEV655365 AOR655364:AOR655365 AYN655364:AYN655365 BIJ655364:BIJ655365 BSF655364:BSF655365 CCB655364:CCB655365 CLX655364:CLX655365 CVT655364:CVT655365 DFP655364:DFP655365 DPL655364:DPL655365 DZH655364:DZH655365 EJD655364:EJD655365 ESZ655364:ESZ655365 FCV655364:FCV655365 FMR655364:FMR655365 FWN655364:FWN655365 GGJ655364:GGJ655365 GQF655364:GQF655365 HAB655364:HAB655365 HJX655364:HJX655365 HTT655364:HTT655365 IDP655364:IDP655365 INL655364:INL655365 IXH655364:IXH655365 JHD655364:JHD655365 JQZ655364:JQZ655365 KAV655364:KAV655365 KKR655364:KKR655365 KUN655364:KUN655365 LEJ655364:LEJ655365 LOF655364:LOF655365 LYB655364:LYB655365 MHX655364:MHX655365 MRT655364:MRT655365 NBP655364:NBP655365 NLL655364:NLL655365 NVH655364:NVH655365 OFD655364:OFD655365 OOZ655364:OOZ655365 OYV655364:OYV655365 PIR655364:PIR655365 PSN655364:PSN655365 QCJ655364:QCJ655365 QMF655364:QMF655365 QWB655364:QWB655365 RFX655364:RFX655365 RPT655364:RPT655365 RZP655364:RZP655365 SJL655364:SJL655365 STH655364:STH655365 TDD655364:TDD655365 TMZ655364:TMZ655365 TWV655364:TWV655365 UGR655364:UGR655365 UQN655364:UQN655365 VAJ655364:VAJ655365 VKF655364:VKF655365 VUB655364:VUB655365 WDX655364:WDX655365 WNT655364:WNT655365 WXP655364:WXP655365 BH720900:BH720901 LD720900:LD720901 UZ720900:UZ720901 AEV720900:AEV720901 AOR720900:AOR720901 AYN720900:AYN720901 BIJ720900:BIJ720901 BSF720900:BSF720901 CCB720900:CCB720901 CLX720900:CLX720901 CVT720900:CVT720901 DFP720900:DFP720901 DPL720900:DPL720901 DZH720900:DZH720901 EJD720900:EJD720901 ESZ720900:ESZ720901 FCV720900:FCV720901 FMR720900:FMR720901 FWN720900:FWN720901 GGJ720900:GGJ720901 GQF720900:GQF720901 HAB720900:HAB720901 HJX720900:HJX720901 HTT720900:HTT720901 IDP720900:IDP720901 INL720900:INL720901 IXH720900:IXH720901 JHD720900:JHD720901 JQZ720900:JQZ720901 KAV720900:KAV720901 KKR720900:KKR720901 KUN720900:KUN720901 LEJ720900:LEJ720901 LOF720900:LOF720901 LYB720900:LYB720901 MHX720900:MHX720901 MRT720900:MRT720901 NBP720900:NBP720901 NLL720900:NLL720901 NVH720900:NVH720901 OFD720900:OFD720901 OOZ720900:OOZ720901 OYV720900:OYV720901 PIR720900:PIR720901 PSN720900:PSN720901 QCJ720900:QCJ720901 QMF720900:QMF720901 QWB720900:QWB720901 RFX720900:RFX720901 RPT720900:RPT720901 RZP720900:RZP720901 SJL720900:SJL720901 STH720900:STH720901 TDD720900:TDD720901 TMZ720900:TMZ720901 TWV720900:TWV720901 UGR720900:UGR720901 UQN720900:UQN720901 VAJ720900:VAJ720901 VKF720900:VKF720901 VUB720900:VUB720901 WDX720900:WDX720901 WNT720900:WNT720901 WXP720900:WXP720901 BH786436:BH786437 LD786436:LD786437 UZ786436:UZ786437 AEV786436:AEV786437 AOR786436:AOR786437 AYN786436:AYN786437 BIJ786436:BIJ786437 BSF786436:BSF786437 CCB786436:CCB786437 CLX786436:CLX786437 CVT786436:CVT786437 DFP786436:DFP786437 DPL786436:DPL786437 DZH786436:DZH786437 EJD786436:EJD786437 ESZ786436:ESZ786437 FCV786436:FCV786437 FMR786436:FMR786437 FWN786436:FWN786437 GGJ786436:GGJ786437 GQF786436:GQF786437 HAB786436:HAB786437 HJX786436:HJX786437 HTT786436:HTT786437 IDP786436:IDP786437 INL786436:INL786437 IXH786436:IXH786437 JHD786436:JHD786437 JQZ786436:JQZ786437 KAV786436:KAV786437 KKR786436:KKR786437 KUN786436:KUN786437 LEJ786436:LEJ786437 LOF786436:LOF786437 LYB786436:LYB786437 MHX786436:MHX786437 MRT786436:MRT786437 NBP786436:NBP786437 NLL786436:NLL786437 NVH786436:NVH786437 OFD786436:OFD786437 OOZ786436:OOZ786437 OYV786436:OYV786437 PIR786436:PIR786437 PSN786436:PSN786437 QCJ786436:QCJ786437 QMF786436:QMF786437 QWB786436:QWB786437 RFX786436:RFX786437 RPT786436:RPT786437 RZP786436:RZP786437 SJL786436:SJL786437 STH786436:STH786437 TDD786436:TDD786437 TMZ786436:TMZ786437 TWV786436:TWV786437 UGR786436:UGR786437 UQN786436:UQN786437 VAJ786436:VAJ786437 VKF786436:VKF786437 VUB786436:VUB786437 WDX786436:WDX786437 WNT786436:WNT786437 WXP786436:WXP786437 BH851972:BH851973 LD851972:LD851973 UZ851972:UZ851973 AEV851972:AEV851973 AOR851972:AOR851973 AYN851972:AYN851973 BIJ851972:BIJ851973 BSF851972:BSF851973 CCB851972:CCB851973 CLX851972:CLX851973 CVT851972:CVT851973 DFP851972:DFP851973 DPL851972:DPL851973 DZH851972:DZH851973 EJD851972:EJD851973 ESZ851972:ESZ851973 FCV851972:FCV851973 FMR851972:FMR851973 FWN851972:FWN851973 GGJ851972:GGJ851973 GQF851972:GQF851973 HAB851972:HAB851973 HJX851972:HJX851973 HTT851972:HTT851973 IDP851972:IDP851973 INL851972:INL851973 IXH851972:IXH851973 JHD851972:JHD851973 JQZ851972:JQZ851973 KAV851972:KAV851973 KKR851972:KKR851973 KUN851972:KUN851973 LEJ851972:LEJ851973 LOF851972:LOF851973 LYB851972:LYB851973 MHX851972:MHX851973 MRT851972:MRT851973 NBP851972:NBP851973 NLL851972:NLL851973 NVH851972:NVH851973 OFD851972:OFD851973 OOZ851972:OOZ851973 OYV851972:OYV851973 PIR851972:PIR851973 PSN851972:PSN851973 QCJ851972:QCJ851973 QMF851972:QMF851973 QWB851972:QWB851973 RFX851972:RFX851973 RPT851972:RPT851973 RZP851972:RZP851973 SJL851972:SJL851973 STH851972:STH851973 TDD851972:TDD851973 TMZ851972:TMZ851973 TWV851972:TWV851973 UGR851972:UGR851973 UQN851972:UQN851973 VAJ851972:VAJ851973 VKF851972:VKF851973 VUB851972:VUB851973 WDX851972:WDX851973 WNT851972:WNT851973 WXP851972:WXP851973 BH917508:BH917509 LD917508:LD917509 UZ917508:UZ917509 AEV917508:AEV917509 AOR917508:AOR917509 AYN917508:AYN917509 BIJ917508:BIJ917509 BSF917508:BSF917509 CCB917508:CCB917509 CLX917508:CLX917509 CVT917508:CVT917509 DFP917508:DFP917509 DPL917508:DPL917509 DZH917508:DZH917509 EJD917508:EJD917509 ESZ917508:ESZ917509 FCV917508:FCV917509 FMR917508:FMR917509 FWN917508:FWN917509 GGJ917508:GGJ917509 GQF917508:GQF917509 HAB917508:HAB917509 HJX917508:HJX917509 HTT917508:HTT917509 IDP917508:IDP917509 INL917508:INL917509 IXH917508:IXH917509 JHD917508:JHD917509 JQZ917508:JQZ917509 KAV917508:KAV917509 KKR917508:KKR917509 KUN917508:KUN917509 LEJ917508:LEJ917509 LOF917508:LOF917509 LYB917508:LYB917509 MHX917508:MHX917509 MRT917508:MRT917509 NBP917508:NBP917509 NLL917508:NLL917509 NVH917508:NVH917509 OFD917508:OFD917509 OOZ917508:OOZ917509 OYV917508:OYV917509 PIR917508:PIR917509 PSN917508:PSN917509 QCJ917508:QCJ917509 QMF917508:QMF917509 QWB917508:QWB917509 RFX917508:RFX917509 RPT917508:RPT917509 RZP917508:RZP917509 SJL917508:SJL917509 STH917508:STH917509 TDD917508:TDD917509 TMZ917508:TMZ917509 TWV917508:TWV917509 UGR917508:UGR917509 UQN917508:UQN917509 VAJ917508:VAJ917509 VKF917508:VKF917509 VUB917508:VUB917509 WDX917508:WDX917509 WNT917508:WNT917509 WXP917508:WXP917509 BH983044:BH983045 LD983044:LD983045 UZ983044:UZ983045 AEV983044:AEV983045 AOR983044:AOR983045 AYN983044:AYN983045 BIJ983044:BIJ983045 BSF983044:BSF983045 CCB983044:CCB983045 CLX983044:CLX983045 CVT983044:CVT983045 DFP983044:DFP983045 DPL983044:DPL983045 DZH983044:DZH983045 EJD983044:EJD983045 ESZ983044:ESZ983045 FCV983044:FCV983045 FMR983044:FMR983045 FWN983044:FWN983045 GGJ983044:GGJ983045 GQF983044:GQF983045 HAB983044:HAB983045 HJX983044:HJX983045 HTT983044:HTT983045 IDP983044:IDP983045 INL983044:INL983045 IXH983044:IXH983045 JHD983044:JHD983045 JQZ983044:JQZ983045 KAV983044:KAV983045 KKR983044:KKR983045 KUN983044:KUN983045 LEJ983044:LEJ983045 LOF983044:LOF983045 LYB983044:LYB983045 MHX983044:MHX983045 MRT983044:MRT983045 NBP983044:NBP983045 NLL983044:NLL983045 NVH983044:NVH983045 OFD983044:OFD983045 OOZ983044:OOZ983045 OYV983044:OYV983045 PIR983044:PIR983045 PSN983044:PSN983045 QCJ983044:QCJ983045 QMF983044:QMF983045 QWB983044:QWB983045 RFX983044:RFX983045 RPT983044:RPT983045 RZP983044:RZP983045 SJL983044:SJL983045 STH983044:STH983045 TDD983044:TDD983045 TMZ983044:TMZ983045 TWV983044:TWV983045 UGR983044:UGR983045 UQN983044:UQN983045 VAJ983044:VAJ983045 VKF983044:VKF983045 VUB983044:VUB983045 WDX983044:WDX983045 WNT983044:WNT983045 WXP983044:WXP983045 BJ4:BJ5 LF4:LF5 VB4:VB5 AEX4:AEX5 AOT4:AOT5 AYP4:AYP5 BIL4:BIL5 BSH4:BSH5 CCD4:CCD5 CLZ4:CLZ5 CVV4:CVV5 DFR4:DFR5 DPN4:DPN5 DZJ4:DZJ5 EJF4:EJF5 ETB4:ETB5 FCX4:FCX5 FMT4:FMT5 FWP4:FWP5 GGL4:GGL5 GQH4:GQH5 HAD4:HAD5 HJZ4:HJZ5 HTV4:HTV5 IDR4:IDR5 INN4:INN5 IXJ4:IXJ5 JHF4:JHF5 JRB4:JRB5 KAX4:KAX5 KKT4:KKT5 KUP4:KUP5 LEL4:LEL5 LOH4:LOH5 LYD4:LYD5 MHZ4:MHZ5 MRV4:MRV5 NBR4:NBR5 NLN4:NLN5 NVJ4:NVJ5 OFF4:OFF5 OPB4:OPB5 OYX4:OYX5 PIT4:PIT5 PSP4:PSP5 QCL4:QCL5 QMH4:QMH5 QWD4:QWD5 RFZ4:RFZ5 RPV4:RPV5 RZR4:RZR5 SJN4:SJN5 STJ4:STJ5 TDF4:TDF5 TNB4:TNB5 TWX4:TWX5 UGT4:UGT5 UQP4:UQP5 VAL4:VAL5 VKH4:VKH5 VUD4:VUD5 WDZ4:WDZ5 WNV4:WNV5 WXR4:WXR5 BJ65540:BJ65541 LF65540:LF65541 VB65540:VB65541 AEX65540:AEX65541 AOT65540:AOT65541 AYP65540:AYP65541 BIL65540:BIL65541 BSH65540:BSH65541 CCD65540:CCD65541 CLZ65540:CLZ65541 CVV65540:CVV65541 DFR65540:DFR65541 DPN65540:DPN65541 DZJ65540:DZJ65541 EJF65540:EJF65541 ETB65540:ETB65541 FCX65540:FCX65541 FMT65540:FMT65541 FWP65540:FWP65541 GGL65540:GGL65541 GQH65540:GQH65541 HAD65540:HAD65541 HJZ65540:HJZ65541 HTV65540:HTV65541 IDR65540:IDR65541 INN65540:INN65541 IXJ65540:IXJ65541 JHF65540:JHF65541 JRB65540:JRB65541 KAX65540:KAX65541 KKT65540:KKT65541 KUP65540:KUP65541 LEL65540:LEL65541 LOH65540:LOH65541 LYD65540:LYD65541 MHZ65540:MHZ65541 MRV65540:MRV65541 NBR65540:NBR65541 NLN65540:NLN65541 NVJ65540:NVJ65541 OFF65540:OFF65541 OPB65540:OPB65541 OYX65540:OYX65541 PIT65540:PIT65541 PSP65540:PSP65541 QCL65540:QCL65541 QMH65540:QMH65541 QWD65540:QWD65541 RFZ65540:RFZ65541 RPV65540:RPV65541 RZR65540:RZR65541 SJN65540:SJN65541 STJ65540:STJ65541 TDF65540:TDF65541 TNB65540:TNB65541 TWX65540:TWX65541 UGT65540:UGT65541 UQP65540:UQP65541 VAL65540:VAL65541 VKH65540:VKH65541 VUD65540:VUD65541 WDZ65540:WDZ65541 WNV65540:WNV65541 WXR65540:WXR65541 BJ131076:BJ131077 LF131076:LF131077 VB131076:VB131077 AEX131076:AEX131077 AOT131076:AOT131077 AYP131076:AYP131077 BIL131076:BIL131077 BSH131076:BSH131077 CCD131076:CCD131077 CLZ131076:CLZ131077 CVV131076:CVV131077 DFR131076:DFR131077 DPN131076:DPN131077 DZJ131076:DZJ131077 EJF131076:EJF131077 ETB131076:ETB131077 FCX131076:FCX131077 FMT131076:FMT131077 FWP131076:FWP131077 GGL131076:GGL131077 GQH131076:GQH131077 HAD131076:HAD131077 HJZ131076:HJZ131077 HTV131076:HTV131077 IDR131076:IDR131077 INN131076:INN131077 IXJ131076:IXJ131077 JHF131076:JHF131077 JRB131076:JRB131077 KAX131076:KAX131077 KKT131076:KKT131077 KUP131076:KUP131077 LEL131076:LEL131077 LOH131076:LOH131077 LYD131076:LYD131077 MHZ131076:MHZ131077 MRV131076:MRV131077 NBR131076:NBR131077 NLN131076:NLN131077 NVJ131076:NVJ131077 OFF131076:OFF131077 OPB131076:OPB131077 OYX131076:OYX131077 PIT131076:PIT131077 PSP131076:PSP131077 QCL131076:QCL131077 QMH131076:QMH131077 QWD131076:QWD131077 RFZ131076:RFZ131077 RPV131076:RPV131077 RZR131076:RZR131077 SJN131076:SJN131077 STJ131076:STJ131077 TDF131076:TDF131077 TNB131076:TNB131077 TWX131076:TWX131077 UGT131076:UGT131077 UQP131076:UQP131077 VAL131076:VAL131077 VKH131076:VKH131077 VUD131076:VUD131077 WDZ131076:WDZ131077 WNV131076:WNV131077 WXR131076:WXR131077 BJ196612:BJ196613 LF196612:LF196613 VB196612:VB196613 AEX196612:AEX196613 AOT196612:AOT196613 AYP196612:AYP196613 BIL196612:BIL196613 BSH196612:BSH196613 CCD196612:CCD196613 CLZ196612:CLZ196613 CVV196612:CVV196613 DFR196612:DFR196613 DPN196612:DPN196613 DZJ196612:DZJ196613 EJF196612:EJF196613 ETB196612:ETB196613 FCX196612:FCX196613 FMT196612:FMT196613 FWP196612:FWP196613 GGL196612:GGL196613 GQH196612:GQH196613 HAD196612:HAD196613 HJZ196612:HJZ196613 HTV196612:HTV196613 IDR196612:IDR196613 INN196612:INN196613 IXJ196612:IXJ196613 JHF196612:JHF196613 JRB196612:JRB196613 KAX196612:KAX196613 KKT196612:KKT196613 KUP196612:KUP196613 LEL196612:LEL196613 LOH196612:LOH196613 LYD196612:LYD196613 MHZ196612:MHZ196613 MRV196612:MRV196613 NBR196612:NBR196613 NLN196612:NLN196613 NVJ196612:NVJ196613 OFF196612:OFF196613 OPB196612:OPB196613 OYX196612:OYX196613 PIT196612:PIT196613 PSP196612:PSP196613 QCL196612:QCL196613 QMH196612:QMH196613 QWD196612:QWD196613 RFZ196612:RFZ196613 RPV196612:RPV196613 RZR196612:RZR196613 SJN196612:SJN196613 STJ196612:STJ196613 TDF196612:TDF196613 TNB196612:TNB196613 TWX196612:TWX196613 UGT196612:UGT196613 UQP196612:UQP196613 VAL196612:VAL196613 VKH196612:VKH196613 VUD196612:VUD196613 WDZ196612:WDZ196613 WNV196612:WNV196613 WXR196612:WXR196613 BJ262148:BJ262149 LF262148:LF262149 VB262148:VB262149 AEX262148:AEX262149 AOT262148:AOT262149 AYP262148:AYP262149 BIL262148:BIL262149 BSH262148:BSH262149 CCD262148:CCD262149 CLZ262148:CLZ262149 CVV262148:CVV262149 DFR262148:DFR262149 DPN262148:DPN262149 DZJ262148:DZJ262149 EJF262148:EJF262149 ETB262148:ETB262149 FCX262148:FCX262149 FMT262148:FMT262149 FWP262148:FWP262149 GGL262148:GGL262149 GQH262148:GQH262149 HAD262148:HAD262149 HJZ262148:HJZ262149 HTV262148:HTV262149 IDR262148:IDR262149 INN262148:INN262149 IXJ262148:IXJ262149 JHF262148:JHF262149 JRB262148:JRB262149 KAX262148:KAX262149 KKT262148:KKT262149 KUP262148:KUP262149 LEL262148:LEL262149 LOH262148:LOH262149 LYD262148:LYD262149 MHZ262148:MHZ262149 MRV262148:MRV262149 NBR262148:NBR262149 NLN262148:NLN262149 NVJ262148:NVJ262149 OFF262148:OFF262149 OPB262148:OPB262149 OYX262148:OYX262149 PIT262148:PIT262149 PSP262148:PSP262149 QCL262148:QCL262149 QMH262148:QMH262149 QWD262148:QWD262149 RFZ262148:RFZ262149 RPV262148:RPV262149 RZR262148:RZR262149 SJN262148:SJN262149 STJ262148:STJ262149 TDF262148:TDF262149 TNB262148:TNB262149 TWX262148:TWX262149 UGT262148:UGT262149 UQP262148:UQP262149 VAL262148:VAL262149 VKH262148:VKH262149 VUD262148:VUD262149 WDZ262148:WDZ262149 WNV262148:WNV262149 WXR262148:WXR262149 BJ327684:BJ327685 LF327684:LF327685 VB327684:VB327685 AEX327684:AEX327685 AOT327684:AOT327685 AYP327684:AYP327685 BIL327684:BIL327685 BSH327684:BSH327685 CCD327684:CCD327685 CLZ327684:CLZ327685 CVV327684:CVV327685 DFR327684:DFR327685 DPN327684:DPN327685 DZJ327684:DZJ327685 EJF327684:EJF327685 ETB327684:ETB327685 FCX327684:FCX327685 FMT327684:FMT327685 FWP327684:FWP327685 GGL327684:GGL327685 GQH327684:GQH327685 HAD327684:HAD327685 HJZ327684:HJZ327685 HTV327684:HTV327685 IDR327684:IDR327685 INN327684:INN327685 IXJ327684:IXJ327685 JHF327684:JHF327685 JRB327684:JRB327685 KAX327684:KAX327685 KKT327684:KKT327685 KUP327684:KUP327685 LEL327684:LEL327685 LOH327684:LOH327685 LYD327684:LYD327685 MHZ327684:MHZ327685 MRV327684:MRV327685 NBR327684:NBR327685 NLN327684:NLN327685 NVJ327684:NVJ327685 OFF327684:OFF327685 OPB327684:OPB327685 OYX327684:OYX327685 PIT327684:PIT327685 PSP327684:PSP327685 QCL327684:QCL327685 QMH327684:QMH327685 QWD327684:QWD327685 RFZ327684:RFZ327685 RPV327684:RPV327685 RZR327684:RZR327685 SJN327684:SJN327685 STJ327684:STJ327685 TDF327684:TDF327685 TNB327684:TNB327685 TWX327684:TWX327685 UGT327684:UGT327685 UQP327684:UQP327685 VAL327684:VAL327685 VKH327684:VKH327685 VUD327684:VUD327685 WDZ327684:WDZ327685 WNV327684:WNV327685 WXR327684:WXR327685 BJ393220:BJ393221 LF393220:LF393221 VB393220:VB393221 AEX393220:AEX393221 AOT393220:AOT393221 AYP393220:AYP393221 BIL393220:BIL393221 BSH393220:BSH393221 CCD393220:CCD393221 CLZ393220:CLZ393221 CVV393220:CVV393221 DFR393220:DFR393221 DPN393220:DPN393221 DZJ393220:DZJ393221 EJF393220:EJF393221 ETB393220:ETB393221 FCX393220:FCX393221 FMT393220:FMT393221 FWP393220:FWP393221 GGL393220:GGL393221 GQH393220:GQH393221 HAD393220:HAD393221 HJZ393220:HJZ393221 HTV393220:HTV393221 IDR393220:IDR393221 INN393220:INN393221 IXJ393220:IXJ393221 JHF393220:JHF393221 JRB393220:JRB393221 KAX393220:KAX393221 KKT393220:KKT393221 KUP393220:KUP393221 LEL393220:LEL393221 LOH393220:LOH393221 LYD393220:LYD393221 MHZ393220:MHZ393221 MRV393220:MRV393221 NBR393220:NBR393221 NLN393220:NLN393221 NVJ393220:NVJ393221 OFF393220:OFF393221 OPB393220:OPB393221 OYX393220:OYX393221 PIT393220:PIT393221 PSP393220:PSP393221 QCL393220:QCL393221 QMH393220:QMH393221 QWD393220:QWD393221 RFZ393220:RFZ393221 RPV393220:RPV393221 RZR393220:RZR393221 SJN393220:SJN393221 STJ393220:STJ393221 TDF393220:TDF393221 TNB393220:TNB393221 TWX393220:TWX393221 UGT393220:UGT393221 UQP393220:UQP393221 VAL393220:VAL393221 VKH393220:VKH393221 VUD393220:VUD393221 WDZ393220:WDZ393221 WNV393220:WNV393221 WXR393220:WXR393221 BJ458756:BJ458757 LF458756:LF458757 VB458756:VB458757 AEX458756:AEX458757 AOT458756:AOT458757 AYP458756:AYP458757 BIL458756:BIL458757 BSH458756:BSH458757 CCD458756:CCD458757 CLZ458756:CLZ458757 CVV458756:CVV458757 DFR458756:DFR458757 DPN458756:DPN458757 DZJ458756:DZJ458757 EJF458756:EJF458757 ETB458756:ETB458757 FCX458756:FCX458757 FMT458756:FMT458757 FWP458756:FWP458757 GGL458756:GGL458757 GQH458756:GQH458757 HAD458756:HAD458757 HJZ458756:HJZ458757 HTV458756:HTV458757 IDR458756:IDR458757 INN458756:INN458757 IXJ458756:IXJ458757 JHF458756:JHF458757 JRB458756:JRB458757 KAX458756:KAX458757 KKT458756:KKT458757 KUP458756:KUP458757 LEL458756:LEL458757 LOH458756:LOH458757 LYD458756:LYD458757 MHZ458756:MHZ458757 MRV458756:MRV458757 NBR458756:NBR458757 NLN458756:NLN458757 NVJ458756:NVJ458757 OFF458756:OFF458757 OPB458756:OPB458757 OYX458756:OYX458757 PIT458756:PIT458757 PSP458756:PSP458757 QCL458756:QCL458757 QMH458756:QMH458757 QWD458756:QWD458757 RFZ458756:RFZ458757 RPV458756:RPV458757 RZR458756:RZR458757 SJN458756:SJN458757 STJ458756:STJ458757 TDF458756:TDF458757 TNB458756:TNB458757 TWX458756:TWX458757 UGT458756:UGT458757 UQP458756:UQP458757 VAL458756:VAL458757 VKH458756:VKH458757 VUD458756:VUD458757 WDZ458756:WDZ458757 WNV458756:WNV458757 WXR458756:WXR458757 BJ524292:BJ524293 LF524292:LF524293 VB524292:VB524293 AEX524292:AEX524293 AOT524292:AOT524293 AYP524292:AYP524293 BIL524292:BIL524293 BSH524292:BSH524293 CCD524292:CCD524293 CLZ524292:CLZ524293 CVV524292:CVV524293 DFR524292:DFR524293 DPN524292:DPN524293 DZJ524292:DZJ524293 EJF524292:EJF524293 ETB524292:ETB524293 FCX524292:FCX524293 FMT524292:FMT524293 FWP524292:FWP524293 GGL524292:GGL524293 GQH524292:GQH524293 HAD524292:HAD524293 HJZ524292:HJZ524293 HTV524292:HTV524293 IDR524292:IDR524293 INN524292:INN524293 IXJ524292:IXJ524293 JHF524292:JHF524293 JRB524292:JRB524293 KAX524292:KAX524293 KKT524292:KKT524293 KUP524292:KUP524293 LEL524292:LEL524293 LOH524292:LOH524293 LYD524292:LYD524293 MHZ524292:MHZ524293 MRV524292:MRV524293 NBR524292:NBR524293 NLN524292:NLN524293 NVJ524292:NVJ524293 OFF524292:OFF524293 OPB524292:OPB524293 OYX524292:OYX524293 PIT524292:PIT524293 PSP524292:PSP524293 QCL524292:QCL524293 QMH524292:QMH524293 QWD524292:QWD524293 RFZ524292:RFZ524293 RPV524292:RPV524293 RZR524292:RZR524293 SJN524292:SJN524293 STJ524292:STJ524293 TDF524292:TDF524293 TNB524292:TNB524293 TWX524292:TWX524293 UGT524292:UGT524293 UQP524292:UQP524293 VAL524292:VAL524293 VKH524292:VKH524293 VUD524292:VUD524293 WDZ524292:WDZ524293 WNV524292:WNV524293 WXR524292:WXR524293 BJ589828:BJ589829 LF589828:LF589829 VB589828:VB589829 AEX589828:AEX589829 AOT589828:AOT589829 AYP589828:AYP589829 BIL589828:BIL589829 BSH589828:BSH589829 CCD589828:CCD589829 CLZ589828:CLZ589829 CVV589828:CVV589829 DFR589828:DFR589829 DPN589828:DPN589829 DZJ589828:DZJ589829 EJF589828:EJF589829 ETB589828:ETB589829 FCX589828:FCX589829 FMT589828:FMT589829 FWP589828:FWP589829 GGL589828:GGL589829 GQH589828:GQH589829 HAD589828:HAD589829 HJZ589828:HJZ589829 HTV589828:HTV589829 IDR589828:IDR589829 INN589828:INN589829 IXJ589828:IXJ589829 JHF589828:JHF589829 JRB589828:JRB589829 KAX589828:KAX589829 KKT589828:KKT589829 KUP589828:KUP589829 LEL589828:LEL589829 LOH589828:LOH589829 LYD589828:LYD589829 MHZ589828:MHZ589829 MRV589828:MRV589829 NBR589828:NBR589829 NLN589828:NLN589829 NVJ589828:NVJ589829 OFF589828:OFF589829 OPB589828:OPB589829 OYX589828:OYX589829 PIT589828:PIT589829 PSP589828:PSP589829 QCL589828:QCL589829 QMH589828:QMH589829 QWD589828:QWD589829 RFZ589828:RFZ589829 RPV589828:RPV589829 RZR589828:RZR589829 SJN589828:SJN589829 STJ589828:STJ589829 TDF589828:TDF589829 TNB589828:TNB589829 TWX589828:TWX589829 UGT589828:UGT589829 UQP589828:UQP589829 VAL589828:VAL589829 VKH589828:VKH589829 VUD589828:VUD589829 WDZ589828:WDZ589829 WNV589828:WNV589829 WXR589828:WXR589829 BJ655364:BJ655365 LF655364:LF655365 VB655364:VB655365 AEX655364:AEX655365 AOT655364:AOT655365 AYP655364:AYP655365 BIL655364:BIL655365 BSH655364:BSH655365 CCD655364:CCD655365 CLZ655364:CLZ655365 CVV655364:CVV655365 DFR655364:DFR655365 DPN655364:DPN655365 DZJ655364:DZJ655365 EJF655364:EJF655365 ETB655364:ETB655365 FCX655364:FCX655365 FMT655364:FMT655365 FWP655364:FWP655365 GGL655364:GGL655365 GQH655364:GQH655365 HAD655364:HAD655365 HJZ655364:HJZ655365 HTV655364:HTV655365 IDR655364:IDR655365 INN655364:INN655365 IXJ655364:IXJ655365 JHF655364:JHF655365 JRB655364:JRB655365 KAX655364:KAX655365 KKT655364:KKT655365 KUP655364:KUP655365 LEL655364:LEL655365 LOH655364:LOH655365 LYD655364:LYD655365 MHZ655364:MHZ655365 MRV655364:MRV655365 NBR655364:NBR655365 NLN655364:NLN655365 NVJ655364:NVJ655365 OFF655364:OFF655365 OPB655364:OPB655365 OYX655364:OYX655365 PIT655364:PIT655365 PSP655364:PSP655365 QCL655364:QCL655365 QMH655364:QMH655365 QWD655364:QWD655365 RFZ655364:RFZ655365 RPV655364:RPV655365 RZR655364:RZR655365 SJN655364:SJN655365 STJ655364:STJ655365 TDF655364:TDF655365 TNB655364:TNB655365 TWX655364:TWX655365 UGT655364:UGT655365 UQP655364:UQP655365 VAL655364:VAL655365 VKH655364:VKH655365 VUD655364:VUD655365 WDZ655364:WDZ655365 WNV655364:WNV655365 WXR655364:WXR655365 BJ720900:BJ720901 LF720900:LF720901 VB720900:VB720901 AEX720900:AEX720901 AOT720900:AOT720901 AYP720900:AYP720901 BIL720900:BIL720901 BSH720900:BSH720901 CCD720900:CCD720901 CLZ720900:CLZ720901 CVV720900:CVV720901 DFR720900:DFR720901 DPN720900:DPN720901 DZJ720900:DZJ720901 EJF720900:EJF720901 ETB720900:ETB720901 FCX720900:FCX720901 FMT720900:FMT720901 FWP720900:FWP720901 GGL720900:GGL720901 GQH720900:GQH720901 HAD720900:HAD720901 HJZ720900:HJZ720901 HTV720900:HTV720901 IDR720900:IDR720901 INN720900:INN720901 IXJ720900:IXJ720901 JHF720900:JHF720901 JRB720900:JRB720901 KAX720900:KAX720901 KKT720900:KKT720901 KUP720900:KUP720901 LEL720900:LEL720901 LOH720900:LOH720901 LYD720900:LYD720901 MHZ720900:MHZ720901 MRV720900:MRV720901 NBR720900:NBR720901 NLN720900:NLN720901 NVJ720900:NVJ720901 OFF720900:OFF720901 OPB720900:OPB720901 OYX720900:OYX720901 PIT720900:PIT720901 PSP720900:PSP720901 QCL720900:QCL720901 QMH720900:QMH720901 QWD720900:QWD720901 RFZ720900:RFZ720901 RPV720900:RPV720901 RZR720900:RZR720901 SJN720900:SJN720901 STJ720900:STJ720901 TDF720900:TDF720901 TNB720900:TNB720901 TWX720900:TWX720901 UGT720900:UGT720901 UQP720900:UQP720901 VAL720900:VAL720901 VKH720900:VKH720901 VUD720900:VUD720901 WDZ720900:WDZ720901 WNV720900:WNV720901 WXR720900:WXR720901 BJ786436:BJ786437 LF786436:LF786437 VB786436:VB786437 AEX786436:AEX786437 AOT786436:AOT786437 AYP786436:AYP786437 BIL786436:BIL786437 BSH786436:BSH786437 CCD786436:CCD786437 CLZ786436:CLZ786437 CVV786436:CVV786437 DFR786436:DFR786437 DPN786436:DPN786437 DZJ786436:DZJ786437 EJF786436:EJF786437 ETB786436:ETB786437 FCX786436:FCX786437 FMT786436:FMT786437 FWP786436:FWP786437 GGL786436:GGL786437 GQH786436:GQH786437 HAD786436:HAD786437 HJZ786436:HJZ786437 HTV786436:HTV786437 IDR786436:IDR786437 INN786436:INN786437 IXJ786436:IXJ786437 JHF786436:JHF786437 JRB786436:JRB786437 KAX786436:KAX786437 KKT786436:KKT786437 KUP786436:KUP786437 LEL786436:LEL786437 LOH786436:LOH786437 LYD786436:LYD786437 MHZ786436:MHZ786437 MRV786436:MRV786437 NBR786436:NBR786437 NLN786436:NLN786437 NVJ786436:NVJ786437 OFF786436:OFF786437 OPB786436:OPB786437 OYX786436:OYX786437 PIT786436:PIT786437 PSP786436:PSP786437 QCL786436:QCL786437 QMH786436:QMH786437 QWD786436:QWD786437 RFZ786436:RFZ786437 RPV786436:RPV786437 RZR786436:RZR786437 SJN786436:SJN786437 STJ786436:STJ786437 TDF786436:TDF786437 TNB786436:TNB786437 TWX786436:TWX786437 UGT786436:UGT786437 UQP786436:UQP786437 VAL786436:VAL786437 VKH786436:VKH786437 VUD786436:VUD786437 WDZ786436:WDZ786437 WNV786436:WNV786437 WXR786436:WXR786437 BJ851972:BJ851973 LF851972:LF851973 VB851972:VB851973 AEX851972:AEX851973 AOT851972:AOT851973 AYP851972:AYP851973 BIL851972:BIL851973 BSH851972:BSH851973 CCD851972:CCD851973 CLZ851972:CLZ851973 CVV851972:CVV851973 DFR851972:DFR851973 DPN851972:DPN851973 DZJ851972:DZJ851973 EJF851972:EJF851973 ETB851972:ETB851973 FCX851972:FCX851973 FMT851972:FMT851973 FWP851972:FWP851973 GGL851972:GGL851973 GQH851972:GQH851973 HAD851972:HAD851973 HJZ851972:HJZ851973 HTV851972:HTV851973 IDR851972:IDR851973 INN851972:INN851973 IXJ851972:IXJ851973 JHF851972:JHF851973 JRB851972:JRB851973 KAX851972:KAX851973 KKT851972:KKT851973 KUP851972:KUP851973 LEL851972:LEL851973 LOH851972:LOH851973 LYD851972:LYD851973 MHZ851972:MHZ851973 MRV851972:MRV851973 NBR851972:NBR851973 NLN851972:NLN851973 NVJ851972:NVJ851973 OFF851972:OFF851973 OPB851972:OPB851973 OYX851972:OYX851973 PIT851972:PIT851973 PSP851972:PSP851973 QCL851972:QCL851973 QMH851972:QMH851973 QWD851972:QWD851973 RFZ851972:RFZ851973 RPV851972:RPV851973 RZR851972:RZR851973 SJN851972:SJN851973 STJ851972:STJ851973 TDF851972:TDF851973 TNB851972:TNB851973 TWX851972:TWX851973 UGT851972:UGT851973 UQP851972:UQP851973 VAL851972:VAL851973 VKH851972:VKH851973 VUD851972:VUD851973 WDZ851972:WDZ851973 WNV851972:WNV851973 WXR851972:WXR851973 BJ917508:BJ917509 LF917508:LF917509 VB917508:VB917509 AEX917508:AEX917509 AOT917508:AOT917509 AYP917508:AYP917509 BIL917508:BIL917509 BSH917508:BSH917509 CCD917508:CCD917509 CLZ917508:CLZ917509 CVV917508:CVV917509 DFR917508:DFR917509 DPN917508:DPN917509 DZJ917508:DZJ917509 EJF917508:EJF917509 ETB917508:ETB917509 FCX917508:FCX917509 FMT917508:FMT917509 FWP917508:FWP917509 GGL917508:GGL917509 GQH917508:GQH917509 HAD917508:HAD917509 HJZ917508:HJZ917509 HTV917508:HTV917509 IDR917508:IDR917509 INN917508:INN917509 IXJ917508:IXJ917509 JHF917508:JHF917509 JRB917508:JRB917509 KAX917508:KAX917509 KKT917508:KKT917509 KUP917508:KUP917509 LEL917508:LEL917509 LOH917508:LOH917509 LYD917508:LYD917509 MHZ917508:MHZ917509 MRV917508:MRV917509 NBR917508:NBR917509 NLN917508:NLN917509 NVJ917508:NVJ917509 OFF917508:OFF917509 OPB917508:OPB917509 OYX917508:OYX917509 PIT917508:PIT917509 PSP917508:PSP917509 QCL917508:QCL917509 QMH917508:QMH917509 QWD917508:QWD917509 RFZ917508:RFZ917509 RPV917508:RPV917509 RZR917508:RZR917509 SJN917508:SJN917509 STJ917508:STJ917509 TDF917508:TDF917509 TNB917508:TNB917509 TWX917508:TWX917509 UGT917508:UGT917509 UQP917508:UQP917509 VAL917508:VAL917509 VKH917508:VKH917509 VUD917508:VUD917509 WDZ917508:WDZ917509 WNV917508:WNV917509 WXR917508:WXR917509 BJ983044:BJ983045 LF983044:LF983045 VB983044:VB983045 AEX983044:AEX983045 AOT983044:AOT983045 AYP983044:AYP983045 BIL983044:BIL983045 BSH983044:BSH983045 CCD983044:CCD983045 CLZ983044:CLZ983045 CVV983044:CVV983045 DFR983044:DFR983045 DPN983044:DPN983045 DZJ983044:DZJ983045 EJF983044:EJF983045 ETB983044:ETB983045 FCX983044:FCX983045 FMT983044:FMT983045 FWP983044:FWP983045 GGL983044:GGL983045 GQH983044:GQH983045 HAD983044:HAD983045 HJZ983044:HJZ983045 HTV983044:HTV983045 IDR983044:IDR983045 INN983044:INN983045 IXJ983044:IXJ983045 JHF983044:JHF983045 JRB983044:JRB983045 KAX983044:KAX983045 KKT983044:KKT983045 KUP983044:KUP983045 LEL983044:LEL983045 LOH983044:LOH983045 LYD983044:LYD983045 MHZ983044:MHZ983045 MRV983044:MRV983045 NBR983044:NBR983045 NLN983044:NLN983045 NVJ983044:NVJ983045 OFF983044:OFF983045 OPB983044:OPB983045 OYX983044:OYX983045 PIT983044:PIT983045 PSP983044:PSP983045 QCL983044:QCL983045 QMH983044:QMH983045 QWD983044:QWD983045 RFZ983044:RFZ983045 RPV983044:RPV983045 RZR983044:RZR983045 SJN983044:SJN983045 STJ983044:STJ983045 TDF983044:TDF983045 TNB983044:TNB983045 TWX983044:TWX983045 UGT983044:UGT983045 UQP983044:UQP983045 VAL983044:VAL983045 VKH983044:VKH983045 VUD983044:VUD983045 WDZ983044:WDZ983045 WNV983044:WNV983045 WXR983044:WXR983045 BB5 KX5 UT5 AEP5 AOL5 AYH5 BID5 BRZ5 CBV5 CLR5 CVN5 DFJ5 DPF5 DZB5 EIX5 EST5 FCP5 FML5 FWH5 GGD5 GPZ5 GZV5 HJR5 HTN5 IDJ5 INF5 IXB5 JGX5 JQT5 KAP5 KKL5 KUH5 LED5 LNZ5 LXV5 MHR5 MRN5 NBJ5 NLF5 NVB5 OEX5 OOT5 OYP5 PIL5 PSH5 QCD5 QLZ5 QVV5 RFR5 RPN5 RZJ5 SJF5 STB5 TCX5 TMT5 TWP5 UGL5 UQH5 VAD5 VJZ5 VTV5 WDR5 WNN5 WXJ5 BB65541 KX65541 UT65541 AEP65541 AOL65541 AYH65541 BID65541 BRZ65541 CBV65541 CLR65541 CVN65541 DFJ65541 DPF65541 DZB65541 EIX65541 EST65541 FCP65541 FML65541 FWH65541 GGD65541 GPZ65541 GZV65541 HJR65541 HTN65541 IDJ65541 INF65541 IXB65541 JGX65541 JQT65541 KAP65541 KKL65541 KUH65541 LED65541 LNZ65541 LXV65541 MHR65541 MRN65541 NBJ65541 NLF65541 NVB65541 OEX65541 OOT65541 OYP65541 PIL65541 PSH65541 QCD65541 QLZ65541 QVV65541 RFR65541 RPN65541 RZJ65541 SJF65541 STB65541 TCX65541 TMT65541 TWP65541 UGL65541 UQH65541 VAD65541 VJZ65541 VTV65541 WDR65541 WNN65541 WXJ65541 BB131077 KX131077 UT131077 AEP131077 AOL131077 AYH131077 BID131077 BRZ131077 CBV131077 CLR131077 CVN131077 DFJ131077 DPF131077 DZB131077 EIX131077 EST131077 FCP131077 FML131077 FWH131077 GGD131077 GPZ131077 GZV131077 HJR131077 HTN131077 IDJ131077 INF131077 IXB131077 JGX131077 JQT131077 KAP131077 KKL131077 KUH131077 LED131077 LNZ131077 LXV131077 MHR131077 MRN131077 NBJ131077 NLF131077 NVB131077 OEX131077 OOT131077 OYP131077 PIL131077 PSH131077 QCD131077 QLZ131077 QVV131077 RFR131077 RPN131077 RZJ131077 SJF131077 STB131077 TCX131077 TMT131077 TWP131077 UGL131077 UQH131077 VAD131077 VJZ131077 VTV131077 WDR131077 WNN131077 WXJ131077 BB196613 KX196613 UT196613 AEP196613 AOL196613 AYH196613 BID196613 BRZ196613 CBV196613 CLR196613 CVN196613 DFJ196613 DPF196613 DZB196613 EIX196613 EST196613 FCP196613 FML196613 FWH196613 GGD196613 GPZ196613 GZV196613 HJR196613 HTN196613 IDJ196613 INF196613 IXB196613 JGX196613 JQT196613 KAP196613 KKL196613 KUH196613 LED196613 LNZ196613 LXV196613 MHR196613 MRN196613 NBJ196613 NLF196613 NVB196613 OEX196613 OOT196613 OYP196613 PIL196613 PSH196613 QCD196613 QLZ196613 QVV196613 RFR196613 RPN196613 RZJ196613 SJF196613 STB196613 TCX196613 TMT196613 TWP196613 UGL196613 UQH196613 VAD196613 VJZ196613 VTV196613 WDR196613 WNN196613 WXJ196613 BB262149 KX262149 UT262149 AEP262149 AOL262149 AYH262149 BID262149 BRZ262149 CBV262149 CLR262149 CVN262149 DFJ262149 DPF262149 DZB262149 EIX262149 EST262149 FCP262149 FML262149 FWH262149 GGD262149 GPZ262149 GZV262149 HJR262149 HTN262149 IDJ262149 INF262149 IXB262149 JGX262149 JQT262149 KAP262149 KKL262149 KUH262149 LED262149 LNZ262149 LXV262149 MHR262149 MRN262149 NBJ262149 NLF262149 NVB262149 OEX262149 OOT262149 OYP262149 PIL262149 PSH262149 QCD262149 QLZ262149 QVV262149 RFR262149 RPN262149 RZJ262149 SJF262149 STB262149 TCX262149 TMT262149 TWP262149 UGL262149 UQH262149 VAD262149 VJZ262149 VTV262149 WDR262149 WNN262149 WXJ262149 BB327685 KX327685 UT327685 AEP327685 AOL327685 AYH327685 BID327685 BRZ327685 CBV327685 CLR327685 CVN327685 DFJ327685 DPF327685 DZB327685 EIX327685 EST327685 FCP327685 FML327685 FWH327685 GGD327685 GPZ327685 GZV327685 HJR327685 HTN327685 IDJ327685 INF327685 IXB327685 JGX327685 JQT327685 KAP327685 KKL327685 KUH327685 LED327685 LNZ327685 LXV327685 MHR327685 MRN327685 NBJ327685 NLF327685 NVB327685 OEX327685 OOT327685 OYP327685 PIL327685 PSH327685 QCD327685 QLZ327685 QVV327685 RFR327685 RPN327685 RZJ327685 SJF327685 STB327685 TCX327685 TMT327685 TWP327685 UGL327685 UQH327685 VAD327685 VJZ327685 VTV327685 WDR327685 WNN327685 WXJ327685 BB393221 KX393221 UT393221 AEP393221 AOL393221 AYH393221 BID393221 BRZ393221 CBV393221 CLR393221 CVN393221 DFJ393221 DPF393221 DZB393221 EIX393221 EST393221 FCP393221 FML393221 FWH393221 GGD393221 GPZ393221 GZV393221 HJR393221 HTN393221 IDJ393221 INF393221 IXB393221 JGX393221 JQT393221 KAP393221 KKL393221 KUH393221 LED393221 LNZ393221 LXV393221 MHR393221 MRN393221 NBJ393221 NLF393221 NVB393221 OEX393221 OOT393221 OYP393221 PIL393221 PSH393221 QCD393221 QLZ393221 QVV393221 RFR393221 RPN393221 RZJ393221 SJF393221 STB393221 TCX393221 TMT393221 TWP393221 UGL393221 UQH393221 VAD393221 VJZ393221 VTV393221 WDR393221 WNN393221 WXJ393221 BB458757 KX458757 UT458757 AEP458757 AOL458757 AYH458757 BID458757 BRZ458757 CBV458757 CLR458757 CVN458757 DFJ458757 DPF458757 DZB458757 EIX458757 EST458757 FCP458757 FML458757 FWH458757 GGD458757 GPZ458757 GZV458757 HJR458757 HTN458757 IDJ458757 INF458757 IXB458757 JGX458757 JQT458757 KAP458757 KKL458757 KUH458757 LED458757 LNZ458757 LXV458757 MHR458757 MRN458757 NBJ458757 NLF458757 NVB458757 OEX458757 OOT458757 OYP458757 PIL458757 PSH458757 QCD458757 QLZ458757 QVV458757 RFR458757 RPN458757 RZJ458757 SJF458757 STB458757 TCX458757 TMT458757 TWP458757 UGL458757 UQH458757 VAD458757 VJZ458757 VTV458757 WDR458757 WNN458757 WXJ458757 BB524293 KX524293 UT524293 AEP524293 AOL524293 AYH524293 BID524293 BRZ524293 CBV524293 CLR524293 CVN524293 DFJ524293 DPF524293 DZB524293 EIX524293 EST524293 FCP524293 FML524293 FWH524293 GGD524293 GPZ524293 GZV524293 HJR524293 HTN524293 IDJ524293 INF524293 IXB524293 JGX524293 JQT524293 KAP524293 KKL524293 KUH524293 LED524293 LNZ524293 LXV524293 MHR524293 MRN524293 NBJ524293 NLF524293 NVB524293 OEX524293 OOT524293 OYP524293 PIL524293 PSH524293 QCD524293 QLZ524293 QVV524293 RFR524293 RPN524293 RZJ524293 SJF524293 STB524293 TCX524293 TMT524293 TWP524293 UGL524293 UQH524293 VAD524293 VJZ524293 VTV524293 WDR524293 WNN524293 WXJ524293 BB589829 KX589829 UT589829 AEP589829 AOL589829 AYH589829 BID589829 BRZ589829 CBV589829 CLR589829 CVN589829 DFJ589829 DPF589829 DZB589829 EIX589829 EST589829 FCP589829 FML589829 FWH589829 GGD589829 GPZ589829 GZV589829 HJR589829 HTN589829 IDJ589829 INF589829 IXB589829 JGX589829 JQT589829 KAP589829 KKL589829 KUH589829 LED589829 LNZ589829 LXV589829 MHR589829 MRN589829 NBJ589829 NLF589829 NVB589829 OEX589829 OOT589829 OYP589829 PIL589829 PSH589829 QCD589829 QLZ589829 QVV589829 RFR589829 RPN589829 RZJ589829 SJF589829 STB589829 TCX589829 TMT589829 TWP589829 UGL589829 UQH589829 VAD589829 VJZ589829 VTV589829 WDR589829 WNN589829 WXJ589829 BB655365 KX655365 UT655365 AEP655365 AOL655365 AYH655365 BID655365 BRZ655365 CBV655365 CLR655365 CVN655365 DFJ655365 DPF655365 DZB655365 EIX655365 EST655365 FCP655365 FML655365 FWH655365 GGD655365 GPZ655365 GZV655365 HJR655365 HTN655365 IDJ655365 INF655365 IXB655365 JGX655365 JQT655365 KAP655365 KKL655365 KUH655365 LED655365 LNZ655365 LXV655365 MHR655365 MRN655365 NBJ655365 NLF655365 NVB655365 OEX655365 OOT655365 OYP655365 PIL655365 PSH655365 QCD655365 QLZ655365 QVV655365 RFR655365 RPN655365 RZJ655365 SJF655365 STB655365 TCX655365 TMT655365 TWP655365 UGL655365 UQH655365 VAD655365 VJZ655365 VTV655365 WDR655365 WNN655365 WXJ655365 BB720901 KX720901 UT720901 AEP720901 AOL720901 AYH720901 BID720901 BRZ720901 CBV720901 CLR720901 CVN720901 DFJ720901 DPF720901 DZB720901 EIX720901 EST720901 FCP720901 FML720901 FWH720901 GGD720901 GPZ720901 GZV720901 HJR720901 HTN720901 IDJ720901 INF720901 IXB720901 JGX720901 JQT720901 KAP720901 KKL720901 KUH720901 LED720901 LNZ720901 LXV720901 MHR720901 MRN720901 NBJ720901 NLF720901 NVB720901 OEX720901 OOT720901 OYP720901 PIL720901 PSH720901 QCD720901 QLZ720901 QVV720901 RFR720901 RPN720901 RZJ720901 SJF720901 STB720901 TCX720901 TMT720901 TWP720901 UGL720901 UQH720901 VAD720901 VJZ720901 VTV720901 WDR720901 WNN720901 WXJ720901 BB786437 KX786437 UT786437 AEP786437 AOL786437 AYH786437 BID786437 BRZ786437 CBV786437 CLR786437 CVN786437 DFJ786437 DPF786437 DZB786437 EIX786437 EST786437 FCP786437 FML786437 FWH786437 GGD786437 GPZ786437 GZV786437 HJR786437 HTN786437 IDJ786437 INF786437 IXB786437 JGX786437 JQT786437 KAP786437 KKL786437 KUH786437 LED786437 LNZ786437 LXV786437 MHR786437 MRN786437 NBJ786437 NLF786437 NVB786437 OEX786437 OOT786437 OYP786437 PIL786437 PSH786437 QCD786437 QLZ786437 QVV786437 RFR786437 RPN786437 RZJ786437 SJF786437 STB786437 TCX786437 TMT786437 TWP786437 UGL786437 UQH786437 VAD786437 VJZ786437 VTV786437 WDR786437 WNN786437 WXJ786437 BB851973 KX851973 UT851973 AEP851973 AOL851973 AYH851973 BID851973 BRZ851973 CBV851973 CLR851973 CVN851973 DFJ851973 DPF851973 DZB851973 EIX851973 EST851973 FCP851973 FML851973 FWH851973 GGD851973 GPZ851973 GZV851973 HJR851973 HTN851973 IDJ851973 INF851973 IXB851973 JGX851973 JQT851973 KAP851973 KKL851973 KUH851973 LED851973 LNZ851973 LXV851973 MHR851973 MRN851973 NBJ851973 NLF851973 NVB851973 OEX851973 OOT851973 OYP851973 PIL851973 PSH851973 QCD851973 QLZ851973 QVV851973 RFR851973 RPN851973 RZJ851973 SJF851973 STB851973 TCX851973 TMT851973 TWP851973 UGL851973 UQH851973 VAD851973 VJZ851973 VTV851973 WDR851973 WNN851973 WXJ851973 BB917509 KX917509 UT917509 AEP917509 AOL917509 AYH917509 BID917509 BRZ917509 CBV917509 CLR917509 CVN917509 DFJ917509 DPF917509 DZB917509 EIX917509 EST917509 FCP917509 FML917509 FWH917509 GGD917509 GPZ917509 GZV917509 HJR917509 HTN917509 IDJ917509 INF917509 IXB917509 JGX917509 JQT917509 KAP917509 KKL917509 KUH917509 LED917509 LNZ917509 LXV917509 MHR917509 MRN917509 NBJ917509 NLF917509 NVB917509 OEX917509 OOT917509 OYP917509 PIL917509 PSH917509 QCD917509 QLZ917509 QVV917509 RFR917509 RPN917509 RZJ917509 SJF917509 STB917509 TCX917509 TMT917509 TWP917509 UGL917509 UQH917509 VAD917509 VJZ917509 VTV917509 WDR917509 WNN917509 WXJ917509 BB983045 KX983045 UT983045 AEP983045 AOL983045 AYH983045 BID983045 BRZ983045 CBV983045 CLR983045 CVN983045 DFJ983045 DPF983045 DZB983045 EIX983045 EST983045 FCP983045 FML983045 FWH983045 GGD983045 GPZ983045 GZV983045 HJR983045 HTN983045 IDJ983045 INF983045 IXB983045 JGX983045 JQT983045 KAP983045 KKL983045 KUH983045 LED983045 LNZ983045 LXV983045 MHR983045 MRN983045 NBJ983045 NLF983045 NVB983045 OEX983045 OOT983045 OYP983045 PIL983045 PSH983045 QCD983045 QLZ983045 QVV983045 RFR983045 RPN983045 RZJ983045 SJF983045 STB983045 TCX983045 TMT983045 TWP983045 UGL983045 UQH983045 VAD983045 VJZ983045 VTV983045 WDR983045 WNN983045 WXJ983045 BO4:BO5 LK4:LK5 VG4:VG5 AFC4:AFC5 AOY4:AOY5 AYU4:AYU5 BIQ4:BIQ5 BSM4:BSM5 CCI4:CCI5 CME4:CME5 CWA4:CWA5 DFW4:DFW5 DPS4:DPS5 DZO4:DZO5 EJK4:EJK5 ETG4:ETG5 FDC4:FDC5 FMY4:FMY5 FWU4:FWU5 GGQ4:GGQ5 GQM4:GQM5 HAI4:HAI5 HKE4:HKE5 HUA4:HUA5 IDW4:IDW5 INS4:INS5 IXO4:IXO5 JHK4:JHK5 JRG4:JRG5 KBC4:KBC5 KKY4:KKY5 KUU4:KUU5 LEQ4:LEQ5 LOM4:LOM5 LYI4:LYI5 MIE4:MIE5 MSA4:MSA5 NBW4:NBW5 NLS4:NLS5 NVO4:NVO5 OFK4:OFK5 OPG4:OPG5 OZC4:OZC5 PIY4:PIY5 PSU4:PSU5 QCQ4:QCQ5 QMM4:QMM5 QWI4:QWI5 RGE4:RGE5 RQA4:RQA5 RZW4:RZW5 SJS4:SJS5 STO4:STO5 TDK4:TDK5 TNG4:TNG5 TXC4:TXC5 UGY4:UGY5 UQU4:UQU5 VAQ4:VAQ5 VKM4:VKM5 VUI4:VUI5 WEE4:WEE5 WOA4:WOA5 WXW4:WXW5 BO65540:BO65541 LK65540:LK65541 VG65540:VG65541 AFC65540:AFC65541 AOY65540:AOY65541 AYU65540:AYU65541 BIQ65540:BIQ65541 BSM65540:BSM65541 CCI65540:CCI65541 CME65540:CME65541 CWA65540:CWA65541 DFW65540:DFW65541 DPS65540:DPS65541 DZO65540:DZO65541 EJK65540:EJK65541 ETG65540:ETG65541 FDC65540:FDC65541 FMY65540:FMY65541 FWU65540:FWU65541 GGQ65540:GGQ65541 GQM65540:GQM65541 HAI65540:HAI65541 HKE65540:HKE65541 HUA65540:HUA65541 IDW65540:IDW65541 INS65540:INS65541 IXO65540:IXO65541 JHK65540:JHK65541 JRG65540:JRG65541 KBC65540:KBC65541 KKY65540:KKY65541 KUU65540:KUU65541 LEQ65540:LEQ65541 LOM65540:LOM65541 LYI65540:LYI65541 MIE65540:MIE65541 MSA65540:MSA65541 NBW65540:NBW65541 NLS65540:NLS65541 NVO65540:NVO65541 OFK65540:OFK65541 OPG65540:OPG65541 OZC65540:OZC65541 PIY65540:PIY65541 PSU65540:PSU65541 QCQ65540:QCQ65541 QMM65540:QMM65541 QWI65540:QWI65541 RGE65540:RGE65541 RQA65540:RQA65541 RZW65540:RZW65541 SJS65540:SJS65541 STO65540:STO65541 TDK65540:TDK65541 TNG65540:TNG65541 TXC65540:TXC65541 UGY65540:UGY65541 UQU65540:UQU65541 VAQ65540:VAQ65541 VKM65540:VKM65541 VUI65540:VUI65541 WEE65540:WEE65541 WOA65540:WOA65541 WXW65540:WXW65541 BO131076:BO131077 LK131076:LK131077 VG131076:VG131077 AFC131076:AFC131077 AOY131076:AOY131077 AYU131076:AYU131077 BIQ131076:BIQ131077 BSM131076:BSM131077 CCI131076:CCI131077 CME131076:CME131077 CWA131076:CWA131077 DFW131076:DFW131077 DPS131076:DPS131077 DZO131076:DZO131077 EJK131076:EJK131077 ETG131076:ETG131077 FDC131076:FDC131077 FMY131076:FMY131077 FWU131076:FWU131077 GGQ131076:GGQ131077 GQM131076:GQM131077 HAI131076:HAI131077 HKE131076:HKE131077 HUA131076:HUA131077 IDW131076:IDW131077 INS131076:INS131077 IXO131076:IXO131077 JHK131076:JHK131077 JRG131076:JRG131077 KBC131076:KBC131077 KKY131076:KKY131077 KUU131076:KUU131077 LEQ131076:LEQ131077 LOM131076:LOM131077 LYI131076:LYI131077 MIE131076:MIE131077 MSA131076:MSA131077 NBW131076:NBW131077 NLS131076:NLS131077 NVO131076:NVO131077 OFK131076:OFK131077 OPG131076:OPG131077 OZC131076:OZC131077 PIY131076:PIY131077 PSU131076:PSU131077 QCQ131076:QCQ131077 QMM131076:QMM131077 QWI131076:QWI131077 RGE131076:RGE131077 RQA131076:RQA131077 RZW131076:RZW131077 SJS131076:SJS131077 STO131076:STO131077 TDK131076:TDK131077 TNG131076:TNG131077 TXC131076:TXC131077 UGY131076:UGY131077 UQU131076:UQU131077 VAQ131076:VAQ131077 VKM131076:VKM131077 VUI131076:VUI131077 WEE131076:WEE131077 WOA131076:WOA131077 WXW131076:WXW131077 BO196612:BO196613 LK196612:LK196613 VG196612:VG196613 AFC196612:AFC196613 AOY196612:AOY196613 AYU196612:AYU196613 BIQ196612:BIQ196613 BSM196612:BSM196613 CCI196612:CCI196613 CME196612:CME196613 CWA196612:CWA196613 DFW196612:DFW196613 DPS196612:DPS196613 DZO196612:DZO196613 EJK196612:EJK196613 ETG196612:ETG196613 FDC196612:FDC196613 FMY196612:FMY196613 FWU196612:FWU196613 GGQ196612:GGQ196613 GQM196612:GQM196613 HAI196612:HAI196613 HKE196612:HKE196613 HUA196612:HUA196613 IDW196612:IDW196613 INS196612:INS196613 IXO196612:IXO196613 JHK196612:JHK196613 JRG196612:JRG196613 KBC196612:KBC196613 KKY196612:KKY196613 KUU196612:KUU196613 LEQ196612:LEQ196613 LOM196612:LOM196613 LYI196612:LYI196613 MIE196612:MIE196613 MSA196612:MSA196613 NBW196612:NBW196613 NLS196612:NLS196613 NVO196612:NVO196613 OFK196612:OFK196613 OPG196612:OPG196613 OZC196612:OZC196613 PIY196612:PIY196613 PSU196612:PSU196613 QCQ196612:QCQ196613 QMM196612:QMM196613 QWI196612:QWI196613 RGE196612:RGE196613 RQA196612:RQA196613 RZW196612:RZW196613 SJS196612:SJS196613 STO196612:STO196613 TDK196612:TDK196613 TNG196612:TNG196613 TXC196612:TXC196613 UGY196612:UGY196613 UQU196612:UQU196613 VAQ196612:VAQ196613 VKM196612:VKM196613 VUI196612:VUI196613 WEE196612:WEE196613 WOA196612:WOA196613 WXW196612:WXW196613 BO262148:BO262149 LK262148:LK262149 VG262148:VG262149 AFC262148:AFC262149 AOY262148:AOY262149 AYU262148:AYU262149 BIQ262148:BIQ262149 BSM262148:BSM262149 CCI262148:CCI262149 CME262148:CME262149 CWA262148:CWA262149 DFW262148:DFW262149 DPS262148:DPS262149 DZO262148:DZO262149 EJK262148:EJK262149 ETG262148:ETG262149 FDC262148:FDC262149 FMY262148:FMY262149 FWU262148:FWU262149 GGQ262148:GGQ262149 GQM262148:GQM262149 HAI262148:HAI262149 HKE262148:HKE262149 HUA262148:HUA262149 IDW262148:IDW262149 INS262148:INS262149 IXO262148:IXO262149 JHK262148:JHK262149 JRG262148:JRG262149 KBC262148:KBC262149 KKY262148:KKY262149 KUU262148:KUU262149 LEQ262148:LEQ262149 LOM262148:LOM262149 LYI262148:LYI262149 MIE262148:MIE262149 MSA262148:MSA262149 NBW262148:NBW262149 NLS262148:NLS262149 NVO262148:NVO262149 OFK262148:OFK262149 OPG262148:OPG262149 OZC262148:OZC262149 PIY262148:PIY262149 PSU262148:PSU262149 QCQ262148:QCQ262149 QMM262148:QMM262149 QWI262148:QWI262149 RGE262148:RGE262149 RQA262148:RQA262149 RZW262148:RZW262149 SJS262148:SJS262149 STO262148:STO262149 TDK262148:TDK262149 TNG262148:TNG262149 TXC262148:TXC262149 UGY262148:UGY262149 UQU262148:UQU262149 VAQ262148:VAQ262149 VKM262148:VKM262149 VUI262148:VUI262149 WEE262148:WEE262149 WOA262148:WOA262149 WXW262148:WXW262149 BO327684:BO327685 LK327684:LK327685 VG327684:VG327685 AFC327684:AFC327685 AOY327684:AOY327685 AYU327684:AYU327685 BIQ327684:BIQ327685 BSM327684:BSM327685 CCI327684:CCI327685 CME327684:CME327685 CWA327684:CWA327685 DFW327684:DFW327685 DPS327684:DPS327685 DZO327684:DZO327685 EJK327684:EJK327685 ETG327684:ETG327685 FDC327684:FDC327685 FMY327684:FMY327685 FWU327684:FWU327685 GGQ327684:GGQ327685 GQM327684:GQM327685 HAI327684:HAI327685 HKE327684:HKE327685 HUA327684:HUA327685 IDW327684:IDW327685 INS327684:INS327685 IXO327684:IXO327685 JHK327684:JHK327685 JRG327684:JRG327685 KBC327684:KBC327685 KKY327684:KKY327685 KUU327684:KUU327685 LEQ327684:LEQ327685 LOM327684:LOM327685 LYI327684:LYI327685 MIE327684:MIE327685 MSA327684:MSA327685 NBW327684:NBW327685 NLS327684:NLS327685 NVO327684:NVO327685 OFK327684:OFK327685 OPG327684:OPG327685 OZC327684:OZC327685 PIY327684:PIY327685 PSU327684:PSU327685 QCQ327684:QCQ327685 QMM327684:QMM327685 QWI327684:QWI327685 RGE327684:RGE327685 RQA327684:RQA327685 RZW327684:RZW327685 SJS327684:SJS327685 STO327684:STO327685 TDK327684:TDK327685 TNG327684:TNG327685 TXC327684:TXC327685 UGY327684:UGY327685 UQU327684:UQU327685 VAQ327684:VAQ327685 VKM327684:VKM327685 VUI327684:VUI327685 WEE327684:WEE327685 WOA327684:WOA327685 WXW327684:WXW327685 BO393220:BO393221 LK393220:LK393221 VG393220:VG393221 AFC393220:AFC393221 AOY393220:AOY393221 AYU393220:AYU393221 BIQ393220:BIQ393221 BSM393220:BSM393221 CCI393220:CCI393221 CME393220:CME393221 CWA393220:CWA393221 DFW393220:DFW393221 DPS393220:DPS393221 DZO393220:DZO393221 EJK393220:EJK393221 ETG393220:ETG393221 FDC393220:FDC393221 FMY393220:FMY393221 FWU393220:FWU393221 GGQ393220:GGQ393221 GQM393220:GQM393221 HAI393220:HAI393221 HKE393220:HKE393221 HUA393220:HUA393221 IDW393220:IDW393221 INS393220:INS393221 IXO393220:IXO393221 JHK393220:JHK393221 JRG393220:JRG393221 KBC393220:KBC393221 KKY393220:KKY393221 KUU393220:KUU393221 LEQ393220:LEQ393221 LOM393220:LOM393221 LYI393220:LYI393221 MIE393220:MIE393221 MSA393220:MSA393221 NBW393220:NBW393221 NLS393220:NLS393221 NVO393220:NVO393221 OFK393220:OFK393221 OPG393220:OPG393221 OZC393220:OZC393221 PIY393220:PIY393221 PSU393220:PSU393221 QCQ393220:QCQ393221 QMM393220:QMM393221 QWI393220:QWI393221 RGE393220:RGE393221 RQA393220:RQA393221 RZW393220:RZW393221 SJS393220:SJS393221 STO393220:STO393221 TDK393220:TDK393221 TNG393220:TNG393221 TXC393220:TXC393221 UGY393220:UGY393221 UQU393220:UQU393221 VAQ393220:VAQ393221 VKM393220:VKM393221 VUI393220:VUI393221 WEE393220:WEE393221 WOA393220:WOA393221 WXW393220:WXW393221 BO458756:BO458757 LK458756:LK458757 VG458756:VG458757 AFC458756:AFC458757 AOY458756:AOY458757 AYU458756:AYU458757 BIQ458756:BIQ458757 BSM458756:BSM458757 CCI458756:CCI458757 CME458756:CME458757 CWA458756:CWA458757 DFW458756:DFW458757 DPS458756:DPS458757 DZO458756:DZO458757 EJK458756:EJK458757 ETG458756:ETG458757 FDC458756:FDC458757 FMY458756:FMY458757 FWU458756:FWU458757 GGQ458756:GGQ458757 GQM458756:GQM458757 HAI458756:HAI458757 HKE458756:HKE458757 HUA458756:HUA458757 IDW458756:IDW458757 INS458756:INS458757 IXO458756:IXO458757 JHK458756:JHK458757 JRG458756:JRG458757 KBC458756:KBC458757 KKY458756:KKY458757 KUU458756:KUU458757 LEQ458756:LEQ458757 LOM458756:LOM458757 LYI458756:LYI458757 MIE458756:MIE458757 MSA458756:MSA458757 NBW458756:NBW458757 NLS458756:NLS458757 NVO458756:NVO458757 OFK458756:OFK458757 OPG458756:OPG458757 OZC458756:OZC458757 PIY458756:PIY458757 PSU458756:PSU458757 QCQ458756:QCQ458757 QMM458756:QMM458757 QWI458756:QWI458757 RGE458756:RGE458757 RQA458756:RQA458757 RZW458756:RZW458757 SJS458756:SJS458757 STO458756:STO458757 TDK458756:TDK458757 TNG458756:TNG458757 TXC458756:TXC458757 UGY458756:UGY458757 UQU458756:UQU458757 VAQ458756:VAQ458757 VKM458756:VKM458757 VUI458756:VUI458757 WEE458756:WEE458757 WOA458756:WOA458757 WXW458756:WXW458757 BO524292:BO524293 LK524292:LK524293 VG524292:VG524293 AFC524292:AFC524293 AOY524292:AOY524293 AYU524292:AYU524293 BIQ524292:BIQ524293 BSM524292:BSM524293 CCI524292:CCI524293 CME524292:CME524293 CWA524292:CWA524293 DFW524292:DFW524293 DPS524292:DPS524293 DZO524292:DZO524293 EJK524292:EJK524293 ETG524292:ETG524293 FDC524292:FDC524293 FMY524292:FMY524293 FWU524292:FWU524293 GGQ524292:GGQ524293 GQM524292:GQM524293 HAI524292:HAI524293 HKE524292:HKE524293 HUA524292:HUA524293 IDW524292:IDW524293 INS524292:INS524293 IXO524292:IXO524293 JHK524292:JHK524293 JRG524292:JRG524293 KBC524292:KBC524293 KKY524292:KKY524293 KUU524292:KUU524293 LEQ524292:LEQ524293 LOM524292:LOM524293 LYI524292:LYI524293 MIE524292:MIE524293 MSA524292:MSA524293 NBW524292:NBW524293 NLS524292:NLS524293 NVO524292:NVO524293 OFK524292:OFK524293 OPG524292:OPG524293 OZC524292:OZC524293 PIY524292:PIY524293 PSU524292:PSU524293 QCQ524292:QCQ524293 QMM524292:QMM524293 QWI524292:QWI524293 RGE524292:RGE524293 RQA524292:RQA524293 RZW524292:RZW524293 SJS524292:SJS524293 STO524292:STO524293 TDK524292:TDK524293 TNG524292:TNG524293 TXC524292:TXC524293 UGY524292:UGY524293 UQU524292:UQU524293 VAQ524292:VAQ524293 VKM524292:VKM524293 VUI524292:VUI524293 WEE524292:WEE524293 WOA524292:WOA524293 WXW524292:WXW524293 BO589828:BO589829 LK589828:LK589829 VG589828:VG589829 AFC589828:AFC589829 AOY589828:AOY589829 AYU589828:AYU589829 BIQ589828:BIQ589829 BSM589828:BSM589829 CCI589828:CCI589829 CME589828:CME589829 CWA589828:CWA589829 DFW589828:DFW589829 DPS589828:DPS589829 DZO589828:DZO589829 EJK589828:EJK589829 ETG589828:ETG589829 FDC589828:FDC589829 FMY589828:FMY589829 FWU589828:FWU589829 GGQ589828:GGQ589829 GQM589828:GQM589829 HAI589828:HAI589829 HKE589828:HKE589829 HUA589828:HUA589829 IDW589828:IDW589829 INS589828:INS589829 IXO589828:IXO589829 JHK589828:JHK589829 JRG589828:JRG589829 KBC589828:KBC589829 KKY589828:KKY589829 KUU589828:KUU589829 LEQ589828:LEQ589829 LOM589828:LOM589829 LYI589828:LYI589829 MIE589828:MIE589829 MSA589828:MSA589829 NBW589828:NBW589829 NLS589828:NLS589829 NVO589828:NVO589829 OFK589828:OFK589829 OPG589828:OPG589829 OZC589828:OZC589829 PIY589828:PIY589829 PSU589828:PSU589829 QCQ589828:QCQ589829 QMM589828:QMM589829 QWI589828:QWI589829 RGE589828:RGE589829 RQA589828:RQA589829 RZW589828:RZW589829 SJS589828:SJS589829 STO589828:STO589829 TDK589828:TDK589829 TNG589828:TNG589829 TXC589828:TXC589829 UGY589828:UGY589829 UQU589828:UQU589829 VAQ589828:VAQ589829 VKM589828:VKM589829 VUI589828:VUI589829 WEE589828:WEE589829 WOA589828:WOA589829 WXW589828:WXW589829 BO655364:BO655365 LK655364:LK655365 VG655364:VG655365 AFC655364:AFC655365 AOY655364:AOY655365 AYU655364:AYU655365 BIQ655364:BIQ655365 BSM655364:BSM655365 CCI655364:CCI655365 CME655364:CME655365 CWA655364:CWA655365 DFW655364:DFW655365 DPS655364:DPS655365 DZO655364:DZO655365 EJK655364:EJK655365 ETG655364:ETG655365 FDC655364:FDC655365 FMY655364:FMY655365 FWU655364:FWU655365 GGQ655364:GGQ655365 GQM655364:GQM655365 HAI655364:HAI655365 HKE655364:HKE655365 HUA655364:HUA655365 IDW655364:IDW655365 INS655364:INS655365 IXO655364:IXO655365 JHK655364:JHK655365 JRG655364:JRG655365 KBC655364:KBC655365 KKY655364:KKY655365 KUU655364:KUU655365 LEQ655364:LEQ655365 LOM655364:LOM655365 LYI655364:LYI655365 MIE655364:MIE655365 MSA655364:MSA655365 NBW655364:NBW655365 NLS655364:NLS655365 NVO655364:NVO655365 OFK655364:OFK655365 OPG655364:OPG655365 OZC655364:OZC655365 PIY655364:PIY655365 PSU655364:PSU655365 QCQ655364:QCQ655365 QMM655364:QMM655365 QWI655364:QWI655365 RGE655364:RGE655365 RQA655364:RQA655365 RZW655364:RZW655365 SJS655364:SJS655365 STO655364:STO655365 TDK655364:TDK655365 TNG655364:TNG655365 TXC655364:TXC655365 UGY655364:UGY655365 UQU655364:UQU655365 VAQ655364:VAQ655365 VKM655364:VKM655365 VUI655364:VUI655365 WEE655364:WEE655365 WOA655364:WOA655365 WXW655364:WXW655365 BO720900:BO720901 LK720900:LK720901 VG720900:VG720901 AFC720900:AFC720901 AOY720900:AOY720901 AYU720900:AYU720901 BIQ720900:BIQ720901 BSM720900:BSM720901 CCI720900:CCI720901 CME720900:CME720901 CWA720900:CWA720901 DFW720900:DFW720901 DPS720900:DPS720901 DZO720900:DZO720901 EJK720900:EJK720901 ETG720900:ETG720901 FDC720900:FDC720901 FMY720900:FMY720901 FWU720900:FWU720901 GGQ720900:GGQ720901 GQM720900:GQM720901 HAI720900:HAI720901 HKE720900:HKE720901 HUA720900:HUA720901 IDW720900:IDW720901 INS720900:INS720901 IXO720900:IXO720901 JHK720900:JHK720901 JRG720900:JRG720901 KBC720900:KBC720901 KKY720900:KKY720901 KUU720900:KUU720901 LEQ720900:LEQ720901 LOM720900:LOM720901 LYI720900:LYI720901 MIE720900:MIE720901 MSA720900:MSA720901 NBW720900:NBW720901 NLS720900:NLS720901 NVO720900:NVO720901 OFK720900:OFK720901 OPG720900:OPG720901 OZC720900:OZC720901 PIY720900:PIY720901 PSU720900:PSU720901 QCQ720900:QCQ720901 QMM720900:QMM720901 QWI720900:QWI720901 RGE720900:RGE720901 RQA720900:RQA720901 RZW720900:RZW720901 SJS720900:SJS720901 STO720900:STO720901 TDK720900:TDK720901 TNG720900:TNG720901 TXC720900:TXC720901 UGY720900:UGY720901 UQU720900:UQU720901 VAQ720900:VAQ720901 VKM720900:VKM720901 VUI720900:VUI720901 WEE720900:WEE720901 WOA720900:WOA720901 WXW720900:WXW720901 BO786436:BO786437 LK786436:LK786437 VG786436:VG786437 AFC786436:AFC786437 AOY786436:AOY786437 AYU786436:AYU786437 BIQ786436:BIQ786437 BSM786436:BSM786437 CCI786436:CCI786437 CME786436:CME786437 CWA786436:CWA786437 DFW786436:DFW786437 DPS786436:DPS786437 DZO786436:DZO786437 EJK786436:EJK786437 ETG786436:ETG786437 FDC786436:FDC786437 FMY786436:FMY786437 FWU786436:FWU786437 GGQ786436:GGQ786437 GQM786436:GQM786437 HAI786436:HAI786437 HKE786436:HKE786437 HUA786436:HUA786437 IDW786436:IDW786437 INS786436:INS786437 IXO786436:IXO786437 JHK786436:JHK786437 JRG786436:JRG786437 KBC786436:KBC786437 KKY786436:KKY786437 KUU786436:KUU786437 LEQ786436:LEQ786437 LOM786436:LOM786437 LYI786436:LYI786437 MIE786436:MIE786437 MSA786436:MSA786437 NBW786436:NBW786437 NLS786436:NLS786437 NVO786436:NVO786437 OFK786436:OFK786437 OPG786436:OPG786437 OZC786436:OZC786437 PIY786436:PIY786437 PSU786436:PSU786437 QCQ786436:QCQ786437 QMM786436:QMM786437 QWI786436:QWI786437 RGE786436:RGE786437 RQA786436:RQA786437 RZW786436:RZW786437 SJS786436:SJS786437 STO786436:STO786437 TDK786436:TDK786437 TNG786436:TNG786437 TXC786436:TXC786437 UGY786436:UGY786437 UQU786436:UQU786437 VAQ786436:VAQ786437 VKM786436:VKM786437 VUI786436:VUI786437 WEE786436:WEE786437 WOA786436:WOA786437 WXW786436:WXW786437 BO851972:BO851973 LK851972:LK851973 VG851972:VG851973 AFC851972:AFC851973 AOY851972:AOY851973 AYU851972:AYU851973 BIQ851972:BIQ851973 BSM851972:BSM851973 CCI851972:CCI851973 CME851972:CME851973 CWA851972:CWA851973 DFW851972:DFW851973 DPS851972:DPS851973 DZO851972:DZO851973 EJK851972:EJK851973 ETG851972:ETG851973 FDC851972:FDC851973 FMY851972:FMY851973 FWU851972:FWU851973 GGQ851972:GGQ851973 GQM851972:GQM851973 HAI851972:HAI851973 HKE851972:HKE851973 HUA851972:HUA851973 IDW851972:IDW851973 INS851972:INS851973 IXO851972:IXO851973 JHK851972:JHK851973 JRG851972:JRG851973 KBC851972:KBC851973 KKY851972:KKY851973 KUU851972:KUU851973 LEQ851972:LEQ851973 LOM851972:LOM851973 LYI851972:LYI851973 MIE851972:MIE851973 MSA851972:MSA851973 NBW851972:NBW851973 NLS851972:NLS851973 NVO851972:NVO851973 OFK851972:OFK851973 OPG851972:OPG851973 OZC851972:OZC851973 PIY851972:PIY851973 PSU851972:PSU851973 QCQ851972:QCQ851973 QMM851972:QMM851973 QWI851972:QWI851973 RGE851972:RGE851973 RQA851972:RQA851973 RZW851972:RZW851973 SJS851972:SJS851973 STO851972:STO851973 TDK851972:TDK851973 TNG851972:TNG851973 TXC851972:TXC851973 UGY851972:UGY851973 UQU851972:UQU851973 VAQ851972:VAQ851973 VKM851972:VKM851973 VUI851972:VUI851973 WEE851972:WEE851973 WOA851972:WOA851973 WXW851972:WXW851973 BO917508:BO917509 LK917508:LK917509 VG917508:VG917509 AFC917508:AFC917509 AOY917508:AOY917509 AYU917508:AYU917509 BIQ917508:BIQ917509 BSM917508:BSM917509 CCI917508:CCI917509 CME917508:CME917509 CWA917508:CWA917509 DFW917508:DFW917509 DPS917508:DPS917509 DZO917508:DZO917509 EJK917508:EJK917509 ETG917508:ETG917509 FDC917508:FDC917509 FMY917508:FMY917509 FWU917508:FWU917509 GGQ917508:GGQ917509 GQM917508:GQM917509 HAI917508:HAI917509 HKE917508:HKE917509 HUA917508:HUA917509 IDW917508:IDW917509 INS917508:INS917509 IXO917508:IXO917509 JHK917508:JHK917509 JRG917508:JRG917509 KBC917508:KBC917509 KKY917508:KKY917509 KUU917508:KUU917509 LEQ917508:LEQ917509 LOM917508:LOM917509 LYI917508:LYI917509 MIE917508:MIE917509 MSA917508:MSA917509 NBW917508:NBW917509 NLS917508:NLS917509 NVO917508:NVO917509 OFK917508:OFK917509 OPG917508:OPG917509 OZC917508:OZC917509 PIY917508:PIY917509 PSU917508:PSU917509 QCQ917508:QCQ917509 QMM917508:QMM917509 QWI917508:QWI917509 RGE917508:RGE917509 RQA917508:RQA917509 RZW917508:RZW917509 SJS917508:SJS917509 STO917508:STO917509 TDK917508:TDK917509 TNG917508:TNG917509 TXC917508:TXC917509 UGY917508:UGY917509 UQU917508:UQU917509 VAQ917508:VAQ917509 VKM917508:VKM917509 VUI917508:VUI917509 WEE917508:WEE917509 WOA917508:WOA917509 WXW917508:WXW917509 BO983044:BO983045 LK983044:LK983045 VG983044:VG983045 AFC983044:AFC983045 AOY983044:AOY983045 AYU983044:AYU983045 BIQ983044:BIQ983045 BSM983044:BSM983045 CCI983044:CCI983045 CME983044:CME983045 CWA983044:CWA983045 DFW983044:DFW983045 DPS983044:DPS983045 DZO983044:DZO983045 EJK983044:EJK983045 ETG983044:ETG983045 FDC983044:FDC983045 FMY983044:FMY983045 FWU983044:FWU983045 GGQ983044:GGQ983045 GQM983044:GQM983045 HAI983044:HAI983045 HKE983044:HKE983045 HUA983044:HUA983045 IDW983044:IDW983045 INS983044:INS983045 IXO983044:IXO983045 JHK983044:JHK983045 JRG983044:JRG983045 KBC983044:KBC983045 KKY983044:KKY983045 KUU983044:KUU983045 LEQ983044:LEQ983045 LOM983044:LOM983045 LYI983044:LYI983045 MIE983044:MIE983045 MSA983044:MSA983045 NBW983044:NBW983045 NLS983044:NLS983045 NVO983044:NVO983045 OFK983044:OFK983045 OPG983044:OPG983045 OZC983044:OZC983045 PIY983044:PIY983045 PSU983044:PSU983045 QCQ983044:QCQ983045 QMM983044:QMM983045 QWI983044:QWI983045 RGE983044:RGE983045 RQA983044:RQA983045 RZW983044:RZW983045 SJS983044:SJS983045 STO983044:STO983045 TDK983044:TDK983045 TNG983044:TNG983045 TXC983044:TXC983045 UGY983044:UGY983045 UQU983044:UQU983045 VAQ983044:VAQ983045 VKM983044:VKM983045 VUI983044:VUI983045 WEE983044:WEE983045 WOA983044:WOA983045 WXW983044:WXW983045 AQ4:AQ5 KM4:KM5 UI4:UI5 AEE4:AEE5 AOA4:AOA5 AXW4:AXW5 BHS4:BHS5 BRO4:BRO5 CBK4:CBK5 CLG4:CLG5 CVC4:CVC5 DEY4:DEY5 DOU4:DOU5 DYQ4:DYQ5 EIM4:EIM5 ESI4:ESI5 FCE4:FCE5 FMA4:FMA5 FVW4:FVW5 GFS4:GFS5 GPO4:GPO5 GZK4:GZK5 HJG4:HJG5 HTC4:HTC5 ICY4:ICY5 IMU4:IMU5 IWQ4:IWQ5 JGM4:JGM5 JQI4:JQI5 KAE4:KAE5 KKA4:KKA5 KTW4:KTW5 LDS4:LDS5 LNO4:LNO5 LXK4:LXK5 MHG4:MHG5 MRC4:MRC5 NAY4:NAY5 NKU4:NKU5 NUQ4:NUQ5 OEM4:OEM5 OOI4:OOI5 OYE4:OYE5 PIA4:PIA5 PRW4:PRW5 QBS4:QBS5 QLO4:QLO5 QVK4:QVK5 RFG4:RFG5 RPC4:RPC5 RYY4:RYY5 SIU4:SIU5 SSQ4:SSQ5 TCM4:TCM5 TMI4:TMI5 TWE4:TWE5 UGA4:UGA5 UPW4:UPW5 UZS4:UZS5 VJO4:VJO5 VTK4:VTK5 WDG4:WDG5 WNC4:WNC5 WWY4:WWY5 AQ65540:AQ65541 KM65540:KM65541 UI65540:UI65541 AEE65540:AEE65541 AOA65540:AOA65541 AXW65540:AXW65541 BHS65540:BHS65541 BRO65540:BRO65541 CBK65540:CBK65541 CLG65540:CLG65541 CVC65540:CVC65541 DEY65540:DEY65541 DOU65540:DOU65541 DYQ65540:DYQ65541 EIM65540:EIM65541 ESI65540:ESI65541 FCE65540:FCE65541 FMA65540:FMA65541 FVW65540:FVW65541 GFS65540:GFS65541 GPO65540:GPO65541 GZK65540:GZK65541 HJG65540:HJG65541 HTC65540:HTC65541 ICY65540:ICY65541 IMU65540:IMU65541 IWQ65540:IWQ65541 JGM65540:JGM65541 JQI65540:JQI65541 KAE65540:KAE65541 KKA65540:KKA65541 KTW65540:KTW65541 LDS65540:LDS65541 LNO65540:LNO65541 LXK65540:LXK65541 MHG65540:MHG65541 MRC65540:MRC65541 NAY65540:NAY65541 NKU65540:NKU65541 NUQ65540:NUQ65541 OEM65540:OEM65541 OOI65540:OOI65541 OYE65540:OYE65541 PIA65540:PIA65541 PRW65540:PRW65541 QBS65540:QBS65541 QLO65540:QLO65541 QVK65540:QVK65541 RFG65540:RFG65541 RPC65540:RPC65541 RYY65540:RYY65541 SIU65540:SIU65541 SSQ65540:SSQ65541 TCM65540:TCM65541 TMI65540:TMI65541 TWE65540:TWE65541 UGA65540:UGA65541 UPW65540:UPW65541 UZS65540:UZS65541 VJO65540:VJO65541 VTK65540:VTK65541 WDG65540:WDG65541 WNC65540:WNC65541 WWY65540:WWY65541 AQ131076:AQ131077 KM131076:KM131077 UI131076:UI131077 AEE131076:AEE131077 AOA131076:AOA131077 AXW131076:AXW131077 BHS131076:BHS131077 BRO131076:BRO131077 CBK131076:CBK131077 CLG131076:CLG131077 CVC131076:CVC131077 DEY131076:DEY131077 DOU131076:DOU131077 DYQ131076:DYQ131077 EIM131076:EIM131077 ESI131076:ESI131077 FCE131076:FCE131077 FMA131076:FMA131077 FVW131076:FVW131077 GFS131076:GFS131077 GPO131076:GPO131077 GZK131076:GZK131077 HJG131076:HJG131077 HTC131076:HTC131077 ICY131076:ICY131077 IMU131076:IMU131077 IWQ131076:IWQ131077 JGM131076:JGM131077 JQI131076:JQI131077 KAE131076:KAE131077 KKA131076:KKA131077 KTW131076:KTW131077 LDS131076:LDS131077 LNO131076:LNO131077 LXK131076:LXK131077 MHG131076:MHG131077 MRC131076:MRC131077 NAY131076:NAY131077 NKU131076:NKU131077 NUQ131076:NUQ131077 OEM131076:OEM131077 OOI131076:OOI131077 OYE131076:OYE131077 PIA131076:PIA131077 PRW131076:PRW131077 QBS131076:QBS131077 QLO131076:QLO131077 QVK131076:QVK131077 RFG131076:RFG131077 RPC131076:RPC131077 RYY131076:RYY131077 SIU131076:SIU131077 SSQ131076:SSQ131077 TCM131076:TCM131077 TMI131076:TMI131077 TWE131076:TWE131077 UGA131076:UGA131077 UPW131076:UPW131077 UZS131076:UZS131077 VJO131076:VJO131077 VTK131076:VTK131077 WDG131076:WDG131077 WNC131076:WNC131077 WWY131076:WWY131077 AQ196612:AQ196613 KM196612:KM196613 UI196612:UI196613 AEE196612:AEE196613 AOA196612:AOA196613 AXW196612:AXW196613 BHS196612:BHS196613 BRO196612:BRO196613 CBK196612:CBK196613 CLG196612:CLG196613 CVC196612:CVC196613 DEY196612:DEY196613 DOU196612:DOU196613 DYQ196612:DYQ196613 EIM196612:EIM196613 ESI196612:ESI196613 FCE196612:FCE196613 FMA196612:FMA196613 FVW196612:FVW196613 GFS196612:GFS196613 GPO196612:GPO196613 GZK196612:GZK196613 HJG196612:HJG196613 HTC196612:HTC196613 ICY196612:ICY196613 IMU196612:IMU196613 IWQ196612:IWQ196613 JGM196612:JGM196613 JQI196612:JQI196613 KAE196612:KAE196613 KKA196612:KKA196613 KTW196612:KTW196613 LDS196612:LDS196613 LNO196612:LNO196613 LXK196612:LXK196613 MHG196612:MHG196613 MRC196612:MRC196613 NAY196612:NAY196613 NKU196612:NKU196613 NUQ196612:NUQ196613 OEM196612:OEM196613 OOI196612:OOI196613 OYE196612:OYE196613 PIA196612:PIA196613 PRW196612:PRW196613 QBS196612:QBS196613 QLO196612:QLO196613 QVK196612:QVK196613 RFG196612:RFG196613 RPC196612:RPC196613 RYY196612:RYY196613 SIU196612:SIU196613 SSQ196612:SSQ196613 TCM196612:TCM196613 TMI196612:TMI196613 TWE196612:TWE196613 UGA196612:UGA196613 UPW196612:UPW196613 UZS196612:UZS196613 VJO196612:VJO196613 VTK196612:VTK196613 WDG196612:WDG196613 WNC196612:WNC196613 WWY196612:WWY196613 AQ262148:AQ262149 KM262148:KM262149 UI262148:UI262149 AEE262148:AEE262149 AOA262148:AOA262149 AXW262148:AXW262149 BHS262148:BHS262149 BRO262148:BRO262149 CBK262148:CBK262149 CLG262148:CLG262149 CVC262148:CVC262149 DEY262148:DEY262149 DOU262148:DOU262149 DYQ262148:DYQ262149 EIM262148:EIM262149 ESI262148:ESI262149 FCE262148:FCE262149 FMA262148:FMA262149 FVW262148:FVW262149 GFS262148:GFS262149 GPO262148:GPO262149 GZK262148:GZK262149 HJG262148:HJG262149 HTC262148:HTC262149 ICY262148:ICY262149 IMU262148:IMU262149 IWQ262148:IWQ262149 JGM262148:JGM262149 JQI262148:JQI262149 KAE262148:KAE262149 KKA262148:KKA262149 KTW262148:KTW262149 LDS262148:LDS262149 LNO262148:LNO262149 LXK262148:LXK262149 MHG262148:MHG262149 MRC262148:MRC262149 NAY262148:NAY262149 NKU262148:NKU262149 NUQ262148:NUQ262149 OEM262148:OEM262149 OOI262148:OOI262149 OYE262148:OYE262149 PIA262148:PIA262149 PRW262148:PRW262149 QBS262148:QBS262149 QLO262148:QLO262149 QVK262148:QVK262149 RFG262148:RFG262149 RPC262148:RPC262149 RYY262148:RYY262149 SIU262148:SIU262149 SSQ262148:SSQ262149 TCM262148:TCM262149 TMI262148:TMI262149 TWE262148:TWE262149 UGA262148:UGA262149 UPW262148:UPW262149 UZS262148:UZS262149 VJO262148:VJO262149 VTK262148:VTK262149 WDG262148:WDG262149 WNC262148:WNC262149 WWY262148:WWY262149 AQ327684:AQ327685 KM327684:KM327685 UI327684:UI327685 AEE327684:AEE327685 AOA327684:AOA327685 AXW327684:AXW327685 BHS327684:BHS327685 BRO327684:BRO327685 CBK327684:CBK327685 CLG327684:CLG327685 CVC327684:CVC327685 DEY327684:DEY327685 DOU327684:DOU327685 DYQ327684:DYQ327685 EIM327684:EIM327685 ESI327684:ESI327685 FCE327684:FCE327685 FMA327684:FMA327685 FVW327684:FVW327685 GFS327684:GFS327685 GPO327684:GPO327685 GZK327684:GZK327685 HJG327684:HJG327685 HTC327684:HTC327685 ICY327684:ICY327685 IMU327684:IMU327685 IWQ327684:IWQ327685 JGM327684:JGM327685 JQI327684:JQI327685 KAE327684:KAE327685 KKA327684:KKA327685 KTW327684:KTW327685 LDS327684:LDS327685 LNO327684:LNO327685 LXK327684:LXK327685 MHG327684:MHG327685 MRC327684:MRC327685 NAY327684:NAY327685 NKU327684:NKU327685 NUQ327684:NUQ327685 OEM327684:OEM327685 OOI327684:OOI327685 OYE327684:OYE327685 PIA327684:PIA327685 PRW327684:PRW327685 QBS327684:QBS327685 QLO327684:QLO327685 QVK327684:QVK327685 RFG327684:RFG327685 RPC327684:RPC327685 RYY327684:RYY327685 SIU327684:SIU327685 SSQ327684:SSQ327685 TCM327684:TCM327685 TMI327684:TMI327685 TWE327684:TWE327685 UGA327684:UGA327685 UPW327684:UPW327685 UZS327684:UZS327685 VJO327684:VJO327685 VTK327684:VTK327685 WDG327684:WDG327685 WNC327684:WNC327685 WWY327684:WWY327685 AQ393220:AQ393221 KM393220:KM393221 UI393220:UI393221 AEE393220:AEE393221 AOA393220:AOA393221 AXW393220:AXW393221 BHS393220:BHS393221 BRO393220:BRO393221 CBK393220:CBK393221 CLG393220:CLG393221 CVC393220:CVC393221 DEY393220:DEY393221 DOU393220:DOU393221 DYQ393220:DYQ393221 EIM393220:EIM393221 ESI393220:ESI393221 FCE393220:FCE393221 FMA393220:FMA393221 FVW393220:FVW393221 GFS393220:GFS393221 GPO393220:GPO393221 GZK393220:GZK393221 HJG393220:HJG393221 HTC393220:HTC393221 ICY393220:ICY393221 IMU393220:IMU393221 IWQ393220:IWQ393221 JGM393220:JGM393221 JQI393220:JQI393221 KAE393220:KAE393221 KKA393220:KKA393221 KTW393220:KTW393221 LDS393220:LDS393221 LNO393220:LNO393221 LXK393220:LXK393221 MHG393220:MHG393221 MRC393220:MRC393221 NAY393220:NAY393221 NKU393220:NKU393221 NUQ393220:NUQ393221 OEM393220:OEM393221 OOI393220:OOI393221 OYE393220:OYE393221 PIA393220:PIA393221 PRW393220:PRW393221 QBS393220:QBS393221 QLO393220:QLO393221 QVK393220:QVK393221 RFG393220:RFG393221 RPC393220:RPC393221 RYY393220:RYY393221 SIU393220:SIU393221 SSQ393220:SSQ393221 TCM393220:TCM393221 TMI393220:TMI393221 TWE393220:TWE393221 UGA393220:UGA393221 UPW393220:UPW393221 UZS393220:UZS393221 VJO393220:VJO393221 VTK393220:VTK393221 WDG393220:WDG393221 WNC393220:WNC393221 WWY393220:WWY393221 AQ458756:AQ458757 KM458756:KM458757 UI458756:UI458757 AEE458756:AEE458757 AOA458756:AOA458757 AXW458756:AXW458757 BHS458756:BHS458757 BRO458756:BRO458757 CBK458756:CBK458757 CLG458756:CLG458757 CVC458756:CVC458757 DEY458756:DEY458757 DOU458756:DOU458757 DYQ458756:DYQ458757 EIM458756:EIM458757 ESI458756:ESI458757 FCE458756:FCE458757 FMA458756:FMA458757 FVW458756:FVW458757 GFS458756:GFS458757 GPO458756:GPO458757 GZK458756:GZK458757 HJG458756:HJG458757 HTC458756:HTC458757 ICY458756:ICY458757 IMU458756:IMU458757 IWQ458756:IWQ458757 JGM458756:JGM458757 JQI458756:JQI458757 KAE458756:KAE458757 KKA458756:KKA458757 KTW458756:KTW458757 LDS458756:LDS458757 LNO458756:LNO458757 LXK458756:LXK458757 MHG458756:MHG458757 MRC458756:MRC458757 NAY458756:NAY458757 NKU458756:NKU458757 NUQ458756:NUQ458757 OEM458756:OEM458757 OOI458756:OOI458757 OYE458756:OYE458757 PIA458756:PIA458757 PRW458756:PRW458757 QBS458756:QBS458757 QLO458756:QLO458757 QVK458756:QVK458757 RFG458756:RFG458757 RPC458756:RPC458757 RYY458756:RYY458757 SIU458756:SIU458757 SSQ458756:SSQ458757 TCM458756:TCM458757 TMI458756:TMI458757 TWE458756:TWE458757 UGA458756:UGA458757 UPW458756:UPW458757 UZS458756:UZS458757 VJO458756:VJO458757 VTK458756:VTK458757 WDG458756:WDG458757 WNC458756:WNC458757 WWY458756:WWY458757 AQ524292:AQ524293 KM524292:KM524293 UI524292:UI524293 AEE524292:AEE524293 AOA524292:AOA524293 AXW524292:AXW524293 BHS524292:BHS524293 BRO524292:BRO524293 CBK524292:CBK524293 CLG524292:CLG524293 CVC524292:CVC524293 DEY524292:DEY524293 DOU524292:DOU524293 DYQ524292:DYQ524293 EIM524292:EIM524293 ESI524292:ESI524293 FCE524292:FCE524293 FMA524292:FMA524293 FVW524292:FVW524293 GFS524292:GFS524293 GPO524292:GPO524293 GZK524292:GZK524293 HJG524292:HJG524293 HTC524292:HTC524293 ICY524292:ICY524293 IMU524292:IMU524293 IWQ524292:IWQ524293 JGM524292:JGM524293 JQI524292:JQI524293 KAE524292:KAE524293 KKA524292:KKA524293 KTW524292:KTW524293 LDS524292:LDS524293 LNO524292:LNO524293 LXK524292:LXK524293 MHG524292:MHG524293 MRC524292:MRC524293 NAY524292:NAY524293 NKU524292:NKU524293 NUQ524292:NUQ524293 OEM524292:OEM524293 OOI524292:OOI524293 OYE524292:OYE524293 PIA524292:PIA524293 PRW524292:PRW524293 QBS524292:QBS524293 QLO524292:QLO524293 QVK524292:QVK524293 RFG524292:RFG524293 RPC524292:RPC524293 RYY524292:RYY524293 SIU524292:SIU524293 SSQ524292:SSQ524293 TCM524292:TCM524293 TMI524292:TMI524293 TWE524292:TWE524293 UGA524292:UGA524293 UPW524292:UPW524293 UZS524292:UZS524293 VJO524292:VJO524293 VTK524292:VTK524293 WDG524292:WDG524293 WNC524292:WNC524293 WWY524292:WWY524293 AQ589828:AQ589829 KM589828:KM589829 UI589828:UI589829 AEE589828:AEE589829 AOA589828:AOA589829 AXW589828:AXW589829 BHS589828:BHS589829 BRO589828:BRO589829 CBK589828:CBK589829 CLG589828:CLG589829 CVC589828:CVC589829 DEY589828:DEY589829 DOU589828:DOU589829 DYQ589828:DYQ589829 EIM589828:EIM589829 ESI589828:ESI589829 FCE589828:FCE589829 FMA589828:FMA589829 FVW589828:FVW589829 GFS589828:GFS589829 GPO589828:GPO589829 GZK589828:GZK589829 HJG589828:HJG589829 HTC589828:HTC589829 ICY589828:ICY589829 IMU589828:IMU589829 IWQ589828:IWQ589829 JGM589828:JGM589829 JQI589828:JQI589829 KAE589828:KAE589829 KKA589828:KKA589829 KTW589828:KTW589829 LDS589828:LDS589829 LNO589828:LNO589829 LXK589828:LXK589829 MHG589828:MHG589829 MRC589828:MRC589829 NAY589828:NAY589829 NKU589828:NKU589829 NUQ589828:NUQ589829 OEM589828:OEM589829 OOI589828:OOI589829 OYE589828:OYE589829 PIA589828:PIA589829 PRW589828:PRW589829 QBS589828:QBS589829 QLO589828:QLO589829 QVK589828:QVK589829 RFG589828:RFG589829 RPC589828:RPC589829 RYY589828:RYY589829 SIU589828:SIU589829 SSQ589828:SSQ589829 TCM589828:TCM589829 TMI589828:TMI589829 TWE589828:TWE589829 UGA589828:UGA589829 UPW589828:UPW589829 UZS589828:UZS589829 VJO589828:VJO589829 VTK589828:VTK589829 WDG589828:WDG589829 WNC589828:WNC589829 WWY589828:WWY589829 AQ655364:AQ655365 KM655364:KM655365 UI655364:UI655365 AEE655364:AEE655365 AOA655364:AOA655365 AXW655364:AXW655365 BHS655364:BHS655365 BRO655364:BRO655365 CBK655364:CBK655365 CLG655364:CLG655365 CVC655364:CVC655365 DEY655364:DEY655365 DOU655364:DOU655365 DYQ655364:DYQ655365 EIM655364:EIM655365 ESI655364:ESI655365 FCE655364:FCE655365 FMA655364:FMA655365 FVW655364:FVW655365 GFS655364:GFS655365 GPO655364:GPO655365 GZK655364:GZK655365 HJG655364:HJG655365 HTC655364:HTC655365 ICY655364:ICY655365 IMU655364:IMU655365 IWQ655364:IWQ655365 JGM655364:JGM655365 JQI655364:JQI655365 KAE655364:KAE655365 KKA655364:KKA655365 KTW655364:KTW655365 LDS655364:LDS655365 LNO655364:LNO655365 LXK655364:LXK655365 MHG655364:MHG655365 MRC655364:MRC655365 NAY655364:NAY655365 NKU655364:NKU655365 NUQ655364:NUQ655365 OEM655364:OEM655365 OOI655364:OOI655365 OYE655364:OYE655365 PIA655364:PIA655365 PRW655364:PRW655365 QBS655364:QBS655365 QLO655364:QLO655365 QVK655364:QVK655365 RFG655364:RFG655365 RPC655364:RPC655365 RYY655364:RYY655365 SIU655364:SIU655365 SSQ655364:SSQ655365 TCM655364:TCM655365 TMI655364:TMI655365 TWE655364:TWE655365 UGA655364:UGA655365 UPW655364:UPW655365 UZS655364:UZS655365 VJO655364:VJO655365 VTK655364:VTK655365 WDG655364:WDG655365 WNC655364:WNC655365 WWY655364:WWY655365 AQ720900:AQ720901 KM720900:KM720901 UI720900:UI720901 AEE720900:AEE720901 AOA720900:AOA720901 AXW720900:AXW720901 BHS720900:BHS720901 BRO720900:BRO720901 CBK720900:CBK720901 CLG720900:CLG720901 CVC720900:CVC720901 DEY720900:DEY720901 DOU720900:DOU720901 DYQ720900:DYQ720901 EIM720900:EIM720901 ESI720900:ESI720901 FCE720900:FCE720901 FMA720900:FMA720901 FVW720900:FVW720901 GFS720900:GFS720901 GPO720900:GPO720901 GZK720900:GZK720901 HJG720900:HJG720901 HTC720900:HTC720901 ICY720900:ICY720901 IMU720900:IMU720901 IWQ720900:IWQ720901 JGM720900:JGM720901 JQI720900:JQI720901 KAE720900:KAE720901 KKA720900:KKA720901 KTW720900:KTW720901 LDS720900:LDS720901 LNO720900:LNO720901 LXK720900:LXK720901 MHG720900:MHG720901 MRC720900:MRC720901 NAY720900:NAY720901 NKU720900:NKU720901 NUQ720900:NUQ720901 OEM720900:OEM720901 OOI720900:OOI720901 OYE720900:OYE720901 PIA720900:PIA720901 PRW720900:PRW720901 QBS720900:QBS720901 QLO720900:QLO720901 QVK720900:QVK720901 RFG720900:RFG720901 RPC720900:RPC720901 RYY720900:RYY720901 SIU720900:SIU720901 SSQ720900:SSQ720901 TCM720900:TCM720901 TMI720900:TMI720901 TWE720900:TWE720901 UGA720900:UGA720901 UPW720900:UPW720901 UZS720900:UZS720901 VJO720900:VJO720901 VTK720900:VTK720901 WDG720900:WDG720901 WNC720900:WNC720901 WWY720900:WWY720901 AQ786436:AQ786437 KM786436:KM786437 UI786436:UI786437 AEE786436:AEE786437 AOA786436:AOA786437 AXW786436:AXW786437 BHS786436:BHS786437 BRO786436:BRO786437 CBK786436:CBK786437 CLG786436:CLG786437 CVC786436:CVC786437 DEY786436:DEY786437 DOU786436:DOU786437 DYQ786436:DYQ786437 EIM786436:EIM786437 ESI786436:ESI786437 FCE786436:FCE786437 FMA786436:FMA786437 FVW786436:FVW786437 GFS786436:GFS786437 GPO786436:GPO786437 GZK786436:GZK786437 HJG786436:HJG786437 HTC786436:HTC786437 ICY786436:ICY786437 IMU786436:IMU786437 IWQ786436:IWQ786437 JGM786436:JGM786437 JQI786436:JQI786437 KAE786436:KAE786437 KKA786436:KKA786437 KTW786436:KTW786437 LDS786436:LDS786437 LNO786436:LNO786437 LXK786436:LXK786437 MHG786436:MHG786437 MRC786436:MRC786437 NAY786436:NAY786437 NKU786436:NKU786437 NUQ786436:NUQ786437 OEM786436:OEM786437 OOI786436:OOI786437 OYE786436:OYE786437 PIA786436:PIA786437 PRW786436:PRW786437 QBS786436:QBS786437 QLO786436:QLO786437 QVK786436:QVK786437 RFG786436:RFG786437 RPC786436:RPC786437 RYY786436:RYY786437 SIU786436:SIU786437 SSQ786436:SSQ786437 TCM786436:TCM786437 TMI786436:TMI786437 TWE786436:TWE786437 UGA786436:UGA786437 UPW786436:UPW786437 UZS786436:UZS786437 VJO786436:VJO786437 VTK786436:VTK786437 WDG786436:WDG786437 WNC786436:WNC786437 WWY786436:WWY786437 AQ851972:AQ851973 KM851972:KM851973 UI851972:UI851973 AEE851972:AEE851973 AOA851972:AOA851973 AXW851972:AXW851973 BHS851972:BHS851973 BRO851972:BRO851973 CBK851972:CBK851973 CLG851972:CLG851973 CVC851972:CVC851973 DEY851972:DEY851973 DOU851972:DOU851973 DYQ851972:DYQ851973 EIM851972:EIM851973 ESI851972:ESI851973 FCE851972:FCE851973 FMA851972:FMA851973 FVW851972:FVW851973 GFS851972:GFS851973 GPO851972:GPO851973 GZK851972:GZK851973 HJG851972:HJG851973 HTC851972:HTC851973 ICY851972:ICY851973 IMU851972:IMU851973 IWQ851972:IWQ851973 JGM851972:JGM851973 JQI851972:JQI851973 KAE851972:KAE851973 KKA851972:KKA851973 KTW851972:KTW851973 LDS851972:LDS851973 LNO851972:LNO851973 LXK851972:LXK851973 MHG851972:MHG851973 MRC851972:MRC851973 NAY851972:NAY851973 NKU851972:NKU851973 NUQ851972:NUQ851973 OEM851972:OEM851973 OOI851972:OOI851973 OYE851972:OYE851973 PIA851972:PIA851973 PRW851972:PRW851973 QBS851972:QBS851973 QLO851972:QLO851973 QVK851972:QVK851973 RFG851972:RFG851973 RPC851972:RPC851973 RYY851972:RYY851973 SIU851972:SIU851973 SSQ851972:SSQ851973 TCM851972:TCM851973 TMI851972:TMI851973 TWE851972:TWE851973 UGA851972:UGA851973 UPW851972:UPW851973 UZS851972:UZS851973 VJO851972:VJO851973 VTK851972:VTK851973 WDG851972:WDG851973 WNC851972:WNC851973 WWY851972:WWY851973 AQ917508:AQ917509 KM917508:KM917509 UI917508:UI917509 AEE917508:AEE917509 AOA917508:AOA917509 AXW917508:AXW917509 BHS917508:BHS917509 BRO917508:BRO917509 CBK917508:CBK917509 CLG917508:CLG917509 CVC917508:CVC917509 DEY917508:DEY917509 DOU917508:DOU917509 DYQ917508:DYQ917509 EIM917508:EIM917509 ESI917508:ESI917509 FCE917508:FCE917509 FMA917508:FMA917509 FVW917508:FVW917509 GFS917508:GFS917509 GPO917508:GPO917509 GZK917508:GZK917509 HJG917508:HJG917509 HTC917508:HTC917509 ICY917508:ICY917509 IMU917508:IMU917509 IWQ917508:IWQ917509 JGM917508:JGM917509 JQI917508:JQI917509 KAE917508:KAE917509 KKA917508:KKA917509 KTW917508:KTW917509 LDS917508:LDS917509 LNO917508:LNO917509 LXK917508:LXK917509 MHG917508:MHG917509 MRC917508:MRC917509 NAY917508:NAY917509 NKU917508:NKU917509 NUQ917508:NUQ917509 OEM917508:OEM917509 OOI917508:OOI917509 OYE917508:OYE917509 PIA917508:PIA917509 PRW917508:PRW917509 QBS917508:QBS917509 QLO917508:QLO917509 QVK917508:QVK917509 RFG917508:RFG917509 RPC917508:RPC917509 RYY917508:RYY917509 SIU917508:SIU917509 SSQ917508:SSQ917509 TCM917508:TCM917509 TMI917508:TMI917509 TWE917508:TWE917509 UGA917508:UGA917509 UPW917508:UPW917509 UZS917508:UZS917509 VJO917508:VJO917509 VTK917508:VTK917509 WDG917508:WDG917509 WNC917508:WNC917509 WWY917508:WWY917509 AQ983044:AQ983045 KM983044:KM983045 UI983044:UI983045 AEE983044:AEE983045 AOA983044:AOA983045 AXW983044:AXW983045 BHS983044:BHS983045 BRO983044:BRO983045 CBK983044:CBK983045 CLG983044:CLG983045 CVC983044:CVC983045 DEY983044:DEY983045 DOU983044:DOU983045 DYQ983044:DYQ983045 EIM983044:EIM983045 ESI983044:ESI983045 FCE983044:FCE983045 FMA983044:FMA983045 FVW983044:FVW983045 GFS983044:GFS983045 GPO983044:GPO983045 GZK983044:GZK983045 HJG983044:HJG983045 HTC983044:HTC983045 ICY983044:ICY983045 IMU983044:IMU983045 IWQ983044:IWQ983045 JGM983044:JGM983045 JQI983044:JQI983045 KAE983044:KAE983045 KKA983044:KKA983045 KTW983044:KTW983045 LDS983044:LDS983045 LNO983044:LNO983045 LXK983044:LXK983045 MHG983044:MHG983045 MRC983044:MRC983045 NAY983044:NAY983045 NKU983044:NKU983045 NUQ983044:NUQ983045 OEM983044:OEM983045 OOI983044:OOI983045 OYE983044:OYE983045 PIA983044:PIA983045 PRW983044:PRW983045 QBS983044:QBS983045 QLO983044:QLO983045 QVK983044:QVK983045 RFG983044:RFG983045 RPC983044:RPC983045 RYY983044:RYY983045 SIU983044:SIU983045 SSQ983044:SSQ983045 TCM983044:TCM983045 TMI983044:TMI983045 TWE983044:TWE983045 UGA983044:UGA983045 UPW983044:UPW983045 UZS983044:UZS983045 VJO983044:VJO983045 VTK983044:VTK983045 WDG983044:WDG983045 WNC983044:WNC983045 WWY983044:WWY983045 AE4:AE5 KA4:KA5 TW4:TW5 ADS4:ADS5 ANO4:ANO5 AXK4:AXK5 BHG4:BHG5 BRC4:BRC5 CAY4:CAY5 CKU4:CKU5 CUQ4:CUQ5 DEM4:DEM5 DOI4:DOI5 DYE4:DYE5 EIA4:EIA5 ERW4:ERW5 FBS4:FBS5 FLO4:FLO5 FVK4:FVK5 GFG4:GFG5 GPC4:GPC5 GYY4:GYY5 HIU4:HIU5 HSQ4:HSQ5 ICM4:ICM5 IMI4:IMI5 IWE4:IWE5 JGA4:JGA5 JPW4:JPW5 JZS4:JZS5 KJO4:KJO5 KTK4:KTK5 LDG4:LDG5 LNC4:LNC5 LWY4:LWY5 MGU4:MGU5 MQQ4:MQQ5 NAM4:NAM5 NKI4:NKI5 NUE4:NUE5 OEA4:OEA5 ONW4:ONW5 OXS4:OXS5 PHO4:PHO5 PRK4:PRK5 QBG4:QBG5 QLC4:QLC5 QUY4:QUY5 REU4:REU5 ROQ4:ROQ5 RYM4:RYM5 SII4:SII5 SSE4:SSE5 TCA4:TCA5 TLW4:TLW5 TVS4:TVS5 UFO4:UFO5 UPK4:UPK5 UZG4:UZG5 VJC4:VJC5 VSY4:VSY5 WCU4:WCU5 WMQ4:WMQ5 WWM4:WWM5 AE65540:AE65541 KA65540:KA65541 TW65540:TW65541 ADS65540:ADS65541 ANO65540:ANO65541 AXK65540:AXK65541 BHG65540:BHG65541 BRC65540:BRC65541 CAY65540:CAY65541 CKU65540:CKU65541 CUQ65540:CUQ65541 DEM65540:DEM65541 DOI65540:DOI65541 DYE65540:DYE65541 EIA65540:EIA65541 ERW65540:ERW65541 FBS65540:FBS65541 FLO65540:FLO65541 FVK65540:FVK65541 GFG65540:GFG65541 GPC65540:GPC65541 GYY65540:GYY65541 HIU65540:HIU65541 HSQ65540:HSQ65541 ICM65540:ICM65541 IMI65540:IMI65541 IWE65540:IWE65541 JGA65540:JGA65541 JPW65540:JPW65541 JZS65540:JZS65541 KJO65540:KJO65541 KTK65540:KTK65541 LDG65540:LDG65541 LNC65540:LNC65541 LWY65540:LWY65541 MGU65540:MGU65541 MQQ65540:MQQ65541 NAM65540:NAM65541 NKI65540:NKI65541 NUE65540:NUE65541 OEA65540:OEA65541 ONW65540:ONW65541 OXS65540:OXS65541 PHO65540:PHO65541 PRK65540:PRK65541 QBG65540:QBG65541 QLC65540:QLC65541 QUY65540:QUY65541 REU65540:REU65541 ROQ65540:ROQ65541 RYM65540:RYM65541 SII65540:SII65541 SSE65540:SSE65541 TCA65540:TCA65541 TLW65540:TLW65541 TVS65540:TVS65541 UFO65540:UFO65541 UPK65540:UPK65541 UZG65540:UZG65541 VJC65540:VJC65541 VSY65540:VSY65541 WCU65540:WCU65541 WMQ65540:WMQ65541 WWM65540:WWM65541 AE131076:AE131077 KA131076:KA131077 TW131076:TW131077 ADS131076:ADS131077 ANO131076:ANO131077 AXK131076:AXK131077 BHG131076:BHG131077 BRC131076:BRC131077 CAY131076:CAY131077 CKU131076:CKU131077 CUQ131076:CUQ131077 DEM131076:DEM131077 DOI131076:DOI131077 DYE131076:DYE131077 EIA131076:EIA131077 ERW131076:ERW131077 FBS131076:FBS131077 FLO131076:FLO131077 FVK131076:FVK131077 GFG131076:GFG131077 GPC131076:GPC131077 GYY131076:GYY131077 HIU131076:HIU131077 HSQ131076:HSQ131077 ICM131076:ICM131077 IMI131076:IMI131077 IWE131076:IWE131077 JGA131076:JGA131077 JPW131076:JPW131077 JZS131076:JZS131077 KJO131076:KJO131077 KTK131076:KTK131077 LDG131076:LDG131077 LNC131076:LNC131077 LWY131076:LWY131077 MGU131076:MGU131077 MQQ131076:MQQ131077 NAM131076:NAM131077 NKI131076:NKI131077 NUE131076:NUE131077 OEA131076:OEA131077 ONW131076:ONW131077 OXS131076:OXS131077 PHO131076:PHO131077 PRK131076:PRK131077 QBG131076:QBG131077 QLC131076:QLC131077 QUY131076:QUY131077 REU131076:REU131077 ROQ131076:ROQ131077 RYM131076:RYM131077 SII131076:SII131077 SSE131076:SSE131077 TCA131076:TCA131077 TLW131076:TLW131077 TVS131076:TVS131077 UFO131076:UFO131077 UPK131076:UPK131077 UZG131076:UZG131077 VJC131076:VJC131077 VSY131076:VSY131077 WCU131076:WCU131077 WMQ131076:WMQ131077 WWM131076:WWM131077 AE196612:AE196613 KA196612:KA196613 TW196612:TW196613 ADS196612:ADS196613 ANO196612:ANO196613 AXK196612:AXK196613 BHG196612:BHG196613 BRC196612:BRC196613 CAY196612:CAY196613 CKU196612:CKU196613 CUQ196612:CUQ196613 DEM196612:DEM196613 DOI196612:DOI196613 DYE196612:DYE196613 EIA196612:EIA196613 ERW196612:ERW196613 FBS196612:FBS196613 FLO196612:FLO196613 FVK196612:FVK196613 GFG196612:GFG196613 GPC196612:GPC196613 GYY196612:GYY196613 HIU196612:HIU196613 HSQ196612:HSQ196613 ICM196612:ICM196613 IMI196612:IMI196613 IWE196612:IWE196613 JGA196612:JGA196613 JPW196612:JPW196613 JZS196612:JZS196613 KJO196612:KJO196613 KTK196612:KTK196613 LDG196612:LDG196613 LNC196612:LNC196613 LWY196612:LWY196613 MGU196612:MGU196613 MQQ196612:MQQ196613 NAM196612:NAM196613 NKI196612:NKI196613 NUE196612:NUE196613 OEA196612:OEA196613 ONW196612:ONW196613 OXS196612:OXS196613 PHO196612:PHO196613 PRK196612:PRK196613 QBG196612:QBG196613 QLC196612:QLC196613 QUY196612:QUY196613 REU196612:REU196613 ROQ196612:ROQ196613 RYM196612:RYM196613 SII196612:SII196613 SSE196612:SSE196613 TCA196612:TCA196613 TLW196612:TLW196613 TVS196612:TVS196613 UFO196612:UFO196613 UPK196612:UPK196613 UZG196612:UZG196613 VJC196612:VJC196613 VSY196612:VSY196613 WCU196612:WCU196613 WMQ196612:WMQ196613 WWM196612:WWM196613 AE262148:AE262149 KA262148:KA262149 TW262148:TW262149 ADS262148:ADS262149 ANO262148:ANO262149 AXK262148:AXK262149 BHG262148:BHG262149 BRC262148:BRC262149 CAY262148:CAY262149 CKU262148:CKU262149 CUQ262148:CUQ262149 DEM262148:DEM262149 DOI262148:DOI262149 DYE262148:DYE262149 EIA262148:EIA262149 ERW262148:ERW262149 FBS262148:FBS262149 FLO262148:FLO262149 FVK262148:FVK262149 GFG262148:GFG262149 GPC262148:GPC262149 GYY262148:GYY262149 HIU262148:HIU262149 HSQ262148:HSQ262149 ICM262148:ICM262149 IMI262148:IMI262149 IWE262148:IWE262149 JGA262148:JGA262149 JPW262148:JPW262149 JZS262148:JZS262149 KJO262148:KJO262149 KTK262148:KTK262149 LDG262148:LDG262149 LNC262148:LNC262149 LWY262148:LWY262149 MGU262148:MGU262149 MQQ262148:MQQ262149 NAM262148:NAM262149 NKI262148:NKI262149 NUE262148:NUE262149 OEA262148:OEA262149 ONW262148:ONW262149 OXS262148:OXS262149 PHO262148:PHO262149 PRK262148:PRK262149 QBG262148:QBG262149 QLC262148:QLC262149 QUY262148:QUY262149 REU262148:REU262149 ROQ262148:ROQ262149 RYM262148:RYM262149 SII262148:SII262149 SSE262148:SSE262149 TCA262148:TCA262149 TLW262148:TLW262149 TVS262148:TVS262149 UFO262148:UFO262149 UPK262148:UPK262149 UZG262148:UZG262149 VJC262148:VJC262149 VSY262148:VSY262149 WCU262148:WCU262149 WMQ262148:WMQ262149 WWM262148:WWM262149 AE327684:AE327685 KA327684:KA327685 TW327684:TW327685 ADS327684:ADS327685 ANO327684:ANO327685 AXK327684:AXK327685 BHG327684:BHG327685 BRC327684:BRC327685 CAY327684:CAY327685 CKU327684:CKU327685 CUQ327684:CUQ327685 DEM327684:DEM327685 DOI327684:DOI327685 DYE327684:DYE327685 EIA327684:EIA327685 ERW327684:ERW327685 FBS327684:FBS327685 FLO327684:FLO327685 FVK327684:FVK327685 GFG327684:GFG327685 GPC327684:GPC327685 GYY327684:GYY327685 HIU327684:HIU327685 HSQ327684:HSQ327685 ICM327684:ICM327685 IMI327684:IMI327685 IWE327684:IWE327685 JGA327684:JGA327685 JPW327684:JPW327685 JZS327684:JZS327685 KJO327684:KJO327685 KTK327684:KTK327685 LDG327684:LDG327685 LNC327684:LNC327685 LWY327684:LWY327685 MGU327684:MGU327685 MQQ327684:MQQ327685 NAM327684:NAM327685 NKI327684:NKI327685 NUE327684:NUE327685 OEA327684:OEA327685 ONW327684:ONW327685 OXS327684:OXS327685 PHO327684:PHO327685 PRK327684:PRK327685 QBG327684:QBG327685 QLC327684:QLC327685 QUY327684:QUY327685 REU327684:REU327685 ROQ327684:ROQ327685 RYM327684:RYM327685 SII327684:SII327685 SSE327684:SSE327685 TCA327684:TCA327685 TLW327684:TLW327685 TVS327684:TVS327685 UFO327684:UFO327685 UPK327684:UPK327685 UZG327684:UZG327685 VJC327684:VJC327685 VSY327684:VSY327685 WCU327684:WCU327685 WMQ327684:WMQ327685 WWM327684:WWM327685 AE393220:AE393221 KA393220:KA393221 TW393220:TW393221 ADS393220:ADS393221 ANO393220:ANO393221 AXK393220:AXK393221 BHG393220:BHG393221 BRC393220:BRC393221 CAY393220:CAY393221 CKU393220:CKU393221 CUQ393220:CUQ393221 DEM393220:DEM393221 DOI393220:DOI393221 DYE393220:DYE393221 EIA393220:EIA393221 ERW393220:ERW393221 FBS393220:FBS393221 FLO393220:FLO393221 FVK393220:FVK393221 GFG393220:GFG393221 GPC393220:GPC393221 GYY393220:GYY393221 HIU393220:HIU393221 HSQ393220:HSQ393221 ICM393220:ICM393221 IMI393220:IMI393221 IWE393220:IWE393221 JGA393220:JGA393221 JPW393220:JPW393221 JZS393220:JZS393221 KJO393220:KJO393221 KTK393220:KTK393221 LDG393220:LDG393221 LNC393220:LNC393221 LWY393220:LWY393221 MGU393220:MGU393221 MQQ393220:MQQ393221 NAM393220:NAM393221 NKI393220:NKI393221 NUE393220:NUE393221 OEA393220:OEA393221 ONW393220:ONW393221 OXS393220:OXS393221 PHO393220:PHO393221 PRK393220:PRK393221 QBG393220:QBG393221 QLC393220:QLC393221 QUY393220:QUY393221 REU393220:REU393221 ROQ393220:ROQ393221 RYM393220:RYM393221 SII393220:SII393221 SSE393220:SSE393221 TCA393220:TCA393221 TLW393220:TLW393221 TVS393220:TVS393221 UFO393220:UFO393221 UPK393220:UPK393221 UZG393220:UZG393221 VJC393220:VJC393221 VSY393220:VSY393221 WCU393220:WCU393221 WMQ393220:WMQ393221 WWM393220:WWM393221 AE458756:AE458757 KA458756:KA458757 TW458756:TW458757 ADS458756:ADS458757 ANO458756:ANO458757 AXK458756:AXK458757 BHG458756:BHG458757 BRC458756:BRC458757 CAY458756:CAY458757 CKU458756:CKU458757 CUQ458756:CUQ458757 DEM458756:DEM458757 DOI458756:DOI458757 DYE458756:DYE458757 EIA458756:EIA458757 ERW458756:ERW458757 FBS458756:FBS458757 FLO458756:FLO458757 FVK458756:FVK458757 GFG458756:GFG458757 GPC458756:GPC458757 GYY458756:GYY458757 HIU458756:HIU458757 HSQ458756:HSQ458757 ICM458756:ICM458757 IMI458756:IMI458757 IWE458756:IWE458757 JGA458756:JGA458757 JPW458756:JPW458757 JZS458756:JZS458757 KJO458756:KJO458757 KTK458756:KTK458757 LDG458756:LDG458757 LNC458756:LNC458757 LWY458756:LWY458757 MGU458756:MGU458757 MQQ458756:MQQ458757 NAM458756:NAM458757 NKI458756:NKI458757 NUE458756:NUE458757 OEA458756:OEA458757 ONW458756:ONW458757 OXS458756:OXS458757 PHO458756:PHO458757 PRK458756:PRK458757 QBG458756:QBG458757 QLC458756:QLC458757 QUY458756:QUY458757 REU458756:REU458757 ROQ458756:ROQ458757 RYM458756:RYM458757 SII458756:SII458757 SSE458756:SSE458757 TCA458756:TCA458757 TLW458756:TLW458757 TVS458756:TVS458757 UFO458756:UFO458757 UPK458756:UPK458757 UZG458756:UZG458757 VJC458756:VJC458757 VSY458756:VSY458757 WCU458756:WCU458757 WMQ458756:WMQ458757 WWM458756:WWM458757 AE524292:AE524293 KA524292:KA524293 TW524292:TW524293 ADS524292:ADS524293 ANO524292:ANO524293 AXK524292:AXK524293 BHG524292:BHG524293 BRC524292:BRC524293 CAY524292:CAY524293 CKU524292:CKU524293 CUQ524292:CUQ524293 DEM524292:DEM524293 DOI524292:DOI524293 DYE524292:DYE524293 EIA524292:EIA524293 ERW524292:ERW524293 FBS524292:FBS524293 FLO524292:FLO524293 FVK524292:FVK524293 GFG524292:GFG524293 GPC524292:GPC524293 GYY524292:GYY524293 HIU524292:HIU524293 HSQ524292:HSQ524293 ICM524292:ICM524293 IMI524292:IMI524293 IWE524292:IWE524293 JGA524292:JGA524293 JPW524292:JPW524293 JZS524292:JZS524293 KJO524292:KJO524293 KTK524292:KTK524293 LDG524292:LDG524293 LNC524292:LNC524293 LWY524292:LWY524293 MGU524292:MGU524293 MQQ524292:MQQ524293 NAM524292:NAM524293 NKI524292:NKI524293 NUE524292:NUE524293 OEA524292:OEA524293 ONW524292:ONW524293 OXS524292:OXS524293 PHO524292:PHO524293 PRK524292:PRK524293 QBG524292:QBG524293 QLC524292:QLC524293 QUY524292:QUY524293 REU524292:REU524293 ROQ524292:ROQ524293 RYM524292:RYM524293 SII524292:SII524293 SSE524292:SSE524293 TCA524292:TCA524293 TLW524292:TLW524293 TVS524292:TVS524293 UFO524292:UFO524293 UPK524292:UPK524293 UZG524292:UZG524293 VJC524292:VJC524293 VSY524292:VSY524293 WCU524292:WCU524293 WMQ524292:WMQ524293 WWM524292:WWM524293 AE589828:AE589829 KA589828:KA589829 TW589828:TW589829 ADS589828:ADS589829 ANO589828:ANO589829 AXK589828:AXK589829 BHG589828:BHG589829 BRC589828:BRC589829 CAY589828:CAY589829 CKU589828:CKU589829 CUQ589828:CUQ589829 DEM589828:DEM589829 DOI589828:DOI589829 DYE589828:DYE589829 EIA589828:EIA589829 ERW589828:ERW589829 FBS589828:FBS589829 FLO589828:FLO589829 FVK589828:FVK589829 GFG589828:GFG589829 GPC589828:GPC589829 GYY589828:GYY589829 HIU589828:HIU589829 HSQ589828:HSQ589829 ICM589828:ICM589829 IMI589828:IMI589829 IWE589828:IWE589829 JGA589828:JGA589829 JPW589828:JPW589829 JZS589828:JZS589829 KJO589828:KJO589829 KTK589828:KTK589829 LDG589828:LDG589829 LNC589828:LNC589829 LWY589828:LWY589829 MGU589828:MGU589829 MQQ589828:MQQ589829 NAM589828:NAM589829 NKI589828:NKI589829 NUE589828:NUE589829 OEA589828:OEA589829 ONW589828:ONW589829 OXS589828:OXS589829 PHO589828:PHO589829 PRK589828:PRK589829 QBG589828:QBG589829 QLC589828:QLC589829 QUY589828:QUY589829 REU589828:REU589829 ROQ589828:ROQ589829 RYM589828:RYM589829 SII589828:SII589829 SSE589828:SSE589829 TCA589828:TCA589829 TLW589828:TLW589829 TVS589828:TVS589829 UFO589828:UFO589829 UPK589828:UPK589829 UZG589828:UZG589829 VJC589828:VJC589829 VSY589828:VSY589829 WCU589828:WCU589829 WMQ589828:WMQ589829 WWM589828:WWM589829 AE655364:AE655365 KA655364:KA655365 TW655364:TW655365 ADS655364:ADS655365 ANO655364:ANO655365 AXK655364:AXK655365 BHG655364:BHG655365 BRC655364:BRC655365 CAY655364:CAY655365 CKU655364:CKU655365 CUQ655364:CUQ655365 DEM655364:DEM655365 DOI655364:DOI655365 DYE655364:DYE655365 EIA655364:EIA655365 ERW655364:ERW655365 FBS655364:FBS655365 FLO655364:FLO655365 FVK655364:FVK655365 GFG655364:GFG655365 GPC655364:GPC655365 GYY655364:GYY655365 HIU655364:HIU655365 HSQ655364:HSQ655365 ICM655364:ICM655365 IMI655364:IMI655365 IWE655364:IWE655365 JGA655364:JGA655365 JPW655364:JPW655365 JZS655364:JZS655365 KJO655364:KJO655365 KTK655364:KTK655365 LDG655364:LDG655365 LNC655364:LNC655365 LWY655364:LWY655365 MGU655364:MGU655365 MQQ655364:MQQ655365 NAM655364:NAM655365 NKI655364:NKI655365 NUE655364:NUE655365 OEA655364:OEA655365 ONW655364:ONW655365 OXS655364:OXS655365 PHO655364:PHO655365 PRK655364:PRK655365 QBG655364:QBG655365 QLC655364:QLC655365 QUY655364:QUY655365 REU655364:REU655365 ROQ655364:ROQ655365 RYM655364:RYM655365 SII655364:SII655365 SSE655364:SSE655365 TCA655364:TCA655365 TLW655364:TLW655365 TVS655364:TVS655365 UFO655364:UFO655365 UPK655364:UPK655365 UZG655364:UZG655365 VJC655364:VJC655365 VSY655364:VSY655365 WCU655364:WCU655365 WMQ655364:WMQ655365 WWM655364:WWM655365 AE720900:AE720901 KA720900:KA720901 TW720900:TW720901 ADS720900:ADS720901 ANO720900:ANO720901 AXK720900:AXK720901 BHG720900:BHG720901 BRC720900:BRC720901 CAY720900:CAY720901 CKU720900:CKU720901 CUQ720900:CUQ720901 DEM720900:DEM720901 DOI720900:DOI720901 DYE720900:DYE720901 EIA720900:EIA720901 ERW720900:ERW720901 FBS720900:FBS720901 FLO720900:FLO720901 FVK720900:FVK720901 GFG720900:GFG720901 GPC720900:GPC720901 GYY720900:GYY720901 HIU720900:HIU720901 HSQ720900:HSQ720901 ICM720900:ICM720901 IMI720900:IMI720901 IWE720900:IWE720901 JGA720900:JGA720901 JPW720900:JPW720901 JZS720900:JZS720901 KJO720900:KJO720901 KTK720900:KTK720901 LDG720900:LDG720901 LNC720900:LNC720901 LWY720900:LWY720901 MGU720900:MGU720901 MQQ720900:MQQ720901 NAM720900:NAM720901 NKI720900:NKI720901 NUE720900:NUE720901 OEA720900:OEA720901 ONW720900:ONW720901 OXS720900:OXS720901 PHO720900:PHO720901 PRK720900:PRK720901 QBG720900:QBG720901 QLC720900:QLC720901 QUY720900:QUY720901 REU720900:REU720901 ROQ720900:ROQ720901 RYM720900:RYM720901 SII720900:SII720901 SSE720900:SSE720901 TCA720900:TCA720901 TLW720900:TLW720901 TVS720900:TVS720901 UFO720900:UFO720901 UPK720900:UPK720901 UZG720900:UZG720901 VJC720900:VJC720901 VSY720900:VSY720901 WCU720900:WCU720901 WMQ720900:WMQ720901 WWM720900:WWM720901 AE786436:AE786437 KA786436:KA786437 TW786436:TW786437 ADS786436:ADS786437 ANO786436:ANO786437 AXK786436:AXK786437 BHG786436:BHG786437 BRC786436:BRC786437 CAY786436:CAY786437 CKU786436:CKU786437 CUQ786436:CUQ786437 DEM786436:DEM786437 DOI786436:DOI786437 DYE786436:DYE786437 EIA786436:EIA786437 ERW786436:ERW786437 FBS786436:FBS786437 FLO786436:FLO786437 FVK786436:FVK786437 GFG786436:GFG786437 GPC786436:GPC786437 GYY786436:GYY786437 HIU786436:HIU786437 HSQ786436:HSQ786437 ICM786436:ICM786437 IMI786436:IMI786437 IWE786436:IWE786437 JGA786436:JGA786437 JPW786436:JPW786437 JZS786436:JZS786437 KJO786436:KJO786437 KTK786436:KTK786437 LDG786436:LDG786437 LNC786436:LNC786437 LWY786436:LWY786437 MGU786436:MGU786437 MQQ786436:MQQ786437 NAM786436:NAM786437 NKI786436:NKI786437 NUE786436:NUE786437 OEA786436:OEA786437 ONW786436:ONW786437 OXS786436:OXS786437 PHO786436:PHO786437 PRK786436:PRK786437 QBG786436:QBG786437 QLC786436:QLC786437 QUY786436:QUY786437 REU786436:REU786437 ROQ786436:ROQ786437 RYM786436:RYM786437 SII786436:SII786437 SSE786436:SSE786437 TCA786436:TCA786437 TLW786436:TLW786437 TVS786436:TVS786437 UFO786436:UFO786437 UPK786436:UPK786437 UZG786436:UZG786437 VJC786436:VJC786437 VSY786436:VSY786437 WCU786436:WCU786437 WMQ786436:WMQ786437 WWM786436:WWM786437 AE851972:AE851973 KA851972:KA851973 TW851972:TW851973 ADS851972:ADS851973 ANO851972:ANO851973 AXK851972:AXK851973 BHG851972:BHG851973 BRC851972:BRC851973 CAY851972:CAY851973 CKU851972:CKU851973 CUQ851972:CUQ851973 DEM851972:DEM851973 DOI851972:DOI851973 DYE851972:DYE851973 EIA851972:EIA851973 ERW851972:ERW851973 FBS851972:FBS851973 FLO851972:FLO851973 FVK851972:FVK851973 GFG851972:GFG851973 GPC851972:GPC851973 GYY851972:GYY851973 HIU851972:HIU851973 HSQ851972:HSQ851973 ICM851972:ICM851973 IMI851972:IMI851973 IWE851972:IWE851973 JGA851972:JGA851973 JPW851972:JPW851973 JZS851972:JZS851973 KJO851972:KJO851973 KTK851972:KTK851973 LDG851972:LDG851973 LNC851972:LNC851973 LWY851972:LWY851973 MGU851972:MGU851973 MQQ851972:MQQ851973 NAM851972:NAM851973 NKI851972:NKI851973 NUE851972:NUE851973 OEA851972:OEA851973 ONW851972:ONW851973 OXS851972:OXS851973 PHO851972:PHO851973 PRK851972:PRK851973 QBG851972:QBG851973 QLC851972:QLC851973 QUY851972:QUY851973 REU851972:REU851973 ROQ851972:ROQ851973 RYM851972:RYM851973 SII851972:SII851973 SSE851972:SSE851973 TCA851972:TCA851973 TLW851972:TLW851973 TVS851972:TVS851973 UFO851972:UFO851973 UPK851972:UPK851973 UZG851972:UZG851973 VJC851972:VJC851973 VSY851972:VSY851973 WCU851972:WCU851973 WMQ851972:WMQ851973 WWM851972:WWM851973 AE917508:AE917509 KA917508:KA917509 TW917508:TW917509 ADS917508:ADS917509 ANO917508:ANO917509 AXK917508:AXK917509 BHG917508:BHG917509 BRC917508:BRC917509 CAY917508:CAY917509 CKU917508:CKU917509 CUQ917508:CUQ917509 DEM917508:DEM917509 DOI917508:DOI917509 DYE917508:DYE917509 EIA917508:EIA917509 ERW917508:ERW917509 FBS917508:FBS917509 FLO917508:FLO917509 FVK917508:FVK917509 GFG917508:GFG917509 GPC917508:GPC917509 GYY917508:GYY917509 HIU917508:HIU917509 HSQ917508:HSQ917509 ICM917508:ICM917509 IMI917508:IMI917509 IWE917508:IWE917509 JGA917508:JGA917509 JPW917508:JPW917509 JZS917508:JZS917509 KJO917508:KJO917509 KTK917508:KTK917509 LDG917508:LDG917509 LNC917508:LNC917509 LWY917508:LWY917509 MGU917508:MGU917509 MQQ917508:MQQ917509 NAM917508:NAM917509 NKI917508:NKI917509 NUE917508:NUE917509 OEA917508:OEA917509 ONW917508:ONW917509 OXS917508:OXS917509 PHO917508:PHO917509 PRK917508:PRK917509 QBG917508:QBG917509 QLC917508:QLC917509 QUY917508:QUY917509 REU917508:REU917509 ROQ917508:ROQ917509 RYM917508:RYM917509 SII917508:SII917509 SSE917508:SSE917509 TCA917508:TCA917509 TLW917508:TLW917509 TVS917508:TVS917509 UFO917508:UFO917509 UPK917508:UPK917509 UZG917508:UZG917509 VJC917508:VJC917509 VSY917508:VSY917509 WCU917508:WCU917509 WMQ917508:WMQ917509 WWM917508:WWM917509 AE983044:AE983045 KA983044:KA983045 TW983044:TW983045 ADS983044:ADS983045 ANO983044:ANO983045 AXK983044:AXK983045 BHG983044:BHG983045 BRC983044:BRC983045 CAY983044:CAY983045 CKU983044:CKU983045 CUQ983044:CUQ983045 DEM983044:DEM983045 DOI983044:DOI983045 DYE983044:DYE983045 EIA983044:EIA983045 ERW983044:ERW983045 FBS983044:FBS983045 FLO983044:FLO983045 FVK983044:FVK983045 GFG983044:GFG983045 GPC983044:GPC983045 GYY983044:GYY983045 HIU983044:HIU983045 HSQ983044:HSQ983045 ICM983044:ICM983045 IMI983044:IMI983045 IWE983044:IWE983045 JGA983044:JGA983045 JPW983044:JPW983045 JZS983044:JZS983045 KJO983044:KJO983045 KTK983044:KTK983045 LDG983044:LDG983045 LNC983044:LNC983045 LWY983044:LWY983045 MGU983044:MGU983045 MQQ983044:MQQ983045 NAM983044:NAM983045 NKI983044:NKI983045 NUE983044:NUE983045 OEA983044:OEA983045 ONW983044:ONW983045 OXS983044:OXS983045 PHO983044:PHO983045 PRK983044:PRK983045 QBG983044:QBG983045 QLC983044:QLC983045 QUY983044:QUY983045 REU983044:REU983045 ROQ983044:ROQ983045 RYM983044:RYM983045 SII983044:SII983045 SSE983044:SSE983045 TCA983044:TCA983045 TLW983044:TLW983045 TVS983044:TVS983045 UFO983044:UFO983045 UPK983044:UPK983045 UZG983044:UZG983045 VJC983044:VJC983045 VSY983044:VSY983045 WCU983044:WCU983045 WMQ983044:WMQ983045 WWM983044:WWM983045 AG4:AG5 KC4:KC5 TY4:TY5 ADU4:ADU5 ANQ4:ANQ5 AXM4:AXM5 BHI4:BHI5 BRE4:BRE5 CBA4:CBA5 CKW4:CKW5 CUS4:CUS5 DEO4:DEO5 DOK4:DOK5 DYG4:DYG5 EIC4:EIC5 ERY4:ERY5 FBU4:FBU5 FLQ4:FLQ5 FVM4:FVM5 GFI4:GFI5 GPE4:GPE5 GZA4:GZA5 HIW4:HIW5 HSS4:HSS5 ICO4:ICO5 IMK4:IMK5 IWG4:IWG5 JGC4:JGC5 JPY4:JPY5 JZU4:JZU5 KJQ4:KJQ5 KTM4:KTM5 LDI4:LDI5 LNE4:LNE5 LXA4:LXA5 MGW4:MGW5 MQS4:MQS5 NAO4:NAO5 NKK4:NKK5 NUG4:NUG5 OEC4:OEC5 ONY4:ONY5 OXU4:OXU5 PHQ4:PHQ5 PRM4:PRM5 QBI4:QBI5 QLE4:QLE5 QVA4:QVA5 REW4:REW5 ROS4:ROS5 RYO4:RYO5 SIK4:SIK5 SSG4:SSG5 TCC4:TCC5 TLY4:TLY5 TVU4:TVU5 UFQ4:UFQ5 UPM4:UPM5 UZI4:UZI5 VJE4:VJE5 VTA4:VTA5 WCW4:WCW5 WMS4:WMS5 WWO4:WWO5 AG65540:AG65541 KC65540:KC65541 TY65540:TY65541 ADU65540:ADU65541 ANQ65540:ANQ65541 AXM65540:AXM65541 BHI65540:BHI65541 BRE65540:BRE65541 CBA65540:CBA65541 CKW65540:CKW65541 CUS65540:CUS65541 DEO65540:DEO65541 DOK65540:DOK65541 DYG65540:DYG65541 EIC65540:EIC65541 ERY65540:ERY65541 FBU65540:FBU65541 FLQ65540:FLQ65541 FVM65540:FVM65541 GFI65540:GFI65541 GPE65540:GPE65541 GZA65540:GZA65541 HIW65540:HIW65541 HSS65540:HSS65541 ICO65540:ICO65541 IMK65540:IMK65541 IWG65540:IWG65541 JGC65540:JGC65541 JPY65540:JPY65541 JZU65540:JZU65541 KJQ65540:KJQ65541 KTM65540:KTM65541 LDI65540:LDI65541 LNE65540:LNE65541 LXA65540:LXA65541 MGW65540:MGW65541 MQS65540:MQS65541 NAO65540:NAO65541 NKK65540:NKK65541 NUG65540:NUG65541 OEC65540:OEC65541 ONY65540:ONY65541 OXU65540:OXU65541 PHQ65540:PHQ65541 PRM65540:PRM65541 QBI65540:QBI65541 QLE65540:QLE65541 QVA65540:QVA65541 REW65540:REW65541 ROS65540:ROS65541 RYO65540:RYO65541 SIK65540:SIK65541 SSG65540:SSG65541 TCC65540:TCC65541 TLY65540:TLY65541 TVU65540:TVU65541 UFQ65540:UFQ65541 UPM65540:UPM65541 UZI65540:UZI65541 VJE65540:VJE65541 VTA65540:VTA65541 WCW65540:WCW65541 WMS65540:WMS65541 WWO65540:WWO65541 AG131076:AG131077 KC131076:KC131077 TY131076:TY131077 ADU131076:ADU131077 ANQ131076:ANQ131077 AXM131076:AXM131077 BHI131076:BHI131077 BRE131076:BRE131077 CBA131076:CBA131077 CKW131076:CKW131077 CUS131076:CUS131077 DEO131076:DEO131077 DOK131076:DOK131077 DYG131076:DYG131077 EIC131076:EIC131077 ERY131076:ERY131077 FBU131076:FBU131077 FLQ131076:FLQ131077 FVM131076:FVM131077 GFI131076:GFI131077 GPE131076:GPE131077 GZA131076:GZA131077 HIW131076:HIW131077 HSS131076:HSS131077 ICO131076:ICO131077 IMK131076:IMK131077 IWG131076:IWG131077 JGC131076:JGC131077 JPY131076:JPY131077 JZU131076:JZU131077 KJQ131076:KJQ131077 KTM131076:KTM131077 LDI131076:LDI131077 LNE131076:LNE131077 LXA131076:LXA131077 MGW131076:MGW131077 MQS131076:MQS131077 NAO131076:NAO131077 NKK131076:NKK131077 NUG131076:NUG131077 OEC131076:OEC131077 ONY131076:ONY131077 OXU131076:OXU131077 PHQ131076:PHQ131077 PRM131076:PRM131077 QBI131076:QBI131077 QLE131076:QLE131077 QVA131076:QVA131077 REW131076:REW131077 ROS131076:ROS131077 RYO131076:RYO131077 SIK131076:SIK131077 SSG131076:SSG131077 TCC131076:TCC131077 TLY131076:TLY131077 TVU131076:TVU131077 UFQ131076:UFQ131077 UPM131076:UPM131077 UZI131076:UZI131077 VJE131076:VJE131077 VTA131076:VTA131077 WCW131076:WCW131077 WMS131076:WMS131077 WWO131076:WWO131077 AG196612:AG196613 KC196612:KC196613 TY196612:TY196613 ADU196612:ADU196613 ANQ196612:ANQ196613 AXM196612:AXM196613 BHI196612:BHI196613 BRE196612:BRE196613 CBA196612:CBA196613 CKW196612:CKW196613 CUS196612:CUS196613 DEO196612:DEO196613 DOK196612:DOK196613 DYG196612:DYG196613 EIC196612:EIC196613 ERY196612:ERY196613 FBU196612:FBU196613 FLQ196612:FLQ196613 FVM196612:FVM196613 GFI196612:GFI196613 GPE196612:GPE196613 GZA196612:GZA196613 HIW196612:HIW196613 HSS196612:HSS196613 ICO196612:ICO196613 IMK196612:IMK196613 IWG196612:IWG196613 JGC196612:JGC196613 JPY196612:JPY196613 JZU196612:JZU196613 KJQ196612:KJQ196613 KTM196612:KTM196613 LDI196612:LDI196613 LNE196612:LNE196613 LXA196612:LXA196613 MGW196612:MGW196613 MQS196612:MQS196613 NAO196612:NAO196613 NKK196612:NKK196613 NUG196612:NUG196613 OEC196612:OEC196613 ONY196612:ONY196613 OXU196612:OXU196613 PHQ196612:PHQ196613 PRM196612:PRM196613 QBI196612:QBI196613 QLE196612:QLE196613 QVA196612:QVA196613 REW196612:REW196613 ROS196612:ROS196613 RYO196612:RYO196613 SIK196612:SIK196613 SSG196612:SSG196613 TCC196612:TCC196613 TLY196612:TLY196613 TVU196612:TVU196613 UFQ196612:UFQ196613 UPM196612:UPM196613 UZI196612:UZI196613 VJE196612:VJE196613 VTA196612:VTA196613 WCW196612:WCW196613 WMS196612:WMS196613 WWO196612:WWO196613 AG262148:AG262149 KC262148:KC262149 TY262148:TY262149 ADU262148:ADU262149 ANQ262148:ANQ262149 AXM262148:AXM262149 BHI262148:BHI262149 BRE262148:BRE262149 CBA262148:CBA262149 CKW262148:CKW262149 CUS262148:CUS262149 DEO262148:DEO262149 DOK262148:DOK262149 DYG262148:DYG262149 EIC262148:EIC262149 ERY262148:ERY262149 FBU262148:FBU262149 FLQ262148:FLQ262149 FVM262148:FVM262149 GFI262148:GFI262149 GPE262148:GPE262149 GZA262148:GZA262149 HIW262148:HIW262149 HSS262148:HSS262149 ICO262148:ICO262149 IMK262148:IMK262149 IWG262148:IWG262149 JGC262148:JGC262149 JPY262148:JPY262149 JZU262148:JZU262149 KJQ262148:KJQ262149 KTM262148:KTM262149 LDI262148:LDI262149 LNE262148:LNE262149 LXA262148:LXA262149 MGW262148:MGW262149 MQS262148:MQS262149 NAO262148:NAO262149 NKK262148:NKK262149 NUG262148:NUG262149 OEC262148:OEC262149 ONY262148:ONY262149 OXU262148:OXU262149 PHQ262148:PHQ262149 PRM262148:PRM262149 QBI262148:QBI262149 QLE262148:QLE262149 QVA262148:QVA262149 REW262148:REW262149 ROS262148:ROS262149 RYO262148:RYO262149 SIK262148:SIK262149 SSG262148:SSG262149 TCC262148:TCC262149 TLY262148:TLY262149 TVU262148:TVU262149 UFQ262148:UFQ262149 UPM262148:UPM262149 UZI262148:UZI262149 VJE262148:VJE262149 VTA262148:VTA262149 WCW262148:WCW262149 WMS262148:WMS262149 WWO262148:WWO262149 AG327684:AG327685 KC327684:KC327685 TY327684:TY327685 ADU327684:ADU327685 ANQ327684:ANQ327685 AXM327684:AXM327685 BHI327684:BHI327685 BRE327684:BRE327685 CBA327684:CBA327685 CKW327684:CKW327685 CUS327684:CUS327685 DEO327684:DEO327685 DOK327684:DOK327685 DYG327684:DYG327685 EIC327684:EIC327685 ERY327684:ERY327685 FBU327684:FBU327685 FLQ327684:FLQ327685 FVM327684:FVM327685 GFI327684:GFI327685 GPE327684:GPE327685 GZA327684:GZA327685 HIW327684:HIW327685 HSS327684:HSS327685 ICO327684:ICO327685 IMK327684:IMK327685 IWG327684:IWG327685 JGC327684:JGC327685 JPY327684:JPY327685 JZU327684:JZU327685 KJQ327684:KJQ327685 KTM327684:KTM327685 LDI327684:LDI327685 LNE327684:LNE327685 LXA327684:LXA327685 MGW327684:MGW327685 MQS327684:MQS327685 NAO327684:NAO327685 NKK327684:NKK327685 NUG327684:NUG327685 OEC327684:OEC327685 ONY327684:ONY327685 OXU327684:OXU327685 PHQ327684:PHQ327685 PRM327684:PRM327685 QBI327684:QBI327685 QLE327684:QLE327685 QVA327684:QVA327685 REW327684:REW327685 ROS327684:ROS327685 RYO327684:RYO327685 SIK327684:SIK327685 SSG327684:SSG327685 TCC327684:TCC327685 TLY327684:TLY327685 TVU327684:TVU327685 UFQ327684:UFQ327685 UPM327684:UPM327685 UZI327684:UZI327685 VJE327684:VJE327685 VTA327684:VTA327685 WCW327684:WCW327685 WMS327684:WMS327685 WWO327684:WWO327685 AG393220:AG393221 KC393220:KC393221 TY393220:TY393221 ADU393220:ADU393221 ANQ393220:ANQ393221 AXM393220:AXM393221 BHI393220:BHI393221 BRE393220:BRE393221 CBA393220:CBA393221 CKW393220:CKW393221 CUS393220:CUS393221 DEO393220:DEO393221 DOK393220:DOK393221 DYG393220:DYG393221 EIC393220:EIC393221 ERY393220:ERY393221 FBU393220:FBU393221 FLQ393220:FLQ393221 FVM393220:FVM393221 GFI393220:GFI393221 GPE393220:GPE393221 GZA393220:GZA393221 HIW393220:HIW393221 HSS393220:HSS393221 ICO393220:ICO393221 IMK393220:IMK393221 IWG393220:IWG393221 JGC393220:JGC393221 JPY393220:JPY393221 JZU393220:JZU393221 KJQ393220:KJQ393221 KTM393220:KTM393221 LDI393220:LDI393221 LNE393220:LNE393221 LXA393220:LXA393221 MGW393220:MGW393221 MQS393220:MQS393221 NAO393220:NAO393221 NKK393220:NKK393221 NUG393220:NUG393221 OEC393220:OEC393221 ONY393220:ONY393221 OXU393220:OXU393221 PHQ393220:PHQ393221 PRM393220:PRM393221 QBI393220:QBI393221 QLE393220:QLE393221 QVA393220:QVA393221 REW393220:REW393221 ROS393220:ROS393221 RYO393220:RYO393221 SIK393220:SIK393221 SSG393220:SSG393221 TCC393220:TCC393221 TLY393220:TLY393221 TVU393220:TVU393221 UFQ393220:UFQ393221 UPM393220:UPM393221 UZI393220:UZI393221 VJE393220:VJE393221 VTA393220:VTA393221 WCW393220:WCW393221 WMS393220:WMS393221 WWO393220:WWO393221 AG458756:AG458757 KC458756:KC458757 TY458756:TY458757 ADU458756:ADU458757 ANQ458756:ANQ458757 AXM458756:AXM458757 BHI458756:BHI458757 BRE458756:BRE458757 CBA458756:CBA458757 CKW458756:CKW458757 CUS458756:CUS458757 DEO458756:DEO458757 DOK458756:DOK458757 DYG458756:DYG458757 EIC458756:EIC458757 ERY458756:ERY458757 FBU458756:FBU458757 FLQ458756:FLQ458757 FVM458756:FVM458757 GFI458756:GFI458757 GPE458756:GPE458757 GZA458756:GZA458757 HIW458756:HIW458757 HSS458756:HSS458757 ICO458756:ICO458757 IMK458756:IMK458757 IWG458756:IWG458757 JGC458756:JGC458757 JPY458756:JPY458757 JZU458756:JZU458757 KJQ458756:KJQ458757 KTM458756:KTM458757 LDI458756:LDI458757 LNE458756:LNE458757 LXA458756:LXA458757 MGW458756:MGW458757 MQS458756:MQS458757 NAO458756:NAO458757 NKK458756:NKK458757 NUG458756:NUG458757 OEC458756:OEC458757 ONY458756:ONY458757 OXU458756:OXU458757 PHQ458756:PHQ458757 PRM458756:PRM458757 QBI458756:QBI458757 QLE458756:QLE458757 QVA458756:QVA458757 REW458756:REW458757 ROS458756:ROS458757 RYO458756:RYO458757 SIK458756:SIK458757 SSG458756:SSG458757 TCC458756:TCC458757 TLY458756:TLY458757 TVU458756:TVU458757 UFQ458756:UFQ458757 UPM458756:UPM458757 UZI458756:UZI458757 VJE458756:VJE458757 VTA458756:VTA458757 WCW458756:WCW458757 WMS458756:WMS458757 WWO458756:WWO458757 AG524292:AG524293 KC524292:KC524293 TY524292:TY524293 ADU524292:ADU524293 ANQ524292:ANQ524293 AXM524292:AXM524293 BHI524292:BHI524293 BRE524292:BRE524293 CBA524292:CBA524293 CKW524292:CKW524293 CUS524292:CUS524293 DEO524292:DEO524293 DOK524292:DOK524293 DYG524292:DYG524293 EIC524292:EIC524293 ERY524292:ERY524293 FBU524292:FBU524293 FLQ524292:FLQ524293 FVM524292:FVM524293 GFI524292:GFI524293 GPE524292:GPE524293 GZA524292:GZA524293 HIW524292:HIW524293 HSS524292:HSS524293 ICO524292:ICO524293 IMK524292:IMK524293 IWG524292:IWG524293 JGC524292:JGC524293 JPY524292:JPY524293 JZU524292:JZU524293 KJQ524292:KJQ524293 KTM524292:KTM524293 LDI524292:LDI524293 LNE524292:LNE524293 LXA524292:LXA524293 MGW524292:MGW524293 MQS524292:MQS524293 NAO524292:NAO524293 NKK524292:NKK524293 NUG524292:NUG524293 OEC524292:OEC524293 ONY524292:ONY524293 OXU524292:OXU524293 PHQ524292:PHQ524293 PRM524292:PRM524293 QBI524292:QBI524293 QLE524292:QLE524293 QVA524292:QVA524293 REW524292:REW524293 ROS524292:ROS524293 RYO524292:RYO524293 SIK524292:SIK524293 SSG524292:SSG524293 TCC524292:TCC524293 TLY524292:TLY524293 TVU524292:TVU524293 UFQ524292:UFQ524293 UPM524292:UPM524293 UZI524292:UZI524293 VJE524292:VJE524293 VTA524292:VTA524293 WCW524292:WCW524293 WMS524292:WMS524293 WWO524292:WWO524293 AG589828:AG589829 KC589828:KC589829 TY589828:TY589829 ADU589828:ADU589829 ANQ589828:ANQ589829 AXM589828:AXM589829 BHI589828:BHI589829 BRE589828:BRE589829 CBA589828:CBA589829 CKW589828:CKW589829 CUS589828:CUS589829 DEO589828:DEO589829 DOK589828:DOK589829 DYG589828:DYG589829 EIC589828:EIC589829 ERY589828:ERY589829 FBU589828:FBU589829 FLQ589828:FLQ589829 FVM589828:FVM589829 GFI589828:GFI589829 GPE589828:GPE589829 GZA589828:GZA589829 HIW589828:HIW589829 HSS589828:HSS589829 ICO589828:ICO589829 IMK589828:IMK589829 IWG589828:IWG589829 JGC589828:JGC589829 JPY589828:JPY589829 JZU589828:JZU589829 KJQ589828:KJQ589829 KTM589828:KTM589829 LDI589828:LDI589829 LNE589828:LNE589829 LXA589828:LXA589829 MGW589828:MGW589829 MQS589828:MQS589829 NAO589828:NAO589829 NKK589828:NKK589829 NUG589828:NUG589829 OEC589828:OEC589829 ONY589828:ONY589829 OXU589828:OXU589829 PHQ589828:PHQ589829 PRM589828:PRM589829 QBI589828:QBI589829 QLE589828:QLE589829 QVA589828:QVA589829 REW589828:REW589829 ROS589828:ROS589829 RYO589828:RYO589829 SIK589828:SIK589829 SSG589828:SSG589829 TCC589828:TCC589829 TLY589828:TLY589829 TVU589828:TVU589829 UFQ589828:UFQ589829 UPM589828:UPM589829 UZI589828:UZI589829 VJE589828:VJE589829 VTA589828:VTA589829 WCW589828:WCW589829 WMS589828:WMS589829 WWO589828:WWO589829 AG655364:AG655365 KC655364:KC655365 TY655364:TY655365 ADU655364:ADU655365 ANQ655364:ANQ655365 AXM655364:AXM655365 BHI655364:BHI655365 BRE655364:BRE655365 CBA655364:CBA655365 CKW655364:CKW655365 CUS655364:CUS655365 DEO655364:DEO655365 DOK655364:DOK655365 DYG655364:DYG655365 EIC655364:EIC655365 ERY655364:ERY655365 FBU655364:FBU655365 FLQ655364:FLQ655365 FVM655364:FVM655365 GFI655364:GFI655365 GPE655364:GPE655365 GZA655364:GZA655365 HIW655364:HIW655365 HSS655364:HSS655365 ICO655364:ICO655365 IMK655364:IMK655365 IWG655364:IWG655365 JGC655364:JGC655365 JPY655364:JPY655365 JZU655364:JZU655365 KJQ655364:KJQ655365 KTM655364:KTM655365 LDI655364:LDI655365 LNE655364:LNE655365 LXA655364:LXA655365 MGW655364:MGW655365 MQS655364:MQS655365 NAO655364:NAO655365 NKK655364:NKK655365 NUG655364:NUG655365 OEC655364:OEC655365 ONY655364:ONY655365 OXU655364:OXU655365 PHQ655364:PHQ655365 PRM655364:PRM655365 QBI655364:QBI655365 QLE655364:QLE655365 QVA655364:QVA655365 REW655364:REW655365 ROS655364:ROS655365 RYO655364:RYO655365 SIK655364:SIK655365 SSG655364:SSG655365 TCC655364:TCC655365 TLY655364:TLY655365 TVU655364:TVU655365 UFQ655364:UFQ655365 UPM655364:UPM655365 UZI655364:UZI655365 VJE655364:VJE655365 VTA655364:VTA655365 WCW655364:WCW655365 WMS655364:WMS655365 WWO655364:WWO655365 AG720900:AG720901 KC720900:KC720901 TY720900:TY720901 ADU720900:ADU720901 ANQ720900:ANQ720901 AXM720900:AXM720901 BHI720900:BHI720901 BRE720900:BRE720901 CBA720900:CBA720901 CKW720900:CKW720901 CUS720900:CUS720901 DEO720900:DEO720901 DOK720900:DOK720901 DYG720900:DYG720901 EIC720900:EIC720901 ERY720900:ERY720901 FBU720900:FBU720901 FLQ720900:FLQ720901 FVM720900:FVM720901 GFI720900:GFI720901 GPE720900:GPE720901 GZA720900:GZA720901 HIW720900:HIW720901 HSS720900:HSS720901 ICO720900:ICO720901 IMK720900:IMK720901 IWG720900:IWG720901 JGC720900:JGC720901 JPY720900:JPY720901 JZU720900:JZU720901 KJQ720900:KJQ720901 KTM720900:KTM720901 LDI720900:LDI720901 LNE720900:LNE720901 LXA720900:LXA720901 MGW720900:MGW720901 MQS720900:MQS720901 NAO720900:NAO720901 NKK720900:NKK720901 NUG720900:NUG720901 OEC720900:OEC720901 ONY720900:ONY720901 OXU720900:OXU720901 PHQ720900:PHQ720901 PRM720900:PRM720901 QBI720900:QBI720901 QLE720900:QLE720901 QVA720900:QVA720901 REW720900:REW720901 ROS720900:ROS720901 RYO720900:RYO720901 SIK720900:SIK720901 SSG720900:SSG720901 TCC720900:TCC720901 TLY720900:TLY720901 TVU720900:TVU720901 UFQ720900:UFQ720901 UPM720900:UPM720901 UZI720900:UZI720901 VJE720900:VJE720901 VTA720900:VTA720901 WCW720900:WCW720901 WMS720900:WMS720901 WWO720900:WWO720901 AG786436:AG786437 KC786436:KC786437 TY786436:TY786437 ADU786436:ADU786437 ANQ786436:ANQ786437 AXM786436:AXM786437 BHI786436:BHI786437 BRE786436:BRE786437 CBA786436:CBA786437 CKW786436:CKW786437 CUS786436:CUS786437 DEO786436:DEO786437 DOK786436:DOK786437 DYG786436:DYG786437 EIC786436:EIC786437 ERY786436:ERY786437 FBU786436:FBU786437 FLQ786436:FLQ786437 FVM786436:FVM786437 GFI786436:GFI786437 GPE786436:GPE786437 GZA786436:GZA786437 HIW786436:HIW786437 HSS786436:HSS786437 ICO786436:ICO786437 IMK786436:IMK786437 IWG786436:IWG786437 JGC786436:JGC786437 JPY786436:JPY786437 JZU786436:JZU786437 KJQ786436:KJQ786437 KTM786436:KTM786437 LDI786436:LDI786437 LNE786436:LNE786437 LXA786436:LXA786437 MGW786436:MGW786437 MQS786436:MQS786437 NAO786436:NAO786437 NKK786436:NKK786437 NUG786436:NUG786437 OEC786436:OEC786437 ONY786436:ONY786437 OXU786436:OXU786437 PHQ786436:PHQ786437 PRM786436:PRM786437 QBI786436:QBI786437 QLE786436:QLE786437 QVA786436:QVA786437 REW786436:REW786437 ROS786436:ROS786437 RYO786436:RYO786437 SIK786436:SIK786437 SSG786436:SSG786437 TCC786436:TCC786437 TLY786436:TLY786437 TVU786436:TVU786437 UFQ786436:UFQ786437 UPM786436:UPM786437 UZI786436:UZI786437 VJE786436:VJE786437 VTA786436:VTA786437 WCW786436:WCW786437 WMS786436:WMS786437 WWO786436:WWO786437 AG851972:AG851973 KC851972:KC851973 TY851972:TY851973 ADU851972:ADU851973 ANQ851972:ANQ851973 AXM851972:AXM851973 BHI851972:BHI851973 BRE851972:BRE851973 CBA851972:CBA851973 CKW851972:CKW851973 CUS851972:CUS851973 DEO851972:DEO851973 DOK851972:DOK851973 DYG851972:DYG851973 EIC851972:EIC851973 ERY851972:ERY851973 FBU851972:FBU851973 FLQ851972:FLQ851973 FVM851972:FVM851973 GFI851972:GFI851973 GPE851972:GPE851973 GZA851972:GZA851973 HIW851972:HIW851973 HSS851972:HSS851973 ICO851972:ICO851973 IMK851972:IMK851973 IWG851972:IWG851973 JGC851972:JGC851973 JPY851972:JPY851973 JZU851972:JZU851973 KJQ851972:KJQ851973 KTM851972:KTM851973 LDI851972:LDI851973 LNE851972:LNE851973 LXA851972:LXA851973 MGW851972:MGW851973 MQS851972:MQS851973 NAO851972:NAO851973 NKK851972:NKK851973 NUG851972:NUG851973 OEC851972:OEC851973 ONY851972:ONY851973 OXU851972:OXU851973 PHQ851972:PHQ851973 PRM851972:PRM851973 QBI851972:QBI851973 QLE851972:QLE851973 QVA851972:QVA851973 REW851972:REW851973 ROS851972:ROS851973 RYO851972:RYO851973 SIK851972:SIK851973 SSG851972:SSG851973 TCC851972:TCC851973 TLY851972:TLY851973 TVU851972:TVU851973 UFQ851972:UFQ851973 UPM851972:UPM851973 UZI851972:UZI851973 VJE851972:VJE851973 VTA851972:VTA851973 WCW851972:WCW851973 WMS851972:WMS851973 WWO851972:WWO851973 AG917508:AG917509 KC917508:KC917509 TY917508:TY917509 ADU917508:ADU917509 ANQ917508:ANQ917509 AXM917508:AXM917509 BHI917508:BHI917509 BRE917508:BRE917509 CBA917508:CBA917509 CKW917508:CKW917509 CUS917508:CUS917509 DEO917508:DEO917509 DOK917508:DOK917509 DYG917508:DYG917509 EIC917508:EIC917509 ERY917508:ERY917509 FBU917508:FBU917509 FLQ917508:FLQ917509 FVM917508:FVM917509 GFI917508:GFI917509 GPE917508:GPE917509 GZA917508:GZA917509 HIW917508:HIW917509 HSS917508:HSS917509 ICO917508:ICO917509 IMK917508:IMK917509 IWG917508:IWG917509 JGC917508:JGC917509 JPY917508:JPY917509 JZU917508:JZU917509 KJQ917508:KJQ917509 KTM917508:KTM917509 LDI917508:LDI917509 LNE917508:LNE917509 LXA917508:LXA917509 MGW917508:MGW917509 MQS917508:MQS917509 NAO917508:NAO917509 NKK917508:NKK917509 NUG917508:NUG917509 OEC917508:OEC917509 ONY917508:ONY917509 OXU917508:OXU917509 PHQ917508:PHQ917509 PRM917508:PRM917509 QBI917508:QBI917509 QLE917508:QLE917509 QVA917508:QVA917509 REW917508:REW917509 ROS917508:ROS917509 RYO917508:RYO917509 SIK917508:SIK917509 SSG917508:SSG917509 TCC917508:TCC917509 TLY917508:TLY917509 TVU917508:TVU917509 UFQ917508:UFQ917509 UPM917508:UPM917509 UZI917508:UZI917509 VJE917508:VJE917509 VTA917508:VTA917509 WCW917508:WCW917509 WMS917508:WMS917509 WWO917508:WWO917509 AG983044:AG983045 KC983044:KC983045 TY983044:TY983045 ADU983044:ADU983045 ANQ983044:ANQ983045 AXM983044:AXM983045 BHI983044:BHI983045 BRE983044:BRE983045 CBA983044:CBA983045 CKW983044:CKW983045 CUS983044:CUS983045 DEO983044:DEO983045 DOK983044:DOK983045 DYG983044:DYG983045 EIC983044:EIC983045 ERY983044:ERY983045 FBU983044:FBU983045 FLQ983044:FLQ983045 FVM983044:FVM983045 GFI983044:GFI983045 GPE983044:GPE983045 GZA983044:GZA983045 HIW983044:HIW983045 HSS983044:HSS983045 ICO983044:ICO983045 IMK983044:IMK983045 IWG983044:IWG983045 JGC983044:JGC983045 JPY983044:JPY983045 JZU983044:JZU983045 KJQ983044:KJQ983045 KTM983044:KTM983045 LDI983044:LDI983045 LNE983044:LNE983045 LXA983044:LXA983045 MGW983044:MGW983045 MQS983044:MQS983045 NAO983044:NAO983045 NKK983044:NKK983045 NUG983044:NUG983045 OEC983044:OEC983045 ONY983044:ONY983045 OXU983044:OXU983045 PHQ983044:PHQ983045 PRM983044:PRM983045 QBI983044:QBI983045 QLE983044:QLE983045 QVA983044:QVA983045 REW983044:REW983045 ROS983044:ROS983045 RYO983044:RYO983045 SIK983044:SIK983045 SSG983044:SSG983045 TCC983044:TCC983045 TLY983044:TLY983045 TVU983044:TVU983045 UFQ983044:UFQ983045 UPM983044:UPM983045 UZI983044:UZI983045 VJE983044:VJE983045 VTA983044:VTA983045 WCW983044:WCW983045 WMS983044:WMS983045 WWO983044:WWO983045 AI4:AI5 KE4:KE5 UA4:UA5 ADW4:ADW5 ANS4:ANS5 AXO4:AXO5 BHK4:BHK5 BRG4:BRG5 CBC4:CBC5 CKY4:CKY5 CUU4:CUU5 DEQ4:DEQ5 DOM4:DOM5 DYI4:DYI5 EIE4:EIE5 ESA4:ESA5 FBW4:FBW5 FLS4:FLS5 FVO4:FVO5 GFK4:GFK5 GPG4:GPG5 GZC4:GZC5 HIY4:HIY5 HSU4:HSU5 ICQ4:ICQ5 IMM4:IMM5 IWI4:IWI5 JGE4:JGE5 JQA4:JQA5 JZW4:JZW5 KJS4:KJS5 KTO4:KTO5 LDK4:LDK5 LNG4:LNG5 LXC4:LXC5 MGY4:MGY5 MQU4:MQU5 NAQ4:NAQ5 NKM4:NKM5 NUI4:NUI5 OEE4:OEE5 OOA4:OOA5 OXW4:OXW5 PHS4:PHS5 PRO4:PRO5 QBK4:QBK5 QLG4:QLG5 QVC4:QVC5 REY4:REY5 ROU4:ROU5 RYQ4:RYQ5 SIM4:SIM5 SSI4:SSI5 TCE4:TCE5 TMA4:TMA5 TVW4:TVW5 UFS4:UFS5 UPO4:UPO5 UZK4:UZK5 VJG4:VJG5 VTC4:VTC5 WCY4:WCY5 WMU4:WMU5 WWQ4:WWQ5 AI65540:AI65541 KE65540:KE65541 UA65540:UA65541 ADW65540:ADW65541 ANS65540:ANS65541 AXO65540:AXO65541 BHK65540:BHK65541 BRG65540:BRG65541 CBC65540:CBC65541 CKY65540:CKY65541 CUU65540:CUU65541 DEQ65540:DEQ65541 DOM65540:DOM65541 DYI65540:DYI65541 EIE65540:EIE65541 ESA65540:ESA65541 FBW65540:FBW65541 FLS65540:FLS65541 FVO65540:FVO65541 GFK65540:GFK65541 GPG65540:GPG65541 GZC65540:GZC65541 HIY65540:HIY65541 HSU65540:HSU65541 ICQ65540:ICQ65541 IMM65540:IMM65541 IWI65540:IWI65541 JGE65540:JGE65541 JQA65540:JQA65541 JZW65540:JZW65541 KJS65540:KJS65541 KTO65540:KTO65541 LDK65540:LDK65541 LNG65540:LNG65541 LXC65540:LXC65541 MGY65540:MGY65541 MQU65540:MQU65541 NAQ65540:NAQ65541 NKM65540:NKM65541 NUI65540:NUI65541 OEE65540:OEE65541 OOA65540:OOA65541 OXW65540:OXW65541 PHS65540:PHS65541 PRO65540:PRO65541 QBK65540:QBK65541 QLG65540:QLG65541 QVC65540:QVC65541 REY65540:REY65541 ROU65540:ROU65541 RYQ65540:RYQ65541 SIM65540:SIM65541 SSI65540:SSI65541 TCE65540:TCE65541 TMA65540:TMA65541 TVW65540:TVW65541 UFS65540:UFS65541 UPO65540:UPO65541 UZK65540:UZK65541 VJG65540:VJG65541 VTC65540:VTC65541 WCY65540:WCY65541 WMU65540:WMU65541 WWQ65540:WWQ65541 AI131076:AI131077 KE131076:KE131077 UA131076:UA131077 ADW131076:ADW131077 ANS131076:ANS131077 AXO131076:AXO131077 BHK131076:BHK131077 BRG131076:BRG131077 CBC131076:CBC131077 CKY131076:CKY131077 CUU131076:CUU131077 DEQ131076:DEQ131077 DOM131076:DOM131077 DYI131076:DYI131077 EIE131076:EIE131077 ESA131076:ESA131077 FBW131076:FBW131077 FLS131076:FLS131077 FVO131076:FVO131077 GFK131076:GFK131077 GPG131076:GPG131077 GZC131076:GZC131077 HIY131076:HIY131077 HSU131076:HSU131077 ICQ131076:ICQ131077 IMM131076:IMM131077 IWI131076:IWI131077 JGE131076:JGE131077 JQA131076:JQA131077 JZW131076:JZW131077 KJS131076:KJS131077 KTO131076:KTO131077 LDK131076:LDK131077 LNG131076:LNG131077 LXC131076:LXC131077 MGY131076:MGY131077 MQU131076:MQU131077 NAQ131076:NAQ131077 NKM131076:NKM131077 NUI131076:NUI131077 OEE131076:OEE131077 OOA131076:OOA131077 OXW131076:OXW131077 PHS131076:PHS131077 PRO131076:PRO131077 QBK131076:QBK131077 QLG131076:QLG131077 QVC131076:QVC131077 REY131076:REY131077 ROU131076:ROU131077 RYQ131076:RYQ131077 SIM131076:SIM131077 SSI131076:SSI131077 TCE131076:TCE131077 TMA131076:TMA131077 TVW131076:TVW131077 UFS131076:UFS131077 UPO131076:UPO131077 UZK131076:UZK131077 VJG131076:VJG131077 VTC131076:VTC131077 WCY131076:WCY131077 WMU131076:WMU131077 WWQ131076:WWQ131077 AI196612:AI196613 KE196612:KE196613 UA196612:UA196613 ADW196612:ADW196613 ANS196612:ANS196613 AXO196612:AXO196613 BHK196612:BHK196613 BRG196612:BRG196613 CBC196612:CBC196613 CKY196612:CKY196613 CUU196612:CUU196613 DEQ196612:DEQ196613 DOM196612:DOM196613 DYI196612:DYI196613 EIE196612:EIE196613 ESA196612:ESA196613 FBW196612:FBW196613 FLS196612:FLS196613 FVO196612:FVO196613 GFK196612:GFK196613 GPG196612:GPG196613 GZC196612:GZC196613 HIY196612:HIY196613 HSU196612:HSU196613 ICQ196612:ICQ196613 IMM196612:IMM196613 IWI196612:IWI196613 JGE196612:JGE196613 JQA196612:JQA196613 JZW196612:JZW196613 KJS196612:KJS196613 KTO196612:KTO196613 LDK196612:LDK196613 LNG196612:LNG196613 LXC196612:LXC196613 MGY196612:MGY196613 MQU196612:MQU196613 NAQ196612:NAQ196613 NKM196612:NKM196613 NUI196612:NUI196613 OEE196612:OEE196613 OOA196612:OOA196613 OXW196612:OXW196613 PHS196612:PHS196613 PRO196612:PRO196613 QBK196612:QBK196613 QLG196612:QLG196613 QVC196612:QVC196613 REY196612:REY196613 ROU196612:ROU196613 RYQ196612:RYQ196613 SIM196612:SIM196613 SSI196612:SSI196613 TCE196612:TCE196613 TMA196612:TMA196613 TVW196612:TVW196613 UFS196612:UFS196613 UPO196612:UPO196613 UZK196612:UZK196613 VJG196612:VJG196613 VTC196612:VTC196613 WCY196612:WCY196613 WMU196612:WMU196613 WWQ196612:WWQ196613 AI262148:AI262149 KE262148:KE262149 UA262148:UA262149 ADW262148:ADW262149 ANS262148:ANS262149 AXO262148:AXO262149 BHK262148:BHK262149 BRG262148:BRG262149 CBC262148:CBC262149 CKY262148:CKY262149 CUU262148:CUU262149 DEQ262148:DEQ262149 DOM262148:DOM262149 DYI262148:DYI262149 EIE262148:EIE262149 ESA262148:ESA262149 FBW262148:FBW262149 FLS262148:FLS262149 FVO262148:FVO262149 GFK262148:GFK262149 GPG262148:GPG262149 GZC262148:GZC262149 HIY262148:HIY262149 HSU262148:HSU262149 ICQ262148:ICQ262149 IMM262148:IMM262149 IWI262148:IWI262149 JGE262148:JGE262149 JQA262148:JQA262149 JZW262148:JZW262149 KJS262148:KJS262149 KTO262148:KTO262149 LDK262148:LDK262149 LNG262148:LNG262149 LXC262148:LXC262149 MGY262148:MGY262149 MQU262148:MQU262149 NAQ262148:NAQ262149 NKM262148:NKM262149 NUI262148:NUI262149 OEE262148:OEE262149 OOA262148:OOA262149 OXW262148:OXW262149 PHS262148:PHS262149 PRO262148:PRO262149 QBK262148:QBK262149 QLG262148:QLG262149 QVC262148:QVC262149 REY262148:REY262149 ROU262148:ROU262149 RYQ262148:RYQ262149 SIM262148:SIM262149 SSI262148:SSI262149 TCE262148:TCE262149 TMA262148:TMA262149 TVW262148:TVW262149 UFS262148:UFS262149 UPO262148:UPO262149 UZK262148:UZK262149 VJG262148:VJG262149 VTC262148:VTC262149 WCY262148:WCY262149 WMU262148:WMU262149 WWQ262148:WWQ262149 AI327684:AI327685 KE327684:KE327685 UA327684:UA327685 ADW327684:ADW327685 ANS327684:ANS327685 AXO327684:AXO327685 BHK327684:BHK327685 BRG327684:BRG327685 CBC327684:CBC327685 CKY327684:CKY327685 CUU327684:CUU327685 DEQ327684:DEQ327685 DOM327684:DOM327685 DYI327684:DYI327685 EIE327684:EIE327685 ESA327684:ESA327685 FBW327684:FBW327685 FLS327684:FLS327685 FVO327684:FVO327685 GFK327684:GFK327685 GPG327684:GPG327685 GZC327684:GZC327685 HIY327684:HIY327685 HSU327684:HSU327685 ICQ327684:ICQ327685 IMM327684:IMM327685 IWI327684:IWI327685 JGE327684:JGE327685 JQA327684:JQA327685 JZW327684:JZW327685 KJS327684:KJS327685 KTO327684:KTO327685 LDK327684:LDK327685 LNG327684:LNG327685 LXC327684:LXC327685 MGY327684:MGY327685 MQU327684:MQU327685 NAQ327684:NAQ327685 NKM327684:NKM327685 NUI327684:NUI327685 OEE327684:OEE327685 OOA327684:OOA327685 OXW327684:OXW327685 PHS327684:PHS327685 PRO327684:PRO327685 QBK327684:QBK327685 QLG327684:QLG327685 QVC327684:QVC327685 REY327684:REY327685 ROU327684:ROU327685 RYQ327684:RYQ327685 SIM327684:SIM327685 SSI327684:SSI327685 TCE327684:TCE327685 TMA327684:TMA327685 TVW327684:TVW327685 UFS327684:UFS327685 UPO327684:UPO327685 UZK327684:UZK327685 VJG327684:VJG327685 VTC327684:VTC327685 WCY327684:WCY327685 WMU327684:WMU327685 WWQ327684:WWQ327685 AI393220:AI393221 KE393220:KE393221 UA393220:UA393221 ADW393220:ADW393221 ANS393220:ANS393221 AXO393220:AXO393221 BHK393220:BHK393221 BRG393220:BRG393221 CBC393220:CBC393221 CKY393220:CKY393221 CUU393220:CUU393221 DEQ393220:DEQ393221 DOM393220:DOM393221 DYI393220:DYI393221 EIE393220:EIE393221 ESA393220:ESA393221 FBW393220:FBW393221 FLS393220:FLS393221 FVO393220:FVO393221 GFK393220:GFK393221 GPG393220:GPG393221 GZC393220:GZC393221 HIY393220:HIY393221 HSU393220:HSU393221 ICQ393220:ICQ393221 IMM393220:IMM393221 IWI393220:IWI393221 JGE393220:JGE393221 JQA393220:JQA393221 JZW393220:JZW393221 KJS393220:KJS393221 KTO393220:KTO393221 LDK393220:LDK393221 LNG393220:LNG393221 LXC393220:LXC393221 MGY393220:MGY393221 MQU393220:MQU393221 NAQ393220:NAQ393221 NKM393220:NKM393221 NUI393220:NUI393221 OEE393220:OEE393221 OOA393220:OOA393221 OXW393220:OXW393221 PHS393220:PHS393221 PRO393220:PRO393221 QBK393220:QBK393221 QLG393220:QLG393221 QVC393220:QVC393221 REY393220:REY393221 ROU393220:ROU393221 RYQ393220:RYQ393221 SIM393220:SIM393221 SSI393220:SSI393221 TCE393220:TCE393221 TMA393220:TMA393221 TVW393220:TVW393221 UFS393220:UFS393221 UPO393220:UPO393221 UZK393220:UZK393221 VJG393220:VJG393221 VTC393220:VTC393221 WCY393220:WCY393221 WMU393220:WMU393221 WWQ393220:WWQ393221 AI458756:AI458757 KE458756:KE458757 UA458756:UA458757 ADW458756:ADW458757 ANS458756:ANS458757 AXO458756:AXO458757 BHK458756:BHK458757 BRG458756:BRG458757 CBC458756:CBC458757 CKY458756:CKY458757 CUU458756:CUU458757 DEQ458756:DEQ458757 DOM458756:DOM458757 DYI458756:DYI458757 EIE458756:EIE458757 ESA458756:ESA458757 FBW458756:FBW458757 FLS458756:FLS458757 FVO458756:FVO458757 GFK458756:GFK458757 GPG458756:GPG458757 GZC458756:GZC458757 HIY458756:HIY458757 HSU458756:HSU458757 ICQ458756:ICQ458757 IMM458756:IMM458757 IWI458756:IWI458757 JGE458756:JGE458757 JQA458756:JQA458757 JZW458756:JZW458757 KJS458756:KJS458757 KTO458756:KTO458757 LDK458756:LDK458757 LNG458756:LNG458757 LXC458756:LXC458757 MGY458756:MGY458757 MQU458756:MQU458757 NAQ458756:NAQ458757 NKM458756:NKM458757 NUI458756:NUI458757 OEE458756:OEE458757 OOA458756:OOA458757 OXW458756:OXW458757 PHS458756:PHS458757 PRO458756:PRO458757 QBK458756:QBK458757 QLG458756:QLG458757 QVC458756:QVC458757 REY458756:REY458757 ROU458756:ROU458757 RYQ458756:RYQ458757 SIM458756:SIM458757 SSI458756:SSI458757 TCE458756:TCE458757 TMA458756:TMA458757 TVW458756:TVW458757 UFS458756:UFS458757 UPO458756:UPO458757 UZK458756:UZK458757 VJG458756:VJG458757 VTC458756:VTC458757 WCY458756:WCY458757 WMU458756:WMU458757 WWQ458756:WWQ458757 AI524292:AI524293 KE524292:KE524293 UA524292:UA524293 ADW524292:ADW524293 ANS524292:ANS524293 AXO524292:AXO524293 BHK524292:BHK524293 BRG524292:BRG524293 CBC524292:CBC524293 CKY524292:CKY524293 CUU524292:CUU524293 DEQ524292:DEQ524293 DOM524292:DOM524293 DYI524292:DYI524293 EIE524292:EIE524293 ESA524292:ESA524293 FBW524292:FBW524293 FLS524292:FLS524293 FVO524292:FVO524293 GFK524292:GFK524293 GPG524292:GPG524293 GZC524292:GZC524293 HIY524292:HIY524293 HSU524292:HSU524293 ICQ524292:ICQ524293 IMM524292:IMM524293 IWI524292:IWI524293 JGE524292:JGE524293 JQA524292:JQA524293 JZW524292:JZW524293 KJS524292:KJS524293 KTO524292:KTO524293 LDK524292:LDK524293 LNG524292:LNG524293 LXC524292:LXC524293 MGY524292:MGY524293 MQU524292:MQU524293 NAQ524292:NAQ524293 NKM524292:NKM524293 NUI524292:NUI524293 OEE524292:OEE524293 OOA524292:OOA524293 OXW524292:OXW524293 PHS524292:PHS524293 PRO524292:PRO524293 QBK524292:QBK524293 QLG524292:QLG524293 QVC524292:QVC524293 REY524292:REY524293 ROU524292:ROU524293 RYQ524292:RYQ524293 SIM524292:SIM524293 SSI524292:SSI524293 TCE524292:TCE524293 TMA524292:TMA524293 TVW524292:TVW524293 UFS524292:UFS524293 UPO524292:UPO524293 UZK524292:UZK524293 VJG524292:VJG524293 VTC524292:VTC524293 WCY524292:WCY524293 WMU524292:WMU524293 WWQ524292:WWQ524293 AI589828:AI589829 KE589828:KE589829 UA589828:UA589829 ADW589828:ADW589829 ANS589828:ANS589829 AXO589828:AXO589829 BHK589828:BHK589829 BRG589828:BRG589829 CBC589828:CBC589829 CKY589828:CKY589829 CUU589828:CUU589829 DEQ589828:DEQ589829 DOM589828:DOM589829 DYI589828:DYI589829 EIE589828:EIE589829 ESA589828:ESA589829 FBW589828:FBW589829 FLS589828:FLS589829 FVO589828:FVO589829 GFK589828:GFK589829 GPG589828:GPG589829 GZC589828:GZC589829 HIY589828:HIY589829 HSU589828:HSU589829 ICQ589828:ICQ589829 IMM589828:IMM589829 IWI589828:IWI589829 JGE589828:JGE589829 JQA589828:JQA589829 JZW589828:JZW589829 KJS589828:KJS589829 KTO589828:KTO589829 LDK589828:LDK589829 LNG589828:LNG589829 LXC589828:LXC589829 MGY589828:MGY589829 MQU589828:MQU589829 NAQ589828:NAQ589829 NKM589828:NKM589829 NUI589828:NUI589829 OEE589828:OEE589829 OOA589828:OOA589829 OXW589828:OXW589829 PHS589828:PHS589829 PRO589828:PRO589829 QBK589828:QBK589829 QLG589828:QLG589829 QVC589828:QVC589829 REY589828:REY589829 ROU589828:ROU589829 RYQ589828:RYQ589829 SIM589828:SIM589829 SSI589828:SSI589829 TCE589828:TCE589829 TMA589828:TMA589829 TVW589828:TVW589829 UFS589828:UFS589829 UPO589828:UPO589829 UZK589828:UZK589829 VJG589828:VJG589829 VTC589828:VTC589829 WCY589828:WCY589829 WMU589828:WMU589829 WWQ589828:WWQ589829 AI655364:AI655365 KE655364:KE655365 UA655364:UA655365 ADW655364:ADW655365 ANS655364:ANS655365 AXO655364:AXO655365 BHK655364:BHK655365 BRG655364:BRG655365 CBC655364:CBC655365 CKY655364:CKY655365 CUU655364:CUU655365 DEQ655364:DEQ655365 DOM655364:DOM655365 DYI655364:DYI655365 EIE655364:EIE655365 ESA655364:ESA655365 FBW655364:FBW655365 FLS655364:FLS655365 FVO655364:FVO655365 GFK655364:GFK655365 GPG655364:GPG655365 GZC655364:GZC655365 HIY655364:HIY655365 HSU655364:HSU655365 ICQ655364:ICQ655365 IMM655364:IMM655365 IWI655364:IWI655365 JGE655364:JGE655365 JQA655364:JQA655365 JZW655364:JZW655365 KJS655364:KJS655365 KTO655364:KTO655365 LDK655364:LDK655365 LNG655364:LNG655365 LXC655364:LXC655365 MGY655364:MGY655365 MQU655364:MQU655365 NAQ655364:NAQ655365 NKM655364:NKM655365 NUI655364:NUI655365 OEE655364:OEE655365 OOA655364:OOA655365 OXW655364:OXW655365 PHS655364:PHS655365 PRO655364:PRO655365 QBK655364:QBK655365 QLG655364:QLG655365 QVC655364:QVC655365 REY655364:REY655365 ROU655364:ROU655365 RYQ655364:RYQ655365 SIM655364:SIM655365 SSI655364:SSI655365 TCE655364:TCE655365 TMA655364:TMA655365 TVW655364:TVW655365 UFS655364:UFS655365 UPO655364:UPO655365 UZK655364:UZK655365 VJG655364:VJG655365 VTC655364:VTC655365 WCY655364:WCY655365 WMU655364:WMU655365 WWQ655364:WWQ655365 AI720900:AI720901 KE720900:KE720901 UA720900:UA720901 ADW720900:ADW720901 ANS720900:ANS720901 AXO720900:AXO720901 BHK720900:BHK720901 BRG720900:BRG720901 CBC720900:CBC720901 CKY720900:CKY720901 CUU720900:CUU720901 DEQ720900:DEQ720901 DOM720900:DOM720901 DYI720900:DYI720901 EIE720900:EIE720901 ESA720900:ESA720901 FBW720900:FBW720901 FLS720900:FLS720901 FVO720900:FVO720901 GFK720900:GFK720901 GPG720900:GPG720901 GZC720900:GZC720901 HIY720900:HIY720901 HSU720900:HSU720901 ICQ720900:ICQ720901 IMM720900:IMM720901 IWI720900:IWI720901 JGE720900:JGE720901 JQA720900:JQA720901 JZW720900:JZW720901 KJS720900:KJS720901 KTO720900:KTO720901 LDK720900:LDK720901 LNG720900:LNG720901 LXC720900:LXC720901 MGY720900:MGY720901 MQU720900:MQU720901 NAQ720900:NAQ720901 NKM720900:NKM720901 NUI720900:NUI720901 OEE720900:OEE720901 OOA720900:OOA720901 OXW720900:OXW720901 PHS720900:PHS720901 PRO720900:PRO720901 QBK720900:QBK720901 QLG720900:QLG720901 QVC720900:QVC720901 REY720900:REY720901 ROU720900:ROU720901 RYQ720900:RYQ720901 SIM720900:SIM720901 SSI720900:SSI720901 TCE720900:TCE720901 TMA720900:TMA720901 TVW720900:TVW720901 UFS720900:UFS720901 UPO720900:UPO720901 UZK720900:UZK720901 VJG720900:VJG720901 VTC720900:VTC720901 WCY720900:WCY720901 WMU720900:WMU720901 WWQ720900:WWQ720901 AI786436:AI786437 KE786436:KE786437 UA786436:UA786437 ADW786436:ADW786437 ANS786436:ANS786437 AXO786436:AXO786437 BHK786436:BHK786437 BRG786436:BRG786437 CBC786436:CBC786437 CKY786436:CKY786437 CUU786436:CUU786437 DEQ786436:DEQ786437 DOM786436:DOM786437 DYI786436:DYI786437 EIE786436:EIE786437 ESA786436:ESA786437 FBW786436:FBW786437 FLS786436:FLS786437 FVO786436:FVO786437 GFK786436:GFK786437 GPG786436:GPG786437 GZC786436:GZC786437 HIY786436:HIY786437 HSU786436:HSU786437 ICQ786436:ICQ786437 IMM786436:IMM786437 IWI786436:IWI786437 JGE786436:JGE786437 JQA786436:JQA786437 JZW786436:JZW786437 KJS786436:KJS786437 KTO786436:KTO786437 LDK786436:LDK786437 LNG786436:LNG786437 LXC786436:LXC786437 MGY786436:MGY786437 MQU786436:MQU786437 NAQ786436:NAQ786437 NKM786436:NKM786437 NUI786436:NUI786437 OEE786436:OEE786437 OOA786436:OOA786437 OXW786436:OXW786437 PHS786436:PHS786437 PRO786436:PRO786437 QBK786436:QBK786437 QLG786436:QLG786437 QVC786436:QVC786437 REY786436:REY786437 ROU786436:ROU786437 RYQ786436:RYQ786437 SIM786436:SIM786437 SSI786436:SSI786437 TCE786436:TCE786437 TMA786436:TMA786437 TVW786436:TVW786437 UFS786436:UFS786437 UPO786436:UPO786437 UZK786436:UZK786437 VJG786436:VJG786437 VTC786436:VTC786437 WCY786436:WCY786437 WMU786436:WMU786437 WWQ786436:WWQ786437 AI851972:AI851973 KE851972:KE851973 UA851972:UA851973 ADW851972:ADW851973 ANS851972:ANS851973 AXO851972:AXO851973 BHK851972:BHK851973 BRG851972:BRG851973 CBC851972:CBC851973 CKY851972:CKY851973 CUU851972:CUU851973 DEQ851972:DEQ851973 DOM851972:DOM851973 DYI851972:DYI851973 EIE851972:EIE851973 ESA851972:ESA851973 FBW851972:FBW851973 FLS851972:FLS851973 FVO851972:FVO851973 GFK851972:GFK851973 GPG851972:GPG851973 GZC851972:GZC851973 HIY851972:HIY851973 HSU851972:HSU851973 ICQ851972:ICQ851973 IMM851972:IMM851973 IWI851972:IWI851973 JGE851972:JGE851973 JQA851972:JQA851973 JZW851972:JZW851973 KJS851972:KJS851973 KTO851972:KTO851973 LDK851972:LDK851973 LNG851972:LNG851973 LXC851972:LXC851973 MGY851972:MGY851973 MQU851972:MQU851973 NAQ851972:NAQ851973 NKM851972:NKM851973 NUI851972:NUI851973 OEE851972:OEE851973 OOA851972:OOA851973 OXW851972:OXW851973 PHS851972:PHS851973 PRO851972:PRO851973 QBK851972:QBK851973 QLG851972:QLG851973 QVC851972:QVC851973 REY851972:REY851973 ROU851972:ROU851973 RYQ851972:RYQ851973 SIM851972:SIM851973 SSI851972:SSI851973 TCE851972:TCE851973 TMA851972:TMA851973 TVW851972:TVW851973 UFS851972:UFS851973 UPO851972:UPO851973 UZK851972:UZK851973 VJG851972:VJG851973 VTC851972:VTC851973 WCY851972:WCY851973 WMU851972:WMU851973 WWQ851972:WWQ851973 AI917508:AI917509 KE917508:KE917509 UA917508:UA917509 ADW917508:ADW917509 ANS917508:ANS917509 AXO917508:AXO917509 BHK917508:BHK917509 BRG917508:BRG917509 CBC917508:CBC917509 CKY917508:CKY917509 CUU917508:CUU917509 DEQ917508:DEQ917509 DOM917508:DOM917509 DYI917508:DYI917509 EIE917508:EIE917509 ESA917508:ESA917509 FBW917508:FBW917509 FLS917508:FLS917509 FVO917508:FVO917509 GFK917508:GFK917509 GPG917508:GPG917509 GZC917508:GZC917509 HIY917508:HIY917509 HSU917508:HSU917509 ICQ917508:ICQ917509 IMM917508:IMM917509 IWI917508:IWI917509 JGE917508:JGE917509 JQA917508:JQA917509 JZW917508:JZW917509 KJS917508:KJS917509 KTO917508:KTO917509 LDK917508:LDK917509 LNG917508:LNG917509 LXC917508:LXC917509 MGY917508:MGY917509 MQU917508:MQU917509 NAQ917508:NAQ917509 NKM917508:NKM917509 NUI917508:NUI917509 OEE917508:OEE917509 OOA917508:OOA917509 OXW917508:OXW917509 PHS917508:PHS917509 PRO917508:PRO917509 QBK917508:QBK917509 QLG917508:QLG917509 QVC917508:QVC917509 REY917508:REY917509 ROU917508:ROU917509 RYQ917508:RYQ917509 SIM917508:SIM917509 SSI917508:SSI917509 TCE917508:TCE917509 TMA917508:TMA917509 TVW917508:TVW917509 UFS917508:UFS917509 UPO917508:UPO917509 UZK917508:UZK917509 VJG917508:VJG917509 VTC917508:VTC917509 WCY917508:WCY917509 WMU917508:WMU917509 WWQ917508:WWQ917509 AI983044:AI983045 KE983044:KE983045 UA983044:UA983045 ADW983044:ADW983045 ANS983044:ANS983045 AXO983044:AXO983045 BHK983044:BHK983045 BRG983044:BRG983045 CBC983044:CBC983045 CKY983044:CKY983045 CUU983044:CUU983045 DEQ983044:DEQ983045 DOM983044:DOM983045 DYI983044:DYI983045 EIE983044:EIE983045 ESA983044:ESA983045 FBW983044:FBW983045 FLS983044:FLS983045 FVO983044:FVO983045 GFK983044:GFK983045 GPG983044:GPG983045 GZC983044:GZC983045 HIY983044:HIY983045 HSU983044:HSU983045 ICQ983044:ICQ983045 IMM983044:IMM983045 IWI983044:IWI983045 JGE983044:JGE983045 JQA983044:JQA983045 JZW983044:JZW983045 KJS983044:KJS983045 KTO983044:KTO983045 LDK983044:LDK983045 LNG983044:LNG983045 LXC983044:LXC983045 MGY983044:MGY983045 MQU983044:MQU983045 NAQ983044:NAQ983045 NKM983044:NKM983045 NUI983044:NUI983045 OEE983044:OEE983045 OOA983044:OOA983045 OXW983044:OXW983045 PHS983044:PHS983045 PRO983044:PRO983045 QBK983044:QBK983045 QLG983044:QLG983045 QVC983044:QVC983045 REY983044:REY983045 ROU983044:ROU983045 RYQ983044:RYQ983045 SIM983044:SIM983045 SSI983044:SSI983045 TCE983044:TCE983045 TMA983044:TMA983045 TVW983044:TVW983045 UFS983044:UFS983045 UPO983044:UPO983045 UZK983044:UZK983045 VJG983044:VJG983045 VTC983044:VTC983045 WCY983044:WCY983045 WMU983044:WMU983045 WWQ983044:WWQ983045 AK4:AK5 KG4:KG5 UC4:UC5 ADY4:ADY5 ANU4:ANU5 AXQ4:AXQ5 BHM4:BHM5 BRI4:BRI5 CBE4:CBE5 CLA4:CLA5 CUW4:CUW5 DES4:DES5 DOO4:DOO5 DYK4:DYK5 EIG4:EIG5 ESC4:ESC5 FBY4:FBY5 FLU4:FLU5 FVQ4:FVQ5 GFM4:GFM5 GPI4:GPI5 GZE4:GZE5 HJA4:HJA5 HSW4:HSW5 ICS4:ICS5 IMO4:IMO5 IWK4:IWK5 JGG4:JGG5 JQC4:JQC5 JZY4:JZY5 KJU4:KJU5 KTQ4:KTQ5 LDM4:LDM5 LNI4:LNI5 LXE4:LXE5 MHA4:MHA5 MQW4:MQW5 NAS4:NAS5 NKO4:NKO5 NUK4:NUK5 OEG4:OEG5 OOC4:OOC5 OXY4:OXY5 PHU4:PHU5 PRQ4:PRQ5 QBM4:QBM5 QLI4:QLI5 QVE4:QVE5 RFA4:RFA5 ROW4:ROW5 RYS4:RYS5 SIO4:SIO5 SSK4:SSK5 TCG4:TCG5 TMC4:TMC5 TVY4:TVY5 UFU4:UFU5 UPQ4:UPQ5 UZM4:UZM5 VJI4:VJI5 VTE4:VTE5 WDA4:WDA5 WMW4:WMW5 WWS4:WWS5 AK65540:AK65541 KG65540:KG65541 UC65540:UC65541 ADY65540:ADY65541 ANU65540:ANU65541 AXQ65540:AXQ65541 BHM65540:BHM65541 BRI65540:BRI65541 CBE65540:CBE65541 CLA65540:CLA65541 CUW65540:CUW65541 DES65540:DES65541 DOO65540:DOO65541 DYK65540:DYK65541 EIG65540:EIG65541 ESC65540:ESC65541 FBY65540:FBY65541 FLU65540:FLU65541 FVQ65540:FVQ65541 GFM65540:GFM65541 GPI65540:GPI65541 GZE65540:GZE65541 HJA65540:HJA65541 HSW65540:HSW65541 ICS65540:ICS65541 IMO65540:IMO65541 IWK65540:IWK65541 JGG65540:JGG65541 JQC65540:JQC65541 JZY65540:JZY65541 KJU65540:KJU65541 KTQ65540:KTQ65541 LDM65540:LDM65541 LNI65540:LNI65541 LXE65540:LXE65541 MHA65540:MHA65541 MQW65540:MQW65541 NAS65540:NAS65541 NKO65540:NKO65541 NUK65540:NUK65541 OEG65540:OEG65541 OOC65540:OOC65541 OXY65540:OXY65541 PHU65540:PHU65541 PRQ65540:PRQ65541 QBM65540:QBM65541 QLI65540:QLI65541 QVE65540:QVE65541 RFA65540:RFA65541 ROW65540:ROW65541 RYS65540:RYS65541 SIO65540:SIO65541 SSK65540:SSK65541 TCG65540:TCG65541 TMC65540:TMC65541 TVY65540:TVY65541 UFU65540:UFU65541 UPQ65540:UPQ65541 UZM65540:UZM65541 VJI65540:VJI65541 VTE65540:VTE65541 WDA65540:WDA65541 WMW65540:WMW65541 WWS65540:WWS65541 AK131076:AK131077 KG131076:KG131077 UC131076:UC131077 ADY131076:ADY131077 ANU131076:ANU131077 AXQ131076:AXQ131077 BHM131076:BHM131077 BRI131076:BRI131077 CBE131076:CBE131077 CLA131076:CLA131077 CUW131076:CUW131077 DES131076:DES131077 DOO131076:DOO131077 DYK131076:DYK131077 EIG131076:EIG131077 ESC131076:ESC131077 FBY131076:FBY131077 FLU131076:FLU131077 FVQ131076:FVQ131077 GFM131076:GFM131077 GPI131076:GPI131077 GZE131076:GZE131077 HJA131076:HJA131077 HSW131076:HSW131077 ICS131076:ICS131077 IMO131076:IMO131077 IWK131076:IWK131077 JGG131076:JGG131077 JQC131076:JQC131077 JZY131076:JZY131077 KJU131076:KJU131077 KTQ131076:KTQ131077 LDM131076:LDM131077 LNI131076:LNI131077 LXE131076:LXE131077 MHA131076:MHA131077 MQW131076:MQW131077 NAS131076:NAS131077 NKO131076:NKO131077 NUK131076:NUK131077 OEG131076:OEG131077 OOC131076:OOC131077 OXY131076:OXY131077 PHU131076:PHU131077 PRQ131076:PRQ131077 QBM131076:QBM131077 QLI131076:QLI131077 QVE131076:QVE131077 RFA131076:RFA131077 ROW131076:ROW131077 RYS131076:RYS131077 SIO131076:SIO131077 SSK131076:SSK131077 TCG131076:TCG131077 TMC131076:TMC131077 TVY131076:TVY131077 UFU131076:UFU131077 UPQ131076:UPQ131077 UZM131076:UZM131077 VJI131076:VJI131077 VTE131076:VTE131077 WDA131076:WDA131077 WMW131076:WMW131077 WWS131076:WWS131077 AK196612:AK196613 KG196612:KG196613 UC196612:UC196613 ADY196612:ADY196613 ANU196612:ANU196613 AXQ196612:AXQ196613 BHM196612:BHM196613 BRI196612:BRI196613 CBE196612:CBE196613 CLA196612:CLA196613 CUW196612:CUW196613 DES196612:DES196613 DOO196612:DOO196613 DYK196612:DYK196613 EIG196612:EIG196613 ESC196612:ESC196613 FBY196612:FBY196613 FLU196612:FLU196613 FVQ196612:FVQ196613 GFM196612:GFM196613 GPI196612:GPI196613 GZE196612:GZE196613 HJA196612:HJA196613 HSW196612:HSW196613 ICS196612:ICS196613 IMO196612:IMO196613 IWK196612:IWK196613 JGG196612:JGG196613 JQC196612:JQC196613 JZY196612:JZY196613 KJU196612:KJU196613 KTQ196612:KTQ196613 LDM196612:LDM196613 LNI196612:LNI196613 LXE196612:LXE196613 MHA196612:MHA196613 MQW196612:MQW196613 NAS196612:NAS196613 NKO196612:NKO196613 NUK196612:NUK196613 OEG196612:OEG196613 OOC196612:OOC196613 OXY196612:OXY196613 PHU196612:PHU196613 PRQ196612:PRQ196613 QBM196612:QBM196613 QLI196612:QLI196613 QVE196612:QVE196613 RFA196612:RFA196613 ROW196612:ROW196613 RYS196612:RYS196613 SIO196612:SIO196613 SSK196612:SSK196613 TCG196612:TCG196613 TMC196612:TMC196613 TVY196612:TVY196613 UFU196612:UFU196613 UPQ196612:UPQ196613 UZM196612:UZM196613 VJI196612:VJI196613 VTE196612:VTE196613 WDA196612:WDA196613 WMW196612:WMW196613 WWS196612:WWS196613 AK262148:AK262149 KG262148:KG262149 UC262148:UC262149 ADY262148:ADY262149 ANU262148:ANU262149 AXQ262148:AXQ262149 BHM262148:BHM262149 BRI262148:BRI262149 CBE262148:CBE262149 CLA262148:CLA262149 CUW262148:CUW262149 DES262148:DES262149 DOO262148:DOO262149 DYK262148:DYK262149 EIG262148:EIG262149 ESC262148:ESC262149 FBY262148:FBY262149 FLU262148:FLU262149 FVQ262148:FVQ262149 GFM262148:GFM262149 GPI262148:GPI262149 GZE262148:GZE262149 HJA262148:HJA262149 HSW262148:HSW262149 ICS262148:ICS262149 IMO262148:IMO262149 IWK262148:IWK262149 JGG262148:JGG262149 JQC262148:JQC262149 JZY262148:JZY262149 KJU262148:KJU262149 KTQ262148:KTQ262149 LDM262148:LDM262149 LNI262148:LNI262149 LXE262148:LXE262149 MHA262148:MHA262149 MQW262148:MQW262149 NAS262148:NAS262149 NKO262148:NKO262149 NUK262148:NUK262149 OEG262148:OEG262149 OOC262148:OOC262149 OXY262148:OXY262149 PHU262148:PHU262149 PRQ262148:PRQ262149 QBM262148:QBM262149 QLI262148:QLI262149 QVE262148:QVE262149 RFA262148:RFA262149 ROW262148:ROW262149 RYS262148:RYS262149 SIO262148:SIO262149 SSK262148:SSK262149 TCG262148:TCG262149 TMC262148:TMC262149 TVY262148:TVY262149 UFU262148:UFU262149 UPQ262148:UPQ262149 UZM262148:UZM262149 VJI262148:VJI262149 VTE262148:VTE262149 WDA262148:WDA262149 WMW262148:WMW262149 WWS262148:WWS262149 AK327684:AK327685 KG327684:KG327685 UC327684:UC327685 ADY327684:ADY327685 ANU327684:ANU327685 AXQ327684:AXQ327685 BHM327684:BHM327685 BRI327684:BRI327685 CBE327684:CBE327685 CLA327684:CLA327685 CUW327684:CUW327685 DES327684:DES327685 DOO327684:DOO327685 DYK327684:DYK327685 EIG327684:EIG327685 ESC327684:ESC327685 FBY327684:FBY327685 FLU327684:FLU327685 FVQ327684:FVQ327685 GFM327684:GFM327685 GPI327684:GPI327685 GZE327684:GZE327685 HJA327684:HJA327685 HSW327684:HSW327685 ICS327684:ICS327685 IMO327684:IMO327685 IWK327684:IWK327685 JGG327684:JGG327685 JQC327684:JQC327685 JZY327684:JZY327685 KJU327684:KJU327685 KTQ327684:KTQ327685 LDM327684:LDM327685 LNI327684:LNI327685 LXE327684:LXE327685 MHA327684:MHA327685 MQW327684:MQW327685 NAS327684:NAS327685 NKO327684:NKO327685 NUK327684:NUK327685 OEG327684:OEG327685 OOC327684:OOC327685 OXY327684:OXY327685 PHU327684:PHU327685 PRQ327684:PRQ327685 QBM327684:QBM327685 QLI327684:QLI327685 QVE327684:QVE327685 RFA327684:RFA327685 ROW327684:ROW327685 RYS327684:RYS327685 SIO327684:SIO327685 SSK327684:SSK327685 TCG327684:TCG327685 TMC327684:TMC327685 TVY327684:TVY327685 UFU327684:UFU327685 UPQ327684:UPQ327685 UZM327684:UZM327685 VJI327684:VJI327685 VTE327684:VTE327685 WDA327684:WDA327685 WMW327684:WMW327685 WWS327684:WWS327685 AK393220:AK393221 KG393220:KG393221 UC393220:UC393221 ADY393220:ADY393221 ANU393220:ANU393221 AXQ393220:AXQ393221 BHM393220:BHM393221 BRI393220:BRI393221 CBE393220:CBE393221 CLA393220:CLA393221 CUW393220:CUW393221 DES393220:DES393221 DOO393220:DOO393221 DYK393220:DYK393221 EIG393220:EIG393221 ESC393220:ESC393221 FBY393220:FBY393221 FLU393220:FLU393221 FVQ393220:FVQ393221 GFM393220:GFM393221 GPI393220:GPI393221 GZE393220:GZE393221 HJA393220:HJA393221 HSW393220:HSW393221 ICS393220:ICS393221 IMO393220:IMO393221 IWK393220:IWK393221 JGG393220:JGG393221 JQC393220:JQC393221 JZY393220:JZY393221 KJU393220:KJU393221 KTQ393220:KTQ393221 LDM393220:LDM393221 LNI393220:LNI393221 LXE393220:LXE393221 MHA393220:MHA393221 MQW393220:MQW393221 NAS393220:NAS393221 NKO393220:NKO393221 NUK393220:NUK393221 OEG393220:OEG393221 OOC393220:OOC393221 OXY393220:OXY393221 PHU393220:PHU393221 PRQ393220:PRQ393221 QBM393220:QBM393221 QLI393220:QLI393221 QVE393220:QVE393221 RFA393220:RFA393221 ROW393220:ROW393221 RYS393220:RYS393221 SIO393220:SIO393221 SSK393220:SSK393221 TCG393220:TCG393221 TMC393220:TMC393221 TVY393220:TVY393221 UFU393220:UFU393221 UPQ393220:UPQ393221 UZM393220:UZM393221 VJI393220:VJI393221 VTE393220:VTE393221 WDA393220:WDA393221 WMW393220:WMW393221 WWS393220:WWS393221 AK458756:AK458757 KG458756:KG458757 UC458756:UC458757 ADY458756:ADY458757 ANU458756:ANU458757 AXQ458756:AXQ458757 BHM458756:BHM458757 BRI458756:BRI458757 CBE458756:CBE458757 CLA458756:CLA458757 CUW458756:CUW458757 DES458756:DES458757 DOO458756:DOO458757 DYK458756:DYK458757 EIG458756:EIG458757 ESC458756:ESC458757 FBY458756:FBY458757 FLU458756:FLU458757 FVQ458756:FVQ458757 GFM458756:GFM458757 GPI458756:GPI458757 GZE458756:GZE458757 HJA458756:HJA458757 HSW458756:HSW458757 ICS458756:ICS458757 IMO458756:IMO458757 IWK458756:IWK458757 JGG458756:JGG458757 JQC458756:JQC458757 JZY458756:JZY458757 KJU458756:KJU458757 KTQ458756:KTQ458757 LDM458756:LDM458757 LNI458756:LNI458757 LXE458756:LXE458757 MHA458756:MHA458757 MQW458756:MQW458757 NAS458756:NAS458757 NKO458756:NKO458757 NUK458756:NUK458757 OEG458756:OEG458757 OOC458756:OOC458757 OXY458756:OXY458757 PHU458756:PHU458757 PRQ458756:PRQ458757 QBM458756:QBM458757 QLI458756:QLI458757 QVE458756:QVE458757 RFA458756:RFA458757 ROW458756:ROW458757 RYS458756:RYS458757 SIO458756:SIO458757 SSK458756:SSK458757 TCG458756:TCG458757 TMC458756:TMC458757 TVY458756:TVY458757 UFU458756:UFU458757 UPQ458756:UPQ458757 UZM458756:UZM458757 VJI458756:VJI458757 VTE458756:VTE458757 WDA458756:WDA458757 WMW458756:WMW458757 WWS458756:WWS458757 AK524292:AK524293 KG524292:KG524293 UC524292:UC524293 ADY524292:ADY524293 ANU524292:ANU524293 AXQ524292:AXQ524293 BHM524292:BHM524293 BRI524292:BRI524293 CBE524292:CBE524293 CLA524292:CLA524293 CUW524292:CUW524293 DES524292:DES524293 DOO524292:DOO524293 DYK524292:DYK524293 EIG524292:EIG524293 ESC524292:ESC524293 FBY524292:FBY524293 FLU524292:FLU524293 FVQ524292:FVQ524293 GFM524292:GFM524293 GPI524292:GPI524293 GZE524292:GZE524293 HJA524292:HJA524293 HSW524292:HSW524293 ICS524292:ICS524293 IMO524292:IMO524293 IWK524292:IWK524293 JGG524292:JGG524293 JQC524292:JQC524293 JZY524292:JZY524293 KJU524292:KJU524293 KTQ524292:KTQ524293 LDM524292:LDM524293 LNI524292:LNI524293 LXE524292:LXE524293 MHA524292:MHA524293 MQW524292:MQW524293 NAS524292:NAS524293 NKO524292:NKO524293 NUK524292:NUK524293 OEG524292:OEG524293 OOC524292:OOC524293 OXY524292:OXY524293 PHU524292:PHU524293 PRQ524292:PRQ524293 QBM524292:QBM524293 QLI524292:QLI524293 QVE524292:QVE524293 RFA524292:RFA524293 ROW524292:ROW524293 RYS524292:RYS524293 SIO524292:SIO524293 SSK524292:SSK524293 TCG524292:TCG524293 TMC524292:TMC524293 TVY524292:TVY524293 UFU524292:UFU524293 UPQ524292:UPQ524293 UZM524292:UZM524293 VJI524292:VJI524293 VTE524292:VTE524293 WDA524292:WDA524293 WMW524292:WMW524293 WWS524292:WWS524293 AK589828:AK589829 KG589828:KG589829 UC589828:UC589829 ADY589828:ADY589829 ANU589828:ANU589829 AXQ589828:AXQ589829 BHM589828:BHM589829 BRI589828:BRI589829 CBE589828:CBE589829 CLA589828:CLA589829 CUW589828:CUW589829 DES589828:DES589829 DOO589828:DOO589829 DYK589828:DYK589829 EIG589828:EIG589829 ESC589828:ESC589829 FBY589828:FBY589829 FLU589828:FLU589829 FVQ589828:FVQ589829 GFM589828:GFM589829 GPI589828:GPI589829 GZE589828:GZE589829 HJA589828:HJA589829 HSW589828:HSW589829 ICS589828:ICS589829 IMO589828:IMO589829 IWK589828:IWK589829 JGG589828:JGG589829 JQC589828:JQC589829 JZY589828:JZY589829 KJU589828:KJU589829 KTQ589828:KTQ589829 LDM589828:LDM589829 LNI589828:LNI589829 LXE589828:LXE589829 MHA589828:MHA589829 MQW589828:MQW589829 NAS589828:NAS589829 NKO589828:NKO589829 NUK589828:NUK589829 OEG589828:OEG589829 OOC589828:OOC589829 OXY589828:OXY589829 PHU589828:PHU589829 PRQ589828:PRQ589829 QBM589828:QBM589829 QLI589828:QLI589829 QVE589828:QVE589829 RFA589828:RFA589829 ROW589828:ROW589829 RYS589828:RYS589829 SIO589828:SIO589829 SSK589828:SSK589829 TCG589828:TCG589829 TMC589828:TMC589829 TVY589828:TVY589829 UFU589828:UFU589829 UPQ589828:UPQ589829 UZM589828:UZM589829 VJI589828:VJI589829 VTE589828:VTE589829 WDA589828:WDA589829 WMW589828:WMW589829 WWS589828:WWS589829 AK655364:AK655365 KG655364:KG655365 UC655364:UC655365 ADY655364:ADY655365 ANU655364:ANU655365 AXQ655364:AXQ655365 BHM655364:BHM655365 BRI655364:BRI655365 CBE655364:CBE655365 CLA655364:CLA655365 CUW655364:CUW655365 DES655364:DES655365 DOO655364:DOO655365 DYK655364:DYK655365 EIG655364:EIG655365 ESC655364:ESC655365 FBY655364:FBY655365 FLU655364:FLU655365 FVQ655364:FVQ655365 GFM655364:GFM655365 GPI655364:GPI655365 GZE655364:GZE655365 HJA655364:HJA655365 HSW655364:HSW655365 ICS655364:ICS655365 IMO655364:IMO655365 IWK655364:IWK655365 JGG655364:JGG655365 JQC655364:JQC655365 JZY655364:JZY655365 KJU655364:KJU655365 KTQ655364:KTQ655365 LDM655364:LDM655365 LNI655364:LNI655365 LXE655364:LXE655365 MHA655364:MHA655365 MQW655364:MQW655365 NAS655364:NAS655365 NKO655364:NKO655365 NUK655364:NUK655365 OEG655364:OEG655365 OOC655364:OOC655365 OXY655364:OXY655365 PHU655364:PHU655365 PRQ655364:PRQ655365 QBM655364:QBM655365 QLI655364:QLI655365 QVE655364:QVE655365 RFA655364:RFA655365 ROW655364:ROW655365 RYS655364:RYS655365 SIO655364:SIO655365 SSK655364:SSK655365 TCG655364:TCG655365 TMC655364:TMC655365 TVY655364:TVY655365 UFU655364:UFU655365 UPQ655364:UPQ655365 UZM655364:UZM655365 VJI655364:VJI655365 VTE655364:VTE655365 WDA655364:WDA655365 WMW655364:WMW655365 WWS655364:WWS655365 AK720900:AK720901 KG720900:KG720901 UC720900:UC720901 ADY720900:ADY720901 ANU720900:ANU720901 AXQ720900:AXQ720901 BHM720900:BHM720901 BRI720900:BRI720901 CBE720900:CBE720901 CLA720900:CLA720901 CUW720900:CUW720901 DES720900:DES720901 DOO720900:DOO720901 DYK720900:DYK720901 EIG720900:EIG720901 ESC720900:ESC720901 FBY720900:FBY720901 FLU720900:FLU720901 FVQ720900:FVQ720901 GFM720900:GFM720901 GPI720900:GPI720901 GZE720900:GZE720901 HJA720900:HJA720901 HSW720900:HSW720901 ICS720900:ICS720901 IMO720900:IMO720901 IWK720900:IWK720901 JGG720900:JGG720901 JQC720900:JQC720901 JZY720900:JZY720901 KJU720900:KJU720901 KTQ720900:KTQ720901 LDM720900:LDM720901 LNI720900:LNI720901 LXE720900:LXE720901 MHA720900:MHA720901 MQW720900:MQW720901 NAS720900:NAS720901 NKO720900:NKO720901 NUK720900:NUK720901 OEG720900:OEG720901 OOC720900:OOC720901 OXY720900:OXY720901 PHU720900:PHU720901 PRQ720900:PRQ720901 QBM720900:QBM720901 QLI720900:QLI720901 QVE720900:QVE720901 RFA720900:RFA720901 ROW720900:ROW720901 RYS720900:RYS720901 SIO720900:SIO720901 SSK720900:SSK720901 TCG720900:TCG720901 TMC720900:TMC720901 TVY720900:TVY720901 UFU720900:UFU720901 UPQ720900:UPQ720901 UZM720900:UZM720901 VJI720900:VJI720901 VTE720900:VTE720901 WDA720900:WDA720901 WMW720900:WMW720901 WWS720900:WWS720901 AK786436:AK786437 KG786436:KG786437 UC786436:UC786437 ADY786436:ADY786437 ANU786436:ANU786437 AXQ786436:AXQ786437 BHM786436:BHM786437 BRI786436:BRI786437 CBE786436:CBE786437 CLA786436:CLA786437 CUW786436:CUW786437 DES786436:DES786437 DOO786436:DOO786437 DYK786436:DYK786437 EIG786436:EIG786437 ESC786436:ESC786437 FBY786436:FBY786437 FLU786436:FLU786437 FVQ786436:FVQ786437 GFM786436:GFM786437 GPI786436:GPI786437 GZE786436:GZE786437 HJA786436:HJA786437 HSW786436:HSW786437 ICS786436:ICS786437 IMO786436:IMO786437 IWK786436:IWK786437 JGG786436:JGG786437 JQC786436:JQC786437 JZY786436:JZY786437 KJU786436:KJU786437 KTQ786436:KTQ786437 LDM786436:LDM786437 LNI786436:LNI786437 LXE786436:LXE786437 MHA786436:MHA786437 MQW786436:MQW786437 NAS786436:NAS786437 NKO786436:NKO786437 NUK786436:NUK786437 OEG786436:OEG786437 OOC786436:OOC786437 OXY786436:OXY786437 PHU786436:PHU786437 PRQ786436:PRQ786437 QBM786436:QBM786437 QLI786436:QLI786437 QVE786436:QVE786437 RFA786436:RFA786437 ROW786436:ROW786437 RYS786436:RYS786437 SIO786436:SIO786437 SSK786436:SSK786437 TCG786436:TCG786437 TMC786436:TMC786437 TVY786436:TVY786437 UFU786436:UFU786437 UPQ786436:UPQ786437 UZM786436:UZM786437 VJI786436:VJI786437 VTE786436:VTE786437 WDA786436:WDA786437 WMW786436:WMW786437 WWS786436:WWS786437 AK851972:AK851973 KG851972:KG851973 UC851972:UC851973 ADY851972:ADY851973 ANU851972:ANU851973 AXQ851972:AXQ851973 BHM851972:BHM851973 BRI851972:BRI851973 CBE851972:CBE851973 CLA851972:CLA851973 CUW851972:CUW851973 DES851972:DES851973 DOO851972:DOO851973 DYK851972:DYK851973 EIG851972:EIG851973 ESC851972:ESC851973 FBY851972:FBY851973 FLU851972:FLU851973 FVQ851972:FVQ851973 GFM851972:GFM851973 GPI851972:GPI851973 GZE851972:GZE851973 HJA851972:HJA851973 HSW851972:HSW851973 ICS851972:ICS851973 IMO851972:IMO851973 IWK851972:IWK851973 JGG851972:JGG851973 JQC851972:JQC851973 JZY851972:JZY851973 KJU851972:KJU851973 KTQ851972:KTQ851973 LDM851972:LDM851973 LNI851972:LNI851973 LXE851972:LXE851973 MHA851972:MHA851973 MQW851972:MQW851973 NAS851972:NAS851973 NKO851972:NKO851973 NUK851972:NUK851973 OEG851972:OEG851973 OOC851972:OOC851973 OXY851972:OXY851973 PHU851972:PHU851973 PRQ851972:PRQ851973 QBM851972:QBM851973 QLI851972:QLI851973 QVE851972:QVE851973 RFA851972:RFA851973 ROW851972:ROW851973 RYS851972:RYS851973 SIO851972:SIO851973 SSK851972:SSK851973 TCG851972:TCG851973 TMC851972:TMC851973 TVY851972:TVY851973 UFU851972:UFU851973 UPQ851972:UPQ851973 UZM851972:UZM851973 VJI851972:VJI851973 VTE851972:VTE851973 WDA851972:WDA851973 WMW851972:WMW851973 WWS851972:WWS851973 AK917508:AK917509 KG917508:KG917509 UC917508:UC917509 ADY917508:ADY917509 ANU917508:ANU917509 AXQ917508:AXQ917509 BHM917508:BHM917509 BRI917508:BRI917509 CBE917508:CBE917509 CLA917508:CLA917509 CUW917508:CUW917509 DES917508:DES917509 DOO917508:DOO917509 DYK917508:DYK917509 EIG917508:EIG917509 ESC917508:ESC917509 FBY917508:FBY917509 FLU917508:FLU917509 FVQ917508:FVQ917509 GFM917508:GFM917509 GPI917508:GPI917509 GZE917508:GZE917509 HJA917508:HJA917509 HSW917508:HSW917509 ICS917508:ICS917509 IMO917508:IMO917509 IWK917508:IWK917509 JGG917508:JGG917509 JQC917508:JQC917509 JZY917508:JZY917509 KJU917508:KJU917509 KTQ917508:KTQ917509 LDM917508:LDM917509 LNI917508:LNI917509 LXE917508:LXE917509 MHA917508:MHA917509 MQW917508:MQW917509 NAS917508:NAS917509 NKO917508:NKO917509 NUK917508:NUK917509 OEG917508:OEG917509 OOC917508:OOC917509 OXY917508:OXY917509 PHU917508:PHU917509 PRQ917508:PRQ917509 QBM917508:QBM917509 QLI917508:QLI917509 QVE917508:QVE917509 RFA917508:RFA917509 ROW917508:ROW917509 RYS917508:RYS917509 SIO917508:SIO917509 SSK917508:SSK917509 TCG917508:TCG917509 TMC917508:TMC917509 TVY917508:TVY917509 UFU917508:UFU917509 UPQ917508:UPQ917509 UZM917508:UZM917509 VJI917508:VJI917509 VTE917508:VTE917509 WDA917508:WDA917509 WMW917508:WMW917509 WWS917508:WWS917509 AK983044:AK983045 KG983044:KG983045 UC983044:UC983045 ADY983044:ADY983045 ANU983044:ANU983045 AXQ983044:AXQ983045 BHM983044:BHM983045 BRI983044:BRI983045 CBE983044:CBE983045 CLA983044:CLA983045 CUW983044:CUW983045 DES983044:DES983045 DOO983044:DOO983045 DYK983044:DYK983045 EIG983044:EIG983045 ESC983044:ESC983045 FBY983044:FBY983045 FLU983044:FLU983045 FVQ983044:FVQ983045 GFM983044:GFM983045 GPI983044:GPI983045 GZE983044:GZE983045 HJA983044:HJA983045 HSW983044:HSW983045 ICS983044:ICS983045 IMO983044:IMO983045 IWK983044:IWK983045 JGG983044:JGG983045 JQC983044:JQC983045 JZY983044:JZY983045 KJU983044:KJU983045 KTQ983044:KTQ983045 LDM983044:LDM983045 LNI983044:LNI983045 LXE983044:LXE983045 MHA983044:MHA983045 MQW983044:MQW983045 NAS983044:NAS983045 NKO983044:NKO983045 NUK983044:NUK983045 OEG983044:OEG983045 OOC983044:OOC983045 OXY983044:OXY983045 PHU983044:PHU983045 PRQ983044:PRQ983045 QBM983044:QBM983045 QLI983044:QLI983045 QVE983044:QVE983045 RFA983044:RFA983045 ROW983044:ROW983045 RYS983044:RYS983045 SIO983044:SIO983045 SSK983044:SSK983045 TCG983044:TCG983045 TMC983044:TMC983045 TVY983044:TVY983045 UFU983044:UFU983045 UPQ983044:UPQ983045 UZM983044:UZM983045 VJI983044:VJI983045 VTE983044:VTE983045 WDA983044:WDA983045 WMW983044:WMW983045 WWS983044:WWS983045 AM4:AM5 KI4:KI5 UE4:UE5 AEA4:AEA5 ANW4:ANW5 AXS4:AXS5 BHO4:BHO5 BRK4:BRK5 CBG4:CBG5 CLC4:CLC5 CUY4:CUY5 DEU4:DEU5 DOQ4:DOQ5 DYM4:DYM5 EII4:EII5 ESE4:ESE5 FCA4:FCA5 FLW4:FLW5 FVS4:FVS5 GFO4:GFO5 GPK4:GPK5 GZG4:GZG5 HJC4:HJC5 HSY4:HSY5 ICU4:ICU5 IMQ4:IMQ5 IWM4:IWM5 JGI4:JGI5 JQE4:JQE5 KAA4:KAA5 KJW4:KJW5 KTS4:KTS5 LDO4:LDO5 LNK4:LNK5 LXG4:LXG5 MHC4:MHC5 MQY4:MQY5 NAU4:NAU5 NKQ4:NKQ5 NUM4:NUM5 OEI4:OEI5 OOE4:OOE5 OYA4:OYA5 PHW4:PHW5 PRS4:PRS5 QBO4:QBO5 QLK4:QLK5 QVG4:QVG5 RFC4:RFC5 ROY4:ROY5 RYU4:RYU5 SIQ4:SIQ5 SSM4:SSM5 TCI4:TCI5 TME4:TME5 TWA4:TWA5 UFW4:UFW5 UPS4:UPS5 UZO4:UZO5 VJK4:VJK5 VTG4:VTG5 WDC4:WDC5 WMY4:WMY5 WWU4:WWU5 AM65540:AM65541 KI65540:KI65541 UE65540:UE65541 AEA65540:AEA65541 ANW65540:ANW65541 AXS65540:AXS65541 BHO65540:BHO65541 BRK65540:BRK65541 CBG65540:CBG65541 CLC65540:CLC65541 CUY65540:CUY65541 DEU65540:DEU65541 DOQ65540:DOQ65541 DYM65540:DYM65541 EII65540:EII65541 ESE65540:ESE65541 FCA65540:FCA65541 FLW65540:FLW65541 FVS65540:FVS65541 GFO65540:GFO65541 GPK65540:GPK65541 GZG65540:GZG65541 HJC65540:HJC65541 HSY65540:HSY65541 ICU65540:ICU65541 IMQ65540:IMQ65541 IWM65540:IWM65541 JGI65540:JGI65541 JQE65540:JQE65541 KAA65540:KAA65541 KJW65540:KJW65541 KTS65540:KTS65541 LDO65540:LDO65541 LNK65540:LNK65541 LXG65540:LXG65541 MHC65540:MHC65541 MQY65540:MQY65541 NAU65540:NAU65541 NKQ65540:NKQ65541 NUM65540:NUM65541 OEI65540:OEI65541 OOE65540:OOE65541 OYA65540:OYA65541 PHW65540:PHW65541 PRS65540:PRS65541 QBO65540:QBO65541 QLK65540:QLK65541 QVG65540:QVG65541 RFC65540:RFC65541 ROY65540:ROY65541 RYU65540:RYU65541 SIQ65540:SIQ65541 SSM65540:SSM65541 TCI65540:TCI65541 TME65540:TME65541 TWA65540:TWA65541 UFW65540:UFW65541 UPS65540:UPS65541 UZO65540:UZO65541 VJK65540:VJK65541 VTG65540:VTG65541 WDC65540:WDC65541 WMY65540:WMY65541 WWU65540:WWU65541 AM131076:AM131077 KI131076:KI131077 UE131076:UE131077 AEA131076:AEA131077 ANW131076:ANW131077 AXS131076:AXS131077 BHO131076:BHO131077 BRK131076:BRK131077 CBG131076:CBG131077 CLC131076:CLC131077 CUY131076:CUY131077 DEU131076:DEU131077 DOQ131076:DOQ131077 DYM131076:DYM131077 EII131076:EII131077 ESE131076:ESE131077 FCA131076:FCA131077 FLW131076:FLW131077 FVS131076:FVS131077 GFO131076:GFO131077 GPK131076:GPK131077 GZG131076:GZG131077 HJC131076:HJC131077 HSY131076:HSY131077 ICU131076:ICU131077 IMQ131076:IMQ131077 IWM131076:IWM131077 JGI131076:JGI131077 JQE131076:JQE131077 KAA131076:KAA131077 KJW131076:KJW131077 KTS131076:KTS131077 LDO131076:LDO131077 LNK131076:LNK131077 LXG131076:LXG131077 MHC131076:MHC131077 MQY131076:MQY131077 NAU131076:NAU131077 NKQ131076:NKQ131077 NUM131076:NUM131077 OEI131076:OEI131077 OOE131076:OOE131077 OYA131076:OYA131077 PHW131076:PHW131077 PRS131076:PRS131077 QBO131076:QBO131077 QLK131076:QLK131077 QVG131076:QVG131077 RFC131076:RFC131077 ROY131076:ROY131077 RYU131076:RYU131077 SIQ131076:SIQ131077 SSM131076:SSM131077 TCI131076:TCI131077 TME131076:TME131077 TWA131076:TWA131077 UFW131076:UFW131077 UPS131076:UPS131077 UZO131076:UZO131077 VJK131076:VJK131077 VTG131076:VTG131077 WDC131076:WDC131077 WMY131076:WMY131077 WWU131076:WWU131077 AM196612:AM196613 KI196612:KI196613 UE196612:UE196613 AEA196612:AEA196613 ANW196612:ANW196613 AXS196612:AXS196613 BHO196612:BHO196613 BRK196612:BRK196613 CBG196612:CBG196613 CLC196612:CLC196613 CUY196612:CUY196613 DEU196612:DEU196613 DOQ196612:DOQ196613 DYM196612:DYM196613 EII196612:EII196613 ESE196612:ESE196613 FCA196612:FCA196613 FLW196612:FLW196613 FVS196612:FVS196613 GFO196612:GFO196613 GPK196612:GPK196613 GZG196612:GZG196613 HJC196612:HJC196613 HSY196612:HSY196613 ICU196612:ICU196613 IMQ196612:IMQ196613 IWM196612:IWM196613 JGI196612:JGI196613 JQE196612:JQE196613 KAA196612:KAA196613 KJW196612:KJW196613 KTS196612:KTS196613 LDO196612:LDO196613 LNK196612:LNK196613 LXG196612:LXG196613 MHC196612:MHC196613 MQY196612:MQY196613 NAU196612:NAU196613 NKQ196612:NKQ196613 NUM196612:NUM196613 OEI196612:OEI196613 OOE196612:OOE196613 OYA196612:OYA196613 PHW196612:PHW196613 PRS196612:PRS196613 QBO196612:QBO196613 QLK196612:QLK196613 QVG196612:QVG196613 RFC196612:RFC196613 ROY196612:ROY196613 RYU196612:RYU196613 SIQ196612:SIQ196613 SSM196612:SSM196613 TCI196612:TCI196613 TME196612:TME196613 TWA196612:TWA196613 UFW196612:UFW196613 UPS196612:UPS196613 UZO196612:UZO196613 VJK196612:VJK196613 VTG196612:VTG196613 WDC196612:WDC196613 WMY196612:WMY196613 WWU196612:WWU196613 AM262148:AM262149 KI262148:KI262149 UE262148:UE262149 AEA262148:AEA262149 ANW262148:ANW262149 AXS262148:AXS262149 BHO262148:BHO262149 BRK262148:BRK262149 CBG262148:CBG262149 CLC262148:CLC262149 CUY262148:CUY262149 DEU262148:DEU262149 DOQ262148:DOQ262149 DYM262148:DYM262149 EII262148:EII262149 ESE262148:ESE262149 FCA262148:FCA262149 FLW262148:FLW262149 FVS262148:FVS262149 GFO262148:GFO262149 GPK262148:GPK262149 GZG262148:GZG262149 HJC262148:HJC262149 HSY262148:HSY262149 ICU262148:ICU262149 IMQ262148:IMQ262149 IWM262148:IWM262149 JGI262148:JGI262149 JQE262148:JQE262149 KAA262148:KAA262149 KJW262148:KJW262149 KTS262148:KTS262149 LDO262148:LDO262149 LNK262148:LNK262149 LXG262148:LXG262149 MHC262148:MHC262149 MQY262148:MQY262149 NAU262148:NAU262149 NKQ262148:NKQ262149 NUM262148:NUM262149 OEI262148:OEI262149 OOE262148:OOE262149 OYA262148:OYA262149 PHW262148:PHW262149 PRS262148:PRS262149 QBO262148:QBO262149 QLK262148:QLK262149 QVG262148:QVG262149 RFC262148:RFC262149 ROY262148:ROY262149 RYU262148:RYU262149 SIQ262148:SIQ262149 SSM262148:SSM262149 TCI262148:TCI262149 TME262148:TME262149 TWA262148:TWA262149 UFW262148:UFW262149 UPS262148:UPS262149 UZO262148:UZO262149 VJK262148:VJK262149 VTG262148:VTG262149 WDC262148:WDC262149 WMY262148:WMY262149 WWU262148:WWU262149 AM327684:AM327685 KI327684:KI327685 UE327684:UE327685 AEA327684:AEA327685 ANW327684:ANW327685 AXS327684:AXS327685 BHO327684:BHO327685 BRK327684:BRK327685 CBG327684:CBG327685 CLC327684:CLC327685 CUY327684:CUY327685 DEU327684:DEU327685 DOQ327684:DOQ327685 DYM327684:DYM327685 EII327684:EII327685 ESE327684:ESE327685 FCA327684:FCA327685 FLW327684:FLW327685 FVS327684:FVS327685 GFO327684:GFO327685 GPK327684:GPK327685 GZG327684:GZG327685 HJC327684:HJC327685 HSY327684:HSY327685 ICU327684:ICU327685 IMQ327684:IMQ327685 IWM327684:IWM327685 JGI327684:JGI327685 JQE327684:JQE327685 KAA327684:KAA327685 KJW327684:KJW327685 KTS327684:KTS327685 LDO327684:LDO327685 LNK327684:LNK327685 LXG327684:LXG327685 MHC327684:MHC327685 MQY327684:MQY327685 NAU327684:NAU327685 NKQ327684:NKQ327685 NUM327684:NUM327685 OEI327684:OEI327685 OOE327684:OOE327685 OYA327684:OYA327685 PHW327684:PHW327685 PRS327684:PRS327685 QBO327684:QBO327685 QLK327684:QLK327685 QVG327684:QVG327685 RFC327684:RFC327685 ROY327684:ROY327685 RYU327684:RYU327685 SIQ327684:SIQ327685 SSM327684:SSM327685 TCI327684:TCI327685 TME327684:TME327685 TWA327684:TWA327685 UFW327684:UFW327685 UPS327684:UPS327685 UZO327684:UZO327685 VJK327684:VJK327685 VTG327684:VTG327685 WDC327684:WDC327685 WMY327684:WMY327685 WWU327684:WWU327685 AM393220:AM393221 KI393220:KI393221 UE393220:UE393221 AEA393220:AEA393221 ANW393220:ANW393221 AXS393220:AXS393221 BHO393220:BHO393221 BRK393220:BRK393221 CBG393220:CBG393221 CLC393220:CLC393221 CUY393220:CUY393221 DEU393220:DEU393221 DOQ393220:DOQ393221 DYM393220:DYM393221 EII393220:EII393221 ESE393220:ESE393221 FCA393220:FCA393221 FLW393220:FLW393221 FVS393220:FVS393221 GFO393220:GFO393221 GPK393220:GPK393221 GZG393220:GZG393221 HJC393220:HJC393221 HSY393220:HSY393221 ICU393220:ICU393221 IMQ393220:IMQ393221 IWM393220:IWM393221 JGI393220:JGI393221 JQE393220:JQE393221 KAA393220:KAA393221 KJW393220:KJW393221 KTS393220:KTS393221 LDO393220:LDO393221 LNK393220:LNK393221 LXG393220:LXG393221 MHC393220:MHC393221 MQY393220:MQY393221 NAU393220:NAU393221 NKQ393220:NKQ393221 NUM393220:NUM393221 OEI393220:OEI393221 OOE393220:OOE393221 OYA393220:OYA393221 PHW393220:PHW393221 PRS393220:PRS393221 QBO393220:QBO393221 QLK393220:QLK393221 QVG393220:QVG393221 RFC393220:RFC393221 ROY393220:ROY393221 RYU393220:RYU393221 SIQ393220:SIQ393221 SSM393220:SSM393221 TCI393220:TCI393221 TME393220:TME393221 TWA393220:TWA393221 UFW393220:UFW393221 UPS393220:UPS393221 UZO393220:UZO393221 VJK393220:VJK393221 VTG393220:VTG393221 WDC393220:WDC393221 WMY393220:WMY393221 WWU393220:WWU393221 AM458756:AM458757 KI458756:KI458757 UE458756:UE458757 AEA458756:AEA458757 ANW458756:ANW458757 AXS458756:AXS458757 BHO458756:BHO458757 BRK458756:BRK458757 CBG458756:CBG458757 CLC458756:CLC458757 CUY458756:CUY458757 DEU458756:DEU458757 DOQ458756:DOQ458757 DYM458756:DYM458757 EII458756:EII458757 ESE458756:ESE458757 FCA458756:FCA458757 FLW458756:FLW458757 FVS458756:FVS458757 GFO458756:GFO458757 GPK458756:GPK458757 GZG458756:GZG458757 HJC458756:HJC458757 HSY458756:HSY458757 ICU458756:ICU458757 IMQ458756:IMQ458757 IWM458756:IWM458757 JGI458756:JGI458757 JQE458756:JQE458757 KAA458756:KAA458757 KJW458756:KJW458757 KTS458756:KTS458757 LDO458756:LDO458757 LNK458756:LNK458757 LXG458756:LXG458757 MHC458756:MHC458757 MQY458756:MQY458757 NAU458756:NAU458757 NKQ458756:NKQ458757 NUM458756:NUM458757 OEI458756:OEI458757 OOE458756:OOE458757 OYA458756:OYA458757 PHW458756:PHW458757 PRS458756:PRS458757 QBO458756:QBO458757 QLK458756:QLK458757 QVG458756:QVG458757 RFC458756:RFC458757 ROY458756:ROY458757 RYU458756:RYU458757 SIQ458756:SIQ458757 SSM458756:SSM458757 TCI458756:TCI458757 TME458756:TME458757 TWA458756:TWA458757 UFW458756:UFW458757 UPS458756:UPS458757 UZO458756:UZO458757 VJK458756:VJK458757 VTG458756:VTG458757 WDC458756:WDC458757 WMY458756:WMY458757 WWU458756:WWU458757 AM524292:AM524293 KI524292:KI524293 UE524292:UE524293 AEA524292:AEA524293 ANW524292:ANW524293 AXS524292:AXS524293 BHO524292:BHO524293 BRK524292:BRK524293 CBG524292:CBG524293 CLC524292:CLC524293 CUY524292:CUY524293 DEU524292:DEU524293 DOQ524292:DOQ524293 DYM524292:DYM524293 EII524292:EII524293 ESE524292:ESE524293 FCA524292:FCA524293 FLW524292:FLW524293 FVS524292:FVS524293 GFO524292:GFO524293 GPK524292:GPK524293 GZG524292:GZG524293 HJC524292:HJC524293 HSY524292:HSY524293 ICU524292:ICU524293 IMQ524292:IMQ524293 IWM524292:IWM524293 JGI524292:JGI524293 JQE524292:JQE524293 KAA524292:KAA524293 KJW524292:KJW524293 KTS524292:KTS524293 LDO524292:LDO524293 LNK524292:LNK524293 LXG524292:LXG524293 MHC524292:MHC524293 MQY524292:MQY524293 NAU524292:NAU524293 NKQ524292:NKQ524293 NUM524292:NUM524293 OEI524292:OEI524293 OOE524292:OOE524293 OYA524292:OYA524293 PHW524292:PHW524293 PRS524292:PRS524293 QBO524292:QBO524293 QLK524292:QLK524293 QVG524292:QVG524293 RFC524292:RFC524293 ROY524292:ROY524293 RYU524292:RYU524293 SIQ524292:SIQ524293 SSM524292:SSM524293 TCI524292:TCI524293 TME524292:TME524293 TWA524292:TWA524293 UFW524292:UFW524293 UPS524292:UPS524293 UZO524292:UZO524293 VJK524292:VJK524293 VTG524292:VTG524293 WDC524292:WDC524293 WMY524292:WMY524293 WWU524292:WWU524293 AM589828:AM589829 KI589828:KI589829 UE589828:UE589829 AEA589828:AEA589829 ANW589828:ANW589829 AXS589828:AXS589829 BHO589828:BHO589829 BRK589828:BRK589829 CBG589828:CBG589829 CLC589828:CLC589829 CUY589828:CUY589829 DEU589828:DEU589829 DOQ589828:DOQ589829 DYM589828:DYM589829 EII589828:EII589829 ESE589828:ESE589829 FCA589828:FCA589829 FLW589828:FLW589829 FVS589828:FVS589829 GFO589828:GFO589829 GPK589828:GPK589829 GZG589828:GZG589829 HJC589828:HJC589829 HSY589828:HSY589829 ICU589828:ICU589829 IMQ589828:IMQ589829 IWM589828:IWM589829 JGI589828:JGI589829 JQE589828:JQE589829 KAA589828:KAA589829 KJW589828:KJW589829 KTS589828:KTS589829 LDO589828:LDO589829 LNK589828:LNK589829 LXG589828:LXG589829 MHC589828:MHC589829 MQY589828:MQY589829 NAU589828:NAU589829 NKQ589828:NKQ589829 NUM589828:NUM589829 OEI589828:OEI589829 OOE589828:OOE589829 OYA589828:OYA589829 PHW589828:PHW589829 PRS589828:PRS589829 QBO589828:QBO589829 QLK589828:QLK589829 QVG589828:QVG589829 RFC589828:RFC589829 ROY589828:ROY589829 RYU589828:RYU589829 SIQ589828:SIQ589829 SSM589828:SSM589829 TCI589828:TCI589829 TME589828:TME589829 TWA589828:TWA589829 UFW589828:UFW589829 UPS589828:UPS589829 UZO589828:UZO589829 VJK589828:VJK589829 VTG589828:VTG589829 WDC589828:WDC589829 WMY589828:WMY589829 WWU589828:WWU589829 AM655364:AM655365 KI655364:KI655365 UE655364:UE655365 AEA655364:AEA655365 ANW655364:ANW655365 AXS655364:AXS655365 BHO655364:BHO655365 BRK655364:BRK655365 CBG655364:CBG655365 CLC655364:CLC655365 CUY655364:CUY655365 DEU655364:DEU655365 DOQ655364:DOQ655365 DYM655364:DYM655365 EII655364:EII655365 ESE655364:ESE655365 FCA655364:FCA655365 FLW655364:FLW655365 FVS655364:FVS655365 GFO655364:GFO655365 GPK655364:GPK655365 GZG655364:GZG655365 HJC655364:HJC655365 HSY655364:HSY655365 ICU655364:ICU655365 IMQ655364:IMQ655365 IWM655364:IWM655365 JGI655364:JGI655365 JQE655364:JQE655365 KAA655364:KAA655365 KJW655364:KJW655365 KTS655364:KTS655365 LDO655364:LDO655365 LNK655364:LNK655365 LXG655364:LXG655365 MHC655364:MHC655365 MQY655364:MQY655365 NAU655364:NAU655365 NKQ655364:NKQ655365 NUM655364:NUM655365 OEI655364:OEI655365 OOE655364:OOE655365 OYA655364:OYA655365 PHW655364:PHW655365 PRS655364:PRS655365 QBO655364:QBO655365 QLK655364:QLK655365 QVG655364:QVG655365 RFC655364:RFC655365 ROY655364:ROY655365 RYU655364:RYU655365 SIQ655364:SIQ655365 SSM655364:SSM655365 TCI655364:TCI655365 TME655364:TME655365 TWA655364:TWA655365 UFW655364:UFW655365 UPS655364:UPS655365 UZO655364:UZO655365 VJK655364:VJK655365 VTG655364:VTG655365 WDC655364:WDC655365 WMY655364:WMY655365 WWU655364:WWU655365 AM720900:AM720901 KI720900:KI720901 UE720900:UE720901 AEA720900:AEA720901 ANW720900:ANW720901 AXS720900:AXS720901 BHO720900:BHO720901 BRK720900:BRK720901 CBG720900:CBG720901 CLC720900:CLC720901 CUY720900:CUY720901 DEU720900:DEU720901 DOQ720900:DOQ720901 DYM720900:DYM720901 EII720900:EII720901 ESE720900:ESE720901 FCA720900:FCA720901 FLW720900:FLW720901 FVS720900:FVS720901 GFO720900:GFO720901 GPK720900:GPK720901 GZG720900:GZG720901 HJC720900:HJC720901 HSY720900:HSY720901 ICU720900:ICU720901 IMQ720900:IMQ720901 IWM720900:IWM720901 JGI720900:JGI720901 JQE720900:JQE720901 KAA720900:KAA720901 KJW720900:KJW720901 KTS720900:KTS720901 LDO720900:LDO720901 LNK720900:LNK720901 LXG720900:LXG720901 MHC720900:MHC720901 MQY720900:MQY720901 NAU720900:NAU720901 NKQ720900:NKQ720901 NUM720900:NUM720901 OEI720900:OEI720901 OOE720900:OOE720901 OYA720900:OYA720901 PHW720900:PHW720901 PRS720900:PRS720901 QBO720900:QBO720901 QLK720900:QLK720901 QVG720900:QVG720901 RFC720900:RFC720901 ROY720900:ROY720901 RYU720900:RYU720901 SIQ720900:SIQ720901 SSM720900:SSM720901 TCI720900:TCI720901 TME720900:TME720901 TWA720900:TWA720901 UFW720900:UFW720901 UPS720900:UPS720901 UZO720900:UZO720901 VJK720900:VJK720901 VTG720900:VTG720901 WDC720900:WDC720901 WMY720900:WMY720901 WWU720900:WWU720901 AM786436:AM786437 KI786436:KI786437 UE786436:UE786437 AEA786436:AEA786437 ANW786436:ANW786437 AXS786436:AXS786437 BHO786436:BHO786437 BRK786436:BRK786437 CBG786436:CBG786437 CLC786436:CLC786437 CUY786436:CUY786437 DEU786436:DEU786437 DOQ786436:DOQ786437 DYM786436:DYM786437 EII786436:EII786437 ESE786436:ESE786437 FCA786436:FCA786437 FLW786436:FLW786437 FVS786436:FVS786437 GFO786436:GFO786437 GPK786436:GPK786437 GZG786436:GZG786437 HJC786436:HJC786437 HSY786436:HSY786437 ICU786436:ICU786437 IMQ786436:IMQ786437 IWM786436:IWM786437 JGI786436:JGI786437 JQE786436:JQE786437 KAA786436:KAA786437 KJW786436:KJW786437 KTS786436:KTS786437 LDO786436:LDO786437 LNK786436:LNK786437 LXG786436:LXG786437 MHC786436:MHC786437 MQY786436:MQY786437 NAU786436:NAU786437 NKQ786436:NKQ786437 NUM786436:NUM786437 OEI786436:OEI786437 OOE786436:OOE786437 OYA786436:OYA786437 PHW786436:PHW786437 PRS786436:PRS786437 QBO786436:QBO786437 QLK786436:QLK786437 QVG786436:QVG786437 RFC786436:RFC786437 ROY786436:ROY786437 RYU786436:RYU786437 SIQ786436:SIQ786437 SSM786436:SSM786437 TCI786436:TCI786437 TME786436:TME786437 TWA786436:TWA786437 UFW786436:UFW786437 UPS786436:UPS786437 UZO786436:UZO786437 VJK786436:VJK786437 VTG786436:VTG786437 WDC786436:WDC786437 WMY786436:WMY786437 WWU786436:WWU786437 AM851972:AM851973 KI851972:KI851973 UE851972:UE851973 AEA851972:AEA851973 ANW851972:ANW851973 AXS851972:AXS851973 BHO851972:BHO851973 BRK851972:BRK851973 CBG851972:CBG851973 CLC851972:CLC851973 CUY851972:CUY851973 DEU851972:DEU851973 DOQ851972:DOQ851973 DYM851972:DYM851973 EII851972:EII851973 ESE851972:ESE851973 FCA851972:FCA851973 FLW851972:FLW851973 FVS851972:FVS851973 GFO851972:GFO851973 GPK851972:GPK851973 GZG851972:GZG851973 HJC851972:HJC851973 HSY851972:HSY851973 ICU851972:ICU851973 IMQ851972:IMQ851973 IWM851972:IWM851973 JGI851972:JGI851973 JQE851972:JQE851973 KAA851972:KAA851973 KJW851972:KJW851973 KTS851972:KTS851973 LDO851972:LDO851973 LNK851972:LNK851973 LXG851972:LXG851973 MHC851972:MHC851973 MQY851972:MQY851973 NAU851972:NAU851973 NKQ851972:NKQ851973 NUM851972:NUM851973 OEI851972:OEI851973 OOE851972:OOE851973 OYA851972:OYA851973 PHW851972:PHW851973 PRS851972:PRS851973 QBO851972:QBO851973 QLK851972:QLK851973 QVG851972:QVG851973 RFC851972:RFC851973 ROY851972:ROY851973 RYU851972:RYU851973 SIQ851972:SIQ851973 SSM851972:SSM851973 TCI851972:TCI851973 TME851972:TME851973 TWA851972:TWA851973 UFW851972:UFW851973 UPS851972:UPS851973 UZO851972:UZO851973 VJK851972:VJK851973 VTG851972:VTG851973 WDC851972:WDC851973 WMY851972:WMY851973 WWU851972:WWU851973 AM917508:AM917509 KI917508:KI917509 UE917508:UE917509 AEA917508:AEA917509 ANW917508:ANW917509 AXS917508:AXS917509 BHO917508:BHO917509 BRK917508:BRK917509 CBG917508:CBG917509 CLC917508:CLC917509 CUY917508:CUY917509 DEU917508:DEU917509 DOQ917508:DOQ917509 DYM917508:DYM917509 EII917508:EII917509 ESE917508:ESE917509 FCA917508:FCA917509 FLW917508:FLW917509 FVS917508:FVS917509 GFO917508:GFO917509 GPK917508:GPK917509 GZG917508:GZG917509 HJC917508:HJC917509 HSY917508:HSY917509 ICU917508:ICU917509 IMQ917508:IMQ917509 IWM917508:IWM917509 JGI917508:JGI917509 JQE917508:JQE917509 KAA917508:KAA917509 KJW917508:KJW917509 KTS917508:KTS917509 LDO917508:LDO917509 LNK917508:LNK917509 LXG917508:LXG917509 MHC917508:MHC917509 MQY917508:MQY917509 NAU917508:NAU917509 NKQ917508:NKQ917509 NUM917508:NUM917509 OEI917508:OEI917509 OOE917508:OOE917509 OYA917508:OYA917509 PHW917508:PHW917509 PRS917508:PRS917509 QBO917508:QBO917509 QLK917508:QLK917509 QVG917508:QVG917509 RFC917508:RFC917509 ROY917508:ROY917509 RYU917508:RYU917509 SIQ917508:SIQ917509 SSM917508:SSM917509 TCI917508:TCI917509 TME917508:TME917509 TWA917508:TWA917509 UFW917508:UFW917509 UPS917508:UPS917509 UZO917508:UZO917509 VJK917508:VJK917509 VTG917508:VTG917509 WDC917508:WDC917509 WMY917508:WMY917509 WWU917508:WWU917509 AM983044:AM983045 KI983044:KI983045 UE983044:UE983045 AEA983044:AEA983045 ANW983044:ANW983045 AXS983044:AXS983045 BHO983044:BHO983045 BRK983044:BRK983045 CBG983044:CBG983045 CLC983044:CLC983045 CUY983044:CUY983045 DEU983044:DEU983045 DOQ983044:DOQ983045 DYM983044:DYM983045 EII983044:EII983045 ESE983044:ESE983045 FCA983044:FCA983045 FLW983044:FLW983045 FVS983044:FVS983045 GFO983044:GFO983045 GPK983044:GPK983045 GZG983044:GZG983045 HJC983044:HJC983045 HSY983044:HSY983045 ICU983044:ICU983045 IMQ983044:IMQ983045 IWM983044:IWM983045 JGI983044:JGI983045 JQE983044:JQE983045 KAA983044:KAA983045 KJW983044:KJW983045 KTS983044:KTS983045 LDO983044:LDO983045 LNK983044:LNK983045 LXG983044:LXG983045 MHC983044:MHC983045 MQY983044:MQY983045 NAU983044:NAU983045 NKQ983044:NKQ983045 NUM983044:NUM983045 OEI983044:OEI983045 OOE983044:OOE983045 OYA983044:OYA983045 PHW983044:PHW983045 PRS983044:PRS983045 QBO983044:QBO983045 QLK983044:QLK983045 QVG983044:QVG983045 RFC983044:RFC983045 ROY983044:ROY983045 RYU983044:RYU983045 SIQ983044:SIQ983045 SSM983044:SSM983045 TCI983044:TCI983045 TME983044:TME983045 TWA983044:TWA983045 UFW983044:UFW983045 UPS983044:UPS983045 UZO983044:UZO983045 VJK983044:VJK983045 VTG983044:VTG983045 WDC983044:WDC983045 WMY983044:WMY983045 WWU983044:WWU983045 AO4:AO5 KK4:KK5 UG4:UG5 AEC4:AEC5 ANY4:ANY5 AXU4:AXU5 BHQ4:BHQ5 BRM4:BRM5 CBI4:CBI5 CLE4:CLE5 CVA4:CVA5 DEW4:DEW5 DOS4:DOS5 DYO4:DYO5 EIK4:EIK5 ESG4:ESG5 FCC4:FCC5 FLY4:FLY5 FVU4:FVU5 GFQ4:GFQ5 GPM4:GPM5 GZI4:GZI5 HJE4:HJE5 HTA4:HTA5 ICW4:ICW5 IMS4:IMS5 IWO4:IWO5 JGK4:JGK5 JQG4:JQG5 KAC4:KAC5 KJY4:KJY5 KTU4:KTU5 LDQ4:LDQ5 LNM4:LNM5 LXI4:LXI5 MHE4:MHE5 MRA4:MRA5 NAW4:NAW5 NKS4:NKS5 NUO4:NUO5 OEK4:OEK5 OOG4:OOG5 OYC4:OYC5 PHY4:PHY5 PRU4:PRU5 QBQ4:QBQ5 QLM4:QLM5 QVI4:QVI5 RFE4:RFE5 RPA4:RPA5 RYW4:RYW5 SIS4:SIS5 SSO4:SSO5 TCK4:TCK5 TMG4:TMG5 TWC4:TWC5 UFY4:UFY5 UPU4:UPU5 UZQ4:UZQ5 VJM4:VJM5 VTI4:VTI5 WDE4:WDE5 WNA4:WNA5 WWW4:WWW5 AO65540:AO65541 KK65540:KK65541 UG65540:UG65541 AEC65540:AEC65541 ANY65540:ANY65541 AXU65540:AXU65541 BHQ65540:BHQ65541 BRM65540:BRM65541 CBI65540:CBI65541 CLE65540:CLE65541 CVA65540:CVA65541 DEW65540:DEW65541 DOS65540:DOS65541 DYO65540:DYO65541 EIK65540:EIK65541 ESG65540:ESG65541 FCC65540:FCC65541 FLY65540:FLY65541 FVU65540:FVU65541 GFQ65540:GFQ65541 GPM65540:GPM65541 GZI65540:GZI65541 HJE65540:HJE65541 HTA65540:HTA65541 ICW65540:ICW65541 IMS65540:IMS65541 IWO65540:IWO65541 JGK65540:JGK65541 JQG65540:JQG65541 KAC65540:KAC65541 KJY65540:KJY65541 KTU65540:KTU65541 LDQ65540:LDQ65541 LNM65540:LNM65541 LXI65540:LXI65541 MHE65540:MHE65541 MRA65540:MRA65541 NAW65540:NAW65541 NKS65540:NKS65541 NUO65540:NUO65541 OEK65540:OEK65541 OOG65540:OOG65541 OYC65540:OYC65541 PHY65540:PHY65541 PRU65540:PRU65541 QBQ65540:QBQ65541 QLM65540:QLM65541 QVI65540:QVI65541 RFE65540:RFE65541 RPA65540:RPA65541 RYW65540:RYW65541 SIS65540:SIS65541 SSO65540:SSO65541 TCK65540:TCK65541 TMG65540:TMG65541 TWC65540:TWC65541 UFY65540:UFY65541 UPU65540:UPU65541 UZQ65540:UZQ65541 VJM65540:VJM65541 VTI65540:VTI65541 WDE65540:WDE65541 WNA65540:WNA65541 WWW65540:WWW65541 AO131076:AO131077 KK131076:KK131077 UG131076:UG131077 AEC131076:AEC131077 ANY131076:ANY131077 AXU131076:AXU131077 BHQ131076:BHQ131077 BRM131076:BRM131077 CBI131076:CBI131077 CLE131076:CLE131077 CVA131076:CVA131077 DEW131076:DEW131077 DOS131076:DOS131077 DYO131076:DYO131077 EIK131076:EIK131077 ESG131076:ESG131077 FCC131076:FCC131077 FLY131076:FLY131077 FVU131076:FVU131077 GFQ131076:GFQ131077 GPM131076:GPM131077 GZI131076:GZI131077 HJE131076:HJE131077 HTA131076:HTA131077 ICW131076:ICW131077 IMS131076:IMS131077 IWO131076:IWO131077 JGK131076:JGK131077 JQG131076:JQG131077 KAC131076:KAC131077 KJY131076:KJY131077 KTU131076:KTU131077 LDQ131076:LDQ131077 LNM131076:LNM131077 LXI131076:LXI131077 MHE131076:MHE131077 MRA131076:MRA131077 NAW131076:NAW131077 NKS131076:NKS131077 NUO131076:NUO131077 OEK131076:OEK131077 OOG131076:OOG131077 OYC131076:OYC131077 PHY131076:PHY131077 PRU131076:PRU131077 QBQ131076:QBQ131077 QLM131076:QLM131077 QVI131076:QVI131077 RFE131076:RFE131077 RPA131076:RPA131077 RYW131076:RYW131077 SIS131076:SIS131077 SSO131076:SSO131077 TCK131076:TCK131077 TMG131076:TMG131077 TWC131076:TWC131077 UFY131076:UFY131077 UPU131076:UPU131077 UZQ131076:UZQ131077 VJM131076:VJM131077 VTI131076:VTI131077 WDE131076:WDE131077 WNA131076:WNA131077 WWW131076:WWW131077 AO196612:AO196613 KK196612:KK196613 UG196612:UG196613 AEC196612:AEC196613 ANY196612:ANY196613 AXU196612:AXU196613 BHQ196612:BHQ196613 BRM196612:BRM196613 CBI196612:CBI196613 CLE196612:CLE196613 CVA196612:CVA196613 DEW196612:DEW196613 DOS196612:DOS196613 DYO196612:DYO196613 EIK196612:EIK196613 ESG196612:ESG196613 FCC196612:FCC196613 FLY196612:FLY196613 FVU196612:FVU196613 GFQ196612:GFQ196613 GPM196612:GPM196613 GZI196612:GZI196613 HJE196612:HJE196613 HTA196612:HTA196613 ICW196612:ICW196613 IMS196612:IMS196613 IWO196612:IWO196613 JGK196612:JGK196613 JQG196612:JQG196613 KAC196612:KAC196613 KJY196612:KJY196613 KTU196612:KTU196613 LDQ196612:LDQ196613 LNM196612:LNM196613 LXI196612:LXI196613 MHE196612:MHE196613 MRA196612:MRA196613 NAW196612:NAW196613 NKS196612:NKS196613 NUO196612:NUO196613 OEK196612:OEK196613 OOG196612:OOG196613 OYC196612:OYC196613 PHY196612:PHY196613 PRU196612:PRU196613 QBQ196612:QBQ196613 QLM196612:QLM196613 QVI196612:QVI196613 RFE196612:RFE196613 RPA196612:RPA196613 RYW196612:RYW196613 SIS196612:SIS196613 SSO196612:SSO196613 TCK196612:TCK196613 TMG196612:TMG196613 TWC196612:TWC196613 UFY196612:UFY196613 UPU196612:UPU196613 UZQ196612:UZQ196613 VJM196612:VJM196613 VTI196612:VTI196613 WDE196612:WDE196613 WNA196612:WNA196613 WWW196612:WWW196613 AO262148:AO262149 KK262148:KK262149 UG262148:UG262149 AEC262148:AEC262149 ANY262148:ANY262149 AXU262148:AXU262149 BHQ262148:BHQ262149 BRM262148:BRM262149 CBI262148:CBI262149 CLE262148:CLE262149 CVA262148:CVA262149 DEW262148:DEW262149 DOS262148:DOS262149 DYO262148:DYO262149 EIK262148:EIK262149 ESG262148:ESG262149 FCC262148:FCC262149 FLY262148:FLY262149 FVU262148:FVU262149 GFQ262148:GFQ262149 GPM262148:GPM262149 GZI262148:GZI262149 HJE262148:HJE262149 HTA262148:HTA262149 ICW262148:ICW262149 IMS262148:IMS262149 IWO262148:IWO262149 JGK262148:JGK262149 JQG262148:JQG262149 KAC262148:KAC262149 KJY262148:KJY262149 KTU262148:KTU262149 LDQ262148:LDQ262149 LNM262148:LNM262149 LXI262148:LXI262149 MHE262148:MHE262149 MRA262148:MRA262149 NAW262148:NAW262149 NKS262148:NKS262149 NUO262148:NUO262149 OEK262148:OEK262149 OOG262148:OOG262149 OYC262148:OYC262149 PHY262148:PHY262149 PRU262148:PRU262149 QBQ262148:QBQ262149 QLM262148:QLM262149 QVI262148:QVI262149 RFE262148:RFE262149 RPA262148:RPA262149 RYW262148:RYW262149 SIS262148:SIS262149 SSO262148:SSO262149 TCK262148:TCK262149 TMG262148:TMG262149 TWC262148:TWC262149 UFY262148:UFY262149 UPU262148:UPU262149 UZQ262148:UZQ262149 VJM262148:VJM262149 VTI262148:VTI262149 WDE262148:WDE262149 WNA262148:WNA262149 WWW262148:WWW262149 AO327684:AO327685 KK327684:KK327685 UG327684:UG327685 AEC327684:AEC327685 ANY327684:ANY327685 AXU327684:AXU327685 BHQ327684:BHQ327685 BRM327684:BRM327685 CBI327684:CBI327685 CLE327684:CLE327685 CVA327684:CVA327685 DEW327684:DEW327685 DOS327684:DOS327685 DYO327684:DYO327685 EIK327684:EIK327685 ESG327684:ESG327685 FCC327684:FCC327685 FLY327684:FLY327685 FVU327684:FVU327685 GFQ327684:GFQ327685 GPM327684:GPM327685 GZI327684:GZI327685 HJE327684:HJE327685 HTA327684:HTA327685 ICW327684:ICW327685 IMS327684:IMS327685 IWO327684:IWO327685 JGK327684:JGK327685 JQG327684:JQG327685 KAC327684:KAC327685 KJY327684:KJY327685 KTU327684:KTU327685 LDQ327684:LDQ327685 LNM327684:LNM327685 LXI327684:LXI327685 MHE327684:MHE327685 MRA327684:MRA327685 NAW327684:NAW327685 NKS327684:NKS327685 NUO327684:NUO327685 OEK327684:OEK327685 OOG327684:OOG327685 OYC327684:OYC327685 PHY327684:PHY327685 PRU327684:PRU327685 QBQ327684:QBQ327685 QLM327684:QLM327685 QVI327684:QVI327685 RFE327684:RFE327685 RPA327684:RPA327685 RYW327684:RYW327685 SIS327684:SIS327685 SSO327684:SSO327685 TCK327684:TCK327685 TMG327684:TMG327685 TWC327684:TWC327685 UFY327684:UFY327685 UPU327684:UPU327685 UZQ327684:UZQ327685 VJM327684:VJM327685 VTI327684:VTI327685 WDE327684:WDE327685 WNA327684:WNA327685 WWW327684:WWW327685 AO393220:AO393221 KK393220:KK393221 UG393220:UG393221 AEC393220:AEC393221 ANY393220:ANY393221 AXU393220:AXU393221 BHQ393220:BHQ393221 BRM393220:BRM393221 CBI393220:CBI393221 CLE393220:CLE393221 CVA393220:CVA393221 DEW393220:DEW393221 DOS393220:DOS393221 DYO393220:DYO393221 EIK393220:EIK393221 ESG393220:ESG393221 FCC393220:FCC393221 FLY393220:FLY393221 FVU393220:FVU393221 GFQ393220:GFQ393221 GPM393220:GPM393221 GZI393220:GZI393221 HJE393220:HJE393221 HTA393220:HTA393221 ICW393220:ICW393221 IMS393220:IMS393221 IWO393220:IWO393221 JGK393220:JGK393221 JQG393220:JQG393221 KAC393220:KAC393221 KJY393220:KJY393221 KTU393220:KTU393221 LDQ393220:LDQ393221 LNM393220:LNM393221 LXI393220:LXI393221 MHE393220:MHE393221 MRA393220:MRA393221 NAW393220:NAW393221 NKS393220:NKS393221 NUO393220:NUO393221 OEK393220:OEK393221 OOG393220:OOG393221 OYC393220:OYC393221 PHY393220:PHY393221 PRU393220:PRU393221 QBQ393220:QBQ393221 QLM393220:QLM393221 QVI393220:QVI393221 RFE393220:RFE393221 RPA393220:RPA393221 RYW393220:RYW393221 SIS393220:SIS393221 SSO393220:SSO393221 TCK393220:TCK393221 TMG393220:TMG393221 TWC393220:TWC393221 UFY393220:UFY393221 UPU393220:UPU393221 UZQ393220:UZQ393221 VJM393220:VJM393221 VTI393220:VTI393221 WDE393220:WDE393221 WNA393220:WNA393221 WWW393220:WWW393221 AO458756:AO458757 KK458756:KK458757 UG458756:UG458757 AEC458756:AEC458757 ANY458756:ANY458757 AXU458756:AXU458757 BHQ458756:BHQ458757 BRM458756:BRM458757 CBI458756:CBI458757 CLE458756:CLE458757 CVA458756:CVA458757 DEW458756:DEW458757 DOS458756:DOS458757 DYO458756:DYO458757 EIK458756:EIK458757 ESG458756:ESG458757 FCC458756:FCC458757 FLY458756:FLY458757 FVU458756:FVU458757 GFQ458756:GFQ458757 GPM458756:GPM458757 GZI458756:GZI458757 HJE458756:HJE458757 HTA458756:HTA458757 ICW458756:ICW458757 IMS458756:IMS458757 IWO458756:IWO458757 JGK458756:JGK458757 JQG458756:JQG458757 KAC458756:KAC458757 KJY458756:KJY458757 KTU458756:KTU458757 LDQ458756:LDQ458757 LNM458756:LNM458757 LXI458756:LXI458757 MHE458756:MHE458757 MRA458756:MRA458757 NAW458756:NAW458757 NKS458756:NKS458757 NUO458756:NUO458757 OEK458756:OEK458757 OOG458756:OOG458757 OYC458756:OYC458757 PHY458756:PHY458757 PRU458756:PRU458757 QBQ458756:QBQ458757 QLM458756:QLM458757 QVI458756:QVI458757 RFE458756:RFE458757 RPA458756:RPA458757 RYW458756:RYW458757 SIS458756:SIS458757 SSO458756:SSO458757 TCK458756:TCK458757 TMG458756:TMG458757 TWC458756:TWC458757 UFY458756:UFY458757 UPU458756:UPU458757 UZQ458756:UZQ458757 VJM458756:VJM458757 VTI458756:VTI458757 WDE458756:WDE458757 WNA458756:WNA458757 WWW458756:WWW458757 AO524292:AO524293 KK524292:KK524293 UG524292:UG524293 AEC524292:AEC524293 ANY524292:ANY524293 AXU524292:AXU524293 BHQ524292:BHQ524293 BRM524292:BRM524293 CBI524292:CBI524293 CLE524292:CLE524293 CVA524292:CVA524293 DEW524292:DEW524293 DOS524292:DOS524293 DYO524292:DYO524293 EIK524292:EIK524293 ESG524292:ESG524293 FCC524292:FCC524293 FLY524292:FLY524293 FVU524292:FVU524293 GFQ524292:GFQ524293 GPM524292:GPM524293 GZI524292:GZI524293 HJE524292:HJE524293 HTA524292:HTA524293 ICW524292:ICW524293 IMS524292:IMS524293 IWO524292:IWO524293 JGK524292:JGK524293 JQG524292:JQG524293 KAC524292:KAC524293 KJY524292:KJY524293 KTU524292:KTU524293 LDQ524292:LDQ524293 LNM524292:LNM524293 LXI524292:LXI524293 MHE524292:MHE524293 MRA524292:MRA524293 NAW524292:NAW524293 NKS524292:NKS524293 NUO524292:NUO524293 OEK524292:OEK524293 OOG524292:OOG524293 OYC524292:OYC524293 PHY524292:PHY524293 PRU524292:PRU524293 QBQ524292:QBQ524293 QLM524292:QLM524293 QVI524292:QVI524293 RFE524292:RFE524293 RPA524292:RPA524293 RYW524292:RYW524293 SIS524292:SIS524293 SSO524292:SSO524293 TCK524292:TCK524293 TMG524292:TMG524293 TWC524292:TWC524293 UFY524292:UFY524293 UPU524292:UPU524293 UZQ524292:UZQ524293 VJM524292:VJM524293 VTI524292:VTI524293 WDE524292:WDE524293 WNA524292:WNA524293 WWW524292:WWW524293 AO589828:AO589829 KK589828:KK589829 UG589828:UG589829 AEC589828:AEC589829 ANY589828:ANY589829 AXU589828:AXU589829 BHQ589828:BHQ589829 BRM589828:BRM589829 CBI589828:CBI589829 CLE589828:CLE589829 CVA589828:CVA589829 DEW589828:DEW589829 DOS589828:DOS589829 DYO589828:DYO589829 EIK589828:EIK589829 ESG589828:ESG589829 FCC589828:FCC589829 FLY589828:FLY589829 FVU589828:FVU589829 GFQ589828:GFQ589829 GPM589828:GPM589829 GZI589828:GZI589829 HJE589828:HJE589829 HTA589828:HTA589829 ICW589828:ICW589829 IMS589828:IMS589829 IWO589828:IWO589829 JGK589828:JGK589829 JQG589828:JQG589829 KAC589828:KAC589829 KJY589828:KJY589829 KTU589828:KTU589829 LDQ589828:LDQ589829 LNM589828:LNM589829 LXI589828:LXI589829 MHE589828:MHE589829 MRA589828:MRA589829 NAW589828:NAW589829 NKS589828:NKS589829 NUO589828:NUO589829 OEK589828:OEK589829 OOG589828:OOG589829 OYC589828:OYC589829 PHY589828:PHY589829 PRU589828:PRU589829 QBQ589828:QBQ589829 QLM589828:QLM589829 QVI589828:QVI589829 RFE589828:RFE589829 RPA589828:RPA589829 RYW589828:RYW589829 SIS589828:SIS589829 SSO589828:SSO589829 TCK589828:TCK589829 TMG589828:TMG589829 TWC589828:TWC589829 UFY589828:UFY589829 UPU589828:UPU589829 UZQ589828:UZQ589829 VJM589828:VJM589829 VTI589828:VTI589829 WDE589828:WDE589829 WNA589828:WNA589829 WWW589828:WWW589829 AO655364:AO655365 KK655364:KK655365 UG655364:UG655365 AEC655364:AEC655365 ANY655364:ANY655365 AXU655364:AXU655365 BHQ655364:BHQ655365 BRM655364:BRM655365 CBI655364:CBI655365 CLE655364:CLE655365 CVA655364:CVA655365 DEW655364:DEW655365 DOS655364:DOS655365 DYO655364:DYO655365 EIK655364:EIK655365 ESG655364:ESG655365 FCC655364:FCC655365 FLY655364:FLY655365 FVU655364:FVU655365 GFQ655364:GFQ655365 GPM655364:GPM655365 GZI655364:GZI655365 HJE655364:HJE655365 HTA655364:HTA655365 ICW655364:ICW655365 IMS655364:IMS655365 IWO655364:IWO655365 JGK655364:JGK655365 JQG655364:JQG655365 KAC655364:KAC655365 KJY655364:KJY655365 KTU655364:KTU655365 LDQ655364:LDQ655365 LNM655364:LNM655365 LXI655364:LXI655365 MHE655364:MHE655365 MRA655364:MRA655365 NAW655364:NAW655365 NKS655364:NKS655365 NUO655364:NUO655365 OEK655364:OEK655365 OOG655364:OOG655365 OYC655364:OYC655365 PHY655364:PHY655365 PRU655364:PRU655365 QBQ655364:QBQ655365 QLM655364:QLM655365 QVI655364:QVI655365 RFE655364:RFE655365 RPA655364:RPA655365 RYW655364:RYW655365 SIS655364:SIS655365 SSO655364:SSO655365 TCK655364:TCK655365 TMG655364:TMG655365 TWC655364:TWC655365 UFY655364:UFY655365 UPU655364:UPU655365 UZQ655364:UZQ655365 VJM655364:VJM655365 VTI655364:VTI655365 WDE655364:WDE655365 WNA655364:WNA655365 WWW655364:WWW655365 AO720900:AO720901 KK720900:KK720901 UG720900:UG720901 AEC720900:AEC720901 ANY720900:ANY720901 AXU720900:AXU720901 BHQ720900:BHQ720901 BRM720900:BRM720901 CBI720900:CBI720901 CLE720900:CLE720901 CVA720900:CVA720901 DEW720900:DEW720901 DOS720900:DOS720901 DYO720900:DYO720901 EIK720900:EIK720901 ESG720900:ESG720901 FCC720900:FCC720901 FLY720900:FLY720901 FVU720900:FVU720901 GFQ720900:GFQ720901 GPM720900:GPM720901 GZI720900:GZI720901 HJE720900:HJE720901 HTA720900:HTA720901 ICW720900:ICW720901 IMS720900:IMS720901 IWO720900:IWO720901 JGK720900:JGK720901 JQG720900:JQG720901 KAC720900:KAC720901 KJY720900:KJY720901 KTU720900:KTU720901 LDQ720900:LDQ720901 LNM720900:LNM720901 LXI720900:LXI720901 MHE720900:MHE720901 MRA720900:MRA720901 NAW720900:NAW720901 NKS720900:NKS720901 NUO720900:NUO720901 OEK720900:OEK720901 OOG720900:OOG720901 OYC720900:OYC720901 PHY720900:PHY720901 PRU720900:PRU720901 QBQ720900:QBQ720901 QLM720900:QLM720901 QVI720900:QVI720901 RFE720900:RFE720901 RPA720900:RPA720901 RYW720900:RYW720901 SIS720900:SIS720901 SSO720900:SSO720901 TCK720900:TCK720901 TMG720900:TMG720901 TWC720900:TWC720901 UFY720900:UFY720901 UPU720900:UPU720901 UZQ720900:UZQ720901 VJM720900:VJM720901 VTI720900:VTI720901 WDE720900:WDE720901 WNA720900:WNA720901 WWW720900:WWW720901 AO786436:AO786437 KK786436:KK786437 UG786436:UG786437 AEC786436:AEC786437 ANY786436:ANY786437 AXU786436:AXU786437 BHQ786436:BHQ786437 BRM786436:BRM786437 CBI786436:CBI786437 CLE786436:CLE786437 CVA786436:CVA786437 DEW786436:DEW786437 DOS786436:DOS786437 DYO786436:DYO786437 EIK786436:EIK786437 ESG786436:ESG786437 FCC786436:FCC786437 FLY786436:FLY786437 FVU786436:FVU786437 GFQ786436:GFQ786437 GPM786436:GPM786437 GZI786436:GZI786437 HJE786436:HJE786437 HTA786436:HTA786437 ICW786436:ICW786437 IMS786436:IMS786437 IWO786436:IWO786437 JGK786436:JGK786437 JQG786436:JQG786437 KAC786436:KAC786437 KJY786436:KJY786437 KTU786436:KTU786437 LDQ786436:LDQ786437 LNM786436:LNM786437 LXI786436:LXI786437 MHE786436:MHE786437 MRA786436:MRA786437 NAW786436:NAW786437 NKS786436:NKS786437 NUO786436:NUO786437 OEK786436:OEK786437 OOG786436:OOG786437 OYC786436:OYC786437 PHY786436:PHY786437 PRU786436:PRU786437 QBQ786436:QBQ786437 QLM786436:QLM786437 QVI786436:QVI786437 RFE786436:RFE786437 RPA786436:RPA786437 RYW786436:RYW786437 SIS786436:SIS786437 SSO786436:SSO786437 TCK786436:TCK786437 TMG786436:TMG786437 TWC786436:TWC786437 UFY786436:UFY786437 UPU786436:UPU786437 UZQ786436:UZQ786437 VJM786436:VJM786437 VTI786436:VTI786437 WDE786436:WDE786437 WNA786436:WNA786437 WWW786436:WWW786437 AO851972:AO851973 KK851972:KK851973 UG851972:UG851973 AEC851972:AEC851973 ANY851972:ANY851973 AXU851972:AXU851973 BHQ851972:BHQ851973 BRM851972:BRM851973 CBI851972:CBI851973 CLE851972:CLE851973 CVA851972:CVA851973 DEW851972:DEW851973 DOS851972:DOS851973 DYO851972:DYO851973 EIK851972:EIK851973 ESG851972:ESG851973 FCC851972:FCC851973 FLY851972:FLY851973 FVU851972:FVU851973 GFQ851972:GFQ851973 GPM851972:GPM851973 GZI851972:GZI851973 HJE851972:HJE851973 HTA851972:HTA851973 ICW851972:ICW851973 IMS851972:IMS851973 IWO851972:IWO851973 JGK851972:JGK851973 JQG851972:JQG851973 KAC851972:KAC851973 KJY851972:KJY851973 KTU851972:KTU851973 LDQ851972:LDQ851973 LNM851972:LNM851973 LXI851972:LXI851973 MHE851972:MHE851973 MRA851972:MRA851973 NAW851972:NAW851973 NKS851972:NKS851973 NUO851972:NUO851973 OEK851972:OEK851973 OOG851972:OOG851973 OYC851972:OYC851973 PHY851972:PHY851973 PRU851972:PRU851973 QBQ851972:QBQ851973 QLM851972:QLM851973 QVI851972:QVI851973 RFE851972:RFE851973 RPA851972:RPA851973 RYW851972:RYW851973 SIS851972:SIS851973 SSO851972:SSO851973 TCK851972:TCK851973 TMG851972:TMG851973 TWC851972:TWC851973 UFY851972:UFY851973 UPU851972:UPU851973 UZQ851972:UZQ851973 VJM851972:VJM851973 VTI851972:VTI851973 WDE851972:WDE851973 WNA851972:WNA851973 WWW851972:WWW851973 AO917508:AO917509 KK917508:KK917509 UG917508:UG917509 AEC917508:AEC917509 ANY917508:ANY917509 AXU917508:AXU917509 BHQ917508:BHQ917509 BRM917508:BRM917509 CBI917508:CBI917509 CLE917508:CLE917509 CVA917508:CVA917509 DEW917508:DEW917509 DOS917508:DOS917509 DYO917508:DYO917509 EIK917508:EIK917509 ESG917508:ESG917509 FCC917508:FCC917509 FLY917508:FLY917509 FVU917508:FVU917509 GFQ917508:GFQ917509 GPM917508:GPM917509 GZI917508:GZI917509 HJE917508:HJE917509 HTA917508:HTA917509 ICW917508:ICW917509 IMS917508:IMS917509 IWO917508:IWO917509 JGK917508:JGK917509 JQG917508:JQG917509 KAC917508:KAC917509 KJY917508:KJY917509 KTU917508:KTU917509 LDQ917508:LDQ917509 LNM917508:LNM917509 LXI917508:LXI917509 MHE917508:MHE917509 MRA917508:MRA917509 NAW917508:NAW917509 NKS917508:NKS917509 NUO917508:NUO917509 OEK917508:OEK917509 OOG917508:OOG917509 OYC917508:OYC917509 PHY917508:PHY917509 PRU917508:PRU917509 QBQ917508:QBQ917509 QLM917508:QLM917509 QVI917508:QVI917509 RFE917508:RFE917509 RPA917508:RPA917509 RYW917508:RYW917509 SIS917508:SIS917509 SSO917508:SSO917509 TCK917508:TCK917509 TMG917508:TMG917509 TWC917508:TWC917509 UFY917508:UFY917509 UPU917508:UPU917509 UZQ917508:UZQ917509 VJM917508:VJM917509 VTI917508:VTI917509 WDE917508:WDE917509 WNA917508:WNA917509 WWW917508:WWW917509 AO983044:AO983045 KK983044:KK983045 UG983044:UG983045 AEC983044:AEC983045 ANY983044:ANY983045 AXU983044:AXU983045 BHQ983044:BHQ983045 BRM983044:BRM983045 CBI983044:CBI983045 CLE983044:CLE983045 CVA983044:CVA983045 DEW983044:DEW983045 DOS983044:DOS983045 DYO983044:DYO983045 EIK983044:EIK983045 ESG983044:ESG983045 FCC983044:FCC983045 FLY983044:FLY983045 FVU983044:FVU983045 GFQ983044:GFQ983045 GPM983044:GPM983045 GZI983044:GZI983045 HJE983044:HJE983045 HTA983044:HTA983045 ICW983044:ICW983045 IMS983044:IMS983045 IWO983044:IWO983045 JGK983044:JGK983045 JQG983044:JQG983045 KAC983044:KAC983045 KJY983044:KJY983045 KTU983044:KTU983045 LDQ983044:LDQ983045 LNM983044:LNM983045 LXI983044:LXI983045 MHE983044:MHE983045 MRA983044:MRA983045 NAW983044:NAW983045 NKS983044:NKS983045 NUO983044:NUO983045 OEK983044:OEK983045 OOG983044:OOG983045 OYC983044:OYC983045 PHY983044:PHY983045 PRU983044:PRU983045 QBQ983044:QBQ983045 QLM983044:QLM983045 QVI983044:QVI983045 RFE983044:RFE983045 RPA983044:RPA983045 RYW983044:RYW983045 SIS983044:SIS983045 SSO983044:SSO983045 TCK983044:TCK983045 TMG983044:TMG983045 TWC983044:TWC983045 UFY983044:UFY983045 UPU983044:UPU983045 UZQ983044:UZQ983045 VJM983044:VJM983045 VTI983044:VTI983045 WDE983044:WDE983045 WNA983044:WNA983045 WWW983044:WWW983045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V162"/>
  <sheetViews>
    <sheetView showGridLines="0" showZeros="0" topLeftCell="A86" zoomScale="70" zoomScaleNormal="70" workbookViewId="0">
      <selection activeCell="B88" sqref="B88:B89"/>
    </sheetView>
  </sheetViews>
  <sheetFormatPr defaultRowHeight="10.5"/>
  <cols>
    <col min="1" max="1" width="7.42578125" style="339" bestFit="1" customWidth="1"/>
    <col min="2" max="2" width="34.85546875" style="339" bestFit="1" customWidth="1"/>
    <col min="3" max="3" width="119.5703125" style="553" bestFit="1" customWidth="1"/>
    <col min="4" max="4" width="4.85546875" style="321" bestFit="1" customWidth="1"/>
    <col min="5" max="5" width="13.140625" style="321" bestFit="1" customWidth="1"/>
    <col min="6" max="6" width="11.85546875" style="321" bestFit="1" customWidth="1"/>
    <col min="7" max="7" width="13.140625" style="321" bestFit="1" customWidth="1"/>
    <col min="8" max="8" width="31.28515625" style="321" bestFit="1" customWidth="1"/>
    <col min="9" max="9" width="9.140625" style="319"/>
    <col min="10" max="10" width="17" style="321" customWidth="1"/>
    <col min="11" max="11" width="18.28515625" style="321" customWidth="1"/>
    <col min="12" max="12" width="16.42578125" style="321" customWidth="1"/>
    <col min="13" max="13" width="17" style="321" customWidth="1"/>
    <col min="14" max="14" width="19.140625" style="319" customWidth="1"/>
    <col min="15" max="15" width="9" style="319" customWidth="1"/>
    <col min="16" max="16" width="8.7109375" style="319" customWidth="1"/>
    <col min="17" max="17" width="7" style="319" customWidth="1"/>
    <col min="18" max="18" width="6" style="319" customWidth="1"/>
    <col min="19" max="19" width="5" style="319" customWidth="1"/>
    <col min="20" max="20" width="4" style="319" customWidth="1"/>
    <col min="21" max="21" width="3" style="319" customWidth="1"/>
    <col min="22" max="22" width="2" style="319" customWidth="1"/>
    <col min="23" max="257" width="9.140625" style="319"/>
    <col min="258" max="258" width="9.42578125" style="319" customWidth="1"/>
    <col min="259" max="259" width="67.5703125" style="319" customWidth="1"/>
    <col min="260" max="260" width="5.140625" style="319" customWidth="1"/>
    <col min="261" max="261" width="20" style="319" customWidth="1"/>
    <col min="262" max="262" width="20.7109375" style="319" customWidth="1"/>
    <col min="263" max="263" width="20.42578125" style="319" customWidth="1"/>
    <col min="264" max="264" width="21" style="319" customWidth="1"/>
    <col min="265" max="265" width="9.140625" style="319"/>
    <col min="266" max="266" width="14.140625" style="319" bestFit="1" customWidth="1"/>
    <col min="267" max="267" width="13.140625" style="319" customWidth="1"/>
    <col min="268" max="268" width="12" style="319" bestFit="1" customWidth="1"/>
    <col min="269" max="269" width="11" style="319" bestFit="1" customWidth="1"/>
    <col min="270" max="270" width="10" style="319" bestFit="1" customWidth="1"/>
    <col min="271" max="271" width="9" style="319" customWidth="1"/>
    <col min="272" max="272" width="8" style="319" customWidth="1"/>
    <col min="273" max="273" width="7" style="319" customWidth="1"/>
    <col min="274" max="274" width="6" style="319" customWidth="1"/>
    <col min="275" max="275" width="5" style="319" customWidth="1"/>
    <col min="276" max="276" width="4" style="319" customWidth="1"/>
    <col min="277" max="277" width="3" style="319" customWidth="1"/>
    <col min="278" max="278" width="2" style="319" customWidth="1"/>
    <col min="279" max="513" width="9.140625" style="319"/>
    <col min="514" max="514" width="9.42578125" style="319" customWidth="1"/>
    <col min="515" max="515" width="67.5703125" style="319" customWidth="1"/>
    <col min="516" max="516" width="5.140625" style="319" customWidth="1"/>
    <col min="517" max="517" width="20" style="319" customWidth="1"/>
    <col min="518" max="518" width="20.7109375" style="319" customWidth="1"/>
    <col min="519" max="519" width="20.42578125" style="319" customWidth="1"/>
    <col min="520" max="520" width="21" style="319" customWidth="1"/>
    <col min="521" max="521" width="9.140625" style="319"/>
    <col min="522" max="522" width="14.140625" style="319" bestFit="1" customWidth="1"/>
    <col min="523" max="523" width="13.140625" style="319" customWidth="1"/>
    <col min="524" max="524" width="12" style="319" bestFit="1" customWidth="1"/>
    <col min="525" max="525" width="11" style="319" bestFit="1" customWidth="1"/>
    <col min="526" max="526" width="10" style="319" bestFit="1" customWidth="1"/>
    <col min="527" max="527" width="9" style="319" customWidth="1"/>
    <col min="528" max="528" width="8" style="319" customWidth="1"/>
    <col min="529" max="529" width="7" style="319" customWidth="1"/>
    <col min="530" max="530" width="6" style="319" customWidth="1"/>
    <col min="531" max="531" width="5" style="319" customWidth="1"/>
    <col min="532" max="532" width="4" style="319" customWidth="1"/>
    <col min="533" max="533" width="3" style="319" customWidth="1"/>
    <col min="534" max="534" width="2" style="319" customWidth="1"/>
    <col min="535" max="769" width="9.140625" style="319"/>
    <col min="770" max="770" width="9.42578125" style="319" customWidth="1"/>
    <col min="771" max="771" width="67.5703125" style="319" customWidth="1"/>
    <col min="772" max="772" width="5.140625" style="319" customWidth="1"/>
    <col min="773" max="773" width="20" style="319" customWidth="1"/>
    <col min="774" max="774" width="20.7109375" style="319" customWidth="1"/>
    <col min="775" max="775" width="20.42578125" style="319" customWidth="1"/>
    <col min="776" max="776" width="21" style="319" customWidth="1"/>
    <col min="777" max="777" width="9.140625" style="319"/>
    <col min="778" max="778" width="14.140625" style="319" bestFit="1" customWidth="1"/>
    <col min="779" max="779" width="13.140625" style="319" customWidth="1"/>
    <col min="780" max="780" width="12" style="319" bestFit="1" customWidth="1"/>
    <col min="781" max="781" width="11" style="319" bestFit="1" customWidth="1"/>
    <col min="782" max="782" width="10" style="319" bestFit="1" customWidth="1"/>
    <col min="783" max="783" width="9" style="319" customWidth="1"/>
    <col min="784" max="784" width="8" style="319" customWidth="1"/>
    <col min="785" max="785" width="7" style="319" customWidth="1"/>
    <col min="786" max="786" width="6" style="319" customWidth="1"/>
    <col min="787" max="787" width="5" style="319" customWidth="1"/>
    <col min="788" max="788" width="4" style="319" customWidth="1"/>
    <col min="789" max="789" width="3" style="319" customWidth="1"/>
    <col min="790" max="790" width="2" style="319" customWidth="1"/>
    <col min="791" max="1025" width="9.140625" style="319"/>
    <col min="1026" max="1026" width="9.42578125" style="319" customWidth="1"/>
    <col min="1027" max="1027" width="67.5703125" style="319" customWidth="1"/>
    <col min="1028" max="1028" width="5.140625" style="319" customWidth="1"/>
    <col min="1029" max="1029" width="20" style="319" customWidth="1"/>
    <col min="1030" max="1030" width="20.7109375" style="319" customWidth="1"/>
    <col min="1031" max="1031" width="20.42578125" style="319" customWidth="1"/>
    <col min="1032" max="1032" width="21" style="319" customWidth="1"/>
    <col min="1033" max="1033" width="9.140625" style="319"/>
    <col min="1034" max="1034" width="14.140625" style="319" bestFit="1" customWidth="1"/>
    <col min="1035" max="1035" width="13.140625" style="319" customWidth="1"/>
    <col min="1036" max="1036" width="12" style="319" bestFit="1" customWidth="1"/>
    <col min="1037" max="1037" width="11" style="319" bestFit="1" customWidth="1"/>
    <col min="1038" max="1038" width="10" style="319" bestFit="1" customWidth="1"/>
    <col min="1039" max="1039" width="9" style="319" customWidth="1"/>
    <col min="1040" max="1040" width="8" style="319" customWidth="1"/>
    <col min="1041" max="1041" width="7" style="319" customWidth="1"/>
    <col min="1042" max="1042" width="6" style="319" customWidth="1"/>
    <col min="1043" max="1043" width="5" style="319" customWidth="1"/>
    <col min="1044" max="1044" width="4" style="319" customWidth="1"/>
    <col min="1045" max="1045" width="3" style="319" customWidth="1"/>
    <col min="1046" max="1046" width="2" style="319" customWidth="1"/>
    <col min="1047" max="1281" width="9.140625" style="319"/>
    <col min="1282" max="1282" width="9.42578125" style="319" customWidth="1"/>
    <col min="1283" max="1283" width="67.5703125" style="319" customWidth="1"/>
    <col min="1284" max="1284" width="5.140625" style="319" customWidth="1"/>
    <col min="1285" max="1285" width="20" style="319" customWidth="1"/>
    <col min="1286" max="1286" width="20.7109375" style="319" customWidth="1"/>
    <col min="1287" max="1287" width="20.42578125" style="319" customWidth="1"/>
    <col min="1288" max="1288" width="21" style="319" customWidth="1"/>
    <col min="1289" max="1289" width="9.140625" style="319"/>
    <col min="1290" max="1290" width="14.140625" style="319" bestFit="1" customWidth="1"/>
    <col min="1291" max="1291" width="13.140625" style="319" customWidth="1"/>
    <col min="1292" max="1292" width="12" style="319" bestFit="1" customWidth="1"/>
    <col min="1293" max="1293" width="11" style="319" bestFit="1" customWidth="1"/>
    <col min="1294" max="1294" width="10" style="319" bestFit="1" customWidth="1"/>
    <col min="1295" max="1295" width="9" style="319" customWidth="1"/>
    <col min="1296" max="1296" width="8" style="319" customWidth="1"/>
    <col min="1297" max="1297" width="7" style="319" customWidth="1"/>
    <col min="1298" max="1298" width="6" style="319" customWidth="1"/>
    <col min="1299" max="1299" width="5" style="319" customWidth="1"/>
    <col min="1300" max="1300" width="4" style="319" customWidth="1"/>
    <col min="1301" max="1301" width="3" style="319" customWidth="1"/>
    <col min="1302" max="1302" width="2" style="319" customWidth="1"/>
    <col min="1303" max="1537" width="9.140625" style="319"/>
    <col min="1538" max="1538" width="9.42578125" style="319" customWidth="1"/>
    <col min="1539" max="1539" width="67.5703125" style="319" customWidth="1"/>
    <col min="1540" max="1540" width="5.140625" style="319" customWidth="1"/>
    <col min="1541" max="1541" width="20" style="319" customWidth="1"/>
    <col min="1542" max="1542" width="20.7109375" style="319" customWidth="1"/>
    <col min="1543" max="1543" width="20.42578125" style="319" customWidth="1"/>
    <col min="1544" max="1544" width="21" style="319" customWidth="1"/>
    <col min="1545" max="1545" width="9.140625" style="319"/>
    <col min="1546" max="1546" width="14.140625" style="319" bestFit="1" customWidth="1"/>
    <col min="1547" max="1547" width="13.140625" style="319" customWidth="1"/>
    <col min="1548" max="1548" width="12" style="319" bestFit="1" customWidth="1"/>
    <col min="1549" max="1549" width="11" style="319" bestFit="1" customWidth="1"/>
    <col min="1550" max="1550" width="10" style="319" bestFit="1" customWidth="1"/>
    <col min="1551" max="1551" width="9" style="319" customWidth="1"/>
    <col min="1552" max="1552" width="8" style="319" customWidth="1"/>
    <col min="1553" max="1553" width="7" style="319" customWidth="1"/>
    <col min="1554" max="1554" width="6" style="319" customWidth="1"/>
    <col min="1555" max="1555" width="5" style="319" customWidth="1"/>
    <col min="1556" max="1556" width="4" style="319" customWidth="1"/>
    <col min="1557" max="1557" width="3" style="319" customWidth="1"/>
    <col min="1558" max="1558" width="2" style="319" customWidth="1"/>
    <col min="1559" max="1793" width="9.140625" style="319"/>
    <col min="1794" max="1794" width="9.42578125" style="319" customWidth="1"/>
    <col min="1795" max="1795" width="67.5703125" style="319" customWidth="1"/>
    <col min="1796" max="1796" width="5.140625" style="319" customWidth="1"/>
    <col min="1797" max="1797" width="20" style="319" customWidth="1"/>
    <col min="1798" max="1798" width="20.7109375" style="319" customWidth="1"/>
    <col min="1799" max="1799" width="20.42578125" style="319" customWidth="1"/>
    <col min="1800" max="1800" width="21" style="319" customWidth="1"/>
    <col min="1801" max="1801" width="9.140625" style="319"/>
    <col min="1802" max="1802" width="14.140625" style="319" bestFit="1" customWidth="1"/>
    <col min="1803" max="1803" width="13.140625" style="319" customWidth="1"/>
    <col min="1804" max="1804" width="12" style="319" bestFit="1" customWidth="1"/>
    <col min="1805" max="1805" width="11" style="319" bestFit="1" customWidth="1"/>
    <col min="1806" max="1806" width="10" style="319" bestFit="1" customWidth="1"/>
    <col min="1807" max="1807" width="9" style="319" customWidth="1"/>
    <col min="1808" max="1808" width="8" style="319" customWidth="1"/>
    <col min="1809" max="1809" width="7" style="319" customWidth="1"/>
    <col min="1810" max="1810" width="6" style="319" customWidth="1"/>
    <col min="1811" max="1811" width="5" style="319" customWidth="1"/>
    <col min="1812" max="1812" width="4" style="319" customWidth="1"/>
    <col min="1813" max="1813" width="3" style="319" customWidth="1"/>
    <col min="1814" max="1814" width="2" style="319" customWidth="1"/>
    <col min="1815" max="2049" width="9.140625" style="319"/>
    <col min="2050" max="2050" width="9.42578125" style="319" customWidth="1"/>
    <col min="2051" max="2051" width="67.5703125" style="319" customWidth="1"/>
    <col min="2052" max="2052" width="5.140625" style="319" customWidth="1"/>
    <col min="2053" max="2053" width="20" style="319" customWidth="1"/>
    <col min="2054" max="2054" width="20.7109375" style="319" customWidth="1"/>
    <col min="2055" max="2055" width="20.42578125" style="319" customWidth="1"/>
    <col min="2056" max="2056" width="21" style="319" customWidth="1"/>
    <col min="2057" max="2057" width="9.140625" style="319"/>
    <col min="2058" max="2058" width="14.140625" style="319" bestFit="1" customWidth="1"/>
    <col min="2059" max="2059" width="13.140625" style="319" customWidth="1"/>
    <col min="2060" max="2060" width="12" style="319" bestFit="1" customWidth="1"/>
    <col min="2061" max="2061" width="11" style="319" bestFit="1" customWidth="1"/>
    <col min="2062" max="2062" width="10" style="319" bestFit="1" customWidth="1"/>
    <col min="2063" max="2063" width="9" style="319" customWidth="1"/>
    <col min="2064" max="2064" width="8" style="319" customWidth="1"/>
    <col min="2065" max="2065" width="7" style="319" customWidth="1"/>
    <col min="2066" max="2066" width="6" style="319" customWidth="1"/>
    <col min="2067" max="2067" width="5" style="319" customWidth="1"/>
    <col min="2068" max="2068" width="4" style="319" customWidth="1"/>
    <col min="2069" max="2069" width="3" style="319" customWidth="1"/>
    <col min="2070" max="2070" width="2" style="319" customWidth="1"/>
    <col min="2071" max="2305" width="9.140625" style="319"/>
    <col min="2306" max="2306" width="9.42578125" style="319" customWidth="1"/>
    <col min="2307" max="2307" width="67.5703125" style="319" customWidth="1"/>
    <col min="2308" max="2308" width="5.140625" style="319" customWidth="1"/>
    <col min="2309" max="2309" width="20" style="319" customWidth="1"/>
    <col min="2310" max="2310" width="20.7109375" style="319" customWidth="1"/>
    <col min="2311" max="2311" width="20.42578125" style="319" customWidth="1"/>
    <col min="2312" max="2312" width="21" style="319" customWidth="1"/>
    <col min="2313" max="2313" width="9.140625" style="319"/>
    <col min="2314" max="2314" width="14.140625" style="319" bestFit="1" customWidth="1"/>
    <col min="2315" max="2315" width="13.140625" style="319" customWidth="1"/>
    <col min="2316" max="2316" width="12" style="319" bestFit="1" customWidth="1"/>
    <col min="2317" max="2317" width="11" style="319" bestFit="1" customWidth="1"/>
    <col min="2318" max="2318" width="10" style="319" bestFit="1" customWidth="1"/>
    <col min="2319" max="2319" width="9" style="319" customWidth="1"/>
    <col min="2320" max="2320" width="8" style="319" customWidth="1"/>
    <col min="2321" max="2321" width="7" style="319" customWidth="1"/>
    <col min="2322" max="2322" width="6" style="319" customWidth="1"/>
    <col min="2323" max="2323" width="5" style="319" customWidth="1"/>
    <col min="2324" max="2324" width="4" style="319" customWidth="1"/>
    <col min="2325" max="2325" width="3" style="319" customWidth="1"/>
    <col min="2326" max="2326" width="2" style="319" customWidth="1"/>
    <col min="2327" max="2561" width="9.140625" style="319"/>
    <col min="2562" max="2562" width="9.42578125" style="319" customWidth="1"/>
    <col min="2563" max="2563" width="67.5703125" style="319" customWidth="1"/>
    <col min="2564" max="2564" width="5.140625" style="319" customWidth="1"/>
    <col min="2565" max="2565" width="20" style="319" customWidth="1"/>
    <col min="2566" max="2566" width="20.7109375" style="319" customWidth="1"/>
    <col min="2567" max="2567" width="20.42578125" style="319" customWidth="1"/>
    <col min="2568" max="2568" width="21" style="319" customWidth="1"/>
    <col min="2569" max="2569" width="9.140625" style="319"/>
    <col min="2570" max="2570" width="14.140625" style="319" bestFit="1" customWidth="1"/>
    <col min="2571" max="2571" width="13.140625" style="319" customWidth="1"/>
    <col min="2572" max="2572" width="12" style="319" bestFit="1" customWidth="1"/>
    <col min="2573" max="2573" width="11" style="319" bestFit="1" customWidth="1"/>
    <col min="2574" max="2574" width="10" style="319" bestFit="1" customWidth="1"/>
    <col min="2575" max="2575" width="9" style="319" customWidth="1"/>
    <col min="2576" max="2576" width="8" style="319" customWidth="1"/>
    <col min="2577" max="2577" width="7" style="319" customWidth="1"/>
    <col min="2578" max="2578" width="6" style="319" customWidth="1"/>
    <col min="2579" max="2579" width="5" style="319" customWidth="1"/>
    <col min="2580" max="2580" width="4" style="319" customWidth="1"/>
    <col min="2581" max="2581" width="3" style="319" customWidth="1"/>
    <col min="2582" max="2582" width="2" style="319" customWidth="1"/>
    <col min="2583" max="2817" width="9.140625" style="319"/>
    <col min="2818" max="2818" width="9.42578125" style="319" customWidth="1"/>
    <col min="2819" max="2819" width="67.5703125" style="319" customWidth="1"/>
    <col min="2820" max="2820" width="5.140625" style="319" customWidth="1"/>
    <col min="2821" max="2821" width="20" style="319" customWidth="1"/>
    <col min="2822" max="2822" width="20.7109375" style="319" customWidth="1"/>
    <col min="2823" max="2823" width="20.42578125" style="319" customWidth="1"/>
    <col min="2824" max="2824" width="21" style="319" customWidth="1"/>
    <col min="2825" max="2825" width="9.140625" style="319"/>
    <col min="2826" max="2826" width="14.140625" style="319" bestFit="1" customWidth="1"/>
    <col min="2827" max="2827" width="13.140625" style="319" customWidth="1"/>
    <col min="2828" max="2828" width="12" style="319" bestFit="1" customWidth="1"/>
    <col min="2829" max="2829" width="11" style="319" bestFit="1" customWidth="1"/>
    <col min="2830" max="2830" width="10" style="319" bestFit="1" customWidth="1"/>
    <col min="2831" max="2831" width="9" style="319" customWidth="1"/>
    <col min="2832" max="2832" width="8" style="319" customWidth="1"/>
    <col min="2833" max="2833" width="7" style="319" customWidth="1"/>
    <col min="2834" max="2834" width="6" style="319" customWidth="1"/>
    <col min="2835" max="2835" width="5" style="319" customWidth="1"/>
    <col min="2836" max="2836" width="4" style="319" customWidth="1"/>
    <col min="2837" max="2837" width="3" style="319" customWidth="1"/>
    <col min="2838" max="2838" width="2" style="319" customWidth="1"/>
    <col min="2839" max="3073" width="9.140625" style="319"/>
    <col min="3074" max="3074" width="9.42578125" style="319" customWidth="1"/>
    <col min="3075" max="3075" width="67.5703125" style="319" customWidth="1"/>
    <col min="3076" max="3076" width="5.140625" style="319" customWidth="1"/>
    <col min="3077" max="3077" width="20" style="319" customWidth="1"/>
    <col min="3078" max="3078" width="20.7109375" style="319" customWidth="1"/>
    <col min="3079" max="3079" width="20.42578125" style="319" customWidth="1"/>
    <col min="3080" max="3080" width="21" style="319" customWidth="1"/>
    <col min="3081" max="3081" width="9.140625" style="319"/>
    <col min="3082" max="3082" width="14.140625" style="319" bestFit="1" customWidth="1"/>
    <col min="3083" max="3083" width="13.140625" style="319" customWidth="1"/>
    <col min="3084" max="3084" width="12" style="319" bestFit="1" customWidth="1"/>
    <col min="3085" max="3085" width="11" style="319" bestFit="1" customWidth="1"/>
    <col min="3086" max="3086" width="10" style="319" bestFit="1" customWidth="1"/>
    <col min="3087" max="3087" width="9" style="319" customWidth="1"/>
    <col min="3088" max="3088" width="8" style="319" customWidth="1"/>
    <col min="3089" max="3089" width="7" style="319" customWidth="1"/>
    <col min="3090" max="3090" width="6" style="319" customWidth="1"/>
    <col min="3091" max="3091" width="5" style="319" customWidth="1"/>
    <col min="3092" max="3092" width="4" style="319" customWidth="1"/>
    <col min="3093" max="3093" width="3" style="319" customWidth="1"/>
    <col min="3094" max="3094" width="2" style="319" customWidth="1"/>
    <col min="3095" max="3329" width="9.140625" style="319"/>
    <col min="3330" max="3330" width="9.42578125" style="319" customWidth="1"/>
    <col min="3331" max="3331" width="67.5703125" style="319" customWidth="1"/>
    <col min="3332" max="3332" width="5.140625" style="319" customWidth="1"/>
    <col min="3333" max="3333" width="20" style="319" customWidth="1"/>
    <col min="3334" max="3334" width="20.7109375" style="319" customWidth="1"/>
    <col min="3335" max="3335" width="20.42578125" style="319" customWidth="1"/>
    <col min="3336" max="3336" width="21" style="319" customWidth="1"/>
    <col min="3337" max="3337" width="9.140625" style="319"/>
    <col min="3338" max="3338" width="14.140625" style="319" bestFit="1" customWidth="1"/>
    <col min="3339" max="3339" width="13.140625" style="319" customWidth="1"/>
    <col min="3340" max="3340" width="12" style="319" bestFit="1" customWidth="1"/>
    <col min="3341" max="3341" width="11" style="319" bestFit="1" customWidth="1"/>
    <col min="3342" max="3342" width="10" style="319" bestFit="1" customWidth="1"/>
    <col min="3343" max="3343" width="9" style="319" customWidth="1"/>
    <col min="3344" max="3344" width="8" style="319" customWidth="1"/>
    <col min="3345" max="3345" width="7" style="319" customWidth="1"/>
    <col min="3346" max="3346" width="6" style="319" customWidth="1"/>
    <col min="3347" max="3347" width="5" style="319" customWidth="1"/>
    <col min="3348" max="3348" width="4" style="319" customWidth="1"/>
    <col min="3349" max="3349" width="3" style="319" customWidth="1"/>
    <col min="3350" max="3350" width="2" style="319" customWidth="1"/>
    <col min="3351" max="3585" width="9.140625" style="319"/>
    <col min="3586" max="3586" width="9.42578125" style="319" customWidth="1"/>
    <col min="3587" max="3587" width="67.5703125" style="319" customWidth="1"/>
    <col min="3588" max="3588" width="5.140625" style="319" customWidth="1"/>
    <col min="3589" max="3589" width="20" style="319" customWidth="1"/>
    <col min="3590" max="3590" width="20.7109375" style="319" customWidth="1"/>
    <col min="3591" max="3591" width="20.42578125" style="319" customWidth="1"/>
    <col min="3592" max="3592" width="21" style="319" customWidth="1"/>
    <col min="3593" max="3593" width="9.140625" style="319"/>
    <col min="3594" max="3594" width="14.140625" style="319" bestFit="1" customWidth="1"/>
    <col min="3595" max="3595" width="13.140625" style="319" customWidth="1"/>
    <col min="3596" max="3596" width="12" style="319" bestFit="1" customWidth="1"/>
    <col min="3597" max="3597" width="11" style="319" bestFit="1" customWidth="1"/>
    <col min="3598" max="3598" width="10" style="319" bestFit="1" customWidth="1"/>
    <col min="3599" max="3599" width="9" style="319" customWidth="1"/>
    <col min="3600" max="3600" width="8" style="319" customWidth="1"/>
    <col min="3601" max="3601" width="7" style="319" customWidth="1"/>
    <col min="3602" max="3602" width="6" style="319" customWidth="1"/>
    <col min="3603" max="3603" width="5" style="319" customWidth="1"/>
    <col min="3604" max="3604" width="4" style="319" customWidth="1"/>
    <col min="3605" max="3605" width="3" style="319" customWidth="1"/>
    <col min="3606" max="3606" width="2" style="319" customWidth="1"/>
    <col min="3607" max="3841" width="9.140625" style="319"/>
    <col min="3842" max="3842" width="9.42578125" style="319" customWidth="1"/>
    <col min="3843" max="3843" width="67.5703125" style="319" customWidth="1"/>
    <col min="3844" max="3844" width="5.140625" style="319" customWidth="1"/>
    <col min="3845" max="3845" width="20" style="319" customWidth="1"/>
    <col min="3846" max="3846" width="20.7109375" style="319" customWidth="1"/>
    <col min="3847" max="3847" width="20.42578125" style="319" customWidth="1"/>
    <col min="3848" max="3848" width="21" style="319" customWidth="1"/>
    <col min="3849" max="3849" width="9.140625" style="319"/>
    <col min="3850" max="3850" width="14.140625" style="319" bestFit="1" customWidth="1"/>
    <col min="3851" max="3851" width="13.140625" style="319" customWidth="1"/>
    <col min="3852" max="3852" width="12" style="319" bestFit="1" customWidth="1"/>
    <col min="3853" max="3853" width="11" style="319" bestFit="1" customWidth="1"/>
    <col min="3854" max="3854" width="10" style="319" bestFit="1" customWidth="1"/>
    <col min="3855" max="3855" width="9" style="319" customWidth="1"/>
    <col min="3856" max="3856" width="8" style="319" customWidth="1"/>
    <col min="3857" max="3857" width="7" style="319" customWidth="1"/>
    <col min="3858" max="3858" width="6" style="319" customWidth="1"/>
    <col min="3859" max="3859" width="5" style="319" customWidth="1"/>
    <col min="3860" max="3860" width="4" style="319" customWidth="1"/>
    <col min="3861" max="3861" width="3" style="319" customWidth="1"/>
    <col min="3862" max="3862" width="2" style="319" customWidth="1"/>
    <col min="3863" max="4097" width="9.140625" style="319"/>
    <col min="4098" max="4098" width="9.42578125" style="319" customWidth="1"/>
    <col min="4099" max="4099" width="67.5703125" style="319" customWidth="1"/>
    <col min="4100" max="4100" width="5.140625" style="319" customWidth="1"/>
    <col min="4101" max="4101" width="20" style="319" customWidth="1"/>
    <col min="4102" max="4102" width="20.7109375" style="319" customWidth="1"/>
    <col min="4103" max="4103" width="20.42578125" style="319" customWidth="1"/>
    <col min="4104" max="4104" width="21" style="319" customWidth="1"/>
    <col min="4105" max="4105" width="9.140625" style="319"/>
    <col min="4106" max="4106" width="14.140625" style="319" bestFit="1" customWidth="1"/>
    <col min="4107" max="4107" width="13.140625" style="319" customWidth="1"/>
    <col min="4108" max="4108" width="12" style="319" bestFit="1" customWidth="1"/>
    <col min="4109" max="4109" width="11" style="319" bestFit="1" customWidth="1"/>
    <col min="4110" max="4110" width="10" style="319" bestFit="1" customWidth="1"/>
    <col min="4111" max="4111" width="9" style="319" customWidth="1"/>
    <col min="4112" max="4112" width="8" style="319" customWidth="1"/>
    <col min="4113" max="4113" width="7" style="319" customWidth="1"/>
    <col min="4114" max="4114" width="6" style="319" customWidth="1"/>
    <col min="4115" max="4115" width="5" style="319" customWidth="1"/>
    <col min="4116" max="4116" width="4" style="319" customWidth="1"/>
    <col min="4117" max="4117" width="3" style="319" customWidth="1"/>
    <col min="4118" max="4118" width="2" style="319" customWidth="1"/>
    <col min="4119" max="4353" width="9.140625" style="319"/>
    <col min="4354" max="4354" width="9.42578125" style="319" customWidth="1"/>
    <col min="4355" max="4355" width="67.5703125" style="319" customWidth="1"/>
    <col min="4356" max="4356" width="5.140625" style="319" customWidth="1"/>
    <col min="4357" max="4357" width="20" style="319" customWidth="1"/>
    <col min="4358" max="4358" width="20.7109375" style="319" customWidth="1"/>
    <col min="4359" max="4359" width="20.42578125" style="319" customWidth="1"/>
    <col min="4360" max="4360" width="21" style="319" customWidth="1"/>
    <col min="4361" max="4361" width="9.140625" style="319"/>
    <col min="4362" max="4362" width="14.140625" style="319" bestFit="1" customWidth="1"/>
    <col min="4363" max="4363" width="13.140625" style="319" customWidth="1"/>
    <col min="4364" max="4364" width="12" style="319" bestFit="1" customWidth="1"/>
    <col min="4365" max="4365" width="11" style="319" bestFit="1" customWidth="1"/>
    <col min="4366" max="4366" width="10" style="319" bestFit="1" customWidth="1"/>
    <col min="4367" max="4367" width="9" style="319" customWidth="1"/>
    <col min="4368" max="4368" width="8" style="319" customWidth="1"/>
    <col min="4369" max="4369" width="7" style="319" customWidth="1"/>
    <col min="4370" max="4370" width="6" style="319" customWidth="1"/>
    <col min="4371" max="4371" width="5" style="319" customWidth="1"/>
    <col min="4372" max="4372" width="4" style="319" customWidth="1"/>
    <col min="4373" max="4373" width="3" style="319" customWidth="1"/>
    <col min="4374" max="4374" width="2" style="319" customWidth="1"/>
    <col min="4375" max="4609" width="9.140625" style="319"/>
    <col min="4610" max="4610" width="9.42578125" style="319" customWidth="1"/>
    <col min="4611" max="4611" width="67.5703125" style="319" customWidth="1"/>
    <col min="4612" max="4612" width="5.140625" style="319" customWidth="1"/>
    <col min="4613" max="4613" width="20" style="319" customWidth="1"/>
    <col min="4614" max="4614" width="20.7109375" style="319" customWidth="1"/>
    <col min="4615" max="4615" width="20.42578125" style="319" customWidth="1"/>
    <col min="4616" max="4616" width="21" style="319" customWidth="1"/>
    <col min="4617" max="4617" width="9.140625" style="319"/>
    <col min="4618" max="4618" width="14.140625" style="319" bestFit="1" customWidth="1"/>
    <col min="4619" max="4619" width="13.140625" style="319" customWidth="1"/>
    <col min="4620" max="4620" width="12" style="319" bestFit="1" customWidth="1"/>
    <col min="4621" max="4621" width="11" style="319" bestFit="1" customWidth="1"/>
    <col min="4622" max="4622" width="10" style="319" bestFit="1" customWidth="1"/>
    <col min="4623" max="4623" width="9" style="319" customWidth="1"/>
    <col min="4624" max="4624" width="8" style="319" customWidth="1"/>
    <col min="4625" max="4625" width="7" style="319" customWidth="1"/>
    <col min="4626" max="4626" width="6" style="319" customWidth="1"/>
    <col min="4627" max="4627" width="5" style="319" customWidth="1"/>
    <col min="4628" max="4628" width="4" style="319" customWidth="1"/>
    <col min="4629" max="4629" width="3" style="319" customWidth="1"/>
    <col min="4630" max="4630" width="2" style="319" customWidth="1"/>
    <col min="4631" max="4865" width="9.140625" style="319"/>
    <col min="4866" max="4866" width="9.42578125" style="319" customWidth="1"/>
    <col min="4867" max="4867" width="67.5703125" style="319" customWidth="1"/>
    <col min="4868" max="4868" width="5.140625" style="319" customWidth="1"/>
    <col min="4869" max="4869" width="20" style="319" customWidth="1"/>
    <col min="4870" max="4870" width="20.7109375" style="319" customWidth="1"/>
    <col min="4871" max="4871" width="20.42578125" style="319" customWidth="1"/>
    <col min="4872" max="4872" width="21" style="319" customWidth="1"/>
    <col min="4873" max="4873" width="9.140625" style="319"/>
    <col min="4874" max="4874" width="14.140625" style="319" bestFit="1" customWidth="1"/>
    <col min="4875" max="4875" width="13.140625" style="319" customWidth="1"/>
    <col min="4876" max="4876" width="12" style="319" bestFit="1" customWidth="1"/>
    <col min="4877" max="4877" width="11" style="319" bestFit="1" customWidth="1"/>
    <col min="4878" max="4878" width="10" style="319" bestFit="1" customWidth="1"/>
    <col min="4879" max="4879" width="9" style="319" customWidth="1"/>
    <col min="4880" max="4880" width="8" style="319" customWidth="1"/>
    <col min="4881" max="4881" width="7" style="319" customWidth="1"/>
    <col min="4882" max="4882" width="6" style="319" customWidth="1"/>
    <col min="4883" max="4883" width="5" style="319" customWidth="1"/>
    <col min="4884" max="4884" width="4" style="319" customWidth="1"/>
    <col min="4885" max="4885" width="3" style="319" customWidth="1"/>
    <col min="4886" max="4886" width="2" style="319" customWidth="1"/>
    <col min="4887" max="5121" width="9.140625" style="319"/>
    <col min="5122" max="5122" width="9.42578125" style="319" customWidth="1"/>
    <col min="5123" max="5123" width="67.5703125" style="319" customWidth="1"/>
    <col min="5124" max="5124" width="5.140625" style="319" customWidth="1"/>
    <col min="5125" max="5125" width="20" style="319" customWidth="1"/>
    <col min="5126" max="5126" width="20.7109375" style="319" customWidth="1"/>
    <col min="5127" max="5127" width="20.42578125" style="319" customWidth="1"/>
    <col min="5128" max="5128" width="21" style="319" customWidth="1"/>
    <col min="5129" max="5129" width="9.140625" style="319"/>
    <col min="5130" max="5130" width="14.140625" style="319" bestFit="1" customWidth="1"/>
    <col min="5131" max="5131" width="13.140625" style="319" customWidth="1"/>
    <col min="5132" max="5132" width="12" style="319" bestFit="1" customWidth="1"/>
    <col min="5133" max="5133" width="11" style="319" bestFit="1" customWidth="1"/>
    <col min="5134" max="5134" width="10" style="319" bestFit="1" customWidth="1"/>
    <col min="5135" max="5135" width="9" style="319" customWidth="1"/>
    <col min="5136" max="5136" width="8" style="319" customWidth="1"/>
    <col min="5137" max="5137" width="7" style="319" customWidth="1"/>
    <col min="5138" max="5138" width="6" style="319" customWidth="1"/>
    <col min="5139" max="5139" width="5" style="319" customWidth="1"/>
    <col min="5140" max="5140" width="4" style="319" customWidth="1"/>
    <col min="5141" max="5141" width="3" style="319" customWidth="1"/>
    <col min="5142" max="5142" width="2" style="319" customWidth="1"/>
    <col min="5143" max="5377" width="9.140625" style="319"/>
    <col min="5378" max="5378" width="9.42578125" style="319" customWidth="1"/>
    <col min="5379" max="5379" width="67.5703125" style="319" customWidth="1"/>
    <col min="5380" max="5380" width="5.140625" style="319" customWidth="1"/>
    <col min="5381" max="5381" width="20" style="319" customWidth="1"/>
    <col min="5382" max="5382" width="20.7109375" style="319" customWidth="1"/>
    <col min="5383" max="5383" width="20.42578125" style="319" customWidth="1"/>
    <col min="5384" max="5384" width="21" style="319" customWidth="1"/>
    <col min="5385" max="5385" width="9.140625" style="319"/>
    <col min="5386" max="5386" width="14.140625" style="319" bestFit="1" customWidth="1"/>
    <col min="5387" max="5387" width="13.140625" style="319" customWidth="1"/>
    <col min="5388" max="5388" width="12" style="319" bestFit="1" customWidth="1"/>
    <col min="5389" max="5389" width="11" style="319" bestFit="1" customWidth="1"/>
    <col min="5390" max="5390" width="10" style="319" bestFit="1" customWidth="1"/>
    <col min="5391" max="5391" width="9" style="319" customWidth="1"/>
    <col min="5392" max="5392" width="8" style="319" customWidth="1"/>
    <col min="5393" max="5393" width="7" style="319" customWidth="1"/>
    <col min="5394" max="5394" width="6" style="319" customWidth="1"/>
    <col min="5395" max="5395" width="5" style="319" customWidth="1"/>
    <col min="5396" max="5396" width="4" style="319" customWidth="1"/>
    <col min="5397" max="5397" width="3" style="319" customWidth="1"/>
    <col min="5398" max="5398" width="2" style="319" customWidth="1"/>
    <col min="5399" max="5633" width="9.140625" style="319"/>
    <col min="5634" max="5634" width="9.42578125" style="319" customWidth="1"/>
    <col min="5635" max="5635" width="67.5703125" style="319" customWidth="1"/>
    <col min="5636" max="5636" width="5.140625" style="319" customWidth="1"/>
    <col min="5637" max="5637" width="20" style="319" customWidth="1"/>
    <col min="5638" max="5638" width="20.7109375" style="319" customWidth="1"/>
    <col min="5639" max="5639" width="20.42578125" style="319" customWidth="1"/>
    <col min="5640" max="5640" width="21" style="319" customWidth="1"/>
    <col min="5641" max="5641" width="9.140625" style="319"/>
    <col min="5642" max="5642" width="14.140625" style="319" bestFit="1" customWidth="1"/>
    <col min="5643" max="5643" width="13.140625" style="319" customWidth="1"/>
    <col min="5644" max="5644" width="12" style="319" bestFit="1" customWidth="1"/>
    <col min="5645" max="5645" width="11" style="319" bestFit="1" customWidth="1"/>
    <col min="5646" max="5646" width="10" style="319" bestFit="1" customWidth="1"/>
    <col min="5647" max="5647" width="9" style="319" customWidth="1"/>
    <col min="5648" max="5648" width="8" style="319" customWidth="1"/>
    <col min="5649" max="5649" width="7" style="319" customWidth="1"/>
    <col min="5650" max="5650" width="6" style="319" customWidth="1"/>
    <col min="5651" max="5651" width="5" style="319" customWidth="1"/>
    <col min="5652" max="5652" width="4" style="319" customWidth="1"/>
    <col min="5653" max="5653" width="3" style="319" customWidth="1"/>
    <col min="5654" max="5654" width="2" style="319" customWidth="1"/>
    <col min="5655" max="5889" width="9.140625" style="319"/>
    <col min="5890" max="5890" width="9.42578125" style="319" customWidth="1"/>
    <col min="5891" max="5891" width="67.5703125" style="319" customWidth="1"/>
    <col min="5892" max="5892" width="5.140625" style="319" customWidth="1"/>
    <col min="5893" max="5893" width="20" style="319" customWidth="1"/>
    <col min="5894" max="5894" width="20.7109375" style="319" customWidth="1"/>
    <col min="5895" max="5895" width="20.42578125" style="319" customWidth="1"/>
    <col min="5896" max="5896" width="21" style="319" customWidth="1"/>
    <col min="5897" max="5897" width="9.140625" style="319"/>
    <col min="5898" max="5898" width="14.140625" style="319" bestFit="1" customWidth="1"/>
    <col min="5899" max="5899" width="13.140625" style="319" customWidth="1"/>
    <col min="5900" max="5900" width="12" style="319" bestFit="1" customWidth="1"/>
    <col min="5901" max="5901" width="11" style="319" bestFit="1" customWidth="1"/>
    <col min="5902" max="5902" width="10" style="319" bestFit="1" customWidth="1"/>
    <col min="5903" max="5903" width="9" style="319" customWidth="1"/>
    <col min="5904" max="5904" width="8" style="319" customWidth="1"/>
    <col min="5905" max="5905" width="7" style="319" customWidth="1"/>
    <col min="5906" max="5906" width="6" style="319" customWidth="1"/>
    <col min="5907" max="5907" width="5" style="319" customWidth="1"/>
    <col min="5908" max="5908" width="4" style="319" customWidth="1"/>
    <col min="5909" max="5909" width="3" style="319" customWidth="1"/>
    <col min="5910" max="5910" width="2" style="319" customWidth="1"/>
    <col min="5911" max="6145" width="9.140625" style="319"/>
    <col min="6146" max="6146" width="9.42578125" style="319" customWidth="1"/>
    <col min="6147" max="6147" width="67.5703125" style="319" customWidth="1"/>
    <col min="6148" max="6148" width="5.140625" style="319" customWidth="1"/>
    <col min="6149" max="6149" width="20" style="319" customWidth="1"/>
    <col min="6150" max="6150" width="20.7109375" style="319" customWidth="1"/>
    <col min="6151" max="6151" width="20.42578125" style="319" customWidth="1"/>
    <col min="6152" max="6152" width="21" style="319" customWidth="1"/>
    <col min="6153" max="6153" width="9.140625" style="319"/>
    <col min="6154" max="6154" width="14.140625" style="319" bestFit="1" customWidth="1"/>
    <col min="6155" max="6155" width="13.140625" style="319" customWidth="1"/>
    <col min="6156" max="6156" width="12" style="319" bestFit="1" customWidth="1"/>
    <col min="6157" max="6157" width="11" style="319" bestFit="1" customWidth="1"/>
    <col min="6158" max="6158" width="10" style="319" bestFit="1" customWidth="1"/>
    <col min="6159" max="6159" width="9" style="319" customWidth="1"/>
    <col min="6160" max="6160" width="8" style="319" customWidth="1"/>
    <col min="6161" max="6161" width="7" style="319" customWidth="1"/>
    <col min="6162" max="6162" width="6" style="319" customWidth="1"/>
    <col min="6163" max="6163" width="5" style="319" customWidth="1"/>
    <col min="6164" max="6164" width="4" style="319" customWidth="1"/>
    <col min="6165" max="6165" width="3" style="319" customWidth="1"/>
    <col min="6166" max="6166" width="2" style="319" customWidth="1"/>
    <col min="6167" max="6401" width="9.140625" style="319"/>
    <col min="6402" max="6402" width="9.42578125" style="319" customWidth="1"/>
    <col min="6403" max="6403" width="67.5703125" style="319" customWidth="1"/>
    <col min="6404" max="6404" width="5.140625" style="319" customWidth="1"/>
    <col min="6405" max="6405" width="20" style="319" customWidth="1"/>
    <col min="6406" max="6406" width="20.7109375" style="319" customWidth="1"/>
    <col min="6407" max="6407" width="20.42578125" style="319" customWidth="1"/>
    <col min="6408" max="6408" width="21" style="319" customWidth="1"/>
    <col min="6409" max="6409" width="9.140625" style="319"/>
    <col min="6410" max="6410" width="14.140625" style="319" bestFit="1" customWidth="1"/>
    <col min="6411" max="6411" width="13.140625" style="319" customWidth="1"/>
    <col min="6412" max="6412" width="12" style="319" bestFit="1" customWidth="1"/>
    <col min="6413" max="6413" width="11" style="319" bestFit="1" customWidth="1"/>
    <col min="6414" max="6414" width="10" style="319" bestFit="1" customWidth="1"/>
    <col min="6415" max="6415" width="9" style="319" customWidth="1"/>
    <col min="6416" max="6416" width="8" style="319" customWidth="1"/>
    <col min="6417" max="6417" width="7" style="319" customWidth="1"/>
    <col min="6418" max="6418" width="6" style="319" customWidth="1"/>
    <col min="6419" max="6419" width="5" style="319" customWidth="1"/>
    <col min="6420" max="6420" width="4" style="319" customWidth="1"/>
    <col min="6421" max="6421" width="3" style="319" customWidth="1"/>
    <col min="6422" max="6422" width="2" style="319" customWidth="1"/>
    <col min="6423" max="6657" width="9.140625" style="319"/>
    <col min="6658" max="6658" width="9.42578125" style="319" customWidth="1"/>
    <col min="6659" max="6659" width="67.5703125" style="319" customWidth="1"/>
    <col min="6660" max="6660" width="5.140625" style="319" customWidth="1"/>
    <col min="6661" max="6661" width="20" style="319" customWidth="1"/>
    <col min="6662" max="6662" width="20.7109375" style="319" customWidth="1"/>
    <col min="6663" max="6663" width="20.42578125" style="319" customWidth="1"/>
    <col min="6664" max="6664" width="21" style="319" customWidth="1"/>
    <col min="6665" max="6665" width="9.140625" style="319"/>
    <col min="6666" max="6666" width="14.140625" style="319" bestFit="1" customWidth="1"/>
    <col min="6667" max="6667" width="13.140625" style="319" customWidth="1"/>
    <col min="6668" max="6668" width="12" style="319" bestFit="1" customWidth="1"/>
    <col min="6669" max="6669" width="11" style="319" bestFit="1" customWidth="1"/>
    <col min="6670" max="6670" width="10" style="319" bestFit="1" customWidth="1"/>
    <col min="6671" max="6671" width="9" style="319" customWidth="1"/>
    <col min="6672" max="6672" width="8" style="319" customWidth="1"/>
    <col min="6673" max="6673" width="7" style="319" customWidth="1"/>
    <col min="6674" max="6674" width="6" style="319" customWidth="1"/>
    <col min="6675" max="6675" width="5" style="319" customWidth="1"/>
    <col min="6676" max="6676" width="4" style="319" customWidth="1"/>
    <col min="6677" max="6677" width="3" style="319" customWidth="1"/>
    <col min="6678" max="6678" width="2" style="319" customWidth="1"/>
    <col min="6679" max="6913" width="9.140625" style="319"/>
    <col min="6914" max="6914" width="9.42578125" style="319" customWidth="1"/>
    <col min="6915" max="6915" width="67.5703125" style="319" customWidth="1"/>
    <col min="6916" max="6916" width="5.140625" style="319" customWidth="1"/>
    <col min="6917" max="6917" width="20" style="319" customWidth="1"/>
    <col min="6918" max="6918" width="20.7109375" style="319" customWidth="1"/>
    <col min="6919" max="6919" width="20.42578125" style="319" customWidth="1"/>
    <col min="6920" max="6920" width="21" style="319" customWidth="1"/>
    <col min="6921" max="6921" width="9.140625" style="319"/>
    <col min="6922" max="6922" width="14.140625" style="319" bestFit="1" customWidth="1"/>
    <col min="6923" max="6923" width="13.140625" style="319" customWidth="1"/>
    <col min="6924" max="6924" width="12" style="319" bestFit="1" customWidth="1"/>
    <col min="6925" max="6925" width="11" style="319" bestFit="1" customWidth="1"/>
    <col min="6926" max="6926" width="10" style="319" bestFit="1" customWidth="1"/>
    <col min="6927" max="6927" width="9" style="319" customWidth="1"/>
    <col min="6928" max="6928" width="8" style="319" customWidth="1"/>
    <col min="6929" max="6929" width="7" style="319" customWidth="1"/>
    <col min="6930" max="6930" width="6" style="319" customWidth="1"/>
    <col min="6931" max="6931" width="5" style="319" customWidth="1"/>
    <col min="6932" max="6932" width="4" style="319" customWidth="1"/>
    <col min="6933" max="6933" width="3" style="319" customWidth="1"/>
    <col min="6934" max="6934" width="2" style="319" customWidth="1"/>
    <col min="6935" max="7169" width="9.140625" style="319"/>
    <col min="7170" max="7170" width="9.42578125" style="319" customWidth="1"/>
    <col min="7171" max="7171" width="67.5703125" style="319" customWidth="1"/>
    <col min="7172" max="7172" width="5.140625" style="319" customWidth="1"/>
    <col min="7173" max="7173" width="20" style="319" customWidth="1"/>
    <col min="7174" max="7174" width="20.7109375" style="319" customWidth="1"/>
    <col min="7175" max="7175" width="20.42578125" style="319" customWidth="1"/>
    <col min="7176" max="7176" width="21" style="319" customWidth="1"/>
    <col min="7177" max="7177" width="9.140625" style="319"/>
    <col min="7178" max="7178" width="14.140625" style="319" bestFit="1" customWidth="1"/>
    <col min="7179" max="7179" width="13.140625" style="319" customWidth="1"/>
    <col min="7180" max="7180" width="12" style="319" bestFit="1" customWidth="1"/>
    <col min="7181" max="7181" width="11" style="319" bestFit="1" customWidth="1"/>
    <col min="7182" max="7182" width="10" style="319" bestFit="1" customWidth="1"/>
    <col min="7183" max="7183" width="9" style="319" customWidth="1"/>
    <col min="7184" max="7184" width="8" style="319" customWidth="1"/>
    <col min="7185" max="7185" width="7" style="319" customWidth="1"/>
    <col min="7186" max="7186" width="6" style="319" customWidth="1"/>
    <col min="7187" max="7187" width="5" style="319" customWidth="1"/>
    <col min="7188" max="7188" width="4" style="319" customWidth="1"/>
    <col min="7189" max="7189" width="3" style="319" customWidth="1"/>
    <col min="7190" max="7190" width="2" style="319" customWidth="1"/>
    <col min="7191" max="7425" width="9.140625" style="319"/>
    <col min="7426" max="7426" width="9.42578125" style="319" customWidth="1"/>
    <col min="7427" max="7427" width="67.5703125" style="319" customWidth="1"/>
    <col min="7428" max="7428" width="5.140625" style="319" customWidth="1"/>
    <col min="7429" max="7429" width="20" style="319" customWidth="1"/>
    <col min="7430" max="7430" width="20.7109375" style="319" customWidth="1"/>
    <col min="7431" max="7431" width="20.42578125" style="319" customWidth="1"/>
    <col min="7432" max="7432" width="21" style="319" customWidth="1"/>
    <col min="7433" max="7433" width="9.140625" style="319"/>
    <col min="7434" max="7434" width="14.140625" style="319" bestFit="1" customWidth="1"/>
    <col min="7435" max="7435" width="13.140625" style="319" customWidth="1"/>
    <col min="7436" max="7436" width="12" style="319" bestFit="1" customWidth="1"/>
    <col min="7437" max="7437" width="11" style="319" bestFit="1" customWidth="1"/>
    <col min="7438" max="7438" width="10" style="319" bestFit="1" customWidth="1"/>
    <col min="7439" max="7439" width="9" style="319" customWidth="1"/>
    <col min="7440" max="7440" width="8" style="319" customWidth="1"/>
    <col min="7441" max="7441" width="7" style="319" customWidth="1"/>
    <col min="7442" max="7442" width="6" style="319" customWidth="1"/>
    <col min="7443" max="7443" width="5" style="319" customWidth="1"/>
    <col min="7444" max="7444" width="4" style="319" customWidth="1"/>
    <col min="7445" max="7445" width="3" style="319" customWidth="1"/>
    <col min="7446" max="7446" width="2" style="319" customWidth="1"/>
    <col min="7447" max="7681" width="9.140625" style="319"/>
    <col min="7682" max="7682" width="9.42578125" style="319" customWidth="1"/>
    <col min="7683" max="7683" width="67.5703125" style="319" customWidth="1"/>
    <col min="7684" max="7684" width="5.140625" style="319" customWidth="1"/>
    <col min="7685" max="7685" width="20" style="319" customWidth="1"/>
    <col min="7686" max="7686" width="20.7109375" style="319" customWidth="1"/>
    <col min="7687" max="7687" width="20.42578125" style="319" customWidth="1"/>
    <col min="7688" max="7688" width="21" style="319" customWidth="1"/>
    <col min="7689" max="7689" width="9.140625" style="319"/>
    <col min="7690" max="7690" width="14.140625" style="319" bestFit="1" customWidth="1"/>
    <col min="7691" max="7691" width="13.140625" style="319" customWidth="1"/>
    <col min="7692" max="7692" width="12" style="319" bestFit="1" customWidth="1"/>
    <col min="7693" max="7693" width="11" style="319" bestFit="1" customWidth="1"/>
    <col min="7694" max="7694" width="10" style="319" bestFit="1" customWidth="1"/>
    <col min="7695" max="7695" width="9" style="319" customWidth="1"/>
    <col min="7696" max="7696" width="8" style="319" customWidth="1"/>
    <col min="7697" max="7697" width="7" style="319" customWidth="1"/>
    <col min="7698" max="7698" width="6" style="319" customWidth="1"/>
    <col min="7699" max="7699" width="5" style="319" customWidth="1"/>
    <col min="7700" max="7700" width="4" style="319" customWidth="1"/>
    <col min="7701" max="7701" width="3" style="319" customWidth="1"/>
    <col min="7702" max="7702" width="2" style="319" customWidth="1"/>
    <col min="7703" max="7937" width="9.140625" style="319"/>
    <col min="7938" max="7938" width="9.42578125" style="319" customWidth="1"/>
    <col min="7939" max="7939" width="67.5703125" style="319" customWidth="1"/>
    <col min="7940" max="7940" width="5.140625" style="319" customWidth="1"/>
    <col min="7941" max="7941" width="20" style="319" customWidth="1"/>
    <col min="7942" max="7942" width="20.7109375" style="319" customWidth="1"/>
    <col min="7943" max="7943" width="20.42578125" style="319" customWidth="1"/>
    <col min="7944" max="7944" width="21" style="319" customWidth="1"/>
    <col min="7945" max="7945" width="9.140625" style="319"/>
    <col min="7946" max="7946" width="14.140625" style="319" bestFit="1" customWidth="1"/>
    <col min="7947" max="7947" width="13.140625" style="319" customWidth="1"/>
    <col min="7948" max="7948" width="12" style="319" bestFit="1" customWidth="1"/>
    <col min="7949" max="7949" width="11" style="319" bestFit="1" customWidth="1"/>
    <col min="7950" max="7950" width="10" style="319" bestFit="1" customWidth="1"/>
    <col min="7951" max="7951" width="9" style="319" customWidth="1"/>
    <col min="7952" max="7952" width="8" style="319" customWidth="1"/>
    <col min="7953" max="7953" width="7" style="319" customWidth="1"/>
    <col min="7954" max="7954" width="6" style="319" customWidth="1"/>
    <col min="7955" max="7955" width="5" style="319" customWidth="1"/>
    <col min="7956" max="7956" width="4" style="319" customWidth="1"/>
    <col min="7957" max="7957" width="3" style="319" customWidth="1"/>
    <col min="7958" max="7958" width="2" style="319" customWidth="1"/>
    <col min="7959" max="8193" width="9.140625" style="319"/>
    <col min="8194" max="8194" width="9.42578125" style="319" customWidth="1"/>
    <col min="8195" max="8195" width="67.5703125" style="319" customWidth="1"/>
    <col min="8196" max="8196" width="5.140625" style="319" customWidth="1"/>
    <col min="8197" max="8197" width="20" style="319" customWidth="1"/>
    <col min="8198" max="8198" width="20.7109375" style="319" customWidth="1"/>
    <col min="8199" max="8199" width="20.42578125" style="319" customWidth="1"/>
    <col min="8200" max="8200" width="21" style="319" customWidth="1"/>
    <col min="8201" max="8201" width="9.140625" style="319"/>
    <col min="8202" max="8202" width="14.140625" style="319" bestFit="1" customWidth="1"/>
    <col min="8203" max="8203" width="13.140625" style="319" customWidth="1"/>
    <col min="8204" max="8204" width="12" style="319" bestFit="1" customWidth="1"/>
    <col min="8205" max="8205" width="11" style="319" bestFit="1" customWidth="1"/>
    <col min="8206" max="8206" width="10" style="319" bestFit="1" customWidth="1"/>
    <col min="8207" max="8207" width="9" style="319" customWidth="1"/>
    <col min="8208" max="8208" width="8" style="319" customWidth="1"/>
    <col min="8209" max="8209" width="7" style="319" customWidth="1"/>
    <col min="8210" max="8210" width="6" style="319" customWidth="1"/>
    <col min="8211" max="8211" width="5" style="319" customWidth="1"/>
    <col min="8212" max="8212" width="4" style="319" customWidth="1"/>
    <col min="8213" max="8213" width="3" style="319" customWidth="1"/>
    <col min="8214" max="8214" width="2" style="319" customWidth="1"/>
    <col min="8215" max="8449" width="9.140625" style="319"/>
    <col min="8450" max="8450" width="9.42578125" style="319" customWidth="1"/>
    <col min="8451" max="8451" width="67.5703125" style="319" customWidth="1"/>
    <col min="8452" max="8452" width="5.140625" style="319" customWidth="1"/>
    <col min="8453" max="8453" width="20" style="319" customWidth="1"/>
    <col min="8454" max="8454" width="20.7109375" style="319" customWidth="1"/>
    <col min="8455" max="8455" width="20.42578125" style="319" customWidth="1"/>
    <col min="8456" max="8456" width="21" style="319" customWidth="1"/>
    <col min="8457" max="8457" width="9.140625" style="319"/>
    <col min="8458" max="8458" width="14.140625" style="319" bestFit="1" customWidth="1"/>
    <col min="8459" max="8459" width="13.140625" style="319" customWidth="1"/>
    <col min="8460" max="8460" width="12" style="319" bestFit="1" customWidth="1"/>
    <col min="8461" max="8461" width="11" style="319" bestFit="1" customWidth="1"/>
    <col min="8462" max="8462" width="10" style="319" bestFit="1" customWidth="1"/>
    <col min="8463" max="8463" width="9" style="319" customWidth="1"/>
    <col min="8464" max="8464" width="8" style="319" customWidth="1"/>
    <col min="8465" max="8465" width="7" style="319" customWidth="1"/>
    <col min="8466" max="8466" width="6" style="319" customWidth="1"/>
    <col min="8467" max="8467" width="5" style="319" customWidth="1"/>
    <col min="8468" max="8468" width="4" style="319" customWidth="1"/>
    <col min="8469" max="8469" width="3" style="319" customWidth="1"/>
    <col min="8470" max="8470" width="2" style="319" customWidth="1"/>
    <col min="8471" max="8705" width="9.140625" style="319"/>
    <col min="8706" max="8706" width="9.42578125" style="319" customWidth="1"/>
    <col min="8707" max="8707" width="67.5703125" style="319" customWidth="1"/>
    <col min="8708" max="8708" width="5.140625" style="319" customWidth="1"/>
    <col min="8709" max="8709" width="20" style="319" customWidth="1"/>
    <col min="8710" max="8710" width="20.7109375" style="319" customWidth="1"/>
    <col min="8711" max="8711" width="20.42578125" style="319" customWidth="1"/>
    <col min="8712" max="8712" width="21" style="319" customWidth="1"/>
    <col min="8713" max="8713" width="9.140625" style="319"/>
    <col min="8714" max="8714" width="14.140625" style="319" bestFit="1" customWidth="1"/>
    <col min="8715" max="8715" width="13.140625" style="319" customWidth="1"/>
    <col min="8716" max="8716" width="12" style="319" bestFit="1" customWidth="1"/>
    <col min="8717" max="8717" width="11" style="319" bestFit="1" customWidth="1"/>
    <col min="8718" max="8718" width="10" style="319" bestFit="1" customWidth="1"/>
    <col min="8719" max="8719" width="9" style="319" customWidth="1"/>
    <col min="8720" max="8720" width="8" style="319" customWidth="1"/>
    <col min="8721" max="8721" width="7" style="319" customWidth="1"/>
    <col min="8722" max="8722" width="6" style="319" customWidth="1"/>
    <col min="8723" max="8723" width="5" style="319" customWidth="1"/>
    <col min="8724" max="8724" width="4" style="319" customWidth="1"/>
    <col min="8725" max="8725" width="3" style="319" customWidth="1"/>
    <col min="8726" max="8726" width="2" style="319" customWidth="1"/>
    <col min="8727" max="8961" width="9.140625" style="319"/>
    <col min="8962" max="8962" width="9.42578125" style="319" customWidth="1"/>
    <col min="8963" max="8963" width="67.5703125" style="319" customWidth="1"/>
    <col min="8964" max="8964" width="5.140625" style="319" customWidth="1"/>
    <col min="8965" max="8965" width="20" style="319" customWidth="1"/>
    <col min="8966" max="8966" width="20.7109375" style="319" customWidth="1"/>
    <col min="8967" max="8967" width="20.42578125" style="319" customWidth="1"/>
    <col min="8968" max="8968" width="21" style="319" customWidth="1"/>
    <col min="8969" max="8969" width="9.140625" style="319"/>
    <col min="8970" max="8970" width="14.140625" style="319" bestFit="1" customWidth="1"/>
    <col min="8971" max="8971" width="13.140625" style="319" customWidth="1"/>
    <col min="8972" max="8972" width="12" style="319" bestFit="1" customWidth="1"/>
    <col min="8973" max="8973" width="11" style="319" bestFit="1" customWidth="1"/>
    <col min="8974" max="8974" width="10" style="319" bestFit="1" customWidth="1"/>
    <col min="8975" max="8975" width="9" style="319" customWidth="1"/>
    <col min="8976" max="8976" width="8" style="319" customWidth="1"/>
    <col min="8977" max="8977" width="7" style="319" customWidth="1"/>
    <col min="8978" max="8978" width="6" style="319" customWidth="1"/>
    <col min="8979" max="8979" width="5" style="319" customWidth="1"/>
    <col min="8980" max="8980" width="4" style="319" customWidth="1"/>
    <col min="8981" max="8981" width="3" style="319" customWidth="1"/>
    <col min="8982" max="8982" width="2" style="319" customWidth="1"/>
    <col min="8983" max="9217" width="9.140625" style="319"/>
    <col min="9218" max="9218" width="9.42578125" style="319" customWidth="1"/>
    <col min="9219" max="9219" width="67.5703125" style="319" customWidth="1"/>
    <col min="9220" max="9220" width="5.140625" style="319" customWidth="1"/>
    <col min="9221" max="9221" width="20" style="319" customWidth="1"/>
    <col min="9222" max="9222" width="20.7109375" style="319" customWidth="1"/>
    <col min="9223" max="9223" width="20.42578125" style="319" customWidth="1"/>
    <col min="9224" max="9224" width="21" style="319" customWidth="1"/>
    <col min="9225" max="9225" width="9.140625" style="319"/>
    <col min="9226" max="9226" width="14.140625" style="319" bestFit="1" customWidth="1"/>
    <col min="9227" max="9227" width="13.140625" style="319" customWidth="1"/>
    <col min="9228" max="9228" width="12" style="319" bestFit="1" customWidth="1"/>
    <col min="9229" max="9229" width="11" style="319" bestFit="1" customWidth="1"/>
    <col min="9230" max="9230" width="10" style="319" bestFit="1" customWidth="1"/>
    <col min="9231" max="9231" width="9" style="319" customWidth="1"/>
    <col min="9232" max="9232" width="8" style="319" customWidth="1"/>
    <col min="9233" max="9233" width="7" style="319" customWidth="1"/>
    <col min="9234" max="9234" width="6" style="319" customWidth="1"/>
    <col min="9235" max="9235" width="5" style="319" customWidth="1"/>
    <col min="9236" max="9236" width="4" style="319" customWidth="1"/>
    <col min="9237" max="9237" width="3" style="319" customWidth="1"/>
    <col min="9238" max="9238" width="2" style="319" customWidth="1"/>
    <col min="9239" max="9473" width="9.140625" style="319"/>
    <col min="9474" max="9474" width="9.42578125" style="319" customWidth="1"/>
    <col min="9475" max="9475" width="67.5703125" style="319" customWidth="1"/>
    <col min="9476" max="9476" width="5.140625" style="319" customWidth="1"/>
    <col min="9477" max="9477" width="20" style="319" customWidth="1"/>
    <col min="9478" max="9478" width="20.7109375" style="319" customWidth="1"/>
    <col min="9479" max="9479" width="20.42578125" style="319" customWidth="1"/>
    <col min="9480" max="9480" width="21" style="319" customWidth="1"/>
    <col min="9481" max="9481" width="9.140625" style="319"/>
    <col min="9482" max="9482" width="14.140625" style="319" bestFit="1" customWidth="1"/>
    <col min="9483" max="9483" width="13.140625" style="319" customWidth="1"/>
    <col min="9484" max="9484" width="12" style="319" bestFit="1" customWidth="1"/>
    <col min="9485" max="9485" width="11" style="319" bestFit="1" customWidth="1"/>
    <col min="9486" max="9486" width="10" style="319" bestFit="1" customWidth="1"/>
    <col min="9487" max="9487" width="9" style="319" customWidth="1"/>
    <col min="9488" max="9488" width="8" style="319" customWidth="1"/>
    <col min="9489" max="9489" width="7" style="319" customWidth="1"/>
    <col min="9490" max="9490" width="6" style="319" customWidth="1"/>
    <col min="9491" max="9491" width="5" style="319" customWidth="1"/>
    <col min="9492" max="9492" width="4" style="319" customWidth="1"/>
    <col min="9493" max="9493" width="3" style="319" customWidth="1"/>
    <col min="9494" max="9494" width="2" style="319" customWidth="1"/>
    <col min="9495" max="9729" width="9.140625" style="319"/>
    <col min="9730" max="9730" width="9.42578125" style="319" customWidth="1"/>
    <col min="9731" max="9731" width="67.5703125" style="319" customWidth="1"/>
    <col min="9732" max="9732" width="5.140625" style="319" customWidth="1"/>
    <col min="9733" max="9733" width="20" style="319" customWidth="1"/>
    <col min="9734" max="9734" width="20.7109375" style="319" customWidth="1"/>
    <col min="9735" max="9735" width="20.42578125" style="319" customWidth="1"/>
    <col min="9736" max="9736" width="21" style="319" customWidth="1"/>
    <col min="9737" max="9737" width="9.140625" style="319"/>
    <col min="9738" max="9738" width="14.140625" style="319" bestFit="1" customWidth="1"/>
    <col min="9739" max="9739" width="13.140625" style="319" customWidth="1"/>
    <col min="9740" max="9740" width="12" style="319" bestFit="1" customWidth="1"/>
    <col min="9741" max="9741" width="11" style="319" bestFit="1" customWidth="1"/>
    <col min="9742" max="9742" width="10" style="319" bestFit="1" customWidth="1"/>
    <col min="9743" max="9743" width="9" style="319" customWidth="1"/>
    <col min="9744" max="9744" width="8" style="319" customWidth="1"/>
    <col min="9745" max="9745" width="7" style="319" customWidth="1"/>
    <col min="9746" max="9746" width="6" style="319" customWidth="1"/>
    <col min="9747" max="9747" width="5" style="319" customWidth="1"/>
    <col min="9748" max="9748" width="4" style="319" customWidth="1"/>
    <col min="9749" max="9749" width="3" style="319" customWidth="1"/>
    <col min="9750" max="9750" width="2" style="319" customWidth="1"/>
    <col min="9751" max="9985" width="9.140625" style="319"/>
    <col min="9986" max="9986" width="9.42578125" style="319" customWidth="1"/>
    <col min="9987" max="9987" width="67.5703125" style="319" customWidth="1"/>
    <col min="9988" max="9988" width="5.140625" style="319" customWidth="1"/>
    <col min="9989" max="9989" width="20" style="319" customWidth="1"/>
    <col min="9990" max="9990" width="20.7109375" style="319" customWidth="1"/>
    <col min="9991" max="9991" width="20.42578125" style="319" customWidth="1"/>
    <col min="9992" max="9992" width="21" style="319" customWidth="1"/>
    <col min="9993" max="9993" width="9.140625" style="319"/>
    <col min="9994" max="9994" width="14.140625" style="319" bestFit="1" customWidth="1"/>
    <col min="9995" max="9995" width="13.140625" style="319" customWidth="1"/>
    <col min="9996" max="9996" width="12" style="319" bestFit="1" customWidth="1"/>
    <col min="9997" max="9997" width="11" style="319" bestFit="1" customWidth="1"/>
    <col min="9998" max="9998" width="10" style="319" bestFit="1" customWidth="1"/>
    <col min="9999" max="9999" width="9" style="319" customWidth="1"/>
    <col min="10000" max="10000" width="8" style="319" customWidth="1"/>
    <col min="10001" max="10001" width="7" style="319" customWidth="1"/>
    <col min="10002" max="10002" width="6" style="319" customWidth="1"/>
    <col min="10003" max="10003" width="5" style="319" customWidth="1"/>
    <col min="10004" max="10004" width="4" style="319" customWidth="1"/>
    <col min="10005" max="10005" width="3" style="319" customWidth="1"/>
    <col min="10006" max="10006" width="2" style="319" customWidth="1"/>
    <col min="10007" max="10241" width="9.140625" style="319"/>
    <col min="10242" max="10242" width="9.42578125" style="319" customWidth="1"/>
    <col min="10243" max="10243" width="67.5703125" style="319" customWidth="1"/>
    <col min="10244" max="10244" width="5.140625" style="319" customWidth="1"/>
    <col min="10245" max="10245" width="20" style="319" customWidth="1"/>
    <col min="10246" max="10246" width="20.7109375" style="319" customWidth="1"/>
    <col min="10247" max="10247" width="20.42578125" style="319" customWidth="1"/>
    <col min="10248" max="10248" width="21" style="319" customWidth="1"/>
    <col min="10249" max="10249" width="9.140625" style="319"/>
    <col min="10250" max="10250" width="14.140625" style="319" bestFit="1" customWidth="1"/>
    <col min="10251" max="10251" width="13.140625" style="319" customWidth="1"/>
    <col min="10252" max="10252" width="12" style="319" bestFit="1" customWidth="1"/>
    <col min="10253" max="10253" width="11" style="319" bestFit="1" customWidth="1"/>
    <col min="10254" max="10254" width="10" style="319" bestFit="1" customWidth="1"/>
    <col min="10255" max="10255" width="9" style="319" customWidth="1"/>
    <col min="10256" max="10256" width="8" style="319" customWidth="1"/>
    <col min="10257" max="10257" width="7" style="319" customWidth="1"/>
    <col min="10258" max="10258" width="6" style="319" customWidth="1"/>
    <col min="10259" max="10259" width="5" style="319" customWidth="1"/>
    <col min="10260" max="10260" width="4" style="319" customWidth="1"/>
    <col min="10261" max="10261" width="3" style="319" customWidth="1"/>
    <col min="10262" max="10262" width="2" style="319" customWidth="1"/>
    <col min="10263" max="10497" width="9.140625" style="319"/>
    <col min="10498" max="10498" width="9.42578125" style="319" customWidth="1"/>
    <col min="10499" max="10499" width="67.5703125" style="319" customWidth="1"/>
    <col min="10500" max="10500" width="5.140625" style="319" customWidth="1"/>
    <col min="10501" max="10501" width="20" style="319" customWidth="1"/>
    <col min="10502" max="10502" width="20.7109375" style="319" customWidth="1"/>
    <col min="10503" max="10503" width="20.42578125" style="319" customWidth="1"/>
    <col min="10504" max="10504" width="21" style="319" customWidth="1"/>
    <col min="10505" max="10505" width="9.140625" style="319"/>
    <col min="10506" max="10506" width="14.140625" style="319" bestFit="1" customWidth="1"/>
    <col min="10507" max="10507" width="13.140625" style="319" customWidth="1"/>
    <col min="10508" max="10508" width="12" style="319" bestFit="1" customWidth="1"/>
    <col min="10509" max="10509" width="11" style="319" bestFit="1" customWidth="1"/>
    <col min="10510" max="10510" width="10" style="319" bestFit="1" customWidth="1"/>
    <col min="10511" max="10511" width="9" style="319" customWidth="1"/>
    <col min="10512" max="10512" width="8" style="319" customWidth="1"/>
    <col min="10513" max="10513" width="7" style="319" customWidth="1"/>
    <col min="10514" max="10514" width="6" style="319" customWidth="1"/>
    <col min="10515" max="10515" width="5" style="319" customWidth="1"/>
    <col min="10516" max="10516" width="4" style="319" customWidth="1"/>
    <col min="10517" max="10517" width="3" style="319" customWidth="1"/>
    <col min="10518" max="10518" width="2" style="319" customWidth="1"/>
    <col min="10519" max="10753" width="9.140625" style="319"/>
    <col min="10754" max="10754" width="9.42578125" style="319" customWidth="1"/>
    <col min="10755" max="10755" width="67.5703125" style="319" customWidth="1"/>
    <col min="10756" max="10756" width="5.140625" style="319" customWidth="1"/>
    <col min="10757" max="10757" width="20" style="319" customWidth="1"/>
    <col min="10758" max="10758" width="20.7109375" style="319" customWidth="1"/>
    <col min="10759" max="10759" width="20.42578125" style="319" customWidth="1"/>
    <col min="10760" max="10760" width="21" style="319" customWidth="1"/>
    <col min="10761" max="10761" width="9.140625" style="319"/>
    <col min="10762" max="10762" width="14.140625" style="319" bestFit="1" customWidth="1"/>
    <col min="10763" max="10763" width="13.140625" style="319" customWidth="1"/>
    <col min="10764" max="10764" width="12" style="319" bestFit="1" customWidth="1"/>
    <col min="10765" max="10765" width="11" style="319" bestFit="1" customWidth="1"/>
    <col min="10766" max="10766" width="10" style="319" bestFit="1" customWidth="1"/>
    <col min="10767" max="10767" width="9" style="319" customWidth="1"/>
    <col min="10768" max="10768" width="8" style="319" customWidth="1"/>
    <col min="10769" max="10769" width="7" style="319" customWidth="1"/>
    <col min="10770" max="10770" width="6" style="319" customWidth="1"/>
    <col min="10771" max="10771" width="5" style="319" customWidth="1"/>
    <col min="10772" max="10772" width="4" style="319" customWidth="1"/>
    <col min="10773" max="10773" width="3" style="319" customWidth="1"/>
    <col min="10774" max="10774" width="2" style="319" customWidth="1"/>
    <col min="10775" max="11009" width="9.140625" style="319"/>
    <col min="11010" max="11010" width="9.42578125" style="319" customWidth="1"/>
    <col min="11011" max="11011" width="67.5703125" style="319" customWidth="1"/>
    <col min="11012" max="11012" width="5.140625" style="319" customWidth="1"/>
    <col min="11013" max="11013" width="20" style="319" customWidth="1"/>
    <col min="11014" max="11014" width="20.7109375" style="319" customWidth="1"/>
    <col min="11015" max="11015" width="20.42578125" style="319" customWidth="1"/>
    <col min="11016" max="11016" width="21" style="319" customWidth="1"/>
    <col min="11017" max="11017" width="9.140625" style="319"/>
    <col min="11018" max="11018" width="14.140625" style="319" bestFit="1" customWidth="1"/>
    <col min="11019" max="11019" width="13.140625" style="319" customWidth="1"/>
    <col min="11020" max="11020" width="12" style="319" bestFit="1" customWidth="1"/>
    <col min="11021" max="11021" width="11" style="319" bestFit="1" customWidth="1"/>
    <col min="11022" max="11022" width="10" style="319" bestFit="1" customWidth="1"/>
    <col min="11023" max="11023" width="9" style="319" customWidth="1"/>
    <col min="11024" max="11024" width="8" style="319" customWidth="1"/>
    <col min="11025" max="11025" width="7" style="319" customWidth="1"/>
    <col min="11026" max="11026" width="6" style="319" customWidth="1"/>
    <col min="11027" max="11027" width="5" style="319" customWidth="1"/>
    <col min="11028" max="11028" width="4" style="319" customWidth="1"/>
    <col min="11029" max="11029" width="3" style="319" customWidth="1"/>
    <col min="11030" max="11030" width="2" style="319" customWidth="1"/>
    <col min="11031" max="11265" width="9.140625" style="319"/>
    <col min="11266" max="11266" width="9.42578125" style="319" customWidth="1"/>
    <col min="11267" max="11267" width="67.5703125" style="319" customWidth="1"/>
    <col min="11268" max="11268" width="5.140625" style="319" customWidth="1"/>
    <col min="11269" max="11269" width="20" style="319" customWidth="1"/>
    <col min="11270" max="11270" width="20.7109375" style="319" customWidth="1"/>
    <col min="11271" max="11271" width="20.42578125" style="319" customWidth="1"/>
    <col min="11272" max="11272" width="21" style="319" customWidth="1"/>
    <col min="11273" max="11273" width="9.140625" style="319"/>
    <col min="11274" max="11274" width="14.140625" style="319" bestFit="1" customWidth="1"/>
    <col min="11275" max="11275" width="13.140625" style="319" customWidth="1"/>
    <col min="11276" max="11276" width="12" style="319" bestFit="1" customWidth="1"/>
    <col min="11277" max="11277" width="11" style="319" bestFit="1" customWidth="1"/>
    <col min="11278" max="11278" width="10" style="319" bestFit="1" customWidth="1"/>
    <col min="11279" max="11279" width="9" style="319" customWidth="1"/>
    <col min="11280" max="11280" width="8" style="319" customWidth="1"/>
    <col min="11281" max="11281" width="7" style="319" customWidth="1"/>
    <col min="11282" max="11282" width="6" style="319" customWidth="1"/>
    <col min="11283" max="11283" width="5" style="319" customWidth="1"/>
    <col min="11284" max="11284" width="4" style="319" customWidth="1"/>
    <col min="11285" max="11285" width="3" style="319" customWidth="1"/>
    <col min="11286" max="11286" width="2" style="319" customWidth="1"/>
    <col min="11287" max="11521" width="9.140625" style="319"/>
    <col min="11522" max="11522" width="9.42578125" style="319" customWidth="1"/>
    <col min="11523" max="11523" width="67.5703125" style="319" customWidth="1"/>
    <col min="11524" max="11524" width="5.140625" style="319" customWidth="1"/>
    <col min="11525" max="11525" width="20" style="319" customWidth="1"/>
    <col min="11526" max="11526" width="20.7109375" style="319" customWidth="1"/>
    <col min="11527" max="11527" width="20.42578125" style="319" customWidth="1"/>
    <col min="11528" max="11528" width="21" style="319" customWidth="1"/>
    <col min="11529" max="11529" width="9.140625" style="319"/>
    <col min="11530" max="11530" width="14.140625" style="319" bestFit="1" customWidth="1"/>
    <col min="11531" max="11531" width="13.140625" style="319" customWidth="1"/>
    <col min="11532" max="11532" width="12" style="319" bestFit="1" customWidth="1"/>
    <col min="11533" max="11533" width="11" style="319" bestFit="1" customWidth="1"/>
    <col min="11534" max="11534" width="10" style="319" bestFit="1" customWidth="1"/>
    <col min="11535" max="11535" width="9" style="319" customWidth="1"/>
    <col min="11536" max="11536" width="8" style="319" customWidth="1"/>
    <col min="11537" max="11537" width="7" style="319" customWidth="1"/>
    <col min="11538" max="11538" width="6" style="319" customWidth="1"/>
    <col min="11539" max="11539" width="5" style="319" customWidth="1"/>
    <col min="11540" max="11540" width="4" style="319" customWidth="1"/>
    <col min="11541" max="11541" width="3" style="319" customWidth="1"/>
    <col min="11542" max="11542" width="2" style="319" customWidth="1"/>
    <col min="11543" max="11777" width="9.140625" style="319"/>
    <col min="11778" max="11778" width="9.42578125" style="319" customWidth="1"/>
    <col min="11779" max="11779" width="67.5703125" style="319" customWidth="1"/>
    <col min="11780" max="11780" width="5.140625" style="319" customWidth="1"/>
    <col min="11781" max="11781" width="20" style="319" customWidth="1"/>
    <col min="11782" max="11782" width="20.7109375" style="319" customWidth="1"/>
    <col min="11783" max="11783" width="20.42578125" style="319" customWidth="1"/>
    <col min="11784" max="11784" width="21" style="319" customWidth="1"/>
    <col min="11785" max="11785" width="9.140625" style="319"/>
    <col min="11786" max="11786" width="14.140625" style="319" bestFit="1" customWidth="1"/>
    <col min="11787" max="11787" width="13.140625" style="319" customWidth="1"/>
    <col min="11788" max="11788" width="12" style="319" bestFit="1" customWidth="1"/>
    <col min="11789" max="11789" width="11" style="319" bestFit="1" customWidth="1"/>
    <col min="11790" max="11790" width="10" style="319" bestFit="1" customWidth="1"/>
    <col min="11791" max="11791" width="9" style="319" customWidth="1"/>
    <col min="11792" max="11792" width="8" style="319" customWidth="1"/>
    <col min="11793" max="11793" width="7" style="319" customWidth="1"/>
    <col min="11794" max="11794" width="6" style="319" customWidth="1"/>
    <col min="11795" max="11795" width="5" style="319" customWidth="1"/>
    <col min="11796" max="11796" width="4" style="319" customWidth="1"/>
    <col min="11797" max="11797" width="3" style="319" customWidth="1"/>
    <col min="11798" max="11798" width="2" style="319" customWidth="1"/>
    <col min="11799" max="12033" width="9.140625" style="319"/>
    <col min="12034" max="12034" width="9.42578125" style="319" customWidth="1"/>
    <col min="12035" max="12035" width="67.5703125" style="319" customWidth="1"/>
    <col min="12036" max="12036" width="5.140625" style="319" customWidth="1"/>
    <col min="12037" max="12037" width="20" style="319" customWidth="1"/>
    <col min="12038" max="12038" width="20.7109375" style="319" customWidth="1"/>
    <col min="12039" max="12039" width="20.42578125" style="319" customWidth="1"/>
    <col min="12040" max="12040" width="21" style="319" customWidth="1"/>
    <col min="12041" max="12041" width="9.140625" style="319"/>
    <col min="12042" max="12042" width="14.140625" style="319" bestFit="1" customWidth="1"/>
    <col min="12043" max="12043" width="13.140625" style="319" customWidth="1"/>
    <col min="12044" max="12044" width="12" style="319" bestFit="1" customWidth="1"/>
    <col min="12045" max="12045" width="11" style="319" bestFit="1" customWidth="1"/>
    <col min="12046" max="12046" width="10" style="319" bestFit="1" customWidth="1"/>
    <col min="12047" max="12047" width="9" style="319" customWidth="1"/>
    <col min="12048" max="12048" width="8" style="319" customWidth="1"/>
    <col min="12049" max="12049" width="7" style="319" customWidth="1"/>
    <col min="12050" max="12050" width="6" style="319" customWidth="1"/>
    <col min="12051" max="12051" width="5" style="319" customWidth="1"/>
    <col min="12052" max="12052" width="4" style="319" customWidth="1"/>
    <col min="12053" max="12053" width="3" style="319" customWidth="1"/>
    <col min="12054" max="12054" width="2" style="319" customWidth="1"/>
    <col min="12055" max="12289" width="9.140625" style="319"/>
    <col min="12290" max="12290" width="9.42578125" style="319" customWidth="1"/>
    <col min="12291" max="12291" width="67.5703125" style="319" customWidth="1"/>
    <col min="12292" max="12292" width="5.140625" style="319" customWidth="1"/>
    <col min="12293" max="12293" width="20" style="319" customWidth="1"/>
    <col min="12294" max="12294" width="20.7109375" style="319" customWidth="1"/>
    <col min="12295" max="12295" width="20.42578125" style="319" customWidth="1"/>
    <col min="12296" max="12296" width="21" style="319" customWidth="1"/>
    <col min="12297" max="12297" width="9.140625" style="319"/>
    <col min="12298" max="12298" width="14.140625" style="319" bestFit="1" customWidth="1"/>
    <col min="12299" max="12299" width="13.140625" style="319" customWidth="1"/>
    <col min="12300" max="12300" width="12" style="319" bestFit="1" customWidth="1"/>
    <col min="12301" max="12301" width="11" style="319" bestFit="1" customWidth="1"/>
    <col min="12302" max="12302" width="10" style="319" bestFit="1" customWidth="1"/>
    <col min="12303" max="12303" width="9" style="319" customWidth="1"/>
    <col min="12304" max="12304" width="8" style="319" customWidth="1"/>
    <col min="12305" max="12305" width="7" style="319" customWidth="1"/>
    <col min="12306" max="12306" width="6" style="319" customWidth="1"/>
    <col min="12307" max="12307" width="5" style="319" customWidth="1"/>
    <col min="12308" max="12308" width="4" style="319" customWidth="1"/>
    <col min="12309" max="12309" width="3" style="319" customWidth="1"/>
    <col min="12310" max="12310" width="2" style="319" customWidth="1"/>
    <col min="12311" max="12545" width="9.140625" style="319"/>
    <col min="12546" max="12546" width="9.42578125" style="319" customWidth="1"/>
    <col min="12547" max="12547" width="67.5703125" style="319" customWidth="1"/>
    <col min="12548" max="12548" width="5.140625" style="319" customWidth="1"/>
    <col min="12549" max="12549" width="20" style="319" customWidth="1"/>
    <col min="12550" max="12550" width="20.7109375" style="319" customWidth="1"/>
    <col min="12551" max="12551" width="20.42578125" style="319" customWidth="1"/>
    <col min="12552" max="12552" width="21" style="319" customWidth="1"/>
    <col min="12553" max="12553" width="9.140625" style="319"/>
    <col min="12554" max="12554" width="14.140625" style="319" bestFit="1" customWidth="1"/>
    <col min="12555" max="12555" width="13.140625" style="319" customWidth="1"/>
    <col min="12556" max="12556" width="12" style="319" bestFit="1" customWidth="1"/>
    <col min="12557" max="12557" width="11" style="319" bestFit="1" customWidth="1"/>
    <col min="12558" max="12558" width="10" style="319" bestFit="1" customWidth="1"/>
    <col min="12559" max="12559" width="9" style="319" customWidth="1"/>
    <col min="12560" max="12560" width="8" style="319" customWidth="1"/>
    <col min="12561" max="12561" width="7" style="319" customWidth="1"/>
    <col min="12562" max="12562" width="6" style="319" customWidth="1"/>
    <col min="12563" max="12563" width="5" style="319" customWidth="1"/>
    <col min="12564" max="12564" width="4" style="319" customWidth="1"/>
    <col min="12565" max="12565" width="3" style="319" customWidth="1"/>
    <col min="12566" max="12566" width="2" style="319" customWidth="1"/>
    <col min="12567" max="12801" width="9.140625" style="319"/>
    <col min="12802" max="12802" width="9.42578125" style="319" customWidth="1"/>
    <col min="12803" max="12803" width="67.5703125" style="319" customWidth="1"/>
    <col min="12804" max="12804" width="5.140625" style="319" customWidth="1"/>
    <col min="12805" max="12805" width="20" style="319" customWidth="1"/>
    <col min="12806" max="12806" width="20.7109375" style="319" customWidth="1"/>
    <col min="12807" max="12807" width="20.42578125" style="319" customWidth="1"/>
    <col min="12808" max="12808" width="21" style="319" customWidth="1"/>
    <col min="12809" max="12809" width="9.140625" style="319"/>
    <col min="12810" max="12810" width="14.140625" style="319" bestFit="1" customWidth="1"/>
    <col min="12811" max="12811" width="13.140625" style="319" customWidth="1"/>
    <col min="12812" max="12812" width="12" style="319" bestFit="1" customWidth="1"/>
    <col min="12813" max="12813" width="11" style="319" bestFit="1" customWidth="1"/>
    <col min="12814" max="12814" width="10" style="319" bestFit="1" customWidth="1"/>
    <col min="12815" max="12815" width="9" style="319" customWidth="1"/>
    <col min="12816" max="12816" width="8" style="319" customWidth="1"/>
    <col min="12817" max="12817" width="7" style="319" customWidth="1"/>
    <col min="12818" max="12818" width="6" style="319" customWidth="1"/>
    <col min="12819" max="12819" width="5" style="319" customWidth="1"/>
    <col min="12820" max="12820" width="4" style="319" customWidth="1"/>
    <col min="12821" max="12821" width="3" style="319" customWidth="1"/>
    <col min="12822" max="12822" width="2" style="319" customWidth="1"/>
    <col min="12823" max="13057" width="9.140625" style="319"/>
    <col min="13058" max="13058" width="9.42578125" style="319" customWidth="1"/>
    <col min="13059" max="13059" width="67.5703125" style="319" customWidth="1"/>
    <col min="13060" max="13060" width="5.140625" style="319" customWidth="1"/>
    <col min="13061" max="13061" width="20" style="319" customWidth="1"/>
    <col min="13062" max="13062" width="20.7109375" style="319" customWidth="1"/>
    <col min="13063" max="13063" width="20.42578125" style="319" customWidth="1"/>
    <col min="13064" max="13064" width="21" style="319" customWidth="1"/>
    <col min="13065" max="13065" width="9.140625" style="319"/>
    <col min="13066" max="13066" width="14.140625" style="319" bestFit="1" customWidth="1"/>
    <col min="13067" max="13067" width="13.140625" style="319" customWidth="1"/>
    <col min="13068" max="13068" width="12" style="319" bestFit="1" customWidth="1"/>
    <col min="13069" max="13069" width="11" style="319" bestFit="1" customWidth="1"/>
    <col min="13070" max="13070" width="10" style="319" bestFit="1" customWidth="1"/>
    <col min="13071" max="13071" width="9" style="319" customWidth="1"/>
    <col min="13072" max="13072" width="8" style="319" customWidth="1"/>
    <col min="13073" max="13073" width="7" style="319" customWidth="1"/>
    <col min="13074" max="13074" width="6" style="319" customWidth="1"/>
    <col min="13075" max="13075" width="5" style="319" customWidth="1"/>
    <col min="13076" max="13076" width="4" style="319" customWidth="1"/>
    <col min="13077" max="13077" width="3" style="319" customWidth="1"/>
    <col min="13078" max="13078" width="2" style="319" customWidth="1"/>
    <col min="13079" max="13313" width="9.140625" style="319"/>
    <col min="13314" max="13314" width="9.42578125" style="319" customWidth="1"/>
    <col min="13315" max="13315" width="67.5703125" style="319" customWidth="1"/>
    <col min="13316" max="13316" width="5.140625" style="319" customWidth="1"/>
    <col min="13317" max="13317" width="20" style="319" customWidth="1"/>
    <col min="13318" max="13318" width="20.7109375" style="319" customWidth="1"/>
    <col min="13319" max="13319" width="20.42578125" style="319" customWidth="1"/>
    <col min="13320" max="13320" width="21" style="319" customWidth="1"/>
    <col min="13321" max="13321" width="9.140625" style="319"/>
    <col min="13322" max="13322" width="14.140625" style="319" bestFit="1" customWidth="1"/>
    <col min="13323" max="13323" width="13.140625" style="319" customWidth="1"/>
    <col min="13324" max="13324" width="12" style="319" bestFit="1" customWidth="1"/>
    <col min="13325" max="13325" width="11" style="319" bestFit="1" customWidth="1"/>
    <col min="13326" max="13326" width="10" style="319" bestFit="1" customWidth="1"/>
    <col min="13327" max="13327" width="9" style="319" customWidth="1"/>
    <col min="13328" max="13328" width="8" style="319" customWidth="1"/>
    <col min="13329" max="13329" width="7" style="319" customWidth="1"/>
    <col min="13330" max="13330" width="6" style="319" customWidth="1"/>
    <col min="13331" max="13331" width="5" style="319" customWidth="1"/>
    <col min="13332" max="13332" width="4" style="319" customWidth="1"/>
    <col min="13333" max="13333" width="3" style="319" customWidth="1"/>
    <col min="13334" max="13334" width="2" style="319" customWidth="1"/>
    <col min="13335" max="13569" width="9.140625" style="319"/>
    <col min="13570" max="13570" width="9.42578125" style="319" customWidth="1"/>
    <col min="13571" max="13571" width="67.5703125" style="319" customWidth="1"/>
    <col min="13572" max="13572" width="5.140625" style="319" customWidth="1"/>
    <col min="13573" max="13573" width="20" style="319" customWidth="1"/>
    <col min="13574" max="13574" width="20.7109375" style="319" customWidth="1"/>
    <col min="13575" max="13575" width="20.42578125" style="319" customWidth="1"/>
    <col min="13576" max="13576" width="21" style="319" customWidth="1"/>
    <col min="13577" max="13577" width="9.140625" style="319"/>
    <col min="13578" max="13578" width="14.140625" style="319" bestFit="1" customWidth="1"/>
    <col min="13579" max="13579" width="13.140625" style="319" customWidth="1"/>
    <col min="13580" max="13580" width="12" style="319" bestFit="1" customWidth="1"/>
    <col min="13581" max="13581" width="11" style="319" bestFit="1" customWidth="1"/>
    <col min="13582" max="13582" width="10" style="319" bestFit="1" customWidth="1"/>
    <col min="13583" max="13583" width="9" style="319" customWidth="1"/>
    <col min="13584" max="13584" width="8" style="319" customWidth="1"/>
    <col min="13585" max="13585" width="7" style="319" customWidth="1"/>
    <col min="13586" max="13586" width="6" style="319" customWidth="1"/>
    <col min="13587" max="13587" width="5" style="319" customWidth="1"/>
    <col min="13588" max="13588" width="4" style="319" customWidth="1"/>
    <col min="13589" max="13589" width="3" style="319" customWidth="1"/>
    <col min="13590" max="13590" width="2" style="319" customWidth="1"/>
    <col min="13591" max="13825" width="9.140625" style="319"/>
    <col min="13826" max="13826" width="9.42578125" style="319" customWidth="1"/>
    <col min="13827" max="13827" width="67.5703125" style="319" customWidth="1"/>
    <col min="13828" max="13828" width="5.140625" style="319" customWidth="1"/>
    <col min="13829" max="13829" width="20" style="319" customWidth="1"/>
    <col min="13830" max="13830" width="20.7109375" style="319" customWidth="1"/>
    <col min="13831" max="13831" width="20.42578125" style="319" customWidth="1"/>
    <col min="13832" max="13832" width="21" style="319" customWidth="1"/>
    <col min="13833" max="13833" width="9.140625" style="319"/>
    <col min="13834" max="13834" width="14.140625" style="319" bestFit="1" customWidth="1"/>
    <col min="13835" max="13835" width="13.140625" style="319" customWidth="1"/>
    <col min="13836" max="13836" width="12" style="319" bestFit="1" customWidth="1"/>
    <col min="13837" max="13837" width="11" style="319" bestFit="1" customWidth="1"/>
    <col min="13838" max="13838" width="10" style="319" bestFit="1" customWidth="1"/>
    <col min="13839" max="13839" width="9" style="319" customWidth="1"/>
    <col min="13840" max="13840" width="8" style="319" customWidth="1"/>
    <col min="13841" max="13841" width="7" style="319" customWidth="1"/>
    <col min="13842" max="13842" width="6" style="319" customWidth="1"/>
    <col min="13843" max="13843" width="5" style="319" customWidth="1"/>
    <col min="13844" max="13844" width="4" style="319" customWidth="1"/>
    <col min="13845" max="13845" width="3" style="319" customWidth="1"/>
    <col min="13846" max="13846" width="2" style="319" customWidth="1"/>
    <col min="13847" max="14081" width="9.140625" style="319"/>
    <col min="14082" max="14082" width="9.42578125" style="319" customWidth="1"/>
    <col min="14083" max="14083" width="67.5703125" style="319" customWidth="1"/>
    <col min="14084" max="14084" width="5.140625" style="319" customWidth="1"/>
    <col min="14085" max="14085" width="20" style="319" customWidth="1"/>
    <col min="14086" max="14086" width="20.7109375" style="319" customWidth="1"/>
    <col min="14087" max="14087" width="20.42578125" style="319" customWidth="1"/>
    <col min="14088" max="14088" width="21" style="319" customWidth="1"/>
    <col min="14089" max="14089" width="9.140625" style="319"/>
    <col min="14090" max="14090" width="14.140625" style="319" bestFit="1" customWidth="1"/>
    <col min="14091" max="14091" width="13.140625" style="319" customWidth="1"/>
    <col min="14092" max="14092" width="12" style="319" bestFit="1" customWidth="1"/>
    <col min="14093" max="14093" width="11" style="319" bestFit="1" customWidth="1"/>
    <col min="14094" max="14094" width="10" style="319" bestFit="1" customWidth="1"/>
    <col min="14095" max="14095" width="9" style="319" customWidth="1"/>
    <col min="14096" max="14096" width="8" style="319" customWidth="1"/>
    <col min="14097" max="14097" width="7" style="319" customWidth="1"/>
    <col min="14098" max="14098" width="6" style="319" customWidth="1"/>
    <col min="14099" max="14099" width="5" style="319" customWidth="1"/>
    <col min="14100" max="14100" width="4" style="319" customWidth="1"/>
    <col min="14101" max="14101" width="3" style="319" customWidth="1"/>
    <col min="14102" max="14102" width="2" style="319" customWidth="1"/>
    <col min="14103" max="14337" width="9.140625" style="319"/>
    <col min="14338" max="14338" width="9.42578125" style="319" customWidth="1"/>
    <col min="14339" max="14339" width="67.5703125" style="319" customWidth="1"/>
    <col min="14340" max="14340" width="5.140625" style="319" customWidth="1"/>
    <col min="14341" max="14341" width="20" style="319" customWidth="1"/>
    <col min="14342" max="14342" width="20.7109375" style="319" customWidth="1"/>
    <col min="14343" max="14343" width="20.42578125" style="319" customWidth="1"/>
    <col min="14344" max="14344" width="21" style="319" customWidth="1"/>
    <col min="14345" max="14345" width="9.140625" style="319"/>
    <col min="14346" max="14346" width="14.140625" style="319" bestFit="1" customWidth="1"/>
    <col min="14347" max="14347" width="13.140625" style="319" customWidth="1"/>
    <col min="14348" max="14348" width="12" style="319" bestFit="1" customWidth="1"/>
    <col min="14349" max="14349" width="11" style="319" bestFit="1" customWidth="1"/>
    <col min="14350" max="14350" width="10" style="319" bestFit="1" customWidth="1"/>
    <col min="14351" max="14351" width="9" style="319" customWidth="1"/>
    <col min="14352" max="14352" width="8" style="319" customWidth="1"/>
    <col min="14353" max="14353" width="7" style="319" customWidth="1"/>
    <col min="14354" max="14354" width="6" style="319" customWidth="1"/>
    <col min="14355" max="14355" width="5" style="319" customWidth="1"/>
    <col min="14356" max="14356" width="4" style="319" customWidth="1"/>
    <col min="14357" max="14357" width="3" style="319" customWidth="1"/>
    <col min="14358" max="14358" width="2" style="319" customWidth="1"/>
    <col min="14359" max="14593" width="9.140625" style="319"/>
    <col min="14594" max="14594" width="9.42578125" style="319" customWidth="1"/>
    <col min="14595" max="14595" width="67.5703125" style="319" customWidth="1"/>
    <col min="14596" max="14596" width="5.140625" style="319" customWidth="1"/>
    <col min="14597" max="14597" width="20" style="319" customWidth="1"/>
    <col min="14598" max="14598" width="20.7109375" style="319" customWidth="1"/>
    <col min="14599" max="14599" width="20.42578125" style="319" customWidth="1"/>
    <col min="14600" max="14600" width="21" style="319" customWidth="1"/>
    <col min="14601" max="14601" width="9.140625" style="319"/>
    <col min="14602" max="14602" width="14.140625" style="319" bestFit="1" customWidth="1"/>
    <col min="14603" max="14603" width="13.140625" style="319" customWidth="1"/>
    <col min="14604" max="14604" width="12" style="319" bestFit="1" customWidth="1"/>
    <col min="14605" max="14605" width="11" style="319" bestFit="1" customWidth="1"/>
    <col min="14606" max="14606" width="10" style="319" bestFit="1" customWidth="1"/>
    <col min="14607" max="14607" width="9" style="319" customWidth="1"/>
    <col min="14608" max="14608" width="8" style="319" customWidth="1"/>
    <col min="14609" max="14609" width="7" style="319" customWidth="1"/>
    <col min="14610" max="14610" width="6" style="319" customWidth="1"/>
    <col min="14611" max="14611" width="5" style="319" customWidth="1"/>
    <col min="14612" max="14612" width="4" style="319" customWidth="1"/>
    <col min="14613" max="14613" width="3" style="319" customWidth="1"/>
    <col min="14614" max="14614" width="2" style="319" customWidth="1"/>
    <col min="14615" max="14849" width="9.140625" style="319"/>
    <col min="14850" max="14850" width="9.42578125" style="319" customWidth="1"/>
    <col min="14851" max="14851" width="67.5703125" style="319" customWidth="1"/>
    <col min="14852" max="14852" width="5.140625" style="319" customWidth="1"/>
    <col min="14853" max="14853" width="20" style="319" customWidth="1"/>
    <col min="14854" max="14854" width="20.7109375" style="319" customWidth="1"/>
    <col min="14855" max="14855" width="20.42578125" style="319" customWidth="1"/>
    <col min="14856" max="14856" width="21" style="319" customWidth="1"/>
    <col min="14857" max="14857" width="9.140625" style="319"/>
    <col min="14858" max="14858" width="14.140625" style="319" bestFit="1" customWidth="1"/>
    <col min="14859" max="14859" width="13.140625" style="319" customWidth="1"/>
    <col min="14860" max="14860" width="12" style="319" bestFit="1" customWidth="1"/>
    <col min="14861" max="14861" width="11" style="319" bestFit="1" customWidth="1"/>
    <col min="14862" max="14862" width="10" style="319" bestFit="1" customWidth="1"/>
    <col min="14863" max="14863" width="9" style="319" customWidth="1"/>
    <col min="14864" max="14864" width="8" style="319" customWidth="1"/>
    <col min="14865" max="14865" width="7" style="319" customWidth="1"/>
    <col min="14866" max="14866" width="6" style="319" customWidth="1"/>
    <col min="14867" max="14867" width="5" style="319" customWidth="1"/>
    <col min="14868" max="14868" width="4" style="319" customWidth="1"/>
    <col min="14869" max="14869" width="3" style="319" customWidth="1"/>
    <col min="14870" max="14870" width="2" style="319" customWidth="1"/>
    <col min="14871" max="15105" width="9.140625" style="319"/>
    <col min="15106" max="15106" width="9.42578125" style="319" customWidth="1"/>
    <col min="15107" max="15107" width="67.5703125" style="319" customWidth="1"/>
    <col min="15108" max="15108" width="5.140625" style="319" customWidth="1"/>
    <col min="15109" max="15109" width="20" style="319" customWidth="1"/>
    <col min="15110" max="15110" width="20.7109375" style="319" customWidth="1"/>
    <col min="15111" max="15111" width="20.42578125" style="319" customWidth="1"/>
    <col min="15112" max="15112" width="21" style="319" customWidth="1"/>
    <col min="15113" max="15113" width="9.140625" style="319"/>
    <col min="15114" max="15114" width="14.140625" style="319" bestFit="1" customWidth="1"/>
    <col min="15115" max="15115" width="13.140625" style="319" customWidth="1"/>
    <col min="15116" max="15116" width="12" style="319" bestFit="1" customWidth="1"/>
    <col min="15117" max="15117" width="11" style="319" bestFit="1" customWidth="1"/>
    <col min="15118" max="15118" width="10" style="319" bestFit="1" customWidth="1"/>
    <col min="15119" max="15119" width="9" style="319" customWidth="1"/>
    <col min="15120" max="15120" width="8" style="319" customWidth="1"/>
    <col min="15121" max="15121" width="7" style="319" customWidth="1"/>
    <col min="15122" max="15122" width="6" style="319" customWidth="1"/>
    <col min="15123" max="15123" width="5" style="319" customWidth="1"/>
    <col min="15124" max="15124" width="4" style="319" customWidth="1"/>
    <col min="15125" max="15125" width="3" style="319" customWidth="1"/>
    <col min="15126" max="15126" width="2" style="319" customWidth="1"/>
    <col min="15127" max="15361" width="9.140625" style="319"/>
    <col min="15362" max="15362" width="9.42578125" style="319" customWidth="1"/>
    <col min="15363" max="15363" width="67.5703125" style="319" customWidth="1"/>
    <col min="15364" max="15364" width="5.140625" style="319" customWidth="1"/>
    <col min="15365" max="15365" width="20" style="319" customWidth="1"/>
    <col min="15366" max="15366" width="20.7109375" style="319" customWidth="1"/>
    <col min="15367" max="15367" width="20.42578125" style="319" customWidth="1"/>
    <col min="15368" max="15368" width="21" style="319" customWidth="1"/>
    <col min="15369" max="15369" width="9.140625" style="319"/>
    <col min="15370" max="15370" width="14.140625" style="319" bestFit="1" customWidth="1"/>
    <col min="15371" max="15371" width="13.140625" style="319" customWidth="1"/>
    <col min="15372" max="15372" width="12" style="319" bestFit="1" customWidth="1"/>
    <col min="15373" max="15373" width="11" style="319" bestFit="1" customWidth="1"/>
    <col min="15374" max="15374" width="10" style="319" bestFit="1" customWidth="1"/>
    <col min="15375" max="15375" width="9" style="319" customWidth="1"/>
    <col min="15376" max="15376" width="8" style="319" customWidth="1"/>
    <col min="15377" max="15377" width="7" style="319" customWidth="1"/>
    <col min="15378" max="15378" width="6" style="319" customWidth="1"/>
    <col min="15379" max="15379" width="5" style="319" customWidth="1"/>
    <col min="15380" max="15380" width="4" style="319" customWidth="1"/>
    <col min="15381" max="15381" width="3" style="319" customWidth="1"/>
    <col min="15382" max="15382" width="2" style="319" customWidth="1"/>
    <col min="15383" max="15617" width="9.140625" style="319"/>
    <col min="15618" max="15618" width="9.42578125" style="319" customWidth="1"/>
    <col min="15619" max="15619" width="67.5703125" style="319" customWidth="1"/>
    <col min="15620" max="15620" width="5.140625" style="319" customWidth="1"/>
    <col min="15621" max="15621" width="20" style="319" customWidth="1"/>
    <col min="15622" max="15622" width="20.7109375" style="319" customWidth="1"/>
    <col min="15623" max="15623" width="20.42578125" style="319" customWidth="1"/>
    <col min="15624" max="15624" width="21" style="319" customWidth="1"/>
    <col min="15625" max="15625" width="9.140625" style="319"/>
    <col min="15626" max="15626" width="14.140625" style="319" bestFit="1" customWidth="1"/>
    <col min="15627" max="15627" width="13.140625" style="319" customWidth="1"/>
    <col min="15628" max="15628" width="12" style="319" bestFit="1" customWidth="1"/>
    <col min="15629" max="15629" width="11" style="319" bestFit="1" customWidth="1"/>
    <col min="15630" max="15630" width="10" style="319" bestFit="1" customWidth="1"/>
    <col min="15631" max="15631" width="9" style="319" customWidth="1"/>
    <col min="15632" max="15632" width="8" style="319" customWidth="1"/>
    <col min="15633" max="15633" width="7" style="319" customWidth="1"/>
    <col min="15634" max="15634" width="6" style="319" customWidth="1"/>
    <col min="15635" max="15635" width="5" style="319" customWidth="1"/>
    <col min="15636" max="15636" width="4" style="319" customWidth="1"/>
    <col min="15637" max="15637" width="3" style="319" customWidth="1"/>
    <col min="15638" max="15638" width="2" style="319" customWidth="1"/>
    <col min="15639" max="15873" width="9.140625" style="319"/>
    <col min="15874" max="15874" width="9.42578125" style="319" customWidth="1"/>
    <col min="15875" max="15875" width="67.5703125" style="319" customWidth="1"/>
    <col min="15876" max="15876" width="5.140625" style="319" customWidth="1"/>
    <col min="15877" max="15877" width="20" style="319" customWidth="1"/>
    <col min="15878" max="15878" width="20.7109375" style="319" customWidth="1"/>
    <col min="15879" max="15879" width="20.42578125" style="319" customWidth="1"/>
    <col min="15880" max="15880" width="21" style="319" customWidth="1"/>
    <col min="15881" max="15881" width="9.140625" style="319"/>
    <col min="15882" max="15882" width="14.140625" style="319" bestFit="1" customWidth="1"/>
    <col min="15883" max="15883" width="13.140625" style="319" customWidth="1"/>
    <col min="15884" max="15884" width="12" style="319" bestFit="1" customWidth="1"/>
    <col min="15885" max="15885" width="11" style="319" bestFit="1" customWidth="1"/>
    <col min="15886" max="15886" width="10" style="319" bestFit="1" customWidth="1"/>
    <col min="15887" max="15887" width="9" style="319" customWidth="1"/>
    <col min="15888" max="15888" width="8" style="319" customWidth="1"/>
    <col min="15889" max="15889" width="7" style="319" customWidth="1"/>
    <col min="15890" max="15890" width="6" style="319" customWidth="1"/>
    <col min="15891" max="15891" width="5" style="319" customWidth="1"/>
    <col min="15892" max="15892" width="4" style="319" customWidth="1"/>
    <col min="15893" max="15893" width="3" style="319" customWidth="1"/>
    <col min="15894" max="15894" width="2" style="319" customWidth="1"/>
    <col min="15895" max="16129" width="9.140625" style="319"/>
    <col min="16130" max="16130" width="9.42578125" style="319" customWidth="1"/>
    <col min="16131" max="16131" width="67.5703125" style="319" customWidth="1"/>
    <col min="16132" max="16132" width="5.140625" style="319" customWidth="1"/>
    <col min="16133" max="16133" width="20" style="319" customWidth="1"/>
    <col min="16134" max="16134" width="20.7109375" style="319" customWidth="1"/>
    <col min="16135" max="16135" width="20.42578125" style="319" customWidth="1"/>
    <col min="16136" max="16136" width="21" style="319" customWidth="1"/>
    <col min="16137" max="16137" width="9.140625" style="319"/>
    <col min="16138" max="16138" width="14.140625" style="319" bestFit="1" customWidth="1"/>
    <col min="16139" max="16139" width="13.140625" style="319" customWidth="1"/>
    <col min="16140" max="16140" width="12" style="319" bestFit="1" customWidth="1"/>
    <col min="16141" max="16141" width="11" style="319" bestFit="1" customWidth="1"/>
    <col min="16142" max="16142" width="10" style="319" bestFit="1" customWidth="1"/>
    <col min="16143" max="16143" width="9" style="319" customWidth="1"/>
    <col min="16144" max="16144" width="8" style="319" customWidth="1"/>
    <col min="16145" max="16145" width="7" style="319" customWidth="1"/>
    <col min="16146" max="16146" width="6" style="319" customWidth="1"/>
    <col min="16147" max="16147" width="5" style="319" customWidth="1"/>
    <col min="16148" max="16148" width="4" style="319" customWidth="1"/>
    <col min="16149" max="16149" width="3" style="319" customWidth="1"/>
    <col min="16150" max="16150" width="2" style="319" customWidth="1"/>
    <col min="16151" max="16384" width="9.140625" style="319"/>
  </cols>
  <sheetData>
    <row r="1" spans="1:22" ht="15">
      <c r="A1" s="346"/>
      <c r="B1" s="346"/>
      <c r="C1" s="543"/>
      <c r="D1" s="385"/>
      <c r="E1" s="386"/>
      <c r="F1" s="386"/>
      <c r="G1" s="386"/>
      <c r="H1" s="576"/>
      <c r="J1" s="730"/>
      <c r="K1" s="730"/>
      <c r="L1" s="730"/>
      <c r="M1" s="730"/>
    </row>
    <row r="2" spans="1:22" s="320" customFormat="1" ht="14.25">
      <c r="A2" s="387"/>
      <c r="B2" s="387" t="s">
        <v>3947</v>
      </c>
      <c r="C2" s="544"/>
      <c r="D2" s="388"/>
      <c r="E2" s="348"/>
      <c r="F2" s="348"/>
      <c r="G2" s="348"/>
      <c r="H2" s="596"/>
      <c r="J2" s="729"/>
      <c r="K2" s="729"/>
      <c r="L2" s="729"/>
      <c r="M2" s="729"/>
    </row>
    <row r="3" spans="1:22" ht="24.95" customHeight="1">
      <c r="A3" s="731"/>
      <c r="B3" s="731" t="str">
        <f>Index!$C$40</f>
        <v>Označenie</v>
      </c>
      <c r="C3" s="731" t="str">
        <f>Index!$C$41</f>
        <v>STRANA AKTÍV</v>
      </c>
      <c r="D3" s="734" t="str">
        <f>Index!$C$42</f>
        <v>č.r.</v>
      </c>
      <c r="E3" s="736" t="str">
        <f>Index!$C$43</f>
        <v>Bežné účtovné obdobie</v>
      </c>
      <c r="F3" s="737"/>
      <c r="G3" s="738"/>
      <c r="H3" s="731" t="str">
        <f>Index!$C$44</f>
        <v>Bezprostredne predchádzajúce účtovné obdobie</v>
      </c>
      <c r="J3" s="747"/>
      <c r="K3" s="747"/>
      <c r="L3" s="747"/>
      <c r="M3" s="748"/>
    </row>
    <row r="4" spans="1:22" ht="24.95" customHeight="1">
      <c r="A4" s="732"/>
      <c r="B4" s="732"/>
      <c r="C4" s="732"/>
      <c r="D4" s="735"/>
      <c r="E4" s="739"/>
      <c r="F4" s="740"/>
      <c r="G4" s="741"/>
      <c r="H4" s="742"/>
      <c r="J4" s="747"/>
      <c r="K4" s="747"/>
      <c r="L4" s="747"/>
      <c r="M4" s="748"/>
    </row>
    <row r="5" spans="1:22" ht="11.25">
      <c r="A5" s="732"/>
      <c r="B5" s="732"/>
      <c r="C5" s="732"/>
      <c r="D5" s="735"/>
      <c r="E5" s="1" t="str">
        <f>Index!$C$45</f>
        <v>Brutto</v>
      </c>
      <c r="F5" s="2" t="str">
        <f>Index!$C$46</f>
        <v>Korekcia</v>
      </c>
      <c r="G5" s="3" t="str">
        <f>Index!$C$47</f>
        <v>Netto</v>
      </c>
      <c r="H5" s="2" t="str">
        <f>Index!$C$47</f>
        <v>Netto</v>
      </c>
      <c r="J5" s="601"/>
      <c r="K5" s="601"/>
      <c r="L5" s="601"/>
      <c r="M5" s="601"/>
    </row>
    <row r="6" spans="1:22" ht="11.25">
      <c r="A6" s="4"/>
      <c r="B6" s="4" t="s">
        <v>491</v>
      </c>
      <c r="C6" s="545" t="s">
        <v>492</v>
      </c>
      <c r="D6" s="4" t="s">
        <v>493</v>
      </c>
      <c r="E6" s="1" t="str">
        <f>Index!$C$48</f>
        <v>1 (časť 1)</v>
      </c>
      <c r="F6" s="1" t="str">
        <f>Index!$C$49</f>
        <v>1 (časť 2)</v>
      </c>
      <c r="G6" s="4">
        <v>2</v>
      </c>
      <c r="H6" s="4">
        <v>3</v>
      </c>
      <c r="J6" s="601"/>
      <c r="K6" s="601"/>
      <c r="L6" s="601"/>
      <c r="M6" s="601"/>
    </row>
    <row r="7" spans="1:22" ht="14.25">
      <c r="A7" s="5"/>
      <c r="B7" s="5"/>
      <c r="C7" s="545"/>
      <c r="D7" s="4"/>
      <c r="E7" s="6" t="str">
        <f>Index!$C$50</f>
        <v>(v eurách)</v>
      </c>
      <c r="F7" s="6" t="str">
        <f>Index!$C$50</f>
        <v>(v eurách)</v>
      </c>
      <c r="G7" s="6" t="str">
        <f>Index!$C$50</f>
        <v>(v eurách)</v>
      </c>
      <c r="H7" s="7" t="str">
        <f>Index!$C$50</f>
        <v>(v eurách)</v>
      </c>
      <c r="I7" s="315"/>
      <c r="J7" s="601"/>
      <c r="K7" s="601"/>
      <c r="L7" s="601"/>
      <c r="M7" s="601"/>
      <c r="N7" s="718"/>
      <c r="O7" s="718"/>
      <c r="P7" s="718"/>
      <c r="Q7" s="718"/>
      <c r="R7" s="582"/>
      <c r="S7" s="321"/>
      <c r="T7" s="321"/>
      <c r="U7" s="321"/>
      <c r="V7" s="321"/>
    </row>
    <row r="8" spans="1:22" ht="12.75">
      <c r="A8" s="322" t="str">
        <f>"BS"&amp;0&amp;D8</f>
        <v>BS001</v>
      </c>
      <c r="B8" s="322"/>
      <c r="C8" s="546" t="str">
        <f>Index!C52</f>
        <v>Spolu majetok (r. 02 + r. 33 + r. 74)</v>
      </c>
      <c r="D8" s="323" t="s">
        <v>651</v>
      </c>
      <c r="E8" s="324">
        <f>SUM(E9+E40+E81)</f>
        <v>66186947.530000001</v>
      </c>
      <c r="F8" s="324">
        <f>SUM(F9+F40+F81)</f>
        <v>1982439</v>
      </c>
      <c r="G8" s="324">
        <f>SUM(G9+G40+G81)</f>
        <v>64204508.530000001</v>
      </c>
      <c r="H8" s="639">
        <v>47257737</v>
      </c>
      <c r="J8" s="602"/>
      <c r="K8" s="602"/>
      <c r="L8" s="602"/>
      <c r="M8" s="602"/>
      <c r="N8" s="592"/>
      <c r="O8" s="592"/>
      <c r="P8" s="592"/>
      <c r="Q8" s="592"/>
      <c r="R8" s="321"/>
      <c r="S8" s="321"/>
      <c r="T8" s="321"/>
      <c r="U8" s="321"/>
      <c r="V8" s="321"/>
    </row>
    <row r="9" spans="1:22" ht="12.75">
      <c r="A9" s="322" t="str">
        <f t="shared" ref="A9:A72" si="0">"BS"&amp;0&amp;D9</f>
        <v>BS002</v>
      </c>
      <c r="B9" s="322" t="s">
        <v>495</v>
      </c>
      <c r="C9" s="546" t="str">
        <f>Index!C53</f>
        <v>Neobežný majetok (r. 03 + r. 11 + r. 21)</v>
      </c>
      <c r="D9" s="323" t="s">
        <v>652</v>
      </c>
      <c r="E9" s="324">
        <f>SUM(E10+E18+E28)</f>
        <v>41748236.530000001</v>
      </c>
      <c r="F9" s="324">
        <f>SUM(F10+F18+F28)</f>
        <v>14401</v>
      </c>
      <c r="G9" s="324">
        <f>SUM(G10+G18+G28)</f>
        <v>41733835.530000001</v>
      </c>
      <c r="H9" s="639">
        <v>19034501</v>
      </c>
      <c r="J9" s="602"/>
      <c r="K9" s="602"/>
      <c r="L9" s="602"/>
      <c r="M9" s="602"/>
      <c r="N9" s="592"/>
      <c r="O9" s="592"/>
      <c r="P9" s="592"/>
      <c r="Q9" s="592"/>
    </row>
    <row r="10" spans="1:22" ht="12.75">
      <c r="A10" s="325" t="str">
        <f t="shared" si="0"/>
        <v>BS003</v>
      </c>
      <c r="B10" s="325" t="s">
        <v>496</v>
      </c>
      <c r="C10" s="547" t="str">
        <f>Index!C54</f>
        <v>Dlhodobý nehmotný majetok súčet (r. 04 až r. 10)</v>
      </c>
      <c r="D10" s="323" t="s">
        <v>653</v>
      </c>
      <c r="E10" s="324">
        <f>SUM(E11:E17)</f>
        <v>965238</v>
      </c>
      <c r="F10" s="324">
        <f>SUM(F11:F17)</f>
        <v>10297</v>
      </c>
      <c r="G10" s="324">
        <f>SUM(G11:G17)</f>
        <v>954941</v>
      </c>
      <c r="H10" s="639">
        <v>275588</v>
      </c>
      <c r="J10" s="602"/>
      <c r="K10" s="602"/>
      <c r="L10" s="602"/>
      <c r="M10" s="602"/>
      <c r="N10" s="592"/>
      <c r="O10" s="592"/>
      <c r="P10" s="592"/>
      <c r="Q10" s="592"/>
    </row>
    <row r="11" spans="1:22" ht="12.75">
      <c r="A11" s="326" t="str">
        <f t="shared" si="0"/>
        <v>BS004</v>
      </c>
      <c r="B11" s="326" t="s">
        <v>586</v>
      </c>
      <c r="C11" s="393" t="str">
        <f>Index!C55</f>
        <v>Aktivované náklady na vývoj (012) - /072, 091A/</v>
      </c>
      <c r="D11" s="327" t="s">
        <v>655</v>
      </c>
      <c r="E11" s="9">
        <f>SUMIF(GL!D:D,A11,GL!H:H)</f>
        <v>0</v>
      </c>
      <c r="F11" s="9">
        <f>-SUMIF(GL!E:E,A11,GL!H:H)</f>
        <v>0</v>
      </c>
      <c r="G11" s="329">
        <f t="shared" ref="G11:G17" si="1">E11-F11</f>
        <v>0</v>
      </c>
      <c r="H11" s="637">
        <v>0</v>
      </c>
      <c r="J11" s="600"/>
      <c r="K11" s="600"/>
      <c r="L11" s="599"/>
      <c r="M11" s="600"/>
      <c r="N11" s="592"/>
      <c r="O11" s="592"/>
      <c r="P11" s="592"/>
      <c r="Q11" s="592"/>
    </row>
    <row r="12" spans="1:22" ht="12.75">
      <c r="A12" s="326" t="str">
        <f t="shared" si="0"/>
        <v>BS005</v>
      </c>
      <c r="B12" s="326" t="s">
        <v>497</v>
      </c>
      <c r="C12" s="393" t="str">
        <f>Index!C56</f>
        <v>Softvér (013) - /073, 091A/</v>
      </c>
      <c r="D12" s="327" t="s">
        <v>656</v>
      </c>
      <c r="E12" s="9">
        <f>SUMIF(GL!D:D,A12,GL!H:H)-1</f>
        <v>24946</v>
      </c>
      <c r="F12" s="9">
        <f>-SUMIF(GL!E:E,A12,GL!H:H)</f>
        <v>9533</v>
      </c>
      <c r="G12" s="329">
        <f>E12-F12</f>
        <v>15413</v>
      </c>
      <c r="H12" s="637">
        <v>18799</v>
      </c>
      <c r="J12" s="600"/>
      <c r="K12" s="600"/>
      <c r="L12" s="599"/>
      <c r="M12" s="600"/>
      <c r="N12" s="592"/>
      <c r="O12" s="592"/>
      <c r="P12" s="592"/>
      <c r="Q12" s="592"/>
    </row>
    <row r="13" spans="1:22" ht="12.75">
      <c r="A13" s="326" t="str">
        <f t="shared" si="0"/>
        <v>BS006</v>
      </c>
      <c r="B13" s="326" t="s">
        <v>499</v>
      </c>
      <c r="C13" s="393" t="str">
        <f>Index!C57</f>
        <v>Oceniteľné práva (014) - /074, 091A/</v>
      </c>
      <c r="D13" s="327" t="s">
        <v>658</v>
      </c>
      <c r="E13" s="9">
        <f>SUMIF(GL!D:D,A13,GL!H:H)</f>
        <v>2500</v>
      </c>
      <c r="F13" s="9">
        <f>-SUMIF(GL!E:E,A13,GL!H:H)</f>
        <v>764</v>
      </c>
      <c r="G13" s="329">
        <f t="shared" si="1"/>
        <v>1736</v>
      </c>
      <c r="H13" s="637">
        <v>0</v>
      </c>
      <c r="J13" s="600"/>
      <c r="K13" s="600"/>
      <c r="L13" s="599"/>
      <c r="M13" s="600"/>
      <c r="N13" s="592"/>
      <c r="O13" s="592"/>
      <c r="P13" s="592"/>
      <c r="Q13" s="592"/>
    </row>
    <row r="14" spans="1:22" ht="12.75">
      <c r="A14" s="326" t="str">
        <f t="shared" si="0"/>
        <v>BS007</v>
      </c>
      <c r="B14" s="326" t="s">
        <v>501</v>
      </c>
      <c r="C14" s="393" t="str">
        <f>Index!C58</f>
        <v>Goodwill (015) - /075, 091A/</v>
      </c>
      <c r="D14" s="327" t="s">
        <v>660</v>
      </c>
      <c r="E14" s="9">
        <f>SUMIF(GL!D:D,A14,GL!H:H)</f>
        <v>0</v>
      </c>
      <c r="F14" s="9">
        <f>-SUMIF(GL!E:E,A14,GL!H:H)</f>
        <v>0</v>
      </c>
      <c r="G14" s="329">
        <f>E14-F14</f>
        <v>0</v>
      </c>
      <c r="H14" s="637">
        <v>0</v>
      </c>
      <c r="J14" s="600"/>
      <c r="K14" s="600"/>
      <c r="L14" s="599"/>
      <c r="M14" s="600"/>
      <c r="N14" s="592"/>
      <c r="O14" s="592"/>
      <c r="P14" s="592"/>
      <c r="Q14" s="592"/>
    </row>
    <row r="15" spans="1:22" ht="12.75">
      <c r="A15" s="326" t="str">
        <f t="shared" si="0"/>
        <v>BS008</v>
      </c>
      <c r="B15" s="326" t="s">
        <v>503</v>
      </c>
      <c r="C15" s="393" t="str">
        <f>Index!C59</f>
        <v>Ostatný dlhodobý nehmotný majetok (019, 01X) - /079, 07X, 091A/</v>
      </c>
      <c r="D15" s="327" t="s">
        <v>661</v>
      </c>
      <c r="E15" s="9">
        <f>SUMIF(GL!D:D,A15,GL!H:H)</f>
        <v>0</v>
      </c>
      <c r="F15" s="9">
        <f>-SUMIF(GL!E:E,A15,GL!H:H)</f>
        <v>0</v>
      </c>
      <c r="G15" s="329">
        <f>E15-F15</f>
        <v>0</v>
      </c>
      <c r="H15" s="637">
        <v>0</v>
      </c>
      <c r="J15" s="600"/>
      <c r="K15" s="600"/>
      <c r="L15" s="599"/>
      <c r="M15" s="600"/>
      <c r="N15" s="592"/>
      <c r="O15" s="592"/>
      <c r="P15" s="592"/>
      <c r="Q15" s="592"/>
    </row>
    <row r="16" spans="1:22" ht="12.75">
      <c r="A16" s="326" t="str">
        <f t="shared" si="0"/>
        <v>BS009</v>
      </c>
      <c r="B16" s="326" t="s">
        <v>505</v>
      </c>
      <c r="C16" s="393" t="str">
        <f>Index!C60</f>
        <v>Obstarávaný dlhodobý nehmotný majetok (041) - 093</v>
      </c>
      <c r="D16" s="327" t="s">
        <v>662</v>
      </c>
      <c r="E16" s="9">
        <f>SUMIF(GL!D:D,A16,GL!H:H)</f>
        <v>937792</v>
      </c>
      <c r="F16" s="9">
        <f>-SUMIF(GL!E:E,A16,GL!H:H)</f>
        <v>0</v>
      </c>
      <c r="G16" s="329">
        <f t="shared" si="1"/>
        <v>937792</v>
      </c>
      <c r="H16" s="637">
        <v>256789</v>
      </c>
      <c r="J16" s="600"/>
      <c r="K16" s="600"/>
      <c r="L16" s="599"/>
      <c r="M16" s="600"/>
      <c r="N16" s="592"/>
      <c r="O16" s="592"/>
      <c r="P16" s="592"/>
      <c r="Q16" s="592"/>
    </row>
    <row r="17" spans="1:17" ht="12.75">
      <c r="A17" s="326" t="str">
        <f t="shared" si="0"/>
        <v>BS010</v>
      </c>
      <c r="B17" s="326" t="s">
        <v>507</v>
      </c>
      <c r="C17" s="393" t="str">
        <f>Index!C61</f>
        <v>Poskytnuté preddavky na dlhodobý nehmotný majetok (051) - /095A/</v>
      </c>
      <c r="D17" s="327" t="s">
        <v>1548</v>
      </c>
      <c r="E17" s="9">
        <f>SUMIF(GL!D:D,A17,GL!H:H)</f>
        <v>0</v>
      </c>
      <c r="F17" s="9">
        <f>-SUMIF(GL!E:E,A17,GL!H:H)</f>
        <v>0</v>
      </c>
      <c r="G17" s="329">
        <f t="shared" si="1"/>
        <v>0</v>
      </c>
      <c r="H17" s="637">
        <v>0</v>
      </c>
      <c r="J17" s="600"/>
      <c r="K17" s="600"/>
      <c r="L17" s="599"/>
      <c r="M17" s="600"/>
      <c r="N17" s="592"/>
      <c r="O17" s="592"/>
      <c r="P17" s="592"/>
      <c r="Q17" s="592"/>
    </row>
    <row r="18" spans="1:17" ht="12.75">
      <c r="A18" s="325" t="str">
        <f t="shared" si="0"/>
        <v>BS011</v>
      </c>
      <c r="B18" s="325" t="s">
        <v>509</v>
      </c>
      <c r="C18" s="547" t="str">
        <f>Index!C62</f>
        <v>Dlhodobý hmotný majetok súčet (r. 12 až r. 20)</v>
      </c>
      <c r="D18" s="323" t="s">
        <v>1549</v>
      </c>
      <c r="E18" s="324">
        <f>SUM(E19:E27)</f>
        <v>106757</v>
      </c>
      <c r="F18" s="324">
        <f>SUM(F19:F27)</f>
        <v>4104</v>
      </c>
      <c r="G18" s="324">
        <f>SUM(G19:G27)</f>
        <v>102653</v>
      </c>
      <c r="H18" s="639">
        <v>3153</v>
      </c>
      <c r="J18" s="602"/>
      <c r="K18" s="602"/>
      <c r="L18" s="602"/>
      <c r="M18" s="602"/>
      <c r="N18" s="592"/>
      <c r="O18" s="592"/>
      <c r="P18" s="592"/>
      <c r="Q18" s="592"/>
    </row>
    <row r="19" spans="1:17" ht="12.75">
      <c r="A19" s="326" t="str">
        <f t="shared" si="0"/>
        <v>BS012</v>
      </c>
      <c r="B19" s="326" t="s">
        <v>510</v>
      </c>
      <c r="C19" s="393" t="str">
        <f>Index!C63</f>
        <v>Pozemky (031) - 092A</v>
      </c>
      <c r="D19" s="327" t="s">
        <v>1550</v>
      </c>
      <c r="E19" s="9">
        <f>SUMIF(GL!D:D,A19,GL!H:H)</f>
        <v>0</v>
      </c>
      <c r="F19" s="9">
        <f>-SUMIF(GL!E:E,A19,GL!H:H)</f>
        <v>0</v>
      </c>
      <c r="G19" s="329">
        <f>E19-F19</f>
        <v>0</v>
      </c>
      <c r="H19" s="637">
        <v>0</v>
      </c>
      <c r="J19" s="600"/>
      <c r="K19" s="600"/>
      <c r="L19" s="599"/>
      <c r="M19" s="600"/>
      <c r="N19" s="592"/>
      <c r="O19" s="592"/>
      <c r="P19" s="592"/>
      <c r="Q19" s="592"/>
    </row>
    <row r="20" spans="1:17" ht="12.75">
      <c r="A20" s="326" t="str">
        <f t="shared" si="0"/>
        <v>BS013</v>
      </c>
      <c r="B20" s="326" t="s">
        <v>512</v>
      </c>
      <c r="C20" s="393" t="str">
        <f>Index!C64</f>
        <v>Stavby (021) - /081, 092A/</v>
      </c>
      <c r="D20" s="327" t="s">
        <v>1551</v>
      </c>
      <c r="E20" s="9">
        <f>SUMIF(GL!D:D,A20,GL!H:H)</f>
        <v>0</v>
      </c>
      <c r="F20" s="9">
        <f>-SUMIF(GL!E:E,A20,GL!H:H)</f>
        <v>0</v>
      </c>
      <c r="G20" s="329">
        <f>E20-F20</f>
        <v>0</v>
      </c>
      <c r="H20" s="637">
        <v>0</v>
      </c>
      <c r="J20" s="600"/>
      <c r="K20" s="600"/>
      <c r="L20" s="599"/>
      <c r="M20" s="600"/>
      <c r="N20" s="592"/>
      <c r="O20" s="592"/>
      <c r="P20" s="592"/>
      <c r="Q20" s="592"/>
    </row>
    <row r="21" spans="1:17" ht="12.75">
      <c r="A21" s="331" t="str">
        <f t="shared" si="0"/>
        <v>BS014</v>
      </c>
      <c r="B21" s="331" t="s">
        <v>514</v>
      </c>
      <c r="C21" s="548" t="str">
        <f>Index!C65</f>
        <v>Samostatné hnuteľné veci a súbory hnuteľných vecí (022) - /082, 092A/</v>
      </c>
      <c r="D21" s="327" t="s">
        <v>1552</v>
      </c>
      <c r="E21" s="9">
        <f>SUMIF(GL!D:D,A21,GL!H:H)</f>
        <v>106757</v>
      </c>
      <c r="F21" s="9">
        <f>-SUMIF(GL!E:E,A21,GL!H:H)</f>
        <v>4104</v>
      </c>
      <c r="G21" s="332">
        <f>E21-F21</f>
        <v>102653</v>
      </c>
      <c r="H21" s="638">
        <v>3153</v>
      </c>
      <c r="J21" s="600"/>
      <c r="K21" s="600"/>
      <c r="L21" s="599"/>
      <c r="M21" s="600"/>
      <c r="N21" s="592"/>
      <c r="O21" s="592"/>
      <c r="P21" s="592"/>
      <c r="Q21" s="592"/>
    </row>
    <row r="22" spans="1:17" ht="12.75">
      <c r="A22" s="326" t="str">
        <f t="shared" si="0"/>
        <v>BS015</v>
      </c>
      <c r="B22" s="326" t="s">
        <v>516</v>
      </c>
      <c r="C22" s="393" t="str">
        <f>Index!C66</f>
        <v>Pestovateľské celky trvalých porastov (025) - /085, 092A/</v>
      </c>
      <c r="D22" s="327" t="s">
        <v>1555</v>
      </c>
      <c r="E22" s="9">
        <f>SUMIF(GL!D:D,A22,GL!H:H)</f>
        <v>0</v>
      </c>
      <c r="F22" s="9">
        <f>-SUMIF(GL!E:E,A22,GL!H:H)</f>
        <v>0</v>
      </c>
      <c r="G22" s="329">
        <f t="shared" ref="G22:G27" si="2">E22-F22</f>
        <v>0</v>
      </c>
      <c r="H22" s="637">
        <v>0</v>
      </c>
      <c r="J22" s="600"/>
      <c r="K22" s="600"/>
      <c r="L22" s="599"/>
      <c r="M22" s="600"/>
      <c r="N22" s="592"/>
      <c r="O22" s="592"/>
      <c r="P22" s="592"/>
      <c r="Q22" s="592"/>
    </row>
    <row r="23" spans="1:17" ht="12.75">
      <c r="A23" s="326" t="str">
        <f t="shared" si="0"/>
        <v>BS016</v>
      </c>
      <c r="B23" s="326" t="s">
        <v>518</v>
      </c>
      <c r="C23" s="393" t="str">
        <f>Index!C67</f>
        <v>Základné stádo a ťažné zvieratá (026) - /086, 092A/</v>
      </c>
      <c r="D23" s="327" t="s">
        <v>1556</v>
      </c>
      <c r="E23" s="9">
        <f>SUMIF(GL!D:D,A23,GL!H:H)</f>
        <v>0</v>
      </c>
      <c r="F23" s="9">
        <f>-SUMIF(GL!E:E,A23,GL!H:H)</f>
        <v>0</v>
      </c>
      <c r="G23" s="329">
        <f t="shared" si="2"/>
        <v>0</v>
      </c>
      <c r="H23" s="637">
        <v>0</v>
      </c>
      <c r="J23" s="600"/>
      <c r="K23" s="600"/>
      <c r="L23" s="599"/>
      <c r="M23" s="600"/>
      <c r="N23" s="592"/>
      <c r="O23" s="592"/>
      <c r="P23" s="592"/>
      <c r="Q23" s="592"/>
    </row>
    <row r="24" spans="1:17" ht="12.75">
      <c r="A24" s="326" t="str">
        <f t="shared" si="0"/>
        <v>BS017</v>
      </c>
      <c r="B24" s="326" t="s">
        <v>520</v>
      </c>
      <c r="C24" s="393" t="str">
        <f>Index!C68</f>
        <v>Ostatný dlhodobý hmotný majetok (029, 02X, 032) - /089, 08X, 092A/</v>
      </c>
      <c r="D24" s="327" t="s">
        <v>1557</v>
      </c>
      <c r="E24" s="9">
        <f>SUMIF(GL!D:D,A24,GL!H:H)</f>
        <v>0</v>
      </c>
      <c r="F24" s="9">
        <f>-SUMIF(GL!E:E,A24,GL!H:H)</f>
        <v>0</v>
      </c>
      <c r="G24" s="329">
        <f t="shared" si="2"/>
        <v>0</v>
      </c>
      <c r="H24" s="637">
        <v>0</v>
      </c>
      <c r="J24" s="600"/>
      <c r="K24" s="600"/>
      <c r="L24" s="599"/>
      <c r="M24" s="600"/>
      <c r="N24" s="592"/>
      <c r="O24" s="592"/>
      <c r="P24" s="592"/>
      <c r="Q24" s="592"/>
    </row>
    <row r="25" spans="1:17" ht="12.75">
      <c r="A25" s="326" t="str">
        <f t="shared" si="0"/>
        <v>BS018</v>
      </c>
      <c r="B25" s="326" t="s">
        <v>522</v>
      </c>
      <c r="C25" s="393" t="str">
        <f>Index!C69</f>
        <v>Obstarávaný dlhodobý hmotný majetok (042) - 094</v>
      </c>
      <c r="D25" s="327" t="s">
        <v>1558</v>
      </c>
      <c r="E25" s="9">
        <f>SUMIF(GL!D:D,A25,GL!H:H)</f>
        <v>0</v>
      </c>
      <c r="F25" s="9">
        <f>-SUMIF(GL!E:E,A25,GL!H:H)</f>
        <v>0</v>
      </c>
      <c r="G25" s="329">
        <f t="shared" si="2"/>
        <v>0</v>
      </c>
      <c r="H25" s="637">
        <v>0</v>
      </c>
      <c r="J25" s="600"/>
      <c r="K25" s="600"/>
      <c r="L25" s="599"/>
      <c r="M25" s="600"/>
      <c r="N25" s="592"/>
      <c r="O25" s="592"/>
      <c r="P25" s="592"/>
      <c r="Q25" s="592"/>
    </row>
    <row r="26" spans="1:17" ht="12.75">
      <c r="A26" s="326" t="str">
        <f t="shared" si="0"/>
        <v>BS019</v>
      </c>
      <c r="B26" s="326" t="s">
        <v>524</v>
      </c>
      <c r="C26" s="393" t="str">
        <f>Index!C70</f>
        <v>Poskytnuté preddavky na dlhodobý hmotný majetok (052) - /095A/</v>
      </c>
      <c r="D26" s="327" t="s">
        <v>1560</v>
      </c>
      <c r="E26" s="9">
        <f>SUMIF(GL!D:D,A26,GL!H:H)</f>
        <v>0</v>
      </c>
      <c r="F26" s="9">
        <f>-SUMIF(GL!E:E,A26,GL!H:H)</f>
        <v>0</v>
      </c>
      <c r="G26" s="329">
        <f t="shared" si="2"/>
        <v>0</v>
      </c>
      <c r="H26" s="637">
        <v>0</v>
      </c>
      <c r="J26" s="600"/>
      <c r="K26" s="600"/>
      <c r="L26" s="599"/>
      <c r="M26" s="600"/>
      <c r="N26" s="592"/>
      <c r="O26" s="592"/>
      <c r="P26" s="592"/>
      <c r="Q26" s="592"/>
    </row>
    <row r="27" spans="1:17" ht="12.75">
      <c r="A27" s="326" t="str">
        <f t="shared" si="0"/>
        <v>BS020</v>
      </c>
      <c r="B27" s="326" t="s">
        <v>525</v>
      </c>
      <c r="C27" s="393" t="str">
        <f>Index!C71</f>
        <v>Opravná položka k nadobudnutému majetku (+/- 097) +/- 098</v>
      </c>
      <c r="D27" s="327" t="s">
        <v>1562</v>
      </c>
      <c r="E27" s="9">
        <f>SUMIF(GL!D:D,A27,GL!H:H)</f>
        <v>0</v>
      </c>
      <c r="F27" s="9">
        <f>-SUMIF(GL!E:E,A27,GL!H:H)</f>
        <v>0</v>
      </c>
      <c r="G27" s="329">
        <f t="shared" si="2"/>
        <v>0</v>
      </c>
      <c r="H27" s="637">
        <v>0</v>
      </c>
      <c r="J27" s="600"/>
      <c r="K27" s="600"/>
      <c r="L27" s="599"/>
      <c r="M27" s="600"/>
      <c r="N27" s="592"/>
      <c r="O27" s="592"/>
      <c r="P27" s="592"/>
      <c r="Q27" s="592"/>
    </row>
    <row r="28" spans="1:17" ht="12.75">
      <c r="A28" s="322" t="str">
        <f t="shared" si="0"/>
        <v>BS021</v>
      </c>
      <c r="B28" s="322" t="s">
        <v>527</v>
      </c>
      <c r="C28" s="546" t="str">
        <f>Index!C72</f>
        <v>Dlhodobý finančný majetok súčet (r. 22 až r. 32)</v>
      </c>
      <c r="D28" s="323" t="s">
        <v>1563</v>
      </c>
      <c r="E28" s="324">
        <f>SUM(E29:E39)</f>
        <v>40676241.530000001</v>
      </c>
      <c r="F28" s="324">
        <f>SUM(F29:F39)</f>
        <v>0</v>
      </c>
      <c r="G28" s="324">
        <f>SUM(G29:G39)</f>
        <v>40676241.530000001</v>
      </c>
      <c r="H28" s="639">
        <v>18755760</v>
      </c>
      <c r="J28" s="602"/>
      <c r="K28" s="602"/>
      <c r="L28" s="602"/>
      <c r="M28" s="602"/>
      <c r="N28" s="592"/>
      <c r="O28" s="592"/>
      <c r="P28" s="592"/>
      <c r="Q28" s="592"/>
    </row>
    <row r="29" spans="1:17" ht="12.75">
      <c r="A29" s="326" t="str">
        <f t="shared" si="0"/>
        <v>BS022</v>
      </c>
      <c r="B29" s="326" t="s">
        <v>528</v>
      </c>
      <c r="C29" s="393" t="str">
        <f>Index!C73</f>
        <v>Podielové cenné papiere a podiely v prepojených účtovných jednotkách (061A, 062A, 063A) - /096A/</v>
      </c>
      <c r="D29" s="327" t="s">
        <v>1564</v>
      </c>
      <c r="E29" s="9">
        <f>SUMIF(GL!D:D,A29,GL!H:H)</f>
        <v>40676241.530000001</v>
      </c>
      <c r="F29" s="9">
        <f>-SUMIF(GL!E:E,A29,GL!H:H)</f>
        <v>0</v>
      </c>
      <c r="G29" s="329">
        <f t="shared" ref="G29:G36" si="3">E29-F29</f>
        <v>40676241.530000001</v>
      </c>
      <c r="H29" s="637">
        <v>18755760</v>
      </c>
      <c r="J29" s="600"/>
      <c r="K29" s="600"/>
      <c r="L29" s="599"/>
      <c r="M29" s="600"/>
      <c r="N29" s="592"/>
      <c r="O29" s="592"/>
      <c r="P29" s="592"/>
      <c r="Q29" s="592"/>
    </row>
    <row r="30" spans="1:17" ht="12.75">
      <c r="A30" s="326" t="str">
        <f t="shared" si="0"/>
        <v>BS023</v>
      </c>
      <c r="B30" s="326" t="s">
        <v>529</v>
      </c>
      <c r="C30" s="393" t="str">
        <f>Index!C74</f>
        <v>Podielové cenné papiere a podiely s podielovou účasťou okrem v prepojených účtovných jednotkách (062) - /096A/</v>
      </c>
      <c r="D30" s="327" t="s">
        <v>1566</v>
      </c>
      <c r="E30" s="9">
        <f>SUMIF(GL!D:D,A30,GL!H:H)</f>
        <v>0</v>
      </c>
      <c r="F30" s="9">
        <f>-SUMIF(GL!E:E,A30,GL!H:H)</f>
        <v>0</v>
      </c>
      <c r="G30" s="329">
        <f t="shared" si="3"/>
        <v>0</v>
      </c>
      <c r="H30" s="637">
        <v>0</v>
      </c>
      <c r="J30" s="600"/>
      <c r="K30" s="600"/>
      <c r="L30" s="599"/>
      <c r="M30" s="600"/>
      <c r="N30" s="592"/>
      <c r="O30" s="592"/>
      <c r="P30" s="592"/>
      <c r="Q30" s="592"/>
    </row>
    <row r="31" spans="1:17" ht="12.75">
      <c r="A31" s="326" t="str">
        <f t="shared" si="0"/>
        <v>BS024</v>
      </c>
      <c r="B31" s="326" t="s">
        <v>530</v>
      </c>
      <c r="C31" s="393" t="str">
        <f>Index!C75</f>
        <v>Ostatné realizovateľné cenné papiere a podiely (063A) - 096A</v>
      </c>
      <c r="D31" s="327" t="s">
        <v>1567</v>
      </c>
      <c r="E31" s="9">
        <f>SUMIF(GL!D:D,A31,GL!H:H)</f>
        <v>0</v>
      </c>
      <c r="F31" s="9">
        <f>-SUMIF(GL!E:E,A31,GL!H:H)</f>
        <v>0</v>
      </c>
      <c r="G31" s="329">
        <f t="shared" si="3"/>
        <v>0</v>
      </c>
      <c r="H31" s="637">
        <v>0</v>
      </c>
      <c r="J31" s="600"/>
      <c r="K31" s="600"/>
      <c r="L31" s="599"/>
      <c r="M31" s="600"/>
      <c r="N31" s="592"/>
      <c r="O31" s="592"/>
      <c r="P31" s="592"/>
      <c r="Q31" s="592"/>
    </row>
    <row r="32" spans="1:17" ht="12.75">
      <c r="A32" s="326" t="str">
        <f t="shared" si="0"/>
        <v>BS025</v>
      </c>
      <c r="B32" s="326" t="s">
        <v>531</v>
      </c>
      <c r="C32" s="393" t="str">
        <f>Index!C76</f>
        <v>Pôžičky prepojeným účtovným jednotkám (066A) - 096A</v>
      </c>
      <c r="D32" s="327" t="s">
        <v>1568</v>
      </c>
      <c r="E32" s="9">
        <f>SUMIF(GL!D:D,A32,GL!H:H)</f>
        <v>0</v>
      </c>
      <c r="F32" s="9">
        <f>-SUMIF(GL!E:E,A32,GL!H:H)</f>
        <v>0</v>
      </c>
      <c r="G32" s="329">
        <f t="shared" si="3"/>
        <v>0</v>
      </c>
      <c r="H32" s="637">
        <v>0</v>
      </c>
      <c r="J32" s="600"/>
      <c r="K32" s="600"/>
      <c r="L32" s="599"/>
      <c r="M32" s="600"/>
      <c r="N32" s="592"/>
      <c r="O32" s="592"/>
      <c r="P32" s="592"/>
      <c r="Q32" s="592"/>
    </row>
    <row r="33" spans="1:17" ht="12.75">
      <c r="A33" s="331" t="str">
        <f t="shared" si="0"/>
        <v>BS026</v>
      </c>
      <c r="B33" s="331" t="s">
        <v>532</v>
      </c>
      <c r="C33" s="548" t="str">
        <f>Index!C77</f>
        <v>Pôžičky v rámci podielovej účasti okrem prepojeným účtovným jednotkám (066A) - 096A</v>
      </c>
      <c r="D33" s="327" t="s">
        <v>1569</v>
      </c>
      <c r="E33" s="9">
        <f>SUMIF(GL!D:D,A33,GL!H:H)</f>
        <v>0</v>
      </c>
      <c r="F33" s="9">
        <f>-SUMIF(GL!E:E,A33,GL!H:H)</f>
        <v>0</v>
      </c>
      <c r="G33" s="329">
        <f t="shared" si="3"/>
        <v>0</v>
      </c>
      <c r="H33" s="637">
        <v>0</v>
      </c>
      <c r="J33" s="600"/>
      <c r="K33" s="600"/>
      <c r="L33" s="599"/>
      <c r="M33" s="600"/>
      <c r="N33" s="592"/>
      <c r="O33" s="592"/>
      <c r="P33" s="592"/>
      <c r="Q33" s="592"/>
    </row>
    <row r="34" spans="1:17" ht="12.75">
      <c r="A34" s="331" t="str">
        <f t="shared" si="0"/>
        <v>BS027</v>
      </c>
      <c r="B34" s="331" t="s">
        <v>533</v>
      </c>
      <c r="C34" s="548" t="str">
        <f>Index!C78</f>
        <v>Ostatné pôžičky (067A) - /096A/</v>
      </c>
      <c r="D34" s="327" t="s">
        <v>1570</v>
      </c>
      <c r="E34" s="9">
        <f>SUMIF(GL!D:D,A34,GL!H:H)</f>
        <v>0</v>
      </c>
      <c r="F34" s="9">
        <f>-SUMIF(GL!E:E,A34,GL!H:H)</f>
        <v>0</v>
      </c>
      <c r="G34" s="329">
        <f t="shared" si="3"/>
        <v>0</v>
      </c>
      <c r="H34" s="637">
        <v>0</v>
      </c>
      <c r="J34" s="600"/>
      <c r="K34" s="600"/>
      <c r="L34" s="599"/>
      <c r="M34" s="600"/>
      <c r="N34" s="592"/>
      <c r="O34" s="592"/>
      <c r="P34" s="592"/>
      <c r="Q34" s="592"/>
    </row>
    <row r="35" spans="1:17" ht="12.75">
      <c r="A35" s="331" t="str">
        <f t="shared" si="0"/>
        <v>BS028</v>
      </c>
      <c r="B35" s="331" t="s">
        <v>534</v>
      </c>
      <c r="C35" s="548" t="str">
        <f>Index!C79</f>
        <v>Dlhové cenné papiere a ostatný dlhodobý finančný majetok (065A, 069A, 06XA) - 096A</v>
      </c>
      <c r="D35" s="327" t="s">
        <v>1571</v>
      </c>
      <c r="E35" s="9">
        <f>SUMIF(GL!D:D,A35,GL!H:H)</f>
        <v>0</v>
      </c>
      <c r="F35" s="9">
        <f>-SUMIF(GL!E:E,A35,GL!H:H)</f>
        <v>0</v>
      </c>
      <c r="G35" s="329">
        <f t="shared" si="3"/>
        <v>0</v>
      </c>
      <c r="H35" s="637">
        <v>0</v>
      </c>
      <c r="J35" s="600"/>
      <c r="K35" s="600"/>
      <c r="L35" s="599"/>
      <c r="M35" s="600"/>
      <c r="N35" s="592"/>
      <c r="O35" s="592"/>
      <c r="P35" s="592"/>
      <c r="Q35" s="592"/>
    </row>
    <row r="36" spans="1:17" ht="25.5">
      <c r="A36" s="331" t="str">
        <f t="shared" si="0"/>
        <v>BS029</v>
      </c>
      <c r="B36" s="331" t="s">
        <v>535</v>
      </c>
      <c r="C36" s="548" t="str">
        <f>Index!C80</f>
        <v>Pôžičky a ostatný dlhodobý finančný majetok so zostatkovou dobou splatnosti najviac jeden rok (066A, 067A, 069A, 06XA) - 096A</v>
      </c>
      <c r="D36" s="327" t="s">
        <v>1575</v>
      </c>
      <c r="E36" s="9">
        <f>SUMIF(GL!D:D,A36,GL!H:H)</f>
        <v>0</v>
      </c>
      <c r="F36" s="9">
        <f>-SUMIF(GL!E:E,A36,GL!H:H)</f>
        <v>0</v>
      </c>
      <c r="G36" s="329">
        <f t="shared" si="3"/>
        <v>0</v>
      </c>
      <c r="H36" s="637">
        <v>0</v>
      </c>
      <c r="J36" s="600"/>
      <c r="K36" s="600"/>
      <c r="L36" s="599"/>
      <c r="M36" s="600"/>
      <c r="N36" s="592"/>
      <c r="O36" s="592"/>
      <c r="P36" s="592"/>
      <c r="Q36" s="592"/>
    </row>
    <row r="37" spans="1:17" ht="12.75">
      <c r="A37" s="331" t="str">
        <f t="shared" si="0"/>
        <v>BS030</v>
      </c>
      <c r="B37" s="331" t="s">
        <v>1772</v>
      </c>
      <c r="C37" s="548" t="str">
        <f>Index!C81</f>
        <v>Účty v bankách s dobou viazanosti dlhšou ako jeden rok (22XA)</v>
      </c>
      <c r="D37" s="327" t="s">
        <v>1577</v>
      </c>
      <c r="E37" s="9">
        <f>SUMIF(GL!D:D,A37,GL!H:H)</f>
        <v>0</v>
      </c>
      <c r="F37" s="9">
        <f>-SUMIF(GL!E:E,A37,GL!H:H)</f>
        <v>0</v>
      </c>
      <c r="G37" s="329">
        <f>E37-F37</f>
        <v>0</v>
      </c>
      <c r="H37" s="637">
        <v>0</v>
      </c>
      <c r="J37" s="600"/>
      <c r="K37" s="600"/>
      <c r="L37" s="599"/>
      <c r="M37" s="600"/>
      <c r="N37" s="592"/>
      <c r="O37" s="592"/>
      <c r="P37" s="592"/>
      <c r="Q37" s="592"/>
    </row>
    <row r="38" spans="1:17" ht="12.75">
      <c r="A38" s="331" t="str">
        <f t="shared" si="0"/>
        <v>BS031</v>
      </c>
      <c r="B38" s="331" t="s">
        <v>1773</v>
      </c>
      <c r="C38" s="548" t="str">
        <f>Index!C82</f>
        <v>Obstarávaný dlhodobý finančný majetok (043) - /096A/</v>
      </c>
      <c r="D38" s="327" t="s">
        <v>1579</v>
      </c>
      <c r="E38" s="9">
        <f>SUMIF(GL!D:D,A38,GL!H:H)</f>
        <v>0</v>
      </c>
      <c r="F38" s="9">
        <f>-SUMIF(GL!E:E,A38,GL!H:H)</f>
        <v>0</v>
      </c>
      <c r="G38" s="329">
        <f>E38-F38</f>
        <v>0</v>
      </c>
      <c r="H38" s="637">
        <v>0</v>
      </c>
      <c r="J38" s="600"/>
      <c r="K38" s="600"/>
      <c r="L38" s="599"/>
      <c r="M38" s="600"/>
      <c r="N38" s="592"/>
      <c r="O38" s="592"/>
      <c r="P38" s="592"/>
      <c r="Q38" s="592"/>
    </row>
    <row r="39" spans="1:17" ht="12.75">
      <c r="A39" s="331" t="str">
        <f t="shared" si="0"/>
        <v>BS032</v>
      </c>
      <c r="B39" s="331" t="s">
        <v>1774</v>
      </c>
      <c r="C39" s="548" t="str">
        <f>Index!C83</f>
        <v>Poskytnuté preddavky na dlhodobý finančný majetok (053) - /095A/</v>
      </c>
      <c r="D39" s="327" t="s">
        <v>1581</v>
      </c>
      <c r="E39" s="9">
        <f>SUMIF(GL!D:D,A39,GL!H:H)</f>
        <v>0</v>
      </c>
      <c r="F39" s="9">
        <f>-SUMIF(GL!E:E,A39,GL!H:H)</f>
        <v>0</v>
      </c>
      <c r="G39" s="329">
        <f>E39-F39</f>
        <v>0</v>
      </c>
      <c r="H39" s="637">
        <v>0</v>
      </c>
      <c r="J39" s="600"/>
      <c r="K39" s="600"/>
      <c r="L39" s="599"/>
      <c r="M39" s="600"/>
      <c r="N39" s="592"/>
      <c r="O39" s="592"/>
      <c r="P39" s="592"/>
      <c r="Q39" s="592"/>
    </row>
    <row r="40" spans="1:17" ht="12.75">
      <c r="A40" s="322" t="str">
        <f t="shared" si="0"/>
        <v>BS033</v>
      </c>
      <c r="B40" s="322" t="s">
        <v>536</v>
      </c>
      <c r="C40" s="546" t="str">
        <f>Index!C84</f>
        <v>Obežný majetok (r. 34 + r. 41 + r. 53 + r. 66 + r. 71)</v>
      </c>
      <c r="D40" s="323" t="s">
        <v>1582</v>
      </c>
      <c r="E40" s="324">
        <f>SUM(E41+E48+E60+E73+E78)</f>
        <v>24392646</v>
      </c>
      <c r="F40" s="324">
        <f>SUM(F41+F48+F60+F73+F78)</f>
        <v>1968038</v>
      </c>
      <c r="G40" s="324">
        <f>SUM(G41+G48+G60+G73+G78)</f>
        <v>22424608</v>
      </c>
      <c r="H40" s="639">
        <v>27985905</v>
      </c>
      <c r="J40" s="602"/>
      <c r="K40" s="602"/>
      <c r="L40" s="602"/>
      <c r="M40" s="602"/>
      <c r="N40" s="592"/>
      <c r="O40" s="592"/>
      <c r="P40" s="592"/>
      <c r="Q40" s="592"/>
    </row>
    <row r="41" spans="1:17" ht="12.75">
      <c r="A41" s="322" t="str">
        <f t="shared" si="0"/>
        <v>BS034</v>
      </c>
      <c r="B41" s="322" t="s">
        <v>537</v>
      </c>
      <c r="C41" s="546" t="str">
        <f>Index!C85</f>
        <v>Zásoby súčet (r. 35 až r. 40)</v>
      </c>
      <c r="D41" s="323" t="s">
        <v>1583</v>
      </c>
      <c r="E41" s="324">
        <f>SUM(E42:E47)</f>
        <v>1408083</v>
      </c>
      <c r="F41" s="324">
        <f>SUM(F42:F47)</f>
        <v>0</v>
      </c>
      <c r="G41" s="324">
        <f>SUM(G42:G47)</f>
        <v>1408083</v>
      </c>
      <c r="H41" s="639">
        <v>2154400</v>
      </c>
      <c r="J41" s="602"/>
      <c r="K41" s="602"/>
      <c r="L41" s="602"/>
      <c r="M41" s="602"/>
      <c r="N41" s="592"/>
      <c r="O41" s="592"/>
      <c r="P41" s="592"/>
      <c r="Q41" s="592"/>
    </row>
    <row r="42" spans="1:17" ht="12.75">
      <c r="A42" s="326" t="str">
        <f t="shared" si="0"/>
        <v>BS035</v>
      </c>
      <c r="B42" s="326" t="s">
        <v>538</v>
      </c>
      <c r="C42" s="393" t="str">
        <f>Index!C86</f>
        <v>Materiál (112, 119, 11X) - /191, 19X/</v>
      </c>
      <c r="D42" s="327" t="s">
        <v>1584</v>
      </c>
      <c r="E42" s="9">
        <f>SUMIF(GL!D:D,A42,GL!H:H)+1</f>
        <v>1018841</v>
      </c>
      <c r="F42" s="9">
        <f>-SUMIF(GL!E:E,A42,GL!H:H)</f>
        <v>0</v>
      </c>
      <c r="G42" s="329">
        <f t="shared" ref="G42:G47" si="4">E42-F42</f>
        <v>1018841</v>
      </c>
      <c r="H42" s="637">
        <v>1296579</v>
      </c>
      <c r="J42" s="600"/>
      <c r="K42" s="600"/>
      <c r="L42" s="599"/>
      <c r="M42" s="600"/>
      <c r="N42" s="592"/>
      <c r="O42" s="592"/>
      <c r="P42" s="592"/>
      <c r="Q42" s="592"/>
    </row>
    <row r="43" spans="1:17" ht="12.75">
      <c r="A43" s="326" t="str">
        <f t="shared" si="0"/>
        <v>BS036</v>
      </c>
      <c r="B43" s="326" t="s">
        <v>540</v>
      </c>
      <c r="C43" s="393" t="str">
        <f>Index!C87</f>
        <v>Nedokončená výroba a polotovary vlastnej výroby (121, 122, 12X) - /192, 193, 19X/</v>
      </c>
      <c r="D43" s="327" t="s">
        <v>1585</v>
      </c>
      <c r="E43" s="9">
        <f>SUMIF(GL!D:D,A43,GL!H:H)</f>
        <v>0</v>
      </c>
      <c r="F43" s="9">
        <f>-SUMIF(GL!E:E,A43,GL!H:H)</f>
        <v>0</v>
      </c>
      <c r="G43" s="329">
        <f t="shared" si="4"/>
        <v>0</v>
      </c>
      <c r="H43" s="637">
        <v>0</v>
      </c>
      <c r="J43" s="600"/>
      <c r="K43" s="600"/>
      <c r="L43" s="599"/>
      <c r="M43" s="600"/>
      <c r="N43" s="592"/>
      <c r="O43" s="592"/>
      <c r="P43" s="592"/>
      <c r="Q43" s="592"/>
    </row>
    <row r="44" spans="1:17" ht="12.75">
      <c r="A44" s="326" t="str">
        <f t="shared" si="0"/>
        <v>BS037</v>
      </c>
      <c r="B44" s="326" t="s">
        <v>542</v>
      </c>
      <c r="C44" s="393" t="str">
        <f>Index!C88</f>
        <v>Výrobky (123) - 194</v>
      </c>
      <c r="D44" s="327" t="s">
        <v>1586</v>
      </c>
      <c r="E44" s="9">
        <f>SUMIF(GL!D:D,A44,GL!H:H)</f>
        <v>0</v>
      </c>
      <c r="F44" s="9">
        <f>-SUMIF(GL!E:E,A44,GL!H:H)</f>
        <v>0</v>
      </c>
      <c r="G44" s="329">
        <f t="shared" si="4"/>
        <v>0</v>
      </c>
      <c r="H44" s="637">
        <v>0</v>
      </c>
      <c r="J44" s="600"/>
      <c r="K44" s="600"/>
      <c r="L44" s="599"/>
      <c r="M44" s="600"/>
      <c r="N44" s="592"/>
      <c r="O44" s="592"/>
      <c r="P44" s="592"/>
      <c r="Q44" s="592"/>
    </row>
    <row r="45" spans="1:17" ht="12.75">
      <c r="A45" s="326" t="str">
        <f t="shared" si="0"/>
        <v>BS038</v>
      </c>
      <c r="B45" s="326" t="s">
        <v>544</v>
      </c>
      <c r="C45" s="393" t="str">
        <f>Index!C89</f>
        <v>Zvieratá (124) - 195</v>
      </c>
      <c r="D45" s="327" t="s">
        <v>1587</v>
      </c>
      <c r="E45" s="9">
        <f>SUMIF(GL!D:D,A45,GL!H:H)</f>
        <v>0</v>
      </c>
      <c r="F45" s="9">
        <f>-SUMIF(GL!E:E,A45,GL!H:H)</f>
        <v>0</v>
      </c>
      <c r="G45" s="329">
        <f t="shared" si="4"/>
        <v>0</v>
      </c>
      <c r="H45" s="637">
        <v>0</v>
      </c>
      <c r="J45" s="600"/>
      <c r="K45" s="600"/>
      <c r="L45" s="599"/>
      <c r="M45" s="600"/>
      <c r="N45" s="592"/>
      <c r="O45" s="592"/>
      <c r="P45" s="592"/>
      <c r="Q45" s="592"/>
    </row>
    <row r="46" spans="1:17" ht="12.75">
      <c r="A46" s="326" t="str">
        <f t="shared" si="0"/>
        <v>BS039</v>
      </c>
      <c r="B46" s="326" t="s">
        <v>546</v>
      </c>
      <c r="C46" s="393" t="str">
        <f>Index!C90</f>
        <v>Tovar (132, 133, 13X, 139) - /196, 19X/</v>
      </c>
      <c r="D46" s="327" t="s">
        <v>1588</v>
      </c>
      <c r="E46" s="9">
        <f>SUMIF(GL!D:D,A46,GL!H:H)</f>
        <v>176880</v>
      </c>
      <c r="F46" s="9">
        <f>-SUMIF(GL!E:E,A46,GL!H:H)</f>
        <v>0</v>
      </c>
      <c r="G46" s="329">
        <f t="shared" si="4"/>
        <v>176880</v>
      </c>
      <c r="H46" s="637">
        <v>101177</v>
      </c>
      <c r="J46" s="600"/>
      <c r="K46" s="600"/>
      <c r="L46" s="599"/>
      <c r="M46" s="600"/>
      <c r="N46" s="592"/>
      <c r="O46" s="592"/>
      <c r="P46" s="592"/>
      <c r="Q46" s="592"/>
    </row>
    <row r="47" spans="1:17" ht="12.75">
      <c r="A47" s="326" t="str">
        <f t="shared" si="0"/>
        <v>BS040</v>
      </c>
      <c r="B47" s="326" t="s">
        <v>548</v>
      </c>
      <c r="C47" s="393" t="str">
        <f>Index!C91</f>
        <v>Poskytnuté preddavky na zásoby (314A) - /391A/</v>
      </c>
      <c r="D47" s="327" t="s">
        <v>1589</v>
      </c>
      <c r="E47" s="9">
        <f>SUMIF(GL!D:D,A47,GL!H:H)</f>
        <v>212362</v>
      </c>
      <c r="F47" s="9">
        <f>-SUMIF(GL!E:E,A47,GL!H:H)</f>
        <v>0</v>
      </c>
      <c r="G47" s="329">
        <f t="shared" si="4"/>
        <v>212362</v>
      </c>
      <c r="H47" s="637">
        <v>756644</v>
      </c>
      <c r="J47" s="600"/>
      <c r="K47" s="600"/>
      <c r="L47" s="599"/>
      <c r="M47" s="600"/>
      <c r="N47" s="592"/>
      <c r="O47" s="592"/>
      <c r="P47" s="592"/>
      <c r="Q47" s="592"/>
    </row>
    <row r="48" spans="1:17" ht="12.75">
      <c r="A48" s="322" t="str">
        <f t="shared" si="0"/>
        <v>BS041</v>
      </c>
      <c r="B48" s="322" t="s">
        <v>549</v>
      </c>
      <c r="C48" s="546" t="str">
        <f>Index!C92</f>
        <v>Dlhodobé pohľadávky súčet (r. 42 + r. 46 až r. 52)</v>
      </c>
      <c r="D48" s="323" t="s">
        <v>1590</v>
      </c>
      <c r="E48" s="324">
        <f>E49+SUM(E53:E59)</f>
        <v>35660</v>
      </c>
      <c r="F48" s="324">
        <f>F49+SUM(F53:F59)</f>
        <v>0</v>
      </c>
      <c r="G48" s="324">
        <f>G49+SUM(G53:G59)</f>
        <v>35660</v>
      </c>
      <c r="H48" s="639">
        <v>35589</v>
      </c>
      <c r="J48" s="602"/>
      <c r="K48" s="602"/>
      <c r="L48" s="602"/>
      <c r="M48" s="602"/>
      <c r="N48" s="592"/>
      <c r="O48" s="592"/>
      <c r="P48" s="592"/>
      <c r="Q48" s="592"/>
    </row>
    <row r="49" spans="1:17" ht="12.75">
      <c r="A49" s="392" t="str">
        <f t="shared" si="0"/>
        <v>BS042</v>
      </c>
      <c r="B49" s="392" t="s">
        <v>550</v>
      </c>
      <c r="C49" s="401" t="str">
        <f>Index!C93</f>
        <v>Pohľadávky z obchodného styku súčet (r. 43 až r. 45)</v>
      </c>
      <c r="D49" s="338" t="s">
        <v>1593</v>
      </c>
      <c r="E49" s="376">
        <f>SUM(E50:E52)</f>
        <v>35660</v>
      </c>
      <c r="F49" s="376">
        <f>SUM(F50:F52)</f>
        <v>0</v>
      </c>
      <c r="G49" s="376">
        <f>SUM(G50:G52)</f>
        <v>35660</v>
      </c>
      <c r="H49" s="640">
        <v>0</v>
      </c>
      <c r="J49" s="603"/>
      <c r="K49" s="603"/>
      <c r="L49" s="603"/>
      <c r="M49" s="603"/>
      <c r="N49" s="592"/>
      <c r="O49" s="592"/>
      <c r="P49" s="592"/>
      <c r="Q49" s="592"/>
    </row>
    <row r="50" spans="1:17" ht="25.5">
      <c r="A50" s="326" t="str">
        <f t="shared" si="0"/>
        <v>BS043</v>
      </c>
      <c r="B50" s="326" t="s">
        <v>1775</v>
      </c>
      <c r="C50" s="393" t="str">
        <f>Index!C94</f>
        <v>Pohľadávky z obchodného styku voči prepojeným účtovným jednotkám (311A, 312A, 313A, 314A, 315A, 31XA) - /391A/</v>
      </c>
      <c r="D50" s="327" t="s">
        <v>1597</v>
      </c>
      <c r="E50" s="9">
        <f>SUMIF(GL!D:D,A50,GL!H:H)</f>
        <v>0</v>
      </c>
      <c r="F50" s="9">
        <f>-SUMIF(GL!E:E,A50,GL!H:H)</f>
        <v>0</v>
      </c>
      <c r="G50" s="329">
        <f>E50-F50</f>
        <v>0</v>
      </c>
      <c r="H50" s="637">
        <v>0</v>
      </c>
      <c r="J50" s="600"/>
      <c r="K50" s="600"/>
      <c r="L50" s="599"/>
      <c r="M50" s="600"/>
      <c r="N50" s="592"/>
      <c r="O50" s="592"/>
      <c r="P50" s="592"/>
      <c r="Q50" s="592"/>
    </row>
    <row r="51" spans="1:17" ht="25.5">
      <c r="A51" s="326" t="str">
        <f t="shared" si="0"/>
        <v>BS044</v>
      </c>
      <c r="B51" s="326" t="s">
        <v>1776</v>
      </c>
      <c r="C51" s="393" t="str">
        <f>Index!C95</f>
        <v>Pohľadávky z obchodného styku v rámci podielovej účasti okrem pohľadávok voči prepojeným účtovným jednotkám (311A, 312A, 313A, 314A, 315A, 31XA) - /391A/</v>
      </c>
      <c r="D51" s="327" t="s">
        <v>1599</v>
      </c>
      <c r="E51" s="9">
        <f>SUMIF(GL!D:D,A51,GL!H:H)</f>
        <v>0</v>
      </c>
      <c r="F51" s="9">
        <f>-SUMIF(GL!E:E,A51,GL!H:H)</f>
        <v>0</v>
      </c>
      <c r="G51" s="329">
        <f>E51-F51</f>
        <v>0</v>
      </c>
      <c r="H51" s="637">
        <v>0</v>
      </c>
      <c r="J51" s="600"/>
      <c r="K51" s="600"/>
      <c r="L51" s="599"/>
      <c r="M51" s="600"/>
      <c r="N51" s="592"/>
      <c r="O51" s="592"/>
      <c r="P51" s="592"/>
      <c r="Q51" s="592"/>
    </row>
    <row r="52" spans="1:17" ht="12.75">
      <c r="A52" s="326" t="str">
        <f t="shared" si="0"/>
        <v>BS045</v>
      </c>
      <c r="B52" s="326" t="s">
        <v>1777</v>
      </c>
      <c r="C52" s="393" t="str">
        <f>Index!C96</f>
        <v>Ostatné pohľadávky z obchodného styku (311A, 312A, 313A, 314A, 315A, 31XA) - /391A/</v>
      </c>
      <c r="D52" s="327" t="s">
        <v>1601</v>
      </c>
      <c r="E52" s="9">
        <f>SUMIF(GL!D:D,A52,GL!H:H)</f>
        <v>35660</v>
      </c>
      <c r="F52" s="9">
        <f>-SUMIF(GL!E:E,A52,GL!H:H)</f>
        <v>0</v>
      </c>
      <c r="G52" s="329">
        <f>E52-F52</f>
        <v>35660</v>
      </c>
      <c r="H52" s="637">
        <v>0</v>
      </c>
      <c r="J52" s="600"/>
      <c r="K52" s="600"/>
      <c r="L52" s="599"/>
      <c r="M52" s="600"/>
      <c r="N52" s="592"/>
      <c r="O52" s="592"/>
      <c r="P52" s="592"/>
      <c r="Q52" s="592"/>
    </row>
    <row r="53" spans="1:17" ht="12.75">
      <c r="A53" s="326" t="str">
        <f t="shared" si="0"/>
        <v>BS046</v>
      </c>
      <c r="B53" s="326" t="s">
        <v>551</v>
      </c>
      <c r="C53" s="393" t="str">
        <f>Index!C97</f>
        <v>Čistá hodnota zákazky (316A)</v>
      </c>
      <c r="D53" s="327" t="s">
        <v>1602</v>
      </c>
      <c r="E53" s="9">
        <f>SUMIF(GL!D:D,A53,GL!H:H)</f>
        <v>0</v>
      </c>
      <c r="F53" s="9">
        <f>-SUMIF(GL!E:E,A53,GL!H:H)</f>
        <v>0</v>
      </c>
      <c r="G53" s="329">
        <f t="shared" ref="G53:G59" si="5">E53-F53</f>
        <v>0</v>
      </c>
      <c r="H53" s="637">
        <v>0</v>
      </c>
      <c r="J53" s="600"/>
      <c r="K53" s="600"/>
      <c r="L53" s="599"/>
      <c r="M53" s="600"/>
      <c r="N53" s="592"/>
      <c r="O53" s="592"/>
      <c r="P53" s="592"/>
      <c r="Q53" s="592"/>
    </row>
    <row r="54" spans="1:17" ht="12.75">
      <c r="A54" s="326" t="str">
        <f t="shared" si="0"/>
        <v>BS047</v>
      </c>
      <c r="B54" s="326" t="s">
        <v>553</v>
      </c>
      <c r="C54" s="393" t="str">
        <f>Index!C98</f>
        <v>Ostatné pohľadávky voči prepojeným účtovným jednotkám (351A) - /391A/</v>
      </c>
      <c r="D54" s="327" t="s">
        <v>1603</v>
      </c>
      <c r="E54" s="9">
        <f>SUMIF(GL!D:D,A54,GL!H:H)</f>
        <v>0</v>
      </c>
      <c r="F54" s="9">
        <f>-SUMIF(GL!E:E,A54,GL!H:H)</f>
        <v>0</v>
      </c>
      <c r="G54" s="329">
        <f t="shared" si="5"/>
        <v>0</v>
      </c>
      <c r="H54" s="637">
        <v>0</v>
      </c>
      <c r="J54" s="600"/>
      <c r="K54" s="600"/>
      <c r="L54" s="599"/>
      <c r="M54" s="600"/>
      <c r="N54" s="592"/>
      <c r="O54" s="592"/>
      <c r="P54" s="592"/>
      <c r="Q54" s="592"/>
    </row>
    <row r="55" spans="1:17" ht="25.5">
      <c r="A55" s="326" t="str">
        <f t="shared" si="0"/>
        <v>BS048</v>
      </c>
      <c r="B55" s="326" t="s">
        <v>554</v>
      </c>
      <c r="C55" s="393" t="str">
        <f>Index!C99</f>
        <v>Ostatné pohľadávky v rámci podielovej účasti okrem pohľadávok voči prepojeným účtovným jednotkám (351A) - /391A/</v>
      </c>
      <c r="D55" s="327" t="s">
        <v>1604</v>
      </c>
      <c r="E55" s="9">
        <f>SUMIF(GL!D:D,A55,GL!H:H)</f>
        <v>0</v>
      </c>
      <c r="F55" s="9">
        <f>-SUMIF(GL!E:E,A55,GL!H:H)</f>
        <v>0</v>
      </c>
      <c r="G55" s="329">
        <f t="shared" si="5"/>
        <v>0</v>
      </c>
      <c r="H55" s="637">
        <v>0</v>
      </c>
      <c r="J55" s="600"/>
      <c r="K55" s="600"/>
      <c r="L55" s="599"/>
      <c r="M55" s="600"/>
      <c r="N55" s="592"/>
      <c r="O55" s="592"/>
      <c r="P55" s="592"/>
      <c r="Q55" s="592"/>
    </row>
    <row r="56" spans="1:17" ht="25.5" customHeight="1">
      <c r="A56" s="331" t="str">
        <f t="shared" si="0"/>
        <v>BS049</v>
      </c>
      <c r="B56" s="331" t="s">
        <v>555</v>
      </c>
      <c r="C56" s="548" t="str">
        <f>Index!C100</f>
        <v>Pohľadávky voči spoločníkom, členom a združeniu (354A, 355A, 358A, 35XA) - /391A/</v>
      </c>
      <c r="D56" s="327" t="s">
        <v>1605</v>
      </c>
      <c r="E56" s="9">
        <f>SUMIF(GL!D:D,A56,GL!H:H)</f>
        <v>0</v>
      </c>
      <c r="F56" s="9">
        <f>-SUMIF(GL!E:E,A56,GL!H:H)</f>
        <v>0</v>
      </c>
      <c r="G56" s="329">
        <f t="shared" si="5"/>
        <v>0</v>
      </c>
      <c r="H56" s="637">
        <v>0</v>
      </c>
      <c r="J56" s="600"/>
      <c r="K56" s="600"/>
      <c r="L56" s="599"/>
      <c r="M56" s="600"/>
      <c r="N56" s="592"/>
      <c r="O56" s="592"/>
      <c r="P56" s="592"/>
      <c r="Q56" s="592"/>
    </row>
    <row r="57" spans="1:17" ht="12.75">
      <c r="A57" s="331" t="str">
        <f t="shared" si="0"/>
        <v>BS050</v>
      </c>
      <c r="B57" s="331" t="s">
        <v>556</v>
      </c>
      <c r="C57" s="548" t="str">
        <f>Index!C101</f>
        <v>Pohľadávky z derivátových operácií (373A, 376A)</v>
      </c>
      <c r="D57" s="327" t="s">
        <v>1607</v>
      </c>
      <c r="E57" s="9">
        <f>SUMIF(GL!D:D,A57,GL!H:H)</f>
        <v>0</v>
      </c>
      <c r="F57" s="9">
        <f>-SUMIF(GL!E:E,A57,GL!H:H)</f>
        <v>0</v>
      </c>
      <c r="G57" s="329">
        <f>E57-F57</f>
        <v>0</v>
      </c>
      <c r="H57" s="637">
        <v>0</v>
      </c>
      <c r="J57" s="600"/>
      <c r="K57" s="600"/>
      <c r="L57" s="599"/>
      <c r="M57" s="600"/>
      <c r="N57" s="592"/>
      <c r="O57" s="592"/>
      <c r="P57" s="592"/>
      <c r="Q57" s="592"/>
    </row>
    <row r="58" spans="1:17" ht="12.75">
      <c r="A58" s="331" t="str">
        <f t="shared" si="0"/>
        <v>BS051</v>
      </c>
      <c r="B58" s="331" t="s">
        <v>557</v>
      </c>
      <c r="C58" s="548" t="str">
        <f>Index!C102</f>
        <v>Iné pohľadávky (335A, 336A, 33XA, 371A, 374A, 375A, 378A) - /391A/</v>
      </c>
      <c r="D58" s="327" t="s">
        <v>1608</v>
      </c>
      <c r="E58" s="9">
        <f>SUMIF(GL!D:D,A58,GL!H:H)</f>
        <v>0</v>
      </c>
      <c r="F58" s="9">
        <f>-SUMIF(GL!E:E,A58,GL!H:H)</f>
        <v>0</v>
      </c>
      <c r="G58" s="329">
        <f t="shared" si="5"/>
        <v>0</v>
      </c>
      <c r="H58" s="637">
        <v>35589</v>
      </c>
      <c r="J58" s="600"/>
      <c r="K58" s="600"/>
      <c r="L58" s="599"/>
      <c r="M58" s="600"/>
      <c r="N58" s="592"/>
      <c r="O58" s="592"/>
      <c r="P58" s="592"/>
      <c r="Q58" s="592"/>
    </row>
    <row r="59" spans="1:17" ht="12.75">
      <c r="A59" s="331" t="str">
        <f t="shared" si="0"/>
        <v>BS052</v>
      </c>
      <c r="B59" s="331" t="s">
        <v>606</v>
      </c>
      <c r="C59" s="548" t="str">
        <f>Index!C103</f>
        <v>Odložená daňová pohľadávka (481A)</v>
      </c>
      <c r="D59" s="327" t="s">
        <v>1609</v>
      </c>
      <c r="E59" s="9">
        <f>SUMIF(GL!D:D,A59,GL!H:H)</f>
        <v>0</v>
      </c>
      <c r="F59" s="9">
        <f>-SUMIF(GL!E:E,A59,GL!H:H)</f>
        <v>0</v>
      </c>
      <c r="G59" s="329">
        <f t="shared" si="5"/>
        <v>0</v>
      </c>
      <c r="H59" s="637">
        <v>0</v>
      </c>
      <c r="J59" s="600"/>
      <c r="K59" s="600"/>
      <c r="L59" s="599"/>
      <c r="M59" s="600"/>
      <c r="N59" s="592"/>
      <c r="O59" s="592"/>
      <c r="P59" s="592"/>
      <c r="Q59" s="592"/>
    </row>
    <row r="60" spans="1:17" ht="12.75">
      <c r="A60" s="322" t="str">
        <f t="shared" si="0"/>
        <v>BS053</v>
      </c>
      <c r="B60" s="322" t="s">
        <v>559</v>
      </c>
      <c r="C60" s="546" t="str">
        <f>Index!C104</f>
        <v>Krátkodobé pohľadávky súčet (r. 54 + r. 58 až r. 65)</v>
      </c>
      <c r="D60" s="323" t="s">
        <v>1610</v>
      </c>
      <c r="E60" s="324">
        <f>E61+SUM(E65:E72)</f>
        <v>18162428</v>
      </c>
      <c r="F60" s="324">
        <f>F61+SUM(F65:F72)</f>
        <v>1968038</v>
      </c>
      <c r="G60" s="324">
        <f>G61+SUM(G65:G72)</f>
        <v>16194390</v>
      </c>
      <c r="H60" s="639">
        <v>25782632</v>
      </c>
      <c r="J60" s="602"/>
      <c r="K60" s="602"/>
      <c r="L60" s="602"/>
      <c r="M60" s="602"/>
      <c r="N60" s="592"/>
      <c r="O60" s="592"/>
      <c r="P60" s="592"/>
      <c r="Q60" s="592"/>
    </row>
    <row r="61" spans="1:17" ht="12.75">
      <c r="A61" s="392" t="str">
        <f t="shared" si="0"/>
        <v>BS054</v>
      </c>
      <c r="B61" s="392" t="s">
        <v>560</v>
      </c>
      <c r="C61" s="401" t="str">
        <f>Index!C105</f>
        <v>Pohľadávky z obchodného styku súčet (r. 55 až r. 57)</v>
      </c>
      <c r="D61" s="338" t="s">
        <v>1612</v>
      </c>
      <c r="E61" s="376">
        <f>SUM(E62:E64)</f>
        <v>4015326</v>
      </c>
      <c r="F61" s="376">
        <f>SUM(F62:F64)</f>
        <v>1968038</v>
      </c>
      <c r="G61" s="376">
        <f>SUM(G62:G64)</f>
        <v>2047288</v>
      </c>
      <c r="H61" s="640">
        <v>3380546</v>
      </c>
      <c r="J61" s="603"/>
      <c r="K61" s="603"/>
      <c r="L61" s="603"/>
      <c r="M61" s="603"/>
      <c r="N61" s="592"/>
      <c r="O61" s="592"/>
      <c r="P61" s="592"/>
      <c r="Q61" s="592"/>
    </row>
    <row r="62" spans="1:17" ht="25.5">
      <c r="A62" s="326" t="str">
        <f t="shared" si="0"/>
        <v>BS055</v>
      </c>
      <c r="B62" s="326" t="s">
        <v>1778</v>
      </c>
      <c r="C62" s="393" t="str">
        <f>Index!C106</f>
        <v>Pohľadávky z obchodného styku voči prepojeným účtovným jednotkám (311A, 312A, 313A, 314A, 315A, 31XA) - /391A/</v>
      </c>
      <c r="D62" s="327" t="s">
        <v>1613</v>
      </c>
      <c r="E62" s="607">
        <v>183723</v>
      </c>
      <c r="F62" s="9">
        <f>-SUMIF(GL!E:E,A62,GL!H:H)</f>
        <v>0</v>
      </c>
      <c r="G62" s="329">
        <f>E62-F62</f>
        <v>183723</v>
      </c>
      <c r="H62" s="637">
        <v>703155</v>
      </c>
      <c r="J62" s="600"/>
      <c r="K62" s="600"/>
      <c r="L62" s="599"/>
      <c r="M62" s="600"/>
      <c r="N62" s="592"/>
      <c r="O62" s="592"/>
      <c r="P62" s="592"/>
      <c r="Q62" s="592"/>
    </row>
    <row r="63" spans="1:17" ht="25.5">
      <c r="A63" s="326" t="str">
        <f t="shared" si="0"/>
        <v>BS056</v>
      </c>
      <c r="B63" s="326" t="s">
        <v>1779</v>
      </c>
      <c r="C63" s="393" t="str">
        <f>Index!C107</f>
        <v>Pohľadávky z obchodného styku v rámci podielovej účasti okrem pohľadávok voči prepojeným účtovným jednotkám (311A, 312A, 313A, 314A, 315A, 31XA) - /391A/</v>
      </c>
      <c r="D63" s="327" t="s">
        <v>1614</v>
      </c>
      <c r="E63" s="607">
        <f>SUMIF(GL!D:D,A63,GL!H:H)</f>
        <v>0</v>
      </c>
      <c r="F63" s="9">
        <f>-SUMIF(GL!E:E,A63,GL!H:H)</f>
        <v>0</v>
      </c>
      <c r="G63" s="329">
        <f>E63-F63</f>
        <v>0</v>
      </c>
      <c r="H63" s="637">
        <v>0</v>
      </c>
      <c r="J63" s="600"/>
      <c r="K63" s="600"/>
      <c r="L63" s="599"/>
      <c r="M63" s="600"/>
      <c r="N63" s="592"/>
      <c r="O63" s="592"/>
      <c r="P63" s="592"/>
      <c r="Q63" s="592"/>
    </row>
    <row r="64" spans="1:17" ht="25.5" customHeight="1">
      <c r="A64" s="326" t="str">
        <f t="shared" si="0"/>
        <v>BS057</v>
      </c>
      <c r="B64" s="326" t="s">
        <v>1780</v>
      </c>
      <c r="C64" s="393" t="str">
        <f>Index!C108</f>
        <v>Ostatné pohľadávky z obchodného styku (311A, 312A, 313A, 314A, 315A, 31XA) - /391A/</v>
      </c>
      <c r="D64" s="327" t="s">
        <v>1617</v>
      </c>
      <c r="E64" s="607">
        <v>3831603</v>
      </c>
      <c r="F64" s="9">
        <f>-SUMIF(GL!E:E,A64,GL!H:H)</f>
        <v>1968038</v>
      </c>
      <c r="G64" s="329">
        <f>E64-F64</f>
        <v>1863565</v>
      </c>
      <c r="H64" s="637">
        <v>2677391</v>
      </c>
      <c r="J64" s="600"/>
      <c r="K64" s="600"/>
      <c r="L64" s="599"/>
      <c r="M64" s="600"/>
      <c r="N64" s="592"/>
      <c r="O64" s="592"/>
      <c r="P64" s="592"/>
      <c r="Q64" s="592"/>
    </row>
    <row r="65" spans="1:18" ht="12.75">
      <c r="A65" s="326" t="str">
        <f t="shared" si="0"/>
        <v>BS058</v>
      </c>
      <c r="B65" s="326" t="s">
        <v>561</v>
      </c>
      <c r="C65" s="393" t="str">
        <f>Index!C109</f>
        <v>Čistá hodnota zákazky (316A)</v>
      </c>
      <c r="D65" s="327" t="s">
        <v>1618</v>
      </c>
      <c r="E65" s="607">
        <f>SUMIF(GL!D:D,A65,GL!H:H)</f>
        <v>0</v>
      </c>
      <c r="F65" s="9">
        <f>-SUMIF(GL!E:E,A65,GL!H:H)</f>
        <v>0</v>
      </c>
      <c r="G65" s="329">
        <f t="shared" ref="G65:G72" si="6">E65-F65</f>
        <v>0</v>
      </c>
      <c r="H65" s="637">
        <v>0</v>
      </c>
      <c r="J65" s="600"/>
      <c r="K65" s="600"/>
      <c r="L65" s="599"/>
      <c r="M65" s="600"/>
      <c r="N65" s="592"/>
      <c r="O65" s="592"/>
      <c r="P65" s="592"/>
      <c r="Q65" s="592"/>
    </row>
    <row r="66" spans="1:18" ht="12.75">
      <c r="A66" s="326" t="str">
        <f t="shared" si="0"/>
        <v>BS059</v>
      </c>
      <c r="B66" s="326" t="s">
        <v>562</v>
      </c>
      <c r="C66" s="393" t="str">
        <f>Index!C110</f>
        <v>Ostatné pohľadávky voči prepojeným účtovným jednotkám (351A) - /391A/</v>
      </c>
      <c r="D66" s="327" t="s">
        <v>1619</v>
      </c>
      <c r="E66" s="607">
        <v>14148371</v>
      </c>
      <c r="F66" s="9">
        <f>-SUMIF(GL!E:E,A66,GL!H:H)</f>
        <v>0</v>
      </c>
      <c r="G66" s="329">
        <f t="shared" si="6"/>
        <v>14148371</v>
      </c>
      <c r="H66" s="637">
        <v>22399745</v>
      </c>
      <c r="J66" s="600"/>
      <c r="K66" s="600"/>
      <c r="L66" s="599"/>
      <c r="M66" s="600"/>
      <c r="N66" s="592"/>
      <c r="O66" s="592"/>
      <c r="P66" s="592"/>
      <c r="Q66" s="592"/>
      <c r="R66" s="591"/>
    </row>
    <row r="67" spans="1:18" ht="25.5">
      <c r="A67" s="326" t="str">
        <f t="shared" si="0"/>
        <v>BS060</v>
      </c>
      <c r="B67" s="326" t="s">
        <v>563</v>
      </c>
      <c r="C67" s="393" t="str">
        <f>Index!C111</f>
        <v>Ostatné pohľadávky v rámci podielovej účasti okrem pohľadávok voči prepojeným účtovným jednotkám (351A) - /391A/</v>
      </c>
      <c r="D67" s="327" t="s">
        <v>1620</v>
      </c>
      <c r="E67" s="607">
        <f>SUMIF(GL!D:D,A67,GL!H:H)</f>
        <v>0</v>
      </c>
      <c r="F67" s="9">
        <f>-SUMIF(GL!E:E,A67,GL!H:H)</f>
        <v>0</v>
      </c>
      <c r="G67" s="329">
        <f t="shared" si="6"/>
        <v>0</v>
      </c>
      <c r="H67" s="637">
        <v>0</v>
      </c>
      <c r="J67" s="600"/>
      <c r="K67" s="600"/>
      <c r="L67" s="599"/>
      <c r="M67" s="600"/>
      <c r="N67" s="592"/>
      <c r="O67" s="592"/>
      <c r="P67" s="592"/>
      <c r="Q67" s="592"/>
      <c r="R67" s="591"/>
    </row>
    <row r="68" spans="1:18" ht="25.5" customHeight="1">
      <c r="A68" s="326" t="str">
        <f t="shared" si="0"/>
        <v>BS061</v>
      </c>
      <c r="B68" s="326" t="s">
        <v>564</v>
      </c>
      <c r="C68" s="393" t="str">
        <f>Index!C112</f>
        <v>Pohľadávky voči spoločníkom, členom a združeniu (354A, 355A, 358A, 35XA, 398A) - /391A/</v>
      </c>
      <c r="D68" s="327" t="s">
        <v>1621</v>
      </c>
      <c r="E68" s="607">
        <f>SUMIF(GL!D:D,A68,GL!H:H)</f>
        <v>0</v>
      </c>
      <c r="F68" s="9">
        <f>-SUMIF(GL!E:E,A68,GL!H:H)</f>
        <v>0</v>
      </c>
      <c r="G68" s="329">
        <f t="shared" si="6"/>
        <v>0</v>
      </c>
      <c r="H68" s="637">
        <v>0</v>
      </c>
      <c r="J68" s="600"/>
      <c r="K68" s="600"/>
      <c r="L68" s="599"/>
      <c r="M68" s="600"/>
      <c r="N68" s="592"/>
      <c r="O68" s="592"/>
      <c r="P68" s="592"/>
      <c r="Q68" s="592"/>
    </row>
    <row r="69" spans="1:18" ht="12.75">
      <c r="A69" s="326" t="str">
        <f t="shared" si="0"/>
        <v>BS062</v>
      </c>
      <c r="B69" s="326" t="s">
        <v>565</v>
      </c>
      <c r="C69" s="393" t="str">
        <f>Index!C113</f>
        <v>Sociálne poistenie (336) - /391A/</v>
      </c>
      <c r="D69" s="327" t="s">
        <v>1622</v>
      </c>
      <c r="E69" s="607">
        <f>SUMIF(GL!D:D,A69,GL!H:H)</f>
        <v>0</v>
      </c>
      <c r="F69" s="9">
        <f>-SUMIF(GL!E:E,A69,GL!H:H)</f>
        <v>0</v>
      </c>
      <c r="G69" s="329">
        <f t="shared" si="6"/>
        <v>0</v>
      </c>
      <c r="H69" s="637">
        <v>0</v>
      </c>
      <c r="J69" s="600"/>
      <c r="K69" s="600"/>
      <c r="L69" s="599"/>
      <c r="M69" s="600"/>
      <c r="N69" s="592"/>
      <c r="O69" s="592"/>
      <c r="P69" s="592"/>
      <c r="Q69" s="592"/>
    </row>
    <row r="70" spans="1:18" ht="12.75">
      <c r="A70" s="331" t="str">
        <f t="shared" si="0"/>
        <v>BS063</v>
      </c>
      <c r="B70" s="331" t="s">
        <v>566</v>
      </c>
      <c r="C70" s="548" t="str">
        <f>Index!C114</f>
        <v>Daňové pohľadávky a dotácie (341, 342, 343, 345 346, 347) - /391A/</v>
      </c>
      <c r="D70" s="327" t="s">
        <v>1623</v>
      </c>
      <c r="E70" s="607">
        <f>SUMIF(GL!D:D,A70,GL!H:H)</f>
        <v>482</v>
      </c>
      <c r="F70" s="9">
        <f>-SUMIF(GL!E:E,A70,GL!H:H)</f>
        <v>0</v>
      </c>
      <c r="G70" s="329">
        <f t="shared" si="6"/>
        <v>482</v>
      </c>
      <c r="H70" s="637">
        <v>2448</v>
      </c>
      <c r="J70" s="600"/>
      <c r="K70" s="600"/>
      <c r="L70" s="599"/>
      <c r="M70" s="600"/>
      <c r="N70" s="592"/>
      <c r="O70" s="592"/>
      <c r="P70" s="592"/>
      <c r="Q70" s="592"/>
    </row>
    <row r="71" spans="1:18" ht="12.75">
      <c r="A71" s="331" t="str">
        <f t="shared" si="0"/>
        <v>BS064</v>
      </c>
      <c r="B71" s="331" t="s">
        <v>567</v>
      </c>
      <c r="C71" s="548" t="str">
        <f>Index!C115</f>
        <v>Pohľadávky z derivátových operácií (373A, 376A)</v>
      </c>
      <c r="D71" s="327" t="s">
        <v>1624</v>
      </c>
      <c r="E71" s="607">
        <f>SUMIF(GL!D:D,A71,GL!H:H)</f>
        <v>0</v>
      </c>
      <c r="F71" s="9">
        <f>-SUMIF(GL!E:E,A71,GL!H:H)</f>
        <v>0</v>
      </c>
      <c r="G71" s="329">
        <f>E71-F71</f>
        <v>0</v>
      </c>
      <c r="H71" s="637">
        <v>0</v>
      </c>
      <c r="J71" s="600"/>
      <c r="K71" s="600"/>
      <c r="L71" s="599"/>
      <c r="M71" s="600"/>
      <c r="N71" s="592"/>
      <c r="O71" s="592"/>
      <c r="P71" s="592"/>
      <c r="Q71" s="592"/>
    </row>
    <row r="72" spans="1:18" ht="12.75">
      <c r="A72" s="331" t="str">
        <f t="shared" si="0"/>
        <v>BS065</v>
      </c>
      <c r="B72" s="331" t="s">
        <v>625</v>
      </c>
      <c r="C72" s="548" t="str">
        <f>Index!C116</f>
        <v>Iné pohľadávky (335A, 33XA, 371A, 374A, 375A, 378A) - /391A/</v>
      </c>
      <c r="D72" s="327" t="s">
        <v>1625</v>
      </c>
      <c r="E72" s="607">
        <v>-1751</v>
      </c>
      <c r="F72" s="9">
        <f>-SUMIF(GL!E:E,A72,GL!H:H)</f>
        <v>0</v>
      </c>
      <c r="G72" s="329">
        <f t="shared" si="6"/>
        <v>-1751</v>
      </c>
      <c r="H72" s="637">
        <v>-107</v>
      </c>
      <c r="J72" s="600"/>
      <c r="K72" s="600"/>
      <c r="L72" s="599"/>
      <c r="M72" s="600"/>
      <c r="N72" s="592"/>
      <c r="O72" s="592"/>
      <c r="P72" s="592"/>
      <c r="Q72" s="592"/>
    </row>
    <row r="73" spans="1:18" ht="12.75">
      <c r="A73" s="322" t="str">
        <f t="shared" ref="A73:A85" si="7">"BS"&amp;0&amp;D73</f>
        <v>BS066</v>
      </c>
      <c r="B73" s="322" t="s">
        <v>568</v>
      </c>
      <c r="C73" s="546" t="str">
        <f>Index!C117</f>
        <v>Krátkodobý finančný majetok súčet (r. 67 až r. 70)</v>
      </c>
      <c r="D73" s="323" t="s">
        <v>1626</v>
      </c>
      <c r="E73" s="324">
        <f>SUM(E74:E77)</f>
        <v>0</v>
      </c>
      <c r="F73" s="324">
        <f>SUM(F74:F77)</f>
        <v>0</v>
      </c>
      <c r="G73" s="324">
        <f>SUM(G74:G77)</f>
        <v>0</v>
      </c>
      <c r="H73" s="639">
        <v>0</v>
      </c>
      <c r="J73" s="602"/>
      <c r="K73" s="602"/>
      <c r="L73" s="602"/>
      <c r="M73" s="602"/>
      <c r="N73" s="592"/>
      <c r="O73" s="592"/>
      <c r="P73" s="592"/>
      <c r="Q73" s="592"/>
    </row>
    <row r="74" spans="1:18" ht="12.75">
      <c r="A74" s="326" t="str">
        <f t="shared" si="7"/>
        <v>BS067</v>
      </c>
      <c r="B74" s="326" t="s">
        <v>569</v>
      </c>
      <c r="C74" s="393" t="str">
        <f>Index!C118</f>
        <v>Krátkodobý finančný majetok v prepojených účtovných jednotkách (251A, 253A, 256A, 257A, 25XA) - /291A, 29XA/</v>
      </c>
      <c r="D74" s="327" t="s">
        <v>1628</v>
      </c>
      <c r="E74" s="9">
        <f>SUMIF(GL!D:D,A74,GL!H:H)</f>
        <v>0</v>
      </c>
      <c r="F74" s="9">
        <f>-SUMIF(GL!E:E,A74,GL!H:H)</f>
        <v>0</v>
      </c>
      <c r="G74" s="329">
        <f>E74-F74</f>
        <v>0</v>
      </c>
      <c r="H74" s="637">
        <v>0</v>
      </c>
      <c r="J74" s="600"/>
      <c r="K74" s="600"/>
      <c r="L74" s="599"/>
      <c r="M74" s="600"/>
      <c r="N74" s="592"/>
      <c r="O74" s="592"/>
      <c r="P74" s="592"/>
      <c r="Q74" s="592"/>
    </row>
    <row r="75" spans="1:18" ht="38.25">
      <c r="A75" s="326" t="str">
        <f t="shared" si="7"/>
        <v>BS068</v>
      </c>
      <c r="B75" s="326" t="s">
        <v>571</v>
      </c>
      <c r="C75" s="393" t="str">
        <f>Index!C119</f>
        <v>Krátkodobý finančný
majetok bez krátkodobého finančného majetku v prepojených účtovných jednotkách (251A, 253A, 256A, 257A, 25XA) - /291A, 29XA/</v>
      </c>
      <c r="D75" s="327" t="s">
        <v>1629</v>
      </c>
      <c r="E75" s="9">
        <f>SUMIF(GL!D:D,A75,GL!H:H)</f>
        <v>0</v>
      </c>
      <c r="F75" s="9">
        <f>-SUMIF(GL!E:E,A75,GL!H:H)</f>
        <v>0</v>
      </c>
      <c r="G75" s="329">
        <f>E75-F75</f>
        <v>0</v>
      </c>
      <c r="H75" s="637">
        <v>0</v>
      </c>
      <c r="J75" s="600"/>
      <c r="K75" s="600"/>
      <c r="L75" s="599"/>
      <c r="M75" s="600"/>
      <c r="N75" s="592"/>
      <c r="O75" s="592"/>
      <c r="P75" s="592"/>
      <c r="Q75" s="592"/>
    </row>
    <row r="76" spans="1:18" ht="12.75">
      <c r="A76" s="326" t="str">
        <f t="shared" si="7"/>
        <v>BS069</v>
      </c>
      <c r="B76" s="326" t="s">
        <v>573</v>
      </c>
      <c r="C76" s="393" t="str">
        <f>Index!C120</f>
        <v>Vlastné akcie a vlastné obchodné podiely (252)</v>
      </c>
      <c r="D76" s="327" t="s">
        <v>1631</v>
      </c>
      <c r="E76" s="9">
        <f>SUMIF(GL!D:D,A76,GL!H:H)</f>
        <v>0</v>
      </c>
      <c r="F76" s="9">
        <f>-SUMIF(GL!E:E,A76,GL!H:H)</f>
        <v>0</v>
      </c>
      <c r="G76" s="329">
        <f>E76-F76</f>
        <v>0</v>
      </c>
      <c r="H76" s="637">
        <v>0</v>
      </c>
      <c r="J76" s="600"/>
      <c r="K76" s="600"/>
      <c r="L76" s="599"/>
      <c r="M76" s="600"/>
      <c r="N76" s="592"/>
      <c r="O76" s="592"/>
      <c r="P76" s="592"/>
      <c r="Q76" s="592"/>
    </row>
    <row r="77" spans="1:18" ht="12.75">
      <c r="A77" s="326" t="str">
        <f t="shared" si="7"/>
        <v>BS070</v>
      </c>
      <c r="B77" s="326" t="s">
        <v>574</v>
      </c>
      <c r="C77" s="393" t="str">
        <f>Index!C121</f>
        <v>Obstarávaný krátkodobý finančný majetok (259, 314A) - 291A</v>
      </c>
      <c r="D77" s="327" t="s">
        <v>1632</v>
      </c>
      <c r="E77" s="9">
        <f>SUMIF(GL!D:D,A77,GL!H:H)</f>
        <v>0</v>
      </c>
      <c r="F77" s="9">
        <f>-SUMIF(GL!E:E,A77,GL!H:H)</f>
        <v>0</v>
      </c>
      <c r="G77" s="329">
        <f>E77-F77</f>
        <v>0</v>
      </c>
      <c r="H77" s="637">
        <v>0</v>
      </c>
      <c r="J77" s="600"/>
      <c r="K77" s="600"/>
      <c r="L77" s="599"/>
      <c r="M77" s="600"/>
      <c r="N77" s="592"/>
      <c r="O77" s="592"/>
      <c r="P77" s="592"/>
      <c r="Q77" s="592"/>
    </row>
    <row r="78" spans="1:18" s="335" customFormat="1" ht="12.75">
      <c r="A78" s="322" t="str">
        <f t="shared" si="7"/>
        <v>BS071</v>
      </c>
      <c r="B78" s="322" t="s">
        <v>631</v>
      </c>
      <c r="C78" s="546" t="str">
        <f>Index!C122</f>
        <v>Finančné účty súčet r. 72 až r. 73</v>
      </c>
      <c r="D78" s="323" t="s">
        <v>1635</v>
      </c>
      <c r="E78" s="324">
        <f>SUM(E79:E80)</f>
        <v>4786475</v>
      </c>
      <c r="F78" s="324">
        <f>SUM(F79:F80)</f>
        <v>0</v>
      </c>
      <c r="G78" s="324">
        <f>SUM(G79:G80)</f>
        <v>4786475</v>
      </c>
      <c r="H78" s="639">
        <v>13284</v>
      </c>
      <c r="I78" s="319"/>
      <c r="J78" s="602"/>
      <c r="K78" s="602"/>
      <c r="L78" s="602"/>
      <c r="M78" s="602"/>
      <c r="N78" s="592"/>
      <c r="O78" s="592"/>
      <c r="P78" s="592"/>
      <c r="Q78" s="592"/>
    </row>
    <row r="79" spans="1:18" ht="12.75">
      <c r="A79" s="326" t="str">
        <f t="shared" si="7"/>
        <v>BS072</v>
      </c>
      <c r="B79" s="326" t="s">
        <v>633</v>
      </c>
      <c r="C79" s="393" t="str">
        <f>Index!C123</f>
        <v>Peniaze (211, 213, 21X)</v>
      </c>
      <c r="D79" s="327" t="s">
        <v>1636</v>
      </c>
      <c r="E79" s="9">
        <f>SUMIF(GL!D:D,A79,GL!H:H)+1</f>
        <v>811</v>
      </c>
      <c r="F79" s="9">
        <f>-SUMIF(GL!E:E,A79,GL!H:H)</f>
        <v>0</v>
      </c>
      <c r="G79" s="329">
        <f>E79-F79</f>
        <v>811</v>
      </c>
      <c r="H79" s="637">
        <v>386</v>
      </c>
      <c r="J79" s="600"/>
      <c r="K79" s="600"/>
      <c r="L79" s="599"/>
      <c r="M79" s="600"/>
      <c r="N79" s="592"/>
      <c r="O79" s="592"/>
      <c r="P79" s="592"/>
      <c r="Q79" s="592"/>
    </row>
    <row r="80" spans="1:18" ht="12.75">
      <c r="A80" s="326" t="str">
        <f t="shared" si="7"/>
        <v>BS073</v>
      </c>
      <c r="B80" s="326" t="s">
        <v>635</v>
      </c>
      <c r="C80" s="393" t="str">
        <f>Index!C124</f>
        <v>Účty v bankách (221A, 22X +/-261)</v>
      </c>
      <c r="D80" s="327" t="s">
        <v>1637</v>
      </c>
      <c r="E80" s="9">
        <v>4785664</v>
      </c>
      <c r="F80" s="9">
        <f>-SUMIF(GL!E:E,A80,GL!H:H)</f>
        <v>0</v>
      </c>
      <c r="G80" s="329">
        <f>E80-F80</f>
        <v>4785664</v>
      </c>
      <c r="H80" s="637">
        <v>12898</v>
      </c>
      <c r="J80" s="600"/>
      <c r="K80" s="600"/>
      <c r="L80" s="599"/>
      <c r="M80" s="600"/>
      <c r="N80" s="592"/>
      <c r="O80" s="592"/>
      <c r="P80" s="592"/>
      <c r="Q80" s="592"/>
    </row>
    <row r="81" spans="1:17" ht="12.75">
      <c r="A81" s="322" t="str">
        <f t="shared" si="7"/>
        <v>BS074</v>
      </c>
      <c r="B81" s="322" t="s">
        <v>576</v>
      </c>
      <c r="C81" s="546" t="str">
        <f>Index!C125</f>
        <v>Časové rozlíšenie súčet (r. 75 až r. 78)</v>
      </c>
      <c r="D81" s="323" t="s">
        <v>1639</v>
      </c>
      <c r="E81" s="324">
        <f>SUM(E82:E85)</f>
        <v>46065</v>
      </c>
      <c r="F81" s="324">
        <f>SUM(F82:F85)</f>
        <v>0</v>
      </c>
      <c r="G81" s="324">
        <f>SUM(G82:G85)</f>
        <v>46065</v>
      </c>
      <c r="H81" s="639">
        <v>237331</v>
      </c>
      <c r="J81" s="602"/>
      <c r="K81" s="602"/>
      <c r="L81" s="602"/>
      <c r="M81" s="602"/>
      <c r="N81" s="592"/>
      <c r="O81" s="592"/>
      <c r="P81" s="592"/>
      <c r="Q81" s="592"/>
    </row>
    <row r="82" spans="1:17" ht="12.75">
      <c r="A82" s="326" t="str">
        <f t="shared" si="7"/>
        <v>BS075</v>
      </c>
      <c r="B82" s="326" t="s">
        <v>577</v>
      </c>
      <c r="C82" s="393" t="str">
        <f>Index!C126</f>
        <v>Náklady budúcich období dlhodobé (381A, 382A)</v>
      </c>
      <c r="D82" s="327" t="s">
        <v>1640</v>
      </c>
      <c r="E82" s="9">
        <f>SUMIF(GL!D:D,A82,GL!H:H)</f>
        <v>0</v>
      </c>
      <c r="F82" s="9">
        <f>-SUMIF(GL!E:E,A82,GL!H:H)</f>
        <v>0</v>
      </c>
      <c r="G82" s="329">
        <f>E82-F82</f>
        <v>0</v>
      </c>
      <c r="H82" s="637">
        <v>0</v>
      </c>
      <c r="J82" s="600"/>
      <c r="K82" s="600"/>
      <c r="L82" s="599"/>
      <c r="M82" s="600"/>
      <c r="N82" s="592"/>
      <c r="O82" s="592"/>
      <c r="P82" s="592"/>
      <c r="Q82" s="592"/>
    </row>
    <row r="83" spans="1:17" ht="12.75">
      <c r="A83" s="326" t="str">
        <f t="shared" si="7"/>
        <v>BS076</v>
      </c>
      <c r="B83" s="326" t="s">
        <v>579</v>
      </c>
      <c r="C83" s="393" t="str">
        <f>Index!C127</f>
        <v>Náklady budúcich období krátkodobé (381A, 382A)</v>
      </c>
      <c r="D83" s="327" t="s">
        <v>1641</v>
      </c>
      <c r="E83" s="9">
        <f>SUMIF(GL!D:D,A83,GL!H:H)+1</f>
        <v>2182</v>
      </c>
      <c r="F83" s="9">
        <f>-SUMIF(GL!E:E,A83,GL!H:H)</f>
        <v>0</v>
      </c>
      <c r="G83" s="329">
        <f>E83-F83</f>
        <v>2182</v>
      </c>
      <c r="H83" s="637">
        <v>302</v>
      </c>
      <c r="J83" s="600"/>
      <c r="K83" s="600"/>
      <c r="L83" s="599"/>
      <c r="M83" s="600"/>
      <c r="N83" s="592"/>
      <c r="O83" s="592"/>
      <c r="P83" s="592"/>
      <c r="Q83" s="592"/>
    </row>
    <row r="84" spans="1:17" ht="12.75">
      <c r="A84" s="326" t="str">
        <f t="shared" si="7"/>
        <v>BS077</v>
      </c>
      <c r="B84" s="326" t="s">
        <v>581</v>
      </c>
      <c r="C84" s="393" t="str">
        <f>Index!C128</f>
        <v>Príjmy budúcich období dlhodobé (385A)</v>
      </c>
      <c r="D84" s="327" t="s">
        <v>1642</v>
      </c>
      <c r="E84" s="9">
        <f>SUMIF(GL!D:D,A84,GL!H:H)</f>
        <v>0</v>
      </c>
      <c r="F84" s="9">
        <f>-SUMIF(GL!E:E,A84,GL!H:H)</f>
        <v>0</v>
      </c>
      <c r="G84" s="329">
        <f>E84-F84</f>
        <v>0</v>
      </c>
      <c r="H84" s="637">
        <v>0</v>
      </c>
      <c r="J84" s="600"/>
      <c r="K84" s="600"/>
      <c r="L84" s="599"/>
      <c r="M84" s="600"/>
      <c r="N84" s="592"/>
      <c r="O84" s="592"/>
      <c r="P84" s="592"/>
      <c r="Q84" s="592"/>
    </row>
    <row r="85" spans="1:17" ht="12.75">
      <c r="A85" s="326" t="str">
        <f t="shared" si="7"/>
        <v>BS078</v>
      </c>
      <c r="B85" s="326" t="s">
        <v>583</v>
      </c>
      <c r="C85" s="393" t="str">
        <f>Index!C129</f>
        <v>Príjmy budúcich období krátkodobé (385A)</v>
      </c>
      <c r="D85" s="327" t="s">
        <v>1643</v>
      </c>
      <c r="E85" s="9">
        <f>SUMIF(GL!D:D,A85,GL!H:H)</f>
        <v>43883</v>
      </c>
      <c r="F85" s="9">
        <f>-SUMIF(GL!E:E,A85,GL!H:H)</f>
        <v>0</v>
      </c>
      <c r="G85" s="329">
        <f>E85-F85</f>
        <v>43883</v>
      </c>
      <c r="H85" s="637">
        <v>237029</v>
      </c>
      <c r="J85" s="600"/>
      <c r="K85" s="600"/>
      <c r="L85" s="599"/>
      <c r="M85" s="600"/>
      <c r="N85" s="592"/>
      <c r="O85" s="592"/>
      <c r="P85" s="592"/>
      <c r="Q85" s="592"/>
    </row>
    <row r="86" spans="1:17" s="455" customFormat="1" ht="15">
      <c r="A86" s="450"/>
      <c r="B86" s="450">
        <f>B1</f>
        <v>0</v>
      </c>
      <c r="C86" s="451"/>
      <c r="D86" s="452"/>
      <c r="E86" s="453"/>
      <c r="F86" s="453"/>
      <c r="G86" s="453"/>
      <c r="H86" s="453"/>
      <c r="I86" s="454"/>
      <c r="J86" s="385"/>
      <c r="K86" s="385"/>
      <c r="L86" s="385"/>
      <c r="M86" s="385"/>
      <c r="N86" s="380"/>
      <c r="O86" s="380"/>
      <c r="P86" s="380"/>
      <c r="Q86" s="380"/>
    </row>
    <row r="87" spans="1:17" s="460" customFormat="1" ht="14.25">
      <c r="A87" s="456"/>
      <c r="B87" s="456" t="str">
        <f>B2</f>
        <v>Súvaha k 31. decembru 2022</v>
      </c>
      <c r="C87" s="457"/>
      <c r="D87" s="458"/>
      <c r="E87" s="459"/>
      <c r="F87" s="459"/>
      <c r="G87" s="719"/>
      <c r="H87" s="719"/>
      <c r="I87" s="319"/>
      <c r="J87" s="729"/>
      <c r="K87" s="729"/>
      <c r="L87" s="729"/>
      <c r="M87" s="729"/>
      <c r="N87" s="604"/>
      <c r="O87" s="604"/>
      <c r="P87" s="604"/>
      <c r="Q87" s="604"/>
    </row>
    <row r="88" spans="1:17" s="336" customFormat="1" ht="17.25" customHeight="1">
      <c r="A88" s="731"/>
      <c r="B88" s="731" t="str">
        <f>B3</f>
        <v>Označenie</v>
      </c>
      <c r="C88" s="731" t="str">
        <f>Index!C432</f>
        <v>STRANA PASÍV</v>
      </c>
      <c r="D88" s="734" t="str">
        <f>D3</f>
        <v>č.r.</v>
      </c>
      <c r="E88" s="743" t="str">
        <f>E3</f>
        <v>Bežné účtovné obdobie</v>
      </c>
      <c r="F88" s="744"/>
      <c r="G88" s="743" t="str">
        <f>H3</f>
        <v>Bezprostredne predchádzajúce účtovné obdobie</v>
      </c>
      <c r="H88" s="744"/>
      <c r="I88" s="319"/>
      <c r="J88" s="748"/>
      <c r="K88" s="748"/>
      <c r="L88" s="748"/>
      <c r="M88" s="748"/>
    </row>
    <row r="89" spans="1:17" s="336" customFormat="1" ht="17.25" customHeight="1">
      <c r="A89" s="733"/>
      <c r="B89" s="733"/>
      <c r="C89" s="732"/>
      <c r="D89" s="735"/>
      <c r="E89" s="745"/>
      <c r="F89" s="746"/>
      <c r="G89" s="745"/>
      <c r="H89" s="746"/>
      <c r="I89" s="319"/>
      <c r="J89" s="748"/>
      <c r="K89" s="748"/>
      <c r="L89" s="748"/>
      <c r="M89" s="748"/>
    </row>
    <row r="90" spans="1:17" s="337" customFormat="1" ht="12">
      <c r="A90" s="4"/>
      <c r="B90" s="4" t="s">
        <v>491</v>
      </c>
      <c r="C90" s="95" t="s">
        <v>492</v>
      </c>
      <c r="D90" s="4" t="s">
        <v>493</v>
      </c>
      <c r="E90" s="416">
        <v>5</v>
      </c>
      <c r="F90" s="417"/>
      <c r="G90" s="416">
        <v>6</v>
      </c>
      <c r="H90" s="417"/>
      <c r="I90" s="319"/>
      <c r="J90" s="605"/>
      <c r="K90" s="605"/>
      <c r="L90" s="605"/>
      <c r="M90" s="605"/>
    </row>
    <row r="91" spans="1:17" s="337" customFormat="1" ht="14.25">
      <c r="A91" s="5"/>
      <c r="B91" s="5"/>
      <c r="C91" s="96"/>
      <c r="D91" s="7"/>
      <c r="E91" s="418" t="s">
        <v>883</v>
      </c>
      <c r="F91" s="419"/>
      <c r="G91" s="418" t="s">
        <v>883</v>
      </c>
      <c r="H91" s="419"/>
      <c r="I91" s="319"/>
      <c r="J91" s="605"/>
      <c r="K91" s="605"/>
      <c r="L91" s="605"/>
      <c r="M91" s="605"/>
      <c r="N91" s="718"/>
      <c r="O91" s="718"/>
      <c r="P91" s="582"/>
    </row>
    <row r="92" spans="1:17" ht="12.75">
      <c r="A92" s="392" t="str">
        <f>"BS"&amp;0&amp;D92</f>
        <v>BS079</v>
      </c>
      <c r="B92" s="392"/>
      <c r="C92" s="401" t="str">
        <f>Index!C130</f>
        <v>Spolu vlastné imanie a záväzky r. 80 + r. 101 + r. 141</v>
      </c>
      <c r="D92" s="338" t="s">
        <v>1645</v>
      </c>
      <c r="E92" s="723">
        <f>SUM(E93+E114+E154)</f>
        <v>64204508.530000001</v>
      </c>
      <c r="F92" s="724"/>
      <c r="G92" s="710">
        <v>47257737</v>
      </c>
      <c r="H92" s="711"/>
      <c r="J92" s="717"/>
      <c r="K92" s="717"/>
      <c r="L92" s="717"/>
      <c r="M92" s="717"/>
      <c r="N92" s="606"/>
      <c r="O92" s="606"/>
    </row>
    <row r="93" spans="1:17" ht="12.75">
      <c r="A93" s="392" t="str">
        <f t="shared" ref="A93:A111" si="8">"BS"&amp;0&amp;D93</f>
        <v>BS080</v>
      </c>
      <c r="B93" s="392" t="s">
        <v>495</v>
      </c>
      <c r="C93" s="401" t="str">
        <f>Index!C131</f>
        <v>Vlastné imanie (r. 81 + r. 85 + r. 86 + r. 87 + r. 90 + r. 93 + r. 97 + r. 100)</v>
      </c>
      <c r="D93" s="338" t="s">
        <v>1646</v>
      </c>
      <c r="E93" s="723">
        <f>SUM(E94+E98+E99+E100+E103+E106+E110+E113)</f>
        <v>48639426.530000001</v>
      </c>
      <c r="F93" s="724"/>
      <c r="G93" s="710">
        <v>26263197</v>
      </c>
      <c r="H93" s="711"/>
      <c r="J93" s="717"/>
      <c r="K93" s="717"/>
      <c r="L93" s="717"/>
      <c r="M93" s="717"/>
      <c r="N93" s="606"/>
      <c r="O93" s="606"/>
    </row>
    <row r="94" spans="1:17" ht="12.75">
      <c r="A94" s="340" t="str">
        <f t="shared" si="8"/>
        <v>BS081</v>
      </c>
      <c r="B94" s="340" t="s">
        <v>496</v>
      </c>
      <c r="C94" s="549" t="str">
        <f>Index!C132</f>
        <v>Základné imanie súčet (r. 82 až r. 84)</v>
      </c>
      <c r="D94" s="338" t="s">
        <v>1647</v>
      </c>
      <c r="E94" s="723">
        <f>SUM(E95:F97)</f>
        <v>179249</v>
      </c>
      <c r="F94" s="724"/>
      <c r="G94" s="710">
        <v>179249</v>
      </c>
      <c r="H94" s="711"/>
      <c r="J94" s="717"/>
      <c r="K94" s="717"/>
      <c r="L94" s="717"/>
      <c r="M94" s="717"/>
      <c r="N94" s="606"/>
      <c r="O94" s="606"/>
    </row>
    <row r="95" spans="1:17" ht="12.75">
      <c r="A95" s="326" t="str">
        <f t="shared" si="8"/>
        <v>BS082</v>
      </c>
      <c r="B95" s="326" t="s">
        <v>586</v>
      </c>
      <c r="C95" s="393" t="str">
        <f>Index!C133</f>
        <v>Základné imanie (411 alebo +/- 491)</v>
      </c>
      <c r="D95" s="327" t="s">
        <v>1648</v>
      </c>
      <c r="E95" s="721">
        <f>-SUMIF(GL!D:D,A95,GL!H:H)</f>
        <v>179249</v>
      </c>
      <c r="F95" s="722"/>
      <c r="G95" s="708">
        <v>179249</v>
      </c>
      <c r="H95" s="709"/>
      <c r="J95" s="716"/>
      <c r="K95" s="716"/>
      <c r="L95" s="716"/>
      <c r="M95" s="716"/>
      <c r="N95" s="606"/>
      <c r="O95" s="606"/>
    </row>
    <row r="96" spans="1:17" ht="12.75">
      <c r="A96" s="331" t="str">
        <f t="shared" si="8"/>
        <v>BS083</v>
      </c>
      <c r="B96" s="331" t="s">
        <v>497</v>
      </c>
      <c r="C96" s="548" t="str">
        <f>Index!C134</f>
        <v>Zmena základného imania +/- 419</v>
      </c>
      <c r="D96" s="327" t="s">
        <v>1649</v>
      </c>
      <c r="E96" s="721">
        <f>-SUMIF(GL!D:D,A96,GL!H:H)</f>
        <v>0</v>
      </c>
      <c r="F96" s="722"/>
      <c r="G96" s="708">
        <v>0</v>
      </c>
      <c r="H96" s="709"/>
      <c r="J96" s="716"/>
      <c r="K96" s="716"/>
      <c r="L96" s="716"/>
      <c r="M96" s="716"/>
      <c r="N96" s="606"/>
      <c r="O96" s="606"/>
    </row>
    <row r="97" spans="1:15" ht="12.75">
      <c r="A97" s="326" t="str">
        <f t="shared" si="8"/>
        <v>BS084</v>
      </c>
      <c r="B97" s="326" t="s">
        <v>499</v>
      </c>
      <c r="C97" s="393" t="str">
        <f>Index!C135</f>
        <v>Pohľadávky za upísané vlastné imanie (/-/353)</v>
      </c>
      <c r="D97" s="327" t="s">
        <v>1650</v>
      </c>
      <c r="E97" s="721">
        <f>-SUMIF(GL!D:D,A97,GL!H:H)</f>
        <v>0</v>
      </c>
      <c r="F97" s="722"/>
      <c r="G97" s="708">
        <v>0</v>
      </c>
      <c r="H97" s="709"/>
      <c r="J97" s="716"/>
      <c r="K97" s="716"/>
      <c r="L97" s="716"/>
      <c r="M97" s="716"/>
      <c r="N97" s="606"/>
      <c r="O97" s="606"/>
    </row>
    <row r="98" spans="1:15" ht="12.75">
      <c r="A98" s="396" t="str">
        <f t="shared" si="8"/>
        <v>BS085</v>
      </c>
      <c r="B98" s="396" t="s">
        <v>509</v>
      </c>
      <c r="C98" s="550" t="str">
        <f>Index!C136</f>
        <v>Emisné ážio (412)</v>
      </c>
      <c r="D98" s="327" t="s">
        <v>1651</v>
      </c>
      <c r="E98" s="721">
        <f>-SUMIF(GL!D:D,A98,GL!H:H)</f>
        <v>0</v>
      </c>
      <c r="F98" s="722"/>
      <c r="G98" s="708">
        <v>0</v>
      </c>
      <c r="H98" s="709"/>
      <c r="J98" s="716"/>
      <c r="K98" s="716"/>
      <c r="L98" s="716"/>
      <c r="M98" s="716"/>
      <c r="N98" s="606"/>
      <c r="O98" s="606"/>
    </row>
    <row r="99" spans="1:15" ht="12.95" customHeight="1">
      <c r="A99" s="326" t="str">
        <f t="shared" si="8"/>
        <v>BS086</v>
      </c>
      <c r="B99" s="326" t="s">
        <v>527</v>
      </c>
      <c r="C99" s="393" t="str">
        <f>Index!C137</f>
        <v>Ostatné kapitálové fondy (413)</v>
      </c>
      <c r="D99" s="327" t="s">
        <v>1652</v>
      </c>
      <c r="E99" s="721">
        <f>-SUMIF(GL!D:D,A99,GL!H:H)</f>
        <v>1500000</v>
      </c>
      <c r="F99" s="722"/>
      <c r="G99" s="708">
        <v>1500000</v>
      </c>
      <c r="H99" s="709"/>
      <c r="J99" s="716"/>
      <c r="K99" s="716"/>
      <c r="L99" s="716"/>
      <c r="M99" s="716"/>
      <c r="N99" s="606"/>
      <c r="O99" s="606"/>
    </row>
    <row r="100" spans="1:15" ht="12.95" customHeight="1">
      <c r="A100" s="392" t="str">
        <f t="shared" si="8"/>
        <v>BS087</v>
      </c>
      <c r="B100" s="392" t="s">
        <v>595</v>
      </c>
      <c r="C100" s="401" t="str">
        <f>Index!C138</f>
        <v>Zákonné rezervné fondy r. 88 + r. 89</v>
      </c>
      <c r="D100" s="338" t="s">
        <v>1654</v>
      </c>
      <c r="E100" s="727">
        <f>SUM(E101:F102)</f>
        <v>17930</v>
      </c>
      <c r="F100" s="728"/>
      <c r="G100" s="714">
        <v>17930</v>
      </c>
      <c r="H100" s="715"/>
      <c r="J100" s="720"/>
      <c r="K100" s="720"/>
      <c r="L100" s="720"/>
      <c r="M100" s="720"/>
      <c r="N100" s="606"/>
      <c r="O100" s="606"/>
    </row>
    <row r="101" spans="1:15" ht="15.75" customHeight="1">
      <c r="A101" s="326" t="str">
        <f t="shared" si="8"/>
        <v>BS088</v>
      </c>
      <c r="B101" s="326" t="s">
        <v>596</v>
      </c>
      <c r="C101" s="393" t="str">
        <f>Index!C139</f>
        <v>Zákonný rezervný fond a nedeliteľný fond (417A, 418, 421A, 422)</v>
      </c>
      <c r="D101" s="327" t="s">
        <v>1656</v>
      </c>
      <c r="E101" s="721">
        <f>-SUMIF(GL!D:D,A101,GL!H:H)</f>
        <v>17930</v>
      </c>
      <c r="F101" s="722"/>
      <c r="G101" s="708">
        <v>17930</v>
      </c>
      <c r="H101" s="709"/>
      <c r="J101" s="716"/>
      <c r="K101" s="716"/>
      <c r="L101" s="716"/>
      <c r="M101" s="716"/>
      <c r="N101" s="606"/>
      <c r="O101" s="606"/>
    </row>
    <row r="102" spans="1:15" ht="12.75">
      <c r="A102" s="326" t="str">
        <f t="shared" si="8"/>
        <v>BS089</v>
      </c>
      <c r="B102" s="326" t="s">
        <v>598</v>
      </c>
      <c r="C102" s="393" t="str">
        <f>Index!C140</f>
        <v>Rezervný fond na vlastné akcie a vlastné podiely (417A, 421A)</v>
      </c>
      <c r="D102" s="327" t="s">
        <v>1658</v>
      </c>
      <c r="E102" s="721">
        <f>-SUMIF(GL!D:D,A102,GL!H:H)</f>
        <v>0</v>
      </c>
      <c r="F102" s="722"/>
      <c r="G102" s="708">
        <v>0</v>
      </c>
      <c r="H102" s="709"/>
      <c r="J102" s="716"/>
      <c r="K102" s="716"/>
      <c r="L102" s="716"/>
      <c r="M102" s="716"/>
      <c r="N102" s="606"/>
      <c r="O102" s="606"/>
    </row>
    <row r="103" spans="1:15" ht="12.75">
      <c r="A103" s="340" t="str">
        <f t="shared" si="8"/>
        <v>BS090</v>
      </c>
      <c r="B103" s="340" t="s">
        <v>600</v>
      </c>
      <c r="C103" s="549" t="str">
        <f>Index!C141</f>
        <v>Ostatné fondy zo zisku r. 91 + r. 92</v>
      </c>
      <c r="D103" s="338" t="s">
        <v>1661</v>
      </c>
      <c r="E103" s="723">
        <f>SUM(E104:F105)</f>
        <v>0</v>
      </c>
      <c r="F103" s="724"/>
      <c r="G103" s="710">
        <v>0</v>
      </c>
      <c r="H103" s="711"/>
      <c r="J103" s="717"/>
      <c r="K103" s="717"/>
      <c r="L103" s="717"/>
      <c r="M103" s="717"/>
      <c r="N103" s="606"/>
      <c r="O103" s="606"/>
    </row>
    <row r="104" spans="1:15" ht="12.75">
      <c r="A104" s="326" t="str">
        <f t="shared" si="8"/>
        <v>BS091</v>
      </c>
      <c r="B104" s="326" t="s">
        <v>1662</v>
      </c>
      <c r="C104" s="393" t="str">
        <f>Index!C142</f>
        <v>Štatutárne fondy (423, 42X)</v>
      </c>
      <c r="D104" s="327" t="s">
        <v>1663</v>
      </c>
      <c r="E104" s="721">
        <f>-SUMIF(GL!D:D,A104,GL!H:H)</f>
        <v>0</v>
      </c>
      <c r="F104" s="722"/>
      <c r="G104" s="708">
        <v>0</v>
      </c>
      <c r="H104" s="709"/>
      <c r="J104" s="716"/>
      <c r="K104" s="716"/>
      <c r="L104" s="716"/>
      <c r="M104" s="716"/>
      <c r="N104" s="606"/>
      <c r="O104" s="606"/>
    </row>
    <row r="105" spans="1:15" ht="12.75">
      <c r="A105" s="326" t="str">
        <f t="shared" si="8"/>
        <v>BS092</v>
      </c>
      <c r="B105" s="326" t="s">
        <v>1786</v>
      </c>
      <c r="C105" s="393" t="str">
        <f>Index!C143</f>
        <v>Ostatné fondy (427, 42X)</v>
      </c>
      <c r="D105" s="327" t="s">
        <v>1665</v>
      </c>
      <c r="E105" s="721">
        <f>-SUMIF(GL!D:D,A105,GL!H:H)</f>
        <v>0</v>
      </c>
      <c r="F105" s="722"/>
      <c r="G105" s="708">
        <v>0</v>
      </c>
      <c r="H105" s="709"/>
      <c r="J105" s="716"/>
      <c r="K105" s="716"/>
      <c r="L105" s="716"/>
      <c r="M105" s="716"/>
      <c r="N105" s="606"/>
      <c r="O105" s="606"/>
    </row>
    <row r="106" spans="1:15" ht="12.75">
      <c r="A106" s="395" t="str">
        <f t="shared" si="8"/>
        <v>BS093</v>
      </c>
      <c r="B106" s="395" t="s">
        <v>1666</v>
      </c>
      <c r="C106" s="551" t="str">
        <f>Index!C144</f>
        <v>Oceňovacie rozdiely z precenenia súčet (r. 94 až r. 96)</v>
      </c>
      <c r="D106" s="338" t="s">
        <v>1668</v>
      </c>
      <c r="E106" s="727">
        <f>SUM(E107:F109)</f>
        <v>19660241.530000001</v>
      </c>
      <c r="F106" s="728"/>
      <c r="G106" s="714">
        <v>-2260240</v>
      </c>
      <c r="H106" s="715"/>
      <c r="J106" s="720"/>
      <c r="K106" s="720"/>
      <c r="L106" s="720"/>
      <c r="M106" s="720"/>
      <c r="N106" s="606"/>
      <c r="O106" s="606"/>
    </row>
    <row r="107" spans="1:15" ht="12.75">
      <c r="A107" s="326" t="str">
        <f t="shared" si="8"/>
        <v>BS094</v>
      </c>
      <c r="B107" s="326" t="s">
        <v>1787</v>
      </c>
      <c r="C107" s="393" t="str">
        <f>Index!C145</f>
        <v>Oceňovacie rozdiely z precenenia majetku a záväzkov (+/- 414)</v>
      </c>
      <c r="D107" s="327" t="s">
        <v>1670</v>
      </c>
      <c r="E107" s="721">
        <f>-SUMIF(GL!D:D,A107,GL!H:H)</f>
        <v>19660241.530000001</v>
      </c>
      <c r="F107" s="722"/>
      <c r="G107" s="708">
        <v>-2260240</v>
      </c>
      <c r="H107" s="709"/>
      <c r="J107" s="716"/>
      <c r="K107" s="716"/>
      <c r="L107" s="716"/>
      <c r="M107" s="716"/>
      <c r="N107" s="606"/>
      <c r="O107" s="606"/>
    </row>
    <row r="108" spans="1:15" ht="12.75">
      <c r="A108" s="326" t="str">
        <f t="shared" si="8"/>
        <v>BS095</v>
      </c>
      <c r="B108" s="326" t="s">
        <v>1788</v>
      </c>
      <c r="C108" s="393" t="str">
        <f>Index!C146</f>
        <v>Oceňovacie rozdiely z kapitálových účastín (+/- 415)</v>
      </c>
      <c r="D108" s="327" t="s">
        <v>1671</v>
      </c>
      <c r="E108" s="721">
        <f>-SUMIF(GL!D:D,A108,GL!H:H)</f>
        <v>0</v>
      </c>
      <c r="F108" s="722"/>
      <c r="G108" s="708">
        <v>0</v>
      </c>
      <c r="H108" s="709"/>
      <c r="J108" s="716"/>
      <c r="K108" s="716"/>
      <c r="L108" s="716"/>
      <c r="M108" s="716"/>
      <c r="N108" s="606"/>
      <c r="O108" s="606"/>
    </row>
    <row r="109" spans="1:15" ht="12.75">
      <c r="A109" s="331" t="str">
        <f t="shared" si="8"/>
        <v>BS096</v>
      </c>
      <c r="B109" s="331" t="s">
        <v>1789</v>
      </c>
      <c r="C109" s="548" t="str">
        <f>Index!C147</f>
        <v>Oceňovacie rozdiely z precenenia pri zlúčení, splynutí a rozdelení (+/- 416)</v>
      </c>
      <c r="D109" s="327" t="s">
        <v>1672</v>
      </c>
      <c r="E109" s="721">
        <f>-SUMIF(GL!D:D,A109,GL!H:H)</f>
        <v>0</v>
      </c>
      <c r="F109" s="722"/>
      <c r="G109" s="708">
        <v>0</v>
      </c>
      <c r="H109" s="709"/>
      <c r="J109" s="716"/>
      <c r="K109" s="716"/>
      <c r="L109" s="716"/>
      <c r="M109" s="716"/>
      <c r="N109" s="606"/>
      <c r="O109" s="606"/>
    </row>
    <row r="110" spans="1:15" ht="12.75">
      <c r="A110" s="340" t="str">
        <f t="shared" si="8"/>
        <v>BS097</v>
      </c>
      <c r="B110" s="340" t="s">
        <v>1673</v>
      </c>
      <c r="C110" s="549" t="str">
        <f>Index!C148</f>
        <v>Výsledok hospodárenia minulých rokov r. 98 + r. 99</v>
      </c>
      <c r="D110" s="338" t="s">
        <v>1674</v>
      </c>
      <c r="E110" s="723">
        <f>SUM(E111:F112)</f>
        <v>26826259</v>
      </c>
      <c r="F110" s="724"/>
      <c r="G110" s="710">
        <v>25727061</v>
      </c>
      <c r="H110" s="711"/>
      <c r="J110" s="717"/>
      <c r="K110" s="717"/>
      <c r="L110" s="717"/>
      <c r="M110" s="717"/>
      <c r="N110" s="606"/>
      <c r="O110" s="606"/>
    </row>
    <row r="111" spans="1:15" ht="12.75">
      <c r="A111" s="326" t="str">
        <f t="shared" si="8"/>
        <v>BS098</v>
      </c>
      <c r="B111" s="326" t="s">
        <v>1675</v>
      </c>
      <c r="C111" s="393" t="str">
        <f>Index!C149</f>
        <v>Nerozdelený zisk minulých rokov (428)</v>
      </c>
      <c r="D111" s="327" t="s">
        <v>1676</v>
      </c>
      <c r="E111" s="721">
        <f>-SUMIF(GL!D:D,A111,GL!H:H)+1</f>
        <v>26864597</v>
      </c>
      <c r="F111" s="722"/>
      <c r="G111" s="708">
        <v>26864596</v>
      </c>
      <c r="H111" s="709"/>
      <c r="J111" s="716"/>
      <c r="K111" s="716"/>
      <c r="L111" s="716"/>
      <c r="M111" s="716"/>
      <c r="N111" s="606"/>
      <c r="O111" s="606"/>
    </row>
    <row r="112" spans="1:15" ht="12.75">
      <c r="A112" s="331" t="str">
        <f>"BS"&amp;0&amp;D112</f>
        <v>BS099</v>
      </c>
      <c r="B112" s="331" t="s">
        <v>1790</v>
      </c>
      <c r="C112" s="548" t="str">
        <f>Index!C150</f>
        <v>Neuhradená strata minulých rokov (/-/429)</v>
      </c>
      <c r="D112" s="327" t="s">
        <v>1677</v>
      </c>
      <c r="E112" s="721">
        <f>-SUMIF(GL!D:D,A112,GL!H:H)</f>
        <v>-38338</v>
      </c>
      <c r="F112" s="722"/>
      <c r="G112" s="708">
        <v>-1137535</v>
      </c>
      <c r="H112" s="709"/>
      <c r="J112" s="716"/>
      <c r="K112" s="716"/>
      <c r="L112" s="716"/>
      <c r="M112" s="716"/>
      <c r="N112" s="606"/>
      <c r="O112" s="606"/>
    </row>
    <row r="113" spans="1:15" ht="42" customHeight="1">
      <c r="A113" s="392" t="str">
        <f>"BS"&amp;D113</f>
        <v>BS100</v>
      </c>
      <c r="B113" s="392" t="s">
        <v>1678</v>
      </c>
      <c r="C113" s="401" t="str">
        <f>Index!C151</f>
        <v>Výsledok hospodárenia za účtovné obdobie po zdanení /+-/ r. 01 - (r. 81 + r. 85 + r. 86 + r. 87 + r. 90 + r. 93 + r. 97 + r. 101 + r. 141)</v>
      </c>
      <c r="D113" s="338" t="s">
        <v>603</v>
      </c>
      <c r="E113" s="723">
        <f>SUM(G8-(E94+E98+E99+E100+E103+E106+E110+E114+E154))</f>
        <v>455747</v>
      </c>
      <c r="F113" s="724"/>
      <c r="G113" s="710">
        <v>1099197</v>
      </c>
      <c r="H113" s="711"/>
      <c r="J113" s="717"/>
      <c r="K113" s="717"/>
      <c r="L113" s="717"/>
      <c r="M113" s="717"/>
      <c r="N113" s="606"/>
      <c r="O113" s="606"/>
    </row>
    <row r="114" spans="1:15" ht="12.75">
      <c r="A114" s="392" t="str">
        <f t="shared" ref="A114:A158" si="9">"BS"&amp;D114</f>
        <v>BS101</v>
      </c>
      <c r="B114" s="392" t="s">
        <v>601</v>
      </c>
      <c r="C114" s="401" t="str">
        <f>Index!C152</f>
        <v>Záväzky (r. 102 + r. 118 + r. 121 + r. 122 + r. 136 + r. 139 + r. 140)</v>
      </c>
      <c r="D114" s="338" t="s">
        <v>605</v>
      </c>
      <c r="E114" s="723">
        <f>SUM(E115+E131+E134+E135+E149+E152+E153)</f>
        <v>15544250</v>
      </c>
      <c r="F114" s="724"/>
      <c r="G114" s="710">
        <v>20994540</v>
      </c>
      <c r="H114" s="711"/>
      <c r="J114" s="717"/>
      <c r="K114" s="717"/>
      <c r="L114" s="717"/>
      <c r="M114" s="717"/>
      <c r="N114" s="606"/>
      <c r="O114" s="606"/>
    </row>
    <row r="115" spans="1:15" ht="12.75">
      <c r="A115" s="340" t="str">
        <f t="shared" si="9"/>
        <v>BS102</v>
      </c>
      <c r="B115" s="340" t="s">
        <v>537</v>
      </c>
      <c r="C115" s="549" t="str">
        <f>Index!C153</f>
        <v>Dlhodobé záväzky súčet (r. 103 + r. 107 až r. 117)</v>
      </c>
      <c r="D115" s="338" t="s">
        <v>608</v>
      </c>
      <c r="E115" s="723">
        <f>E116+SUM(E120:F130)</f>
        <v>664213</v>
      </c>
      <c r="F115" s="724"/>
      <c r="G115" s="710">
        <v>1557876</v>
      </c>
      <c r="H115" s="711"/>
      <c r="J115" s="717"/>
      <c r="K115" s="717"/>
      <c r="L115" s="717"/>
      <c r="M115" s="717"/>
      <c r="N115" s="606"/>
      <c r="O115" s="606"/>
    </row>
    <row r="116" spans="1:15" ht="12.75">
      <c r="A116" s="340" t="str">
        <f t="shared" si="9"/>
        <v>BS103</v>
      </c>
      <c r="B116" s="340" t="s">
        <v>538</v>
      </c>
      <c r="C116" s="549" t="str">
        <f>Index!C154</f>
        <v>Dlhodobé záväzky z obchodného styku súčet (r. 104 až r. 106)</v>
      </c>
      <c r="D116" s="338" t="s">
        <v>610</v>
      </c>
      <c r="E116" s="723">
        <f>SUM(E117:F119)</f>
        <v>0</v>
      </c>
      <c r="F116" s="724"/>
      <c r="G116" s="710">
        <v>0</v>
      </c>
      <c r="H116" s="711"/>
      <c r="J116" s="717"/>
      <c r="K116" s="717"/>
      <c r="L116" s="717"/>
      <c r="M116" s="717"/>
      <c r="N116" s="606"/>
      <c r="O116" s="606"/>
    </row>
    <row r="117" spans="1:15" ht="12.75">
      <c r="A117" s="326" t="str">
        <f t="shared" si="9"/>
        <v>BS104</v>
      </c>
      <c r="B117" s="326" t="s">
        <v>1795</v>
      </c>
      <c r="C117" s="393" t="str">
        <f>Index!C155</f>
        <v>Záväzky z obchodného styku voči prepojeným účtovným jednotkám (321A, 475A, 476A)</v>
      </c>
      <c r="D117" s="327" t="s">
        <v>611</v>
      </c>
      <c r="E117" s="721">
        <f>-SUMIF(GL!D:D,A117,GL!H:H)</f>
        <v>0</v>
      </c>
      <c r="F117" s="722"/>
      <c r="G117" s="708">
        <v>0</v>
      </c>
      <c r="H117" s="709"/>
      <c r="J117" s="716"/>
      <c r="K117" s="716"/>
      <c r="L117" s="716"/>
      <c r="M117" s="716"/>
      <c r="N117" s="606"/>
      <c r="O117" s="606"/>
    </row>
    <row r="118" spans="1:15" ht="25.5">
      <c r="A118" s="326" t="str">
        <f t="shared" si="9"/>
        <v>BS105</v>
      </c>
      <c r="B118" s="326" t="s">
        <v>1796</v>
      </c>
      <c r="C118" s="393" t="str">
        <f>Index!C156</f>
        <v>Záväzky z obchodného styku v rámci podielovej účasti okrem záväzkov voči prepojeným účtovným jednotkám (321A, 475A, 476A)</v>
      </c>
      <c r="D118" s="327" t="s">
        <v>613</v>
      </c>
      <c r="E118" s="721">
        <f>-SUMIF(GL!D:D,A118,GL!H:H)</f>
        <v>0</v>
      </c>
      <c r="F118" s="722"/>
      <c r="G118" s="708">
        <v>0</v>
      </c>
      <c r="H118" s="709"/>
      <c r="J118" s="716"/>
      <c r="K118" s="716"/>
      <c r="L118" s="716"/>
      <c r="M118" s="716"/>
      <c r="N118" s="606"/>
      <c r="O118" s="606"/>
    </row>
    <row r="119" spans="1:15" ht="12.75">
      <c r="A119" s="326" t="str">
        <f t="shared" si="9"/>
        <v>BS106</v>
      </c>
      <c r="B119" s="326" t="s">
        <v>1797</v>
      </c>
      <c r="C119" s="393" t="str">
        <f>Index!C157</f>
        <v>Ostatné záväzky z obchodného styku (321A, 475A, 476A)</v>
      </c>
      <c r="D119" s="327" t="s">
        <v>614</v>
      </c>
      <c r="E119" s="721">
        <f>-SUMIF(GL!D:D,A119,GL!H:H)</f>
        <v>0</v>
      </c>
      <c r="F119" s="722"/>
      <c r="G119" s="708">
        <v>0</v>
      </c>
      <c r="H119" s="709"/>
      <c r="J119" s="716"/>
      <c r="K119" s="716"/>
      <c r="L119" s="716"/>
      <c r="M119" s="716"/>
      <c r="N119" s="606"/>
      <c r="O119" s="606"/>
    </row>
    <row r="120" spans="1:15" ht="12.75">
      <c r="A120" s="326" t="str">
        <f t="shared" si="9"/>
        <v>BS107</v>
      </c>
      <c r="B120" s="326" t="s">
        <v>540</v>
      </c>
      <c r="C120" s="393" t="str">
        <f>Index!C158</f>
        <v>Čistá hodnota zákazky (316A)</v>
      </c>
      <c r="D120" s="327" t="s">
        <v>615</v>
      </c>
      <c r="E120" s="721">
        <f>-SUMIF(GL!D:D,A120,GL!H:H)</f>
        <v>0</v>
      </c>
      <c r="F120" s="722"/>
      <c r="G120" s="708">
        <v>0</v>
      </c>
      <c r="H120" s="709"/>
      <c r="J120" s="716"/>
      <c r="K120" s="716"/>
      <c r="L120" s="716"/>
      <c r="M120" s="716"/>
      <c r="N120" s="606"/>
      <c r="O120" s="606"/>
    </row>
    <row r="121" spans="1:15" ht="12.75">
      <c r="A121" s="326" t="str">
        <f t="shared" si="9"/>
        <v>BS108</v>
      </c>
      <c r="B121" s="326" t="s">
        <v>542</v>
      </c>
      <c r="C121" s="393" t="str">
        <f>Index!C159</f>
        <v>Ostatné záväzky voči prepojeným účtovným jednotkám (471A, 47XA)</v>
      </c>
      <c r="D121" s="327" t="s">
        <v>616</v>
      </c>
      <c r="E121" s="721">
        <f>-SUMIF(GL!D:D,A121,GL!H:H)</f>
        <v>0</v>
      </c>
      <c r="F121" s="722"/>
      <c r="G121" s="708">
        <v>0</v>
      </c>
      <c r="H121" s="709"/>
      <c r="J121" s="716"/>
      <c r="K121" s="716"/>
      <c r="L121" s="716"/>
      <c r="M121" s="716"/>
      <c r="N121" s="606"/>
      <c r="O121" s="606"/>
    </row>
    <row r="122" spans="1:15" ht="12.75">
      <c r="A122" s="326" t="str">
        <f t="shared" si="9"/>
        <v>BS109</v>
      </c>
      <c r="B122" s="326" t="s">
        <v>544</v>
      </c>
      <c r="C122" s="393" t="str">
        <f>Index!C160</f>
        <v>Ostatné záväzky v rámci podielovej účasti okrem záväzkov voči prepojeným účtovným jednotkám (471A, 47XA)</v>
      </c>
      <c r="D122" s="327" t="s">
        <v>617</v>
      </c>
      <c r="E122" s="721">
        <f>-SUMIF(GL!D:D,A122,GL!H:H)</f>
        <v>0</v>
      </c>
      <c r="F122" s="722"/>
      <c r="G122" s="708">
        <v>0</v>
      </c>
      <c r="H122" s="709"/>
      <c r="J122" s="716"/>
      <c r="K122" s="716"/>
      <c r="L122" s="716"/>
      <c r="M122" s="716"/>
      <c r="N122" s="606"/>
      <c r="O122" s="606"/>
    </row>
    <row r="123" spans="1:15" ht="12.75">
      <c r="A123" s="326" t="str">
        <f t="shared" si="9"/>
        <v>BS110</v>
      </c>
      <c r="B123" s="326" t="s">
        <v>546</v>
      </c>
      <c r="C123" s="393" t="str">
        <f>Index!C161</f>
        <v>Ostatné dlhodobé záväzky (479A, 47XA)</v>
      </c>
      <c r="D123" s="327" t="s">
        <v>618</v>
      </c>
      <c r="E123" s="721">
        <f>-SUMIF(GL!D:D,A123,GL!H:H)</f>
        <v>0</v>
      </c>
      <c r="F123" s="722"/>
      <c r="G123" s="708">
        <v>0</v>
      </c>
      <c r="H123" s="709"/>
      <c r="J123" s="716"/>
      <c r="K123" s="716"/>
      <c r="L123" s="716"/>
      <c r="M123" s="716"/>
      <c r="N123" s="606"/>
      <c r="O123" s="606"/>
    </row>
    <row r="124" spans="1:15" ht="12.75">
      <c r="A124" s="326" t="str">
        <f t="shared" si="9"/>
        <v>BS111</v>
      </c>
      <c r="B124" s="326" t="s">
        <v>548</v>
      </c>
      <c r="C124" s="393" t="str">
        <f>Index!C162</f>
        <v>Dlhodobé prijaté preddavky (475A)</v>
      </c>
      <c r="D124" s="327" t="s">
        <v>619</v>
      </c>
      <c r="E124" s="721">
        <f>-SUMIF(GL!D:D,A124,GL!H:H)</f>
        <v>0</v>
      </c>
      <c r="F124" s="722"/>
      <c r="G124" s="708">
        <v>0</v>
      </c>
      <c r="H124" s="709"/>
      <c r="J124" s="716"/>
      <c r="K124" s="716"/>
      <c r="L124" s="716"/>
      <c r="M124" s="716"/>
      <c r="N124" s="606"/>
      <c r="O124" s="606"/>
    </row>
    <row r="125" spans="1:15" ht="12.75">
      <c r="A125" s="326" t="str">
        <f t="shared" si="9"/>
        <v>BS112</v>
      </c>
      <c r="B125" s="326" t="s">
        <v>1798</v>
      </c>
      <c r="C125" s="393" t="str">
        <f>Index!C163</f>
        <v>Dlhodobé zmenky na úhradu (478A)</v>
      </c>
      <c r="D125" s="327" t="s">
        <v>621</v>
      </c>
      <c r="E125" s="721">
        <f>-SUMIF(GL!D:D,A125,GL!H:H)</f>
        <v>0</v>
      </c>
      <c r="F125" s="722"/>
      <c r="G125" s="708">
        <v>0</v>
      </c>
      <c r="H125" s="709"/>
      <c r="J125" s="716"/>
      <c r="K125" s="716"/>
      <c r="L125" s="716"/>
      <c r="M125" s="716"/>
      <c r="N125" s="606"/>
      <c r="O125" s="606"/>
    </row>
    <row r="126" spans="1:15" ht="12.75">
      <c r="A126" s="326" t="str">
        <f t="shared" si="9"/>
        <v>BS113</v>
      </c>
      <c r="B126" s="326" t="s">
        <v>1799</v>
      </c>
      <c r="C126" s="393" t="str">
        <f>Index!C164</f>
        <v>Vydané dlhopisy (473A/-/255A)</v>
      </c>
      <c r="D126" s="327" t="s">
        <v>623</v>
      </c>
      <c r="E126" s="721">
        <f>-SUMIF(GL!D:D,A126,GL!H:H)</f>
        <v>0</v>
      </c>
      <c r="F126" s="722"/>
      <c r="G126" s="708">
        <v>0</v>
      </c>
      <c r="H126" s="709"/>
      <c r="J126" s="716"/>
      <c r="K126" s="716"/>
      <c r="L126" s="716"/>
      <c r="M126" s="716"/>
      <c r="N126" s="606"/>
      <c r="O126" s="606"/>
    </row>
    <row r="127" spans="1:15" ht="12.75">
      <c r="A127" s="326" t="str">
        <f t="shared" si="9"/>
        <v>BS114</v>
      </c>
      <c r="B127" s="326" t="s">
        <v>1800</v>
      </c>
      <c r="C127" s="393" t="str">
        <f>Index!C165</f>
        <v>Záväzky zo sociálneho fondu (472)</v>
      </c>
      <c r="D127" s="327" t="s">
        <v>624</v>
      </c>
      <c r="E127" s="721">
        <f>-SUMIF(GL!D:D,A127,GL!H:H)</f>
        <v>576</v>
      </c>
      <c r="F127" s="722"/>
      <c r="G127" s="708">
        <v>227</v>
      </c>
      <c r="H127" s="709"/>
      <c r="J127" s="716"/>
      <c r="K127" s="716"/>
      <c r="L127" s="716"/>
      <c r="M127" s="716"/>
      <c r="N127" s="606"/>
      <c r="O127" s="606"/>
    </row>
    <row r="128" spans="1:15" ht="12.75">
      <c r="A128" s="326" t="str">
        <f t="shared" si="9"/>
        <v>BS115</v>
      </c>
      <c r="B128" s="326" t="s">
        <v>1801</v>
      </c>
      <c r="C128" s="393" t="str">
        <f>Index!C166</f>
        <v>Iné dlhodobé záväzky (336A, 372A, 474A, 47XA)</v>
      </c>
      <c r="D128" s="327" t="s">
        <v>627</v>
      </c>
      <c r="E128" s="721">
        <f>-SUMIF(GL!D:D,A128,GL!H:H)</f>
        <v>0</v>
      </c>
      <c r="F128" s="722"/>
      <c r="G128" s="708">
        <v>0</v>
      </c>
      <c r="H128" s="709"/>
      <c r="J128" s="716"/>
      <c r="K128" s="716"/>
      <c r="L128" s="716"/>
      <c r="M128" s="716"/>
      <c r="N128" s="606"/>
      <c r="O128" s="606"/>
    </row>
    <row r="129" spans="1:15" ht="12.75">
      <c r="A129" s="326" t="str">
        <f t="shared" si="9"/>
        <v>BS116</v>
      </c>
      <c r="B129" s="326" t="s">
        <v>1803</v>
      </c>
      <c r="C129" s="393" t="str">
        <f>Index!C167</f>
        <v>Dlhodobé záväzky z derivátových operácií (373A, 377A)</v>
      </c>
      <c r="D129" s="327" t="s">
        <v>628</v>
      </c>
      <c r="E129" s="721">
        <f>-SUMIF(GL!D:D,A129,GL!H:H)</f>
        <v>0</v>
      </c>
      <c r="F129" s="722"/>
      <c r="G129" s="708">
        <v>0</v>
      </c>
      <c r="H129" s="709"/>
      <c r="J129" s="716"/>
      <c r="K129" s="716"/>
      <c r="L129" s="716"/>
      <c r="M129" s="716"/>
      <c r="N129" s="606"/>
      <c r="O129" s="606"/>
    </row>
    <row r="130" spans="1:15" ht="12.75">
      <c r="A130" s="326" t="str">
        <f t="shared" si="9"/>
        <v>BS117</v>
      </c>
      <c r="B130" s="326" t="s">
        <v>1805</v>
      </c>
      <c r="C130" s="393" t="str">
        <f>Index!C168</f>
        <v>Odložený daňový záväzok (481A)</v>
      </c>
      <c r="D130" s="327" t="s">
        <v>630</v>
      </c>
      <c r="E130" s="721">
        <f>-SUMIF(GL!D:D,A130,GL!H:H)</f>
        <v>663637</v>
      </c>
      <c r="F130" s="722"/>
      <c r="G130" s="708">
        <v>1557649</v>
      </c>
      <c r="H130" s="709"/>
      <c r="J130" s="716"/>
      <c r="K130" s="716"/>
      <c r="L130" s="716"/>
      <c r="M130" s="716"/>
      <c r="N130" s="606"/>
      <c r="O130" s="606"/>
    </row>
    <row r="131" spans="1:15" ht="12.75">
      <c r="A131" s="340" t="str">
        <f t="shared" si="9"/>
        <v>BS118</v>
      </c>
      <c r="B131" s="340" t="s">
        <v>549</v>
      </c>
      <c r="C131" s="549" t="str">
        <f>Index!C169</f>
        <v>Dlhodobé rezervy r. 119 + r. 120</v>
      </c>
      <c r="D131" s="333" t="s">
        <v>632</v>
      </c>
      <c r="E131" s="723">
        <f>SUM(E132:F133)</f>
        <v>0</v>
      </c>
      <c r="F131" s="724"/>
      <c r="G131" s="710">
        <v>0</v>
      </c>
      <c r="H131" s="711"/>
      <c r="J131" s="717"/>
      <c r="K131" s="717"/>
      <c r="L131" s="717"/>
      <c r="M131" s="717"/>
      <c r="N131" s="606"/>
      <c r="O131" s="606"/>
    </row>
    <row r="132" spans="1:15" ht="12.75">
      <c r="A132" s="326" t="str">
        <f t="shared" si="9"/>
        <v>BS119</v>
      </c>
      <c r="B132" s="326" t="s">
        <v>550</v>
      </c>
      <c r="C132" s="393" t="str">
        <f>Index!C170</f>
        <v>Zákonné rezervy (451A)</v>
      </c>
      <c r="D132" s="327" t="s">
        <v>634</v>
      </c>
      <c r="E132" s="721">
        <f>-SUMIF(GL!D:D,A132,GL!H:H)</f>
        <v>0</v>
      </c>
      <c r="F132" s="722"/>
      <c r="G132" s="708">
        <v>0</v>
      </c>
      <c r="H132" s="709"/>
      <c r="J132" s="716"/>
      <c r="K132" s="716"/>
      <c r="L132" s="716"/>
      <c r="M132" s="716"/>
      <c r="N132" s="606"/>
      <c r="O132" s="606"/>
    </row>
    <row r="133" spans="1:15" ht="12.75">
      <c r="A133" s="326" t="str">
        <f t="shared" si="9"/>
        <v>BS120</v>
      </c>
      <c r="B133" s="326" t="s">
        <v>551</v>
      </c>
      <c r="C133" s="393" t="str">
        <f>Index!C171</f>
        <v>Ostatné rezervy (459A, 45XA)</v>
      </c>
      <c r="D133" s="327" t="s">
        <v>637</v>
      </c>
      <c r="E133" s="721">
        <f>-SUMIF(GL!D:D,A133,GL!H:H)</f>
        <v>0</v>
      </c>
      <c r="F133" s="722"/>
      <c r="G133" s="708">
        <v>0</v>
      </c>
      <c r="H133" s="709"/>
      <c r="J133" s="716"/>
      <c r="K133" s="716"/>
      <c r="L133" s="716"/>
      <c r="M133" s="716"/>
      <c r="N133" s="606"/>
      <c r="O133" s="606"/>
    </row>
    <row r="134" spans="1:15" s="335" customFormat="1" ht="12.75">
      <c r="A134" s="557" t="str">
        <f t="shared" si="9"/>
        <v>BS121</v>
      </c>
      <c r="B134" s="557" t="s">
        <v>559</v>
      </c>
      <c r="C134" s="558" t="str">
        <f>Index!C172</f>
        <v>Dlhodobé bankové úvery (461A, 46XA)</v>
      </c>
      <c r="D134" s="559" t="s">
        <v>638</v>
      </c>
      <c r="E134" s="725">
        <f>-SUMIF(GL!D:D,A134,GL!H:H)</f>
        <v>0</v>
      </c>
      <c r="F134" s="726"/>
      <c r="G134" s="712">
        <v>79732</v>
      </c>
      <c r="H134" s="713"/>
      <c r="I134" s="319"/>
      <c r="J134" s="717"/>
      <c r="K134" s="717"/>
      <c r="L134" s="717"/>
      <c r="M134" s="717"/>
      <c r="N134" s="606"/>
      <c r="O134" s="606"/>
    </row>
    <row r="135" spans="1:15" s="335" customFormat="1" ht="12.75">
      <c r="A135" s="340" t="str">
        <f t="shared" si="9"/>
        <v>BS122</v>
      </c>
      <c r="B135" s="340" t="s">
        <v>568</v>
      </c>
      <c r="C135" s="549" t="str">
        <f>Index!C173</f>
        <v>Krátkodobé záväzky súčet (r. 123 + r. 127 až r. 135)</v>
      </c>
      <c r="D135" s="338" t="s">
        <v>640</v>
      </c>
      <c r="E135" s="723">
        <f>E136+SUM(E140:F148)</f>
        <v>8642615</v>
      </c>
      <c r="F135" s="724"/>
      <c r="G135" s="710">
        <v>7177782</v>
      </c>
      <c r="H135" s="711"/>
      <c r="I135" s="319"/>
      <c r="J135" s="717"/>
      <c r="K135" s="717"/>
      <c r="L135" s="717"/>
      <c r="M135" s="717"/>
      <c r="N135" s="606"/>
      <c r="O135" s="606"/>
    </row>
    <row r="136" spans="1:15" s="339" customFormat="1" ht="13.5" customHeight="1">
      <c r="A136" s="340" t="str">
        <f t="shared" si="9"/>
        <v>BS123</v>
      </c>
      <c r="B136" s="340" t="s">
        <v>569</v>
      </c>
      <c r="C136" s="549" t="str">
        <f>Index!C174</f>
        <v>Záväzky z obchodného styku súčet (r. 124 až r. 126)</v>
      </c>
      <c r="D136" s="338" t="s">
        <v>642</v>
      </c>
      <c r="E136" s="723">
        <f>SUM(E137:F139)</f>
        <v>1330637</v>
      </c>
      <c r="F136" s="724"/>
      <c r="G136" s="710">
        <v>6392502</v>
      </c>
      <c r="H136" s="711"/>
      <c r="I136" s="319"/>
      <c r="J136" s="717"/>
      <c r="K136" s="717"/>
      <c r="L136" s="717"/>
      <c r="M136" s="717"/>
      <c r="N136" s="606"/>
      <c r="O136" s="606"/>
    </row>
    <row r="137" spans="1:15" ht="25.5">
      <c r="A137" s="326" t="str">
        <f t="shared" si="9"/>
        <v>BS124</v>
      </c>
      <c r="B137" s="326" t="s">
        <v>1807</v>
      </c>
      <c r="C137" s="393" t="str">
        <f>Index!C175</f>
        <v>Záväzky z obchodného styku voči prepojeným účtovným jednotkám (321A, 322A, 324A, 325A, 326A, 32XA, 475A, 476A, 478A, 47XA)</v>
      </c>
      <c r="D137" s="327" t="s">
        <v>644</v>
      </c>
      <c r="E137" s="708">
        <v>1011780</v>
      </c>
      <c r="F137" s="709"/>
      <c r="G137" s="708">
        <v>2584330</v>
      </c>
      <c r="H137" s="709"/>
      <c r="J137" s="716"/>
      <c r="K137" s="716"/>
      <c r="L137" s="716"/>
      <c r="M137" s="716"/>
      <c r="N137" s="606"/>
      <c r="O137" s="606"/>
    </row>
    <row r="138" spans="1:15" ht="25.5">
      <c r="A138" s="326" t="str">
        <f t="shared" si="9"/>
        <v>BS125</v>
      </c>
      <c r="B138" s="326" t="s">
        <v>1808</v>
      </c>
      <c r="C138" s="393" t="str">
        <f>Index!C176</f>
        <v>Záväzky z obchodného styku v rámci podielovej účasti okrem záväzkov voči prepojeným účtovným jednotkám (321A, 322A, 324A, 325A, 326A, 32XA, 475A, 476A, 478A, 47XA)</v>
      </c>
      <c r="D138" s="327" t="s">
        <v>646</v>
      </c>
      <c r="E138" s="708">
        <v>0</v>
      </c>
      <c r="F138" s="709"/>
      <c r="G138" s="708">
        <v>0</v>
      </c>
      <c r="H138" s="709"/>
      <c r="J138" s="716"/>
      <c r="K138" s="716"/>
      <c r="L138" s="716"/>
      <c r="M138" s="716"/>
      <c r="N138" s="606"/>
      <c r="O138" s="606"/>
    </row>
    <row r="139" spans="1:15" ht="12.75">
      <c r="A139" s="326" t="str">
        <f t="shared" si="9"/>
        <v>BS126</v>
      </c>
      <c r="B139" s="326" t="s">
        <v>1810</v>
      </c>
      <c r="C139" s="393" t="str">
        <f>Index!C177</f>
        <v>Ostatné záväzky z obchodného styku (321A, 322A, 324A, 325A, 326A, 32XA, 475A, 476A, 478A, 47XA)</v>
      </c>
      <c r="D139" s="327" t="s">
        <v>1695</v>
      </c>
      <c r="E139" s="708">
        <v>318857</v>
      </c>
      <c r="F139" s="709"/>
      <c r="G139" s="708">
        <v>3808172</v>
      </c>
      <c r="H139" s="709"/>
      <c r="J139" s="716"/>
      <c r="K139" s="716"/>
      <c r="L139" s="716"/>
      <c r="M139" s="716"/>
      <c r="N139" s="606"/>
      <c r="O139" s="606"/>
    </row>
    <row r="140" spans="1:15" ht="12.75">
      <c r="A140" s="326" t="str">
        <f t="shared" si="9"/>
        <v>BS127</v>
      </c>
      <c r="B140" s="326" t="s">
        <v>571</v>
      </c>
      <c r="C140" s="393" t="str">
        <f>Index!C178</f>
        <v>Čistá hodnota zákazky (316A)</v>
      </c>
      <c r="D140" s="327" t="s">
        <v>1696</v>
      </c>
      <c r="E140" s="708">
        <v>0</v>
      </c>
      <c r="F140" s="709"/>
      <c r="G140" s="708">
        <v>0</v>
      </c>
      <c r="H140" s="709"/>
      <c r="J140" s="716"/>
      <c r="K140" s="716"/>
      <c r="L140" s="716"/>
      <c r="M140" s="716"/>
      <c r="N140" s="606"/>
      <c r="O140" s="606"/>
    </row>
    <row r="141" spans="1:15" ht="25.5" customHeight="1">
      <c r="A141" s="326" t="str">
        <f t="shared" si="9"/>
        <v>BS128</v>
      </c>
      <c r="B141" s="326" t="s">
        <v>573</v>
      </c>
      <c r="C141" s="393" t="str">
        <f>Index!C179</f>
        <v>Ostatné záväzky voči prepojeným účtovným jednotkám (361A, 36XA, 471A, 47XA)</v>
      </c>
      <c r="D141" s="327" t="s">
        <v>1698</v>
      </c>
      <c r="E141" s="708">
        <v>6757769</v>
      </c>
      <c r="F141" s="709"/>
      <c r="G141" s="708">
        <v>316587</v>
      </c>
      <c r="H141" s="709"/>
      <c r="J141" s="716"/>
      <c r="K141" s="716"/>
      <c r="L141" s="716"/>
      <c r="M141" s="716"/>
      <c r="N141" s="606"/>
      <c r="O141" s="606"/>
    </row>
    <row r="142" spans="1:15" ht="25.5">
      <c r="A142" s="326" t="str">
        <f t="shared" si="9"/>
        <v>BS129</v>
      </c>
      <c r="B142" s="326" t="s">
        <v>574</v>
      </c>
      <c r="C142" s="393" t="str">
        <f>Index!C180</f>
        <v>Ostatné záväzky v rámci podielovej účasti okrem záväzkov voči prepojeným účtovným jednotkám (361A, 36XA, 471A, 47XA)</v>
      </c>
      <c r="D142" s="327" t="s">
        <v>1700</v>
      </c>
      <c r="E142" s="721">
        <f>-SUMIF(GL!D:D,A142,GL!H:H)</f>
        <v>0</v>
      </c>
      <c r="F142" s="722"/>
      <c r="G142" s="708">
        <v>0</v>
      </c>
      <c r="H142" s="709"/>
      <c r="J142" s="716"/>
      <c r="K142" s="716"/>
      <c r="L142" s="716"/>
      <c r="M142" s="716"/>
      <c r="N142" s="606"/>
      <c r="O142" s="606"/>
    </row>
    <row r="143" spans="1:15" ht="25.5" customHeight="1">
      <c r="A143" s="326" t="str">
        <f t="shared" si="9"/>
        <v>BS130</v>
      </c>
      <c r="B143" s="326" t="s">
        <v>575</v>
      </c>
      <c r="C143" s="393" t="str">
        <f>Index!C181</f>
        <v>Záväzky voči spoločníkom a združeniu (364, 365, 366, 367, 368, 398A, 478A, 479A)</v>
      </c>
      <c r="D143" s="327" t="s">
        <v>1701</v>
      </c>
      <c r="E143" s="721">
        <f>-SUMIF(GL!D:D,A143,GL!H:H)</f>
        <v>0</v>
      </c>
      <c r="F143" s="722"/>
      <c r="G143" s="708">
        <v>0</v>
      </c>
      <c r="H143" s="709"/>
      <c r="J143" s="716"/>
      <c r="K143" s="716"/>
      <c r="L143" s="716"/>
      <c r="M143" s="716"/>
      <c r="N143" s="606"/>
      <c r="O143" s="606"/>
    </row>
    <row r="144" spans="1:15" ht="14.25" customHeight="1">
      <c r="A144" s="326" t="str">
        <f t="shared" si="9"/>
        <v>BS131</v>
      </c>
      <c r="B144" s="326" t="s">
        <v>1811</v>
      </c>
      <c r="C144" s="393" t="str">
        <f>Index!C182</f>
        <v>Záväzky voči zamestnancom (331, 333, 33X, 479A)</v>
      </c>
      <c r="D144" s="327" t="s">
        <v>1702</v>
      </c>
      <c r="E144" s="721">
        <f>-SUMIF(GL!D:D,A144,GL!H:H)</f>
        <v>12029</v>
      </c>
      <c r="F144" s="722"/>
      <c r="G144" s="708">
        <v>10045</v>
      </c>
      <c r="H144" s="709"/>
      <c r="J144" s="716"/>
      <c r="K144" s="716"/>
      <c r="L144" s="716"/>
      <c r="M144" s="716"/>
      <c r="N144" s="606"/>
      <c r="O144" s="606"/>
    </row>
    <row r="145" spans="1:15" ht="12.75">
      <c r="A145" s="326" t="str">
        <f t="shared" si="9"/>
        <v>BS132</v>
      </c>
      <c r="B145" s="326" t="s">
        <v>1812</v>
      </c>
      <c r="C145" s="393" t="str">
        <f>Index!C183</f>
        <v>Záväzky zo sociálneho poistenia (336A)</v>
      </c>
      <c r="D145" s="327" t="s">
        <v>1704</v>
      </c>
      <c r="E145" s="721">
        <f>-SUMIF(GL!D:D,A145,GL!H:H)</f>
        <v>32382</v>
      </c>
      <c r="F145" s="722"/>
      <c r="G145" s="708">
        <v>59447</v>
      </c>
      <c r="H145" s="709"/>
      <c r="J145" s="716"/>
      <c r="K145" s="716"/>
      <c r="L145" s="716"/>
      <c r="M145" s="716"/>
      <c r="N145" s="606"/>
      <c r="O145" s="606"/>
    </row>
    <row r="146" spans="1:15" ht="12.75">
      <c r="A146" s="326" t="str">
        <f t="shared" si="9"/>
        <v>BS133</v>
      </c>
      <c r="B146" s="326" t="s">
        <v>1813</v>
      </c>
      <c r="C146" s="393" t="str">
        <f>Index!C184</f>
        <v>Daňové záväzky a dotácie (341, 342, 343, 345, 346, 347, 34X)</v>
      </c>
      <c r="D146" s="327" t="s">
        <v>1705</v>
      </c>
      <c r="E146" s="721">
        <f>-SUMIF(GL!D:D,A146,GL!H:H)</f>
        <v>501533</v>
      </c>
      <c r="F146" s="722"/>
      <c r="G146" s="708">
        <v>394551</v>
      </c>
      <c r="H146" s="709"/>
      <c r="J146" s="716"/>
      <c r="K146" s="716"/>
      <c r="L146" s="716"/>
      <c r="M146" s="716"/>
      <c r="N146" s="606"/>
      <c r="O146" s="606"/>
    </row>
    <row r="147" spans="1:15" ht="12.75">
      <c r="A147" s="394" t="str">
        <f t="shared" si="9"/>
        <v>BS134</v>
      </c>
      <c r="B147" s="394" t="s">
        <v>1814</v>
      </c>
      <c r="C147" s="552" t="str">
        <f>Index!C185</f>
        <v>Záväzky z derivátových operácií (373A, 377A)</v>
      </c>
      <c r="D147" s="327" t="s">
        <v>1707</v>
      </c>
      <c r="E147" s="721">
        <f>-SUMIF(GL!D:D,A147,GL!H:H)</f>
        <v>0</v>
      </c>
      <c r="F147" s="722"/>
      <c r="G147" s="708">
        <v>0</v>
      </c>
      <c r="H147" s="709"/>
      <c r="J147" s="716"/>
      <c r="K147" s="716"/>
      <c r="L147" s="716"/>
      <c r="M147" s="716"/>
      <c r="N147" s="606"/>
      <c r="O147" s="606"/>
    </row>
    <row r="148" spans="1:15" ht="12.75">
      <c r="A148" s="326" t="str">
        <f t="shared" si="9"/>
        <v>BS135</v>
      </c>
      <c r="B148" s="326" t="s">
        <v>1815</v>
      </c>
      <c r="C148" s="393" t="str">
        <f>Index!C186</f>
        <v>Iné záväzky (372A, 379A, 474A, 475A, 479A, 47XA)</v>
      </c>
      <c r="D148" s="327" t="s">
        <v>1708</v>
      </c>
      <c r="E148" s="721">
        <v>8265</v>
      </c>
      <c r="F148" s="722"/>
      <c r="G148" s="708">
        <v>4650</v>
      </c>
      <c r="H148" s="709"/>
      <c r="J148" s="716"/>
      <c r="K148" s="716"/>
      <c r="L148" s="716"/>
      <c r="M148" s="716"/>
      <c r="N148" s="606"/>
      <c r="O148" s="606"/>
    </row>
    <row r="149" spans="1:15" s="335" customFormat="1" ht="12.75">
      <c r="A149" s="340" t="str">
        <f t="shared" si="9"/>
        <v>BS136</v>
      </c>
      <c r="B149" s="340" t="s">
        <v>631</v>
      </c>
      <c r="C149" s="549" t="str">
        <f>Index!C187</f>
        <v>Krátkodobé rezervy r. 137 + r. 138</v>
      </c>
      <c r="D149" s="338" t="s">
        <v>1709</v>
      </c>
      <c r="E149" s="723">
        <f>SUM(E150:F151)</f>
        <v>238441</v>
      </c>
      <c r="F149" s="724"/>
      <c r="G149" s="710">
        <v>529520</v>
      </c>
      <c r="H149" s="711"/>
      <c r="I149" s="319"/>
      <c r="J149" s="717"/>
      <c r="K149" s="717"/>
      <c r="L149" s="717"/>
      <c r="M149" s="717"/>
      <c r="N149" s="606"/>
      <c r="O149" s="606"/>
    </row>
    <row r="150" spans="1:15" ht="12.75">
      <c r="A150" s="326" t="str">
        <f t="shared" si="9"/>
        <v>BS137</v>
      </c>
      <c r="B150" s="326" t="s">
        <v>633</v>
      </c>
      <c r="C150" s="393" t="str">
        <f>Index!C188</f>
        <v>Zákonné rezervy (323A, 451A)</v>
      </c>
      <c r="D150" s="327" t="s">
        <v>1711</v>
      </c>
      <c r="E150" s="721">
        <f>-SUMIF(GL!D:D,A150,GL!H:H)</f>
        <v>0</v>
      </c>
      <c r="F150" s="722"/>
      <c r="G150" s="708">
        <v>5283</v>
      </c>
      <c r="H150" s="709"/>
      <c r="J150" s="716"/>
      <c r="K150" s="716"/>
      <c r="L150" s="716"/>
      <c r="M150" s="716"/>
      <c r="N150" s="606"/>
      <c r="O150" s="606"/>
    </row>
    <row r="151" spans="1:15" ht="12.75">
      <c r="A151" s="326" t="str">
        <f t="shared" si="9"/>
        <v>BS138</v>
      </c>
      <c r="B151" s="326" t="s">
        <v>635</v>
      </c>
      <c r="C151" s="393" t="str">
        <f>Index!C189</f>
        <v>Ostatné rezervy (323A, 32X, 459A, 45XA)</v>
      </c>
      <c r="D151" s="327" t="s">
        <v>1713</v>
      </c>
      <c r="E151" s="721">
        <f>-SUMIF(GL!D:D,A151,GL!H:H)</f>
        <v>238441</v>
      </c>
      <c r="F151" s="722"/>
      <c r="G151" s="708">
        <v>524237</v>
      </c>
      <c r="H151" s="709"/>
      <c r="J151" s="716"/>
      <c r="K151" s="716"/>
      <c r="L151" s="716"/>
      <c r="M151" s="716"/>
      <c r="N151" s="606"/>
      <c r="O151" s="606"/>
    </row>
    <row r="152" spans="1:15" ht="12.75">
      <c r="A152" s="396" t="str">
        <f t="shared" si="9"/>
        <v>BS139</v>
      </c>
      <c r="B152" s="396" t="s">
        <v>1714</v>
      </c>
      <c r="C152" s="550" t="str">
        <f>Index!C190</f>
        <v>Bežné bankové úvery (221A, 231, 232, 23X, 461A, 46XA)</v>
      </c>
      <c r="D152" s="327" t="s">
        <v>1715</v>
      </c>
      <c r="E152" s="721">
        <v>5998981</v>
      </c>
      <c r="F152" s="722"/>
      <c r="G152" s="708">
        <v>11649630</v>
      </c>
      <c r="H152" s="709"/>
      <c r="J152" s="716"/>
      <c r="K152" s="716"/>
      <c r="L152" s="716"/>
      <c r="M152" s="716"/>
      <c r="N152" s="606"/>
      <c r="O152" s="606"/>
    </row>
    <row r="153" spans="1:15" ht="12.75">
      <c r="A153" s="396" t="str">
        <f t="shared" si="9"/>
        <v>BS140</v>
      </c>
      <c r="B153" s="396" t="s">
        <v>1716</v>
      </c>
      <c r="C153" s="550" t="str">
        <f>Index!C191</f>
        <v>Krátkodobé finančné výpomoci (241, 249, 24X, 473A, /-/255A)</v>
      </c>
      <c r="D153" s="327" t="s">
        <v>1717</v>
      </c>
      <c r="E153" s="721">
        <f>-SUMIF(GL!D:D,A153,GL!H:H)</f>
        <v>0</v>
      </c>
      <c r="F153" s="722"/>
      <c r="G153" s="708">
        <v>0</v>
      </c>
      <c r="H153" s="709"/>
      <c r="J153" s="716"/>
      <c r="K153" s="716"/>
      <c r="L153" s="716"/>
      <c r="M153" s="716"/>
      <c r="N153" s="606"/>
      <c r="O153" s="606"/>
    </row>
    <row r="154" spans="1:15" s="335" customFormat="1" ht="12.75">
      <c r="A154" s="392" t="str">
        <f t="shared" si="9"/>
        <v>BS141</v>
      </c>
      <c r="B154" s="392" t="s">
        <v>576</v>
      </c>
      <c r="C154" s="401" t="str">
        <f>Index!C192</f>
        <v>Časové rozlíšenie súčet (r. 142 až r. 145)</v>
      </c>
      <c r="D154" s="338" t="s">
        <v>1718</v>
      </c>
      <c r="E154" s="723">
        <f>SUM(E155:F158)</f>
        <v>20832</v>
      </c>
      <c r="F154" s="724"/>
      <c r="G154" s="710">
        <v>0</v>
      </c>
      <c r="H154" s="711"/>
      <c r="I154" s="319"/>
      <c r="J154" s="717"/>
      <c r="K154" s="717"/>
      <c r="L154" s="717"/>
      <c r="M154" s="717"/>
      <c r="N154" s="606"/>
      <c r="O154" s="606"/>
    </row>
    <row r="155" spans="1:15" ht="12.75">
      <c r="A155" s="326" t="str">
        <f t="shared" si="9"/>
        <v>BS142</v>
      </c>
      <c r="B155" s="326" t="s">
        <v>577</v>
      </c>
      <c r="C155" s="393" t="str">
        <f>Index!C193</f>
        <v>Výdavky budúcich období dlhodobé (383A)</v>
      </c>
      <c r="D155" s="327" t="s">
        <v>1719</v>
      </c>
      <c r="E155" s="721">
        <f>-SUMIF(GL!D:D,A155,GL!H:H)</f>
        <v>0</v>
      </c>
      <c r="F155" s="722"/>
      <c r="G155" s="708">
        <v>0</v>
      </c>
      <c r="H155" s="709"/>
      <c r="J155" s="716"/>
      <c r="K155" s="716"/>
      <c r="L155" s="716"/>
      <c r="M155" s="716"/>
      <c r="N155" s="606"/>
      <c r="O155" s="606"/>
    </row>
    <row r="156" spans="1:15" ht="12.75">
      <c r="A156" s="326" t="str">
        <f t="shared" si="9"/>
        <v>BS143</v>
      </c>
      <c r="B156" s="326" t="s">
        <v>579</v>
      </c>
      <c r="C156" s="393" t="str">
        <f>Index!C194</f>
        <v>Výdavky budúcich období krátkodobé (383A)</v>
      </c>
      <c r="D156" s="327" t="s">
        <v>1720</v>
      </c>
      <c r="E156" s="721">
        <f>-SUMIF(GL!D:D,A156,GL!H:H)</f>
        <v>20832</v>
      </c>
      <c r="F156" s="722"/>
      <c r="G156" s="708">
        <v>0</v>
      </c>
      <c r="H156" s="709"/>
      <c r="J156" s="716"/>
      <c r="K156" s="716"/>
      <c r="L156" s="716"/>
      <c r="M156" s="716"/>
      <c r="N156" s="606"/>
      <c r="O156" s="606"/>
    </row>
    <row r="157" spans="1:15" ht="12.75">
      <c r="A157" s="326" t="str">
        <f t="shared" si="9"/>
        <v>BS144</v>
      </c>
      <c r="B157" s="326" t="s">
        <v>581</v>
      </c>
      <c r="C157" s="393" t="str">
        <f>Index!C195</f>
        <v>Výnosy budúcich období dlhodobé (384A)</v>
      </c>
      <c r="D157" s="327" t="s">
        <v>1721</v>
      </c>
      <c r="E157" s="721">
        <f>-SUMIF(GL!D:D,A157,GL!H:H)</f>
        <v>0</v>
      </c>
      <c r="F157" s="722"/>
      <c r="G157" s="708">
        <v>0</v>
      </c>
      <c r="H157" s="709"/>
      <c r="J157" s="716"/>
      <c r="K157" s="716"/>
      <c r="L157" s="716"/>
      <c r="M157" s="716"/>
      <c r="N157" s="606"/>
      <c r="O157" s="606"/>
    </row>
    <row r="158" spans="1:15" ht="12.75">
      <c r="A158" s="326" t="str">
        <f t="shared" si="9"/>
        <v>BS145</v>
      </c>
      <c r="B158" s="326" t="s">
        <v>583</v>
      </c>
      <c r="C158" s="393" t="str">
        <f>Index!C196</f>
        <v>Výnosy budúcich období krátkodobé (384A)</v>
      </c>
      <c r="D158" s="327" t="s">
        <v>1722</v>
      </c>
      <c r="E158" s="721">
        <f>-SUMIF(GL!D:D,A158,GL!H:H)</f>
        <v>0</v>
      </c>
      <c r="F158" s="722"/>
      <c r="G158" s="708">
        <v>0</v>
      </c>
      <c r="H158" s="709"/>
      <c r="J158" s="716"/>
      <c r="K158" s="716"/>
      <c r="L158" s="716"/>
      <c r="M158" s="716"/>
      <c r="N158" s="606"/>
      <c r="O158" s="606"/>
    </row>
    <row r="162" spans="6:6">
      <c r="F162" s="592"/>
    </row>
  </sheetData>
  <mergeCells count="290">
    <mergeCell ref="J2:M2"/>
    <mergeCell ref="J1:M1"/>
    <mergeCell ref="J87:M87"/>
    <mergeCell ref="A3:A5"/>
    <mergeCell ref="A88:A89"/>
    <mergeCell ref="B3:B5"/>
    <mergeCell ref="C3:C5"/>
    <mergeCell ref="D3:D5"/>
    <mergeCell ref="E3:G4"/>
    <mergeCell ref="H3:H4"/>
    <mergeCell ref="B88:B89"/>
    <mergeCell ref="C88:C89"/>
    <mergeCell ref="D88:D89"/>
    <mergeCell ref="E88:F89"/>
    <mergeCell ref="G88:H89"/>
    <mergeCell ref="J3:L4"/>
    <mergeCell ref="M3:M4"/>
    <mergeCell ref="J88:K89"/>
    <mergeCell ref="L88:M89"/>
    <mergeCell ref="E95:F95"/>
    <mergeCell ref="E96:F96"/>
    <mergeCell ref="E97:F97"/>
    <mergeCell ref="E92:F92"/>
    <mergeCell ref="E93:F93"/>
    <mergeCell ref="E94:F94"/>
    <mergeCell ref="E101:F101"/>
    <mergeCell ref="E102:F102"/>
    <mergeCell ref="E103:F103"/>
    <mergeCell ref="E98:F98"/>
    <mergeCell ref="E99:F99"/>
    <mergeCell ref="E100:F100"/>
    <mergeCell ref="E107:F107"/>
    <mergeCell ref="E108:F108"/>
    <mergeCell ref="E109:F109"/>
    <mergeCell ref="E104:F104"/>
    <mergeCell ref="E105:F105"/>
    <mergeCell ref="E106:F106"/>
    <mergeCell ref="E113:F113"/>
    <mergeCell ref="E114:F114"/>
    <mergeCell ref="E115:F115"/>
    <mergeCell ref="E110:F110"/>
    <mergeCell ref="E111:F111"/>
    <mergeCell ref="E112:F112"/>
    <mergeCell ref="E119:F119"/>
    <mergeCell ref="E120:F120"/>
    <mergeCell ref="E121:F121"/>
    <mergeCell ref="E116:F116"/>
    <mergeCell ref="E117:F117"/>
    <mergeCell ref="E118:F118"/>
    <mergeCell ref="E125:F125"/>
    <mergeCell ref="E126:F126"/>
    <mergeCell ref="E127:F127"/>
    <mergeCell ref="E122:F122"/>
    <mergeCell ref="E123:F123"/>
    <mergeCell ref="E124:F124"/>
    <mergeCell ref="E140:F140"/>
    <mergeCell ref="E141:F141"/>
    <mergeCell ref="E131:F131"/>
    <mergeCell ref="E132:F132"/>
    <mergeCell ref="E133:F133"/>
    <mergeCell ref="E128:F128"/>
    <mergeCell ref="E129:F129"/>
    <mergeCell ref="E130:F130"/>
    <mergeCell ref="E134:F134"/>
    <mergeCell ref="E135:F135"/>
    <mergeCell ref="E136:F136"/>
    <mergeCell ref="E137:F137"/>
    <mergeCell ref="E138:F138"/>
    <mergeCell ref="E139:F139"/>
    <mergeCell ref="E143:F143"/>
    <mergeCell ref="E144:F144"/>
    <mergeCell ref="E145:F145"/>
    <mergeCell ref="E142:F142"/>
    <mergeCell ref="E149:F149"/>
    <mergeCell ref="E150:F150"/>
    <mergeCell ref="E151:F151"/>
    <mergeCell ref="E146:F146"/>
    <mergeCell ref="E147:F147"/>
    <mergeCell ref="E148:F148"/>
    <mergeCell ref="E158:F158"/>
    <mergeCell ref="E155:F155"/>
    <mergeCell ref="E156:F156"/>
    <mergeCell ref="E157:F157"/>
    <mergeCell ref="E152:F152"/>
    <mergeCell ref="E153:F153"/>
    <mergeCell ref="E154:F154"/>
    <mergeCell ref="J92:K92"/>
    <mergeCell ref="L92:M92"/>
    <mergeCell ref="J93:K93"/>
    <mergeCell ref="L93:M93"/>
    <mergeCell ref="J94:K94"/>
    <mergeCell ref="L94:M94"/>
    <mergeCell ref="J95:K95"/>
    <mergeCell ref="L95:M95"/>
    <mergeCell ref="J96:K96"/>
    <mergeCell ref="L96:M96"/>
    <mergeCell ref="J97:K97"/>
    <mergeCell ref="L97:M97"/>
    <mergeCell ref="J98:K98"/>
    <mergeCell ref="L98:M98"/>
    <mergeCell ref="J99:K99"/>
    <mergeCell ref="L99:M99"/>
    <mergeCell ref="J100:K100"/>
    <mergeCell ref="L100:M100"/>
    <mergeCell ref="J101:K101"/>
    <mergeCell ref="L101:M101"/>
    <mergeCell ref="J102:K102"/>
    <mergeCell ref="L102:M102"/>
    <mergeCell ref="J103:K103"/>
    <mergeCell ref="L103:M103"/>
    <mergeCell ref="J104:K104"/>
    <mergeCell ref="L104:M104"/>
    <mergeCell ref="J105:K105"/>
    <mergeCell ref="L105:M105"/>
    <mergeCell ref="J106:K106"/>
    <mergeCell ref="L106:M106"/>
    <mergeCell ref="J107:K107"/>
    <mergeCell ref="L107:M107"/>
    <mergeCell ref="J108:K108"/>
    <mergeCell ref="L108:M108"/>
    <mergeCell ref="J109:K109"/>
    <mergeCell ref="L109:M109"/>
    <mergeCell ref="J110:K110"/>
    <mergeCell ref="L110:M110"/>
    <mergeCell ref="J111:K111"/>
    <mergeCell ref="L111:M111"/>
    <mergeCell ref="J112:K112"/>
    <mergeCell ref="L112:M112"/>
    <mergeCell ref="J113:K113"/>
    <mergeCell ref="L113:M113"/>
    <mergeCell ref="J114:K114"/>
    <mergeCell ref="L114:M114"/>
    <mergeCell ref="J115:K115"/>
    <mergeCell ref="L115:M115"/>
    <mergeCell ref="J116:K116"/>
    <mergeCell ref="L116:M116"/>
    <mergeCell ref="J117:K117"/>
    <mergeCell ref="L117:M117"/>
    <mergeCell ref="J118:K118"/>
    <mergeCell ref="L118:M118"/>
    <mergeCell ref="J119:K119"/>
    <mergeCell ref="L119:M119"/>
    <mergeCell ref="J120:K120"/>
    <mergeCell ref="L120:M120"/>
    <mergeCell ref="J121:K121"/>
    <mergeCell ref="L121:M121"/>
    <mergeCell ref="J122:K122"/>
    <mergeCell ref="L122:M122"/>
    <mergeCell ref="J123:K123"/>
    <mergeCell ref="L123:M123"/>
    <mergeCell ref="J124:K124"/>
    <mergeCell ref="L124:M124"/>
    <mergeCell ref="J125:K125"/>
    <mergeCell ref="L125:M125"/>
    <mergeCell ref="J126:K126"/>
    <mergeCell ref="L126:M126"/>
    <mergeCell ref="J127:K127"/>
    <mergeCell ref="L127:M127"/>
    <mergeCell ref="J128:K128"/>
    <mergeCell ref="L128:M128"/>
    <mergeCell ref="J129:K129"/>
    <mergeCell ref="L129:M129"/>
    <mergeCell ref="J130:K130"/>
    <mergeCell ref="L130:M130"/>
    <mergeCell ref="J131:K131"/>
    <mergeCell ref="L131:M131"/>
    <mergeCell ref="J132:K132"/>
    <mergeCell ref="L132:M132"/>
    <mergeCell ref="J133:K133"/>
    <mergeCell ref="L133:M133"/>
    <mergeCell ref="J134:K134"/>
    <mergeCell ref="L134:M134"/>
    <mergeCell ref="N7:Q7"/>
    <mergeCell ref="G87:H87"/>
    <mergeCell ref="N91:O91"/>
    <mergeCell ref="J150:K150"/>
    <mergeCell ref="L150:M150"/>
    <mergeCell ref="J151:K151"/>
    <mergeCell ref="L151:M151"/>
    <mergeCell ref="J152:K152"/>
    <mergeCell ref="L152:M152"/>
    <mergeCell ref="J145:K145"/>
    <mergeCell ref="L145:M145"/>
    <mergeCell ref="J146:K146"/>
    <mergeCell ref="L146:M146"/>
    <mergeCell ref="J147:K147"/>
    <mergeCell ref="L147:M147"/>
    <mergeCell ref="J148:K148"/>
    <mergeCell ref="L148:M148"/>
    <mergeCell ref="J149:K149"/>
    <mergeCell ref="L149:M149"/>
    <mergeCell ref="J140:K140"/>
    <mergeCell ref="L140:M140"/>
    <mergeCell ref="J141:K141"/>
    <mergeCell ref="L141:M141"/>
    <mergeCell ref="J142:K142"/>
    <mergeCell ref="J155:K155"/>
    <mergeCell ref="L155:M155"/>
    <mergeCell ref="J156:K156"/>
    <mergeCell ref="L156:M156"/>
    <mergeCell ref="J157:K157"/>
    <mergeCell ref="L157:M157"/>
    <mergeCell ref="J158:K158"/>
    <mergeCell ref="L158:M158"/>
    <mergeCell ref="J153:K153"/>
    <mergeCell ref="L153:M153"/>
    <mergeCell ref="J154:K154"/>
    <mergeCell ref="L154:M154"/>
    <mergeCell ref="L142:M142"/>
    <mergeCell ref="J143:K143"/>
    <mergeCell ref="L143:M143"/>
    <mergeCell ref="J144:K144"/>
    <mergeCell ref="L144:M144"/>
    <mergeCell ref="J135:K135"/>
    <mergeCell ref="L135:M135"/>
    <mergeCell ref="J136:K136"/>
    <mergeCell ref="L136:M136"/>
    <mergeCell ref="J137:K137"/>
    <mergeCell ref="J139:K139"/>
    <mergeCell ref="L139:M139"/>
    <mergeCell ref="L137:M137"/>
    <mergeCell ref="J138:K138"/>
    <mergeCell ref="L138:M138"/>
    <mergeCell ref="G92:H92"/>
    <mergeCell ref="G93:H93"/>
    <mergeCell ref="G94:H94"/>
    <mergeCell ref="G95:H95"/>
    <mergeCell ref="G96:H96"/>
    <mergeCell ref="G97:H97"/>
    <mergeCell ref="G98:H98"/>
    <mergeCell ref="G99:H99"/>
    <mergeCell ref="G100:H100"/>
    <mergeCell ref="G101:H101"/>
    <mergeCell ref="G102:H102"/>
    <mergeCell ref="G103:H103"/>
    <mergeCell ref="G104:H104"/>
    <mergeCell ref="G105:H105"/>
    <mergeCell ref="G106:H106"/>
    <mergeCell ref="G107:H107"/>
    <mergeCell ref="G108:H108"/>
    <mergeCell ref="G109:H109"/>
    <mergeCell ref="G110:H110"/>
    <mergeCell ref="G111:H111"/>
    <mergeCell ref="G112:H112"/>
    <mergeCell ref="G113:H113"/>
    <mergeCell ref="G114:H114"/>
    <mergeCell ref="G115:H115"/>
    <mergeCell ref="G116:H116"/>
    <mergeCell ref="G117:H117"/>
    <mergeCell ref="G118:H118"/>
    <mergeCell ref="G119:H119"/>
    <mergeCell ref="G120:H120"/>
    <mergeCell ref="G121:H121"/>
    <mergeCell ref="G122:H122"/>
    <mergeCell ref="G123:H123"/>
    <mergeCell ref="G124:H124"/>
    <mergeCell ref="G125:H125"/>
    <mergeCell ref="G126:H126"/>
    <mergeCell ref="G127:H127"/>
    <mergeCell ref="G128:H128"/>
    <mergeCell ref="G129:H129"/>
    <mergeCell ref="G130:H130"/>
    <mergeCell ref="G131:H131"/>
    <mergeCell ref="G132:H132"/>
    <mergeCell ref="G133:H133"/>
    <mergeCell ref="G134:H134"/>
    <mergeCell ref="G135:H135"/>
    <mergeCell ref="G136:H136"/>
    <mergeCell ref="G137:H137"/>
    <mergeCell ref="G138:H138"/>
    <mergeCell ref="G139:H139"/>
    <mergeCell ref="G140:H140"/>
    <mergeCell ref="G141:H141"/>
    <mergeCell ref="G142:H142"/>
    <mergeCell ref="G143:H143"/>
    <mergeCell ref="G144:H144"/>
    <mergeCell ref="G145:H145"/>
    <mergeCell ref="G155:H155"/>
    <mergeCell ref="G156:H156"/>
    <mergeCell ref="G157:H157"/>
    <mergeCell ref="G158:H158"/>
    <mergeCell ref="G146:H146"/>
    <mergeCell ref="G147:H147"/>
    <mergeCell ref="G148:H148"/>
    <mergeCell ref="G149:H149"/>
    <mergeCell ref="G150:H150"/>
    <mergeCell ref="G151:H151"/>
    <mergeCell ref="G152:H152"/>
    <mergeCell ref="G153:H153"/>
    <mergeCell ref="G154:H154"/>
  </mergeCells>
  <printOptions horizontalCentered="1"/>
  <pageMargins left="0.55118110236220474" right="0.11811023622047245" top="0.74803149606299213" bottom="0.70866141732283472" header="0.51181102362204722" footer="0.51181102362204722"/>
  <pageSetup paperSize="9" scale="64" orientation="portrait" r:id="rId1"/>
  <headerFooter alignWithMargins="0"/>
  <rowBreaks count="1" manualBreakCount="1">
    <brk id="8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2:J68"/>
  <sheetViews>
    <sheetView showGridLines="0" showZeros="0" topLeftCell="B51" zoomScale="80" zoomScaleNormal="80" workbookViewId="0">
      <selection activeCell="B54" sqref="B54"/>
    </sheetView>
  </sheetViews>
  <sheetFormatPr defaultRowHeight="12.75"/>
  <cols>
    <col min="1" max="1" width="10.7109375" style="343" customWidth="1"/>
    <col min="2" max="2" width="9.5703125" style="345" customWidth="1"/>
    <col min="3" max="3" width="46" style="556" customWidth="1"/>
    <col min="4" max="4" width="4.28515625" style="343" customWidth="1"/>
    <col min="5" max="5" width="18.28515625" style="343" customWidth="1"/>
    <col min="6" max="6" width="19.5703125" style="343" customWidth="1"/>
    <col min="7" max="7" width="10.7109375" customWidth="1"/>
    <col min="8" max="13" width="10.7109375" style="384" customWidth="1"/>
    <col min="14" max="253" width="9.140625" style="384"/>
    <col min="254" max="254" width="6.28515625" style="384" customWidth="1"/>
    <col min="255" max="255" width="93.7109375" style="384" customWidth="1"/>
    <col min="256" max="256" width="4.28515625" style="384" customWidth="1"/>
    <col min="257" max="257" width="18.28515625" style="384" customWidth="1"/>
    <col min="258" max="258" width="19.5703125" style="384" customWidth="1"/>
    <col min="259" max="259" width="10.7109375" style="384" customWidth="1"/>
    <col min="260" max="260" width="15.7109375" style="384" customWidth="1"/>
    <col min="261" max="261" width="9.42578125" style="384" customWidth="1"/>
    <col min="262" max="262" width="9.140625" style="384"/>
    <col min="263" max="269" width="10.7109375" style="384" customWidth="1"/>
    <col min="270" max="509" width="9.140625" style="384"/>
    <col min="510" max="510" width="6.28515625" style="384" customWidth="1"/>
    <col min="511" max="511" width="93.7109375" style="384" customWidth="1"/>
    <col min="512" max="512" width="4.28515625" style="384" customWidth="1"/>
    <col min="513" max="513" width="18.28515625" style="384" customWidth="1"/>
    <col min="514" max="514" width="19.5703125" style="384" customWidth="1"/>
    <col min="515" max="515" width="10.7109375" style="384" customWidth="1"/>
    <col min="516" max="516" width="15.7109375" style="384" customWidth="1"/>
    <col min="517" max="517" width="9.42578125" style="384" customWidth="1"/>
    <col min="518" max="518" width="9.140625" style="384"/>
    <col min="519" max="525" width="10.7109375" style="384" customWidth="1"/>
    <col min="526" max="765" width="9.140625" style="384"/>
    <col min="766" max="766" width="6.28515625" style="384" customWidth="1"/>
    <col min="767" max="767" width="93.7109375" style="384" customWidth="1"/>
    <col min="768" max="768" width="4.28515625" style="384" customWidth="1"/>
    <col min="769" max="769" width="18.28515625" style="384" customWidth="1"/>
    <col min="770" max="770" width="19.5703125" style="384" customWidth="1"/>
    <col min="771" max="771" width="10.7109375" style="384" customWidth="1"/>
    <col min="772" max="772" width="15.7109375" style="384" customWidth="1"/>
    <col min="773" max="773" width="9.42578125" style="384" customWidth="1"/>
    <col min="774" max="774" width="9.140625" style="384"/>
    <col min="775" max="781" width="10.7109375" style="384" customWidth="1"/>
    <col min="782" max="1021" width="9.140625" style="384"/>
    <col min="1022" max="1022" width="6.28515625" style="384" customWidth="1"/>
    <col min="1023" max="1023" width="93.7109375" style="384" customWidth="1"/>
    <col min="1024" max="1024" width="4.28515625" style="384" customWidth="1"/>
    <col min="1025" max="1025" width="18.28515625" style="384" customWidth="1"/>
    <col min="1026" max="1026" width="19.5703125" style="384" customWidth="1"/>
    <col min="1027" max="1027" width="10.7109375" style="384" customWidth="1"/>
    <col min="1028" max="1028" width="15.7109375" style="384" customWidth="1"/>
    <col min="1029" max="1029" width="9.42578125" style="384" customWidth="1"/>
    <col min="1030" max="1030" width="9.140625" style="384"/>
    <col min="1031" max="1037" width="10.7109375" style="384" customWidth="1"/>
    <col min="1038" max="1277" width="9.140625" style="384"/>
    <col min="1278" max="1278" width="6.28515625" style="384" customWidth="1"/>
    <col min="1279" max="1279" width="93.7109375" style="384" customWidth="1"/>
    <col min="1280" max="1280" width="4.28515625" style="384" customWidth="1"/>
    <col min="1281" max="1281" width="18.28515625" style="384" customWidth="1"/>
    <col min="1282" max="1282" width="19.5703125" style="384" customWidth="1"/>
    <col min="1283" max="1283" width="10.7109375" style="384" customWidth="1"/>
    <col min="1284" max="1284" width="15.7109375" style="384" customWidth="1"/>
    <col min="1285" max="1285" width="9.42578125" style="384" customWidth="1"/>
    <col min="1286" max="1286" width="9.140625" style="384"/>
    <col min="1287" max="1293" width="10.7109375" style="384" customWidth="1"/>
    <col min="1294" max="1533" width="9.140625" style="384"/>
    <col min="1534" max="1534" width="6.28515625" style="384" customWidth="1"/>
    <col min="1535" max="1535" width="93.7109375" style="384" customWidth="1"/>
    <col min="1536" max="1536" width="4.28515625" style="384" customWidth="1"/>
    <col min="1537" max="1537" width="18.28515625" style="384" customWidth="1"/>
    <col min="1538" max="1538" width="19.5703125" style="384" customWidth="1"/>
    <col min="1539" max="1539" width="10.7109375" style="384" customWidth="1"/>
    <col min="1540" max="1540" width="15.7109375" style="384" customWidth="1"/>
    <col min="1541" max="1541" width="9.42578125" style="384" customWidth="1"/>
    <col min="1542" max="1542" width="9.140625" style="384"/>
    <col min="1543" max="1549" width="10.7109375" style="384" customWidth="1"/>
    <col min="1550" max="1789" width="9.140625" style="384"/>
    <col min="1790" max="1790" width="6.28515625" style="384" customWidth="1"/>
    <col min="1791" max="1791" width="93.7109375" style="384" customWidth="1"/>
    <col min="1792" max="1792" width="4.28515625" style="384" customWidth="1"/>
    <col min="1793" max="1793" width="18.28515625" style="384" customWidth="1"/>
    <col min="1794" max="1794" width="19.5703125" style="384" customWidth="1"/>
    <col min="1795" max="1795" width="10.7109375" style="384" customWidth="1"/>
    <col min="1796" max="1796" width="15.7109375" style="384" customWidth="1"/>
    <col min="1797" max="1797" width="9.42578125" style="384" customWidth="1"/>
    <col min="1798" max="1798" width="9.140625" style="384"/>
    <col min="1799" max="1805" width="10.7109375" style="384" customWidth="1"/>
    <col min="1806" max="2045" width="9.140625" style="384"/>
    <col min="2046" max="2046" width="6.28515625" style="384" customWidth="1"/>
    <col min="2047" max="2047" width="93.7109375" style="384" customWidth="1"/>
    <col min="2048" max="2048" width="4.28515625" style="384" customWidth="1"/>
    <col min="2049" max="2049" width="18.28515625" style="384" customWidth="1"/>
    <col min="2050" max="2050" width="19.5703125" style="384" customWidth="1"/>
    <col min="2051" max="2051" width="10.7109375" style="384" customWidth="1"/>
    <col min="2052" max="2052" width="15.7109375" style="384" customWidth="1"/>
    <col min="2053" max="2053" width="9.42578125" style="384" customWidth="1"/>
    <col min="2054" max="2054" width="9.140625" style="384"/>
    <col min="2055" max="2061" width="10.7109375" style="384" customWidth="1"/>
    <col min="2062" max="2301" width="9.140625" style="384"/>
    <col min="2302" max="2302" width="6.28515625" style="384" customWidth="1"/>
    <col min="2303" max="2303" width="93.7109375" style="384" customWidth="1"/>
    <col min="2304" max="2304" width="4.28515625" style="384" customWidth="1"/>
    <col min="2305" max="2305" width="18.28515625" style="384" customWidth="1"/>
    <col min="2306" max="2306" width="19.5703125" style="384" customWidth="1"/>
    <col min="2307" max="2307" width="10.7109375" style="384" customWidth="1"/>
    <col min="2308" max="2308" width="15.7109375" style="384" customWidth="1"/>
    <col min="2309" max="2309" width="9.42578125" style="384" customWidth="1"/>
    <col min="2310" max="2310" width="9.140625" style="384"/>
    <col min="2311" max="2317" width="10.7109375" style="384" customWidth="1"/>
    <col min="2318" max="2557" width="9.140625" style="384"/>
    <col min="2558" max="2558" width="6.28515625" style="384" customWidth="1"/>
    <col min="2559" max="2559" width="93.7109375" style="384" customWidth="1"/>
    <col min="2560" max="2560" width="4.28515625" style="384" customWidth="1"/>
    <col min="2561" max="2561" width="18.28515625" style="384" customWidth="1"/>
    <col min="2562" max="2562" width="19.5703125" style="384" customWidth="1"/>
    <col min="2563" max="2563" width="10.7109375" style="384" customWidth="1"/>
    <col min="2564" max="2564" width="15.7109375" style="384" customWidth="1"/>
    <col min="2565" max="2565" width="9.42578125" style="384" customWidth="1"/>
    <col min="2566" max="2566" width="9.140625" style="384"/>
    <col min="2567" max="2573" width="10.7109375" style="384" customWidth="1"/>
    <col min="2574" max="2813" width="9.140625" style="384"/>
    <col min="2814" max="2814" width="6.28515625" style="384" customWidth="1"/>
    <col min="2815" max="2815" width="93.7109375" style="384" customWidth="1"/>
    <col min="2816" max="2816" width="4.28515625" style="384" customWidth="1"/>
    <col min="2817" max="2817" width="18.28515625" style="384" customWidth="1"/>
    <col min="2818" max="2818" width="19.5703125" style="384" customWidth="1"/>
    <col min="2819" max="2819" width="10.7109375" style="384" customWidth="1"/>
    <col min="2820" max="2820" width="15.7109375" style="384" customWidth="1"/>
    <col min="2821" max="2821" width="9.42578125" style="384" customWidth="1"/>
    <col min="2822" max="2822" width="9.140625" style="384"/>
    <col min="2823" max="2829" width="10.7109375" style="384" customWidth="1"/>
    <col min="2830" max="3069" width="9.140625" style="384"/>
    <col min="3070" max="3070" width="6.28515625" style="384" customWidth="1"/>
    <col min="3071" max="3071" width="93.7109375" style="384" customWidth="1"/>
    <col min="3072" max="3072" width="4.28515625" style="384" customWidth="1"/>
    <col min="3073" max="3073" width="18.28515625" style="384" customWidth="1"/>
    <col min="3074" max="3074" width="19.5703125" style="384" customWidth="1"/>
    <col min="3075" max="3075" width="10.7109375" style="384" customWidth="1"/>
    <col min="3076" max="3076" width="15.7109375" style="384" customWidth="1"/>
    <col min="3077" max="3077" width="9.42578125" style="384" customWidth="1"/>
    <col min="3078" max="3078" width="9.140625" style="384"/>
    <col min="3079" max="3085" width="10.7109375" style="384" customWidth="1"/>
    <col min="3086" max="3325" width="9.140625" style="384"/>
    <col min="3326" max="3326" width="6.28515625" style="384" customWidth="1"/>
    <col min="3327" max="3327" width="93.7109375" style="384" customWidth="1"/>
    <col min="3328" max="3328" width="4.28515625" style="384" customWidth="1"/>
    <col min="3329" max="3329" width="18.28515625" style="384" customWidth="1"/>
    <col min="3330" max="3330" width="19.5703125" style="384" customWidth="1"/>
    <col min="3331" max="3331" width="10.7109375" style="384" customWidth="1"/>
    <col min="3332" max="3332" width="15.7109375" style="384" customWidth="1"/>
    <col min="3333" max="3333" width="9.42578125" style="384" customWidth="1"/>
    <col min="3334" max="3334" width="9.140625" style="384"/>
    <col min="3335" max="3341" width="10.7109375" style="384" customWidth="1"/>
    <col min="3342" max="3581" width="9.140625" style="384"/>
    <col min="3582" max="3582" width="6.28515625" style="384" customWidth="1"/>
    <col min="3583" max="3583" width="93.7109375" style="384" customWidth="1"/>
    <col min="3584" max="3584" width="4.28515625" style="384" customWidth="1"/>
    <col min="3585" max="3585" width="18.28515625" style="384" customWidth="1"/>
    <col min="3586" max="3586" width="19.5703125" style="384" customWidth="1"/>
    <col min="3587" max="3587" width="10.7109375" style="384" customWidth="1"/>
    <col min="3588" max="3588" width="15.7109375" style="384" customWidth="1"/>
    <col min="3589" max="3589" width="9.42578125" style="384" customWidth="1"/>
    <col min="3590" max="3590" width="9.140625" style="384"/>
    <col min="3591" max="3597" width="10.7109375" style="384" customWidth="1"/>
    <col min="3598" max="3837" width="9.140625" style="384"/>
    <col min="3838" max="3838" width="6.28515625" style="384" customWidth="1"/>
    <col min="3839" max="3839" width="93.7109375" style="384" customWidth="1"/>
    <col min="3840" max="3840" width="4.28515625" style="384" customWidth="1"/>
    <col min="3841" max="3841" width="18.28515625" style="384" customWidth="1"/>
    <col min="3842" max="3842" width="19.5703125" style="384" customWidth="1"/>
    <col min="3843" max="3843" width="10.7109375" style="384" customWidth="1"/>
    <col min="3844" max="3844" width="15.7109375" style="384" customWidth="1"/>
    <col min="3845" max="3845" width="9.42578125" style="384" customWidth="1"/>
    <col min="3846" max="3846" width="9.140625" style="384"/>
    <col min="3847" max="3853" width="10.7109375" style="384" customWidth="1"/>
    <col min="3854" max="4093" width="9.140625" style="384"/>
    <col min="4094" max="4094" width="6.28515625" style="384" customWidth="1"/>
    <col min="4095" max="4095" width="93.7109375" style="384" customWidth="1"/>
    <col min="4096" max="4096" width="4.28515625" style="384" customWidth="1"/>
    <col min="4097" max="4097" width="18.28515625" style="384" customWidth="1"/>
    <col min="4098" max="4098" width="19.5703125" style="384" customWidth="1"/>
    <col min="4099" max="4099" width="10.7109375" style="384" customWidth="1"/>
    <col min="4100" max="4100" width="15.7109375" style="384" customWidth="1"/>
    <col min="4101" max="4101" width="9.42578125" style="384" customWidth="1"/>
    <col min="4102" max="4102" width="9.140625" style="384"/>
    <col min="4103" max="4109" width="10.7109375" style="384" customWidth="1"/>
    <col min="4110" max="4349" width="9.140625" style="384"/>
    <col min="4350" max="4350" width="6.28515625" style="384" customWidth="1"/>
    <col min="4351" max="4351" width="93.7109375" style="384" customWidth="1"/>
    <col min="4352" max="4352" width="4.28515625" style="384" customWidth="1"/>
    <col min="4353" max="4353" width="18.28515625" style="384" customWidth="1"/>
    <col min="4354" max="4354" width="19.5703125" style="384" customWidth="1"/>
    <col min="4355" max="4355" width="10.7109375" style="384" customWidth="1"/>
    <col min="4356" max="4356" width="15.7109375" style="384" customWidth="1"/>
    <col min="4357" max="4357" width="9.42578125" style="384" customWidth="1"/>
    <col min="4358" max="4358" width="9.140625" style="384"/>
    <col min="4359" max="4365" width="10.7109375" style="384" customWidth="1"/>
    <col min="4366" max="4605" width="9.140625" style="384"/>
    <col min="4606" max="4606" width="6.28515625" style="384" customWidth="1"/>
    <col min="4607" max="4607" width="93.7109375" style="384" customWidth="1"/>
    <col min="4608" max="4608" width="4.28515625" style="384" customWidth="1"/>
    <col min="4609" max="4609" width="18.28515625" style="384" customWidth="1"/>
    <col min="4610" max="4610" width="19.5703125" style="384" customWidth="1"/>
    <col min="4611" max="4611" width="10.7109375" style="384" customWidth="1"/>
    <col min="4612" max="4612" width="15.7109375" style="384" customWidth="1"/>
    <col min="4613" max="4613" width="9.42578125" style="384" customWidth="1"/>
    <col min="4614" max="4614" width="9.140625" style="384"/>
    <col min="4615" max="4621" width="10.7109375" style="384" customWidth="1"/>
    <col min="4622" max="4861" width="9.140625" style="384"/>
    <col min="4862" max="4862" width="6.28515625" style="384" customWidth="1"/>
    <col min="4863" max="4863" width="93.7109375" style="384" customWidth="1"/>
    <col min="4864" max="4864" width="4.28515625" style="384" customWidth="1"/>
    <col min="4865" max="4865" width="18.28515625" style="384" customWidth="1"/>
    <col min="4866" max="4866" width="19.5703125" style="384" customWidth="1"/>
    <col min="4867" max="4867" width="10.7109375" style="384" customWidth="1"/>
    <col min="4868" max="4868" width="15.7109375" style="384" customWidth="1"/>
    <col min="4869" max="4869" width="9.42578125" style="384" customWidth="1"/>
    <col min="4870" max="4870" width="9.140625" style="384"/>
    <col min="4871" max="4877" width="10.7109375" style="384" customWidth="1"/>
    <col min="4878" max="5117" width="9.140625" style="384"/>
    <col min="5118" max="5118" width="6.28515625" style="384" customWidth="1"/>
    <col min="5119" max="5119" width="93.7109375" style="384" customWidth="1"/>
    <col min="5120" max="5120" width="4.28515625" style="384" customWidth="1"/>
    <col min="5121" max="5121" width="18.28515625" style="384" customWidth="1"/>
    <col min="5122" max="5122" width="19.5703125" style="384" customWidth="1"/>
    <col min="5123" max="5123" width="10.7109375" style="384" customWidth="1"/>
    <col min="5124" max="5124" width="15.7109375" style="384" customWidth="1"/>
    <col min="5125" max="5125" width="9.42578125" style="384" customWidth="1"/>
    <col min="5126" max="5126" width="9.140625" style="384"/>
    <col min="5127" max="5133" width="10.7109375" style="384" customWidth="1"/>
    <col min="5134" max="5373" width="9.140625" style="384"/>
    <col min="5374" max="5374" width="6.28515625" style="384" customWidth="1"/>
    <col min="5375" max="5375" width="93.7109375" style="384" customWidth="1"/>
    <col min="5376" max="5376" width="4.28515625" style="384" customWidth="1"/>
    <col min="5377" max="5377" width="18.28515625" style="384" customWidth="1"/>
    <col min="5378" max="5378" width="19.5703125" style="384" customWidth="1"/>
    <col min="5379" max="5379" width="10.7109375" style="384" customWidth="1"/>
    <col min="5380" max="5380" width="15.7109375" style="384" customWidth="1"/>
    <col min="5381" max="5381" width="9.42578125" style="384" customWidth="1"/>
    <col min="5382" max="5382" width="9.140625" style="384"/>
    <col min="5383" max="5389" width="10.7109375" style="384" customWidth="1"/>
    <col min="5390" max="5629" width="9.140625" style="384"/>
    <col min="5630" max="5630" width="6.28515625" style="384" customWidth="1"/>
    <col min="5631" max="5631" width="93.7109375" style="384" customWidth="1"/>
    <col min="5632" max="5632" width="4.28515625" style="384" customWidth="1"/>
    <col min="5633" max="5633" width="18.28515625" style="384" customWidth="1"/>
    <col min="5634" max="5634" width="19.5703125" style="384" customWidth="1"/>
    <col min="5635" max="5635" width="10.7109375" style="384" customWidth="1"/>
    <col min="5636" max="5636" width="15.7109375" style="384" customWidth="1"/>
    <col min="5637" max="5637" width="9.42578125" style="384" customWidth="1"/>
    <col min="5638" max="5638" width="9.140625" style="384"/>
    <col min="5639" max="5645" width="10.7109375" style="384" customWidth="1"/>
    <col min="5646" max="5885" width="9.140625" style="384"/>
    <col min="5886" max="5886" width="6.28515625" style="384" customWidth="1"/>
    <col min="5887" max="5887" width="93.7109375" style="384" customWidth="1"/>
    <col min="5888" max="5888" width="4.28515625" style="384" customWidth="1"/>
    <col min="5889" max="5889" width="18.28515625" style="384" customWidth="1"/>
    <col min="5890" max="5890" width="19.5703125" style="384" customWidth="1"/>
    <col min="5891" max="5891" width="10.7109375" style="384" customWidth="1"/>
    <col min="5892" max="5892" width="15.7109375" style="384" customWidth="1"/>
    <col min="5893" max="5893" width="9.42578125" style="384" customWidth="1"/>
    <col min="5894" max="5894" width="9.140625" style="384"/>
    <col min="5895" max="5901" width="10.7109375" style="384" customWidth="1"/>
    <col min="5902" max="6141" width="9.140625" style="384"/>
    <col min="6142" max="6142" width="6.28515625" style="384" customWidth="1"/>
    <col min="6143" max="6143" width="93.7109375" style="384" customWidth="1"/>
    <col min="6144" max="6144" width="4.28515625" style="384" customWidth="1"/>
    <col min="6145" max="6145" width="18.28515625" style="384" customWidth="1"/>
    <col min="6146" max="6146" width="19.5703125" style="384" customWidth="1"/>
    <col min="6147" max="6147" width="10.7109375" style="384" customWidth="1"/>
    <col min="6148" max="6148" width="15.7109375" style="384" customWidth="1"/>
    <col min="6149" max="6149" width="9.42578125" style="384" customWidth="1"/>
    <col min="6150" max="6150" width="9.140625" style="384"/>
    <col min="6151" max="6157" width="10.7109375" style="384" customWidth="1"/>
    <col min="6158" max="6397" width="9.140625" style="384"/>
    <col min="6398" max="6398" width="6.28515625" style="384" customWidth="1"/>
    <col min="6399" max="6399" width="93.7109375" style="384" customWidth="1"/>
    <col min="6400" max="6400" width="4.28515625" style="384" customWidth="1"/>
    <col min="6401" max="6401" width="18.28515625" style="384" customWidth="1"/>
    <col min="6402" max="6402" width="19.5703125" style="384" customWidth="1"/>
    <col min="6403" max="6403" width="10.7109375" style="384" customWidth="1"/>
    <col min="6404" max="6404" width="15.7109375" style="384" customWidth="1"/>
    <col min="6405" max="6405" width="9.42578125" style="384" customWidth="1"/>
    <col min="6406" max="6406" width="9.140625" style="384"/>
    <col min="6407" max="6413" width="10.7109375" style="384" customWidth="1"/>
    <col min="6414" max="6653" width="9.140625" style="384"/>
    <col min="6654" max="6654" width="6.28515625" style="384" customWidth="1"/>
    <col min="6655" max="6655" width="93.7109375" style="384" customWidth="1"/>
    <col min="6656" max="6656" width="4.28515625" style="384" customWidth="1"/>
    <col min="6657" max="6657" width="18.28515625" style="384" customWidth="1"/>
    <col min="6658" max="6658" width="19.5703125" style="384" customWidth="1"/>
    <col min="6659" max="6659" width="10.7109375" style="384" customWidth="1"/>
    <col min="6660" max="6660" width="15.7109375" style="384" customWidth="1"/>
    <col min="6661" max="6661" width="9.42578125" style="384" customWidth="1"/>
    <col min="6662" max="6662" width="9.140625" style="384"/>
    <col min="6663" max="6669" width="10.7109375" style="384" customWidth="1"/>
    <col min="6670" max="6909" width="9.140625" style="384"/>
    <col min="6910" max="6910" width="6.28515625" style="384" customWidth="1"/>
    <col min="6911" max="6911" width="93.7109375" style="384" customWidth="1"/>
    <col min="6912" max="6912" width="4.28515625" style="384" customWidth="1"/>
    <col min="6913" max="6913" width="18.28515625" style="384" customWidth="1"/>
    <col min="6914" max="6914" width="19.5703125" style="384" customWidth="1"/>
    <col min="6915" max="6915" width="10.7109375" style="384" customWidth="1"/>
    <col min="6916" max="6916" width="15.7109375" style="384" customWidth="1"/>
    <col min="6917" max="6917" width="9.42578125" style="384" customWidth="1"/>
    <col min="6918" max="6918" width="9.140625" style="384"/>
    <col min="6919" max="6925" width="10.7109375" style="384" customWidth="1"/>
    <col min="6926" max="7165" width="9.140625" style="384"/>
    <col min="7166" max="7166" width="6.28515625" style="384" customWidth="1"/>
    <col min="7167" max="7167" width="93.7109375" style="384" customWidth="1"/>
    <col min="7168" max="7168" width="4.28515625" style="384" customWidth="1"/>
    <col min="7169" max="7169" width="18.28515625" style="384" customWidth="1"/>
    <col min="7170" max="7170" width="19.5703125" style="384" customWidth="1"/>
    <col min="7171" max="7171" width="10.7109375" style="384" customWidth="1"/>
    <col min="7172" max="7172" width="15.7109375" style="384" customWidth="1"/>
    <col min="7173" max="7173" width="9.42578125" style="384" customWidth="1"/>
    <col min="7174" max="7174" width="9.140625" style="384"/>
    <col min="7175" max="7181" width="10.7109375" style="384" customWidth="1"/>
    <col min="7182" max="7421" width="9.140625" style="384"/>
    <col min="7422" max="7422" width="6.28515625" style="384" customWidth="1"/>
    <col min="7423" max="7423" width="93.7109375" style="384" customWidth="1"/>
    <col min="7424" max="7424" width="4.28515625" style="384" customWidth="1"/>
    <col min="7425" max="7425" width="18.28515625" style="384" customWidth="1"/>
    <col min="7426" max="7426" width="19.5703125" style="384" customWidth="1"/>
    <col min="7427" max="7427" width="10.7109375" style="384" customWidth="1"/>
    <col min="7428" max="7428" width="15.7109375" style="384" customWidth="1"/>
    <col min="7429" max="7429" width="9.42578125" style="384" customWidth="1"/>
    <col min="7430" max="7430" width="9.140625" style="384"/>
    <col min="7431" max="7437" width="10.7109375" style="384" customWidth="1"/>
    <col min="7438" max="7677" width="9.140625" style="384"/>
    <col min="7678" max="7678" width="6.28515625" style="384" customWidth="1"/>
    <col min="7679" max="7679" width="93.7109375" style="384" customWidth="1"/>
    <col min="7680" max="7680" width="4.28515625" style="384" customWidth="1"/>
    <col min="7681" max="7681" width="18.28515625" style="384" customWidth="1"/>
    <col min="7682" max="7682" width="19.5703125" style="384" customWidth="1"/>
    <col min="7683" max="7683" width="10.7109375" style="384" customWidth="1"/>
    <col min="7684" max="7684" width="15.7109375" style="384" customWidth="1"/>
    <col min="7685" max="7685" width="9.42578125" style="384" customWidth="1"/>
    <col min="7686" max="7686" width="9.140625" style="384"/>
    <col min="7687" max="7693" width="10.7109375" style="384" customWidth="1"/>
    <col min="7694" max="7933" width="9.140625" style="384"/>
    <col min="7934" max="7934" width="6.28515625" style="384" customWidth="1"/>
    <col min="7935" max="7935" width="93.7109375" style="384" customWidth="1"/>
    <col min="7936" max="7936" width="4.28515625" style="384" customWidth="1"/>
    <col min="7937" max="7937" width="18.28515625" style="384" customWidth="1"/>
    <col min="7938" max="7938" width="19.5703125" style="384" customWidth="1"/>
    <col min="7939" max="7939" width="10.7109375" style="384" customWidth="1"/>
    <col min="7940" max="7940" width="15.7109375" style="384" customWidth="1"/>
    <col min="7941" max="7941" width="9.42578125" style="384" customWidth="1"/>
    <col min="7942" max="7942" width="9.140625" style="384"/>
    <col min="7943" max="7949" width="10.7109375" style="384" customWidth="1"/>
    <col min="7950" max="8189" width="9.140625" style="384"/>
    <col min="8190" max="8190" width="6.28515625" style="384" customWidth="1"/>
    <col min="8191" max="8191" width="93.7109375" style="384" customWidth="1"/>
    <col min="8192" max="8192" width="4.28515625" style="384" customWidth="1"/>
    <col min="8193" max="8193" width="18.28515625" style="384" customWidth="1"/>
    <col min="8194" max="8194" width="19.5703125" style="384" customWidth="1"/>
    <col min="8195" max="8195" width="10.7109375" style="384" customWidth="1"/>
    <col min="8196" max="8196" width="15.7109375" style="384" customWidth="1"/>
    <col min="8197" max="8197" width="9.42578125" style="384" customWidth="1"/>
    <col min="8198" max="8198" width="9.140625" style="384"/>
    <col min="8199" max="8205" width="10.7109375" style="384" customWidth="1"/>
    <col min="8206" max="8445" width="9.140625" style="384"/>
    <col min="8446" max="8446" width="6.28515625" style="384" customWidth="1"/>
    <col min="8447" max="8447" width="93.7109375" style="384" customWidth="1"/>
    <col min="8448" max="8448" width="4.28515625" style="384" customWidth="1"/>
    <col min="8449" max="8449" width="18.28515625" style="384" customWidth="1"/>
    <col min="8450" max="8450" width="19.5703125" style="384" customWidth="1"/>
    <col min="8451" max="8451" width="10.7109375" style="384" customWidth="1"/>
    <col min="8452" max="8452" width="15.7109375" style="384" customWidth="1"/>
    <col min="8453" max="8453" width="9.42578125" style="384" customWidth="1"/>
    <col min="8454" max="8454" width="9.140625" style="384"/>
    <col min="8455" max="8461" width="10.7109375" style="384" customWidth="1"/>
    <col min="8462" max="8701" width="9.140625" style="384"/>
    <col min="8702" max="8702" width="6.28515625" style="384" customWidth="1"/>
    <col min="8703" max="8703" width="93.7109375" style="384" customWidth="1"/>
    <col min="8704" max="8704" width="4.28515625" style="384" customWidth="1"/>
    <col min="8705" max="8705" width="18.28515625" style="384" customWidth="1"/>
    <col min="8706" max="8706" width="19.5703125" style="384" customWidth="1"/>
    <col min="8707" max="8707" width="10.7109375" style="384" customWidth="1"/>
    <col min="8708" max="8708" width="15.7109375" style="384" customWidth="1"/>
    <col min="8709" max="8709" width="9.42578125" style="384" customWidth="1"/>
    <col min="8710" max="8710" width="9.140625" style="384"/>
    <col min="8711" max="8717" width="10.7109375" style="384" customWidth="1"/>
    <col min="8718" max="8957" width="9.140625" style="384"/>
    <col min="8958" max="8958" width="6.28515625" style="384" customWidth="1"/>
    <col min="8959" max="8959" width="93.7109375" style="384" customWidth="1"/>
    <col min="8960" max="8960" width="4.28515625" style="384" customWidth="1"/>
    <col min="8961" max="8961" width="18.28515625" style="384" customWidth="1"/>
    <col min="8962" max="8962" width="19.5703125" style="384" customWidth="1"/>
    <col min="8963" max="8963" width="10.7109375" style="384" customWidth="1"/>
    <col min="8964" max="8964" width="15.7109375" style="384" customWidth="1"/>
    <col min="8965" max="8965" width="9.42578125" style="384" customWidth="1"/>
    <col min="8966" max="8966" width="9.140625" style="384"/>
    <col min="8967" max="8973" width="10.7109375" style="384" customWidth="1"/>
    <col min="8974" max="9213" width="9.140625" style="384"/>
    <col min="9214" max="9214" width="6.28515625" style="384" customWidth="1"/>
    <col min="9215" max="9215" width="93.7109375" style="384" customWidth="1"/>
    <col min="9216" max="9216" width="4.28515625" style="384" customWidth="1"/>
    <col min="9217" max="9217" width="18.28515625" style="384" customWidth="1"/>
    <col min="9218" max="9218" width="19.5703125" style="384" customWidth="1"/>
    <col min="9219" max="9219" width="10.7109375" style="384" customWidth="1"/>
    <col min="9220" max="9220" width="15.7109375" style="384" customWidth="1"/>
    <col min="9221" max="9221" width="9.42578125" style="384" customWidth="1"/>
    <col min="9222" max="9222" width="9.140625" style="384"/>
    <col min="9223" max="9229" width="10.7109375" style="384" customWidth="1"/>
    <col min="9230" max="9469" width="9.140625" style="384"/>
    <col min="9470" max="9470" width="6.28515625" style="384" customWidth="1"/>
    <col min="9471" max="9471" width="93.7109375" style="384" customWidth="1"/>
    <col min="9472" max="9472" width="4.28515625" style="384" customWidth="1"/>
    <col min="9473" max="9473" width="18.28515625" style="384" customWidth="1"/>
    <col min="9474" max="9474" width="19.5703125" style="384" customWidth="1"/>
    <col min="9475" max="9475" width="10.7109375" style="384" customWidth="1"/>
    <col min="9476" max="9476" width="15.7109375" style="384" customWidth="1"/>
    <col min="9477" max="9477" width="9.42578125" style="384" customWidth="1"/>
    <col min="9478" max="9478" width="9.140625" style="384"/>
    <col min="9479" max="9485" width="10.7109375" style="384" customWidth="1"/>
    <col min="9486" max="9725" width="9.140625" style="384"/>
    <col min="9726" max="9726" width="6.28515625" style="384" customWidth="1"/>
    <col min="9727" max="9727" width="93.7109375" style="384" customWidth="1"/>
    <col min="9728" max="9728" width="4.28515625" style="384" customWidth="1"/>
    <col min="9729" max="9729" width="18.28515625" style="384" customWidth="1"/>
    <col min="9730" max="9730" width="19.5703125" style="384" customWidth="1"/>
    <col min="9731" max="9731" width="10.7109375" style="384" customWidth="1"/>
    <col min="9732" max="9732" width="15.7109375" style="384" customWidth="1"/>
    <col min="9733" max="9733" width="9.42578125" style="384" customWidth="1"/>
    <col min="9734" max="9734" width="9.140625" style="384"/>
    <col min="9735" max="9741" width="10.7109375" style="384" customWidth="1"/>
    <col min="9742" max="9981" width="9.140625" style="384"/>
    <col min="9982" max="9982" width="6.28515625" style="384" customWidth="1"/>
    <col min="9983" max="9983" width="93.7109375" style="384" customWidth="1"/>
    <col min="9984" max="9984" width="4.28515625" style="384" customWidth="1"/>
    <col min="9985" max="9985" width="18.28515625" style="384" customWidth="1"/>
    <col min="9986" max="9986" width="19.5703125" style="384" customWidth="1"/>
    <col min="9987" max="9987" width="10.7109375" style="384" customWidth="1"/>
    <col min="9988" max="9988" width="15.7109375" style="384" customWidth="1"/>
    <col min="9989" max="9989" width="9.42578125" style="384" customWidth="1"/>
    <col min="9990" max="9990" width="9.140625" style="384"/>
    <col min="9991" max="9997" width="10.7109375" style="384" customWidth="1"/>
    <col min="9998" max="10237" width="9.140625" style="384"/>
    <col min="10238" max="10238" width="6.28515625" style="384" customWidth="1"/>
    <col min="10239" max="10239" width="93.7109375" style="384" customWidth="1"/>
    <col min="10240" max="10240" width="4.28515625" style="384" customWidth="1"/>
    <col min="10241" max="10241" width="18.28515625" style="384" customWidth="1"/>
    <col min="10242" max="10242" width="19.5703125" style="384" customWidth="1"/>
    <col min="10243" max="10243" width="10.7109375" style="384" customWidth="1"/>
    <col min="10244" max="10244" width="15.7109375" style="384" customWidth="1"/>
    <col min="10245" max="10245" width="9.42578125" style="384" customWidth="1"/>
    <col min="10246" max="10246" width="9.140625" style="384"/>
    <col min="10247" max="10253" width="10.7109375" style="384" customWidth="1"/>
    <col min="10254" max="10493" width="9.140625" style="384"/>
    <col min="10494" max="10494" width="6.28515625" style="384" customWidth="1"/>
    <col min="10495" max="10495" width="93.7109375" style="384" customWidth="1"/>
    <col min="10496" max="10496" width="4.28515625" style="384" customWidth="1"/>
    <col min="10497" max="10497" width="18.28515625" style="384" customWidth="1"/>
    <col min="10498" max="10498" width="19.5703125" style="384" customWidth="1"/>
    <col min="10499" max="10499" width="10.7109375" style="384" customWidth="1"/>
    <col min="10500" max="10500" width="15.7109375" style="384" customWidth="1"/>
    <col min="10501" max="10501" width="9.42578125" style="384" customWidth="1"/>
    <col min="10502" max="10502" width="9.140625" style="384"/>
    <col min="10503" max="10509" width="10.7109375" style="384" customWidth="1"/>
    <col min="10510" max="10749" width="9.140625" style="384"/>
    <col min="10750" max="10750" width="6.28515625" style="384" customWidth="1"/>
    <col min="10751" max="10751" width="93.7109375" style="384" customWidth="1"/>
    <col min="10752" max="10752" width="4.28515625" style="384" customWidth="1"/>
    <col min="10753" max="10753" width="18.28515625" style="384" customWidth="1"/>
    <col min="10754" max="10754" width="19.5703125" style="384" customWidth="1"/>
    <col min="10755" max="10755" width="10.7109375" style="384" customWidth="1"/>
    <col min="10756" max="10756" width="15.7109375" style="384" customWidth="1"/>
    <col min="10757" max="10757" width="9.42578125" style="384" customWidth="1"/>
    <col min="10758" max="10758" width="9.140625" style="384"/>
    <col min="10759" max="10765" width="10.7109375" style="384" customWidth="1"/>
    <col min="10766" max="11005" width="9.140625" style="384"/>
    <col min="11006" max="11006" width="6.28515625" style="384" customWidth="1"/>
    <col min="11007" max="11007" width="93.7109375" style="384" customWidth="1"/>
    <col min="11008" max="11008" width="4.28515625" style="384" customWidth="1"/>
    <col min="11009" max="11009" width="18.28515625" style="384" customWidth="1"/>
    <col min="11010" max="11010" width="19.5703125" style="384" customWidth="1"/>
    <col min="11011" max="11011" width="10.7109375" style="384" customWidth="1"/>
    <col min="11012" max="11012" width="15.7109375" style="384" customWidth="1"/>
    <col min="11013" max="11013" width="9.42578125" style="384" customWidth="1"/>
    <col min="11014" max="11014" width="9.140625" style="384"/>
    <col min="11015" max="11021" width="10.7109375" style="384" customWidth="1"/>
    <col min="11022" max="11261" width="9.140625" style="384"/>
    <col min="11262" max="11262" width="6.28515625" style="384" customWidth="1"/>
    <col min="11263" max="11263" width="93.7109375" style="384" customWidth="1"/>
    <col min="11264" max="11264" width="4.28515625" style="384" customWidth="1"/>
    <col min="11265" max="11265" width="18.28515625" style="384" customWidth="1"/>
    <col min="11266" max="11266" width="19.5703125" style="384" customWidth="1"/>
    <col min="11267" max="11267" width="10.7109375" style="384" customWidth="1"/>
    <col min="11268" max="11268" width="15.7109375" style="384" customWidth="1"/>
    <col min="11269" max="11269" width="9.42578125" style="384" customWidth="1"/>
    <col min="11270" max="11270" width="9.140625" style="384"/>
    <col min="11271" max="11277" width="10.7109375" style="384" customWidth="1"/>
    <col min="11278" max="11517" width="9.140625" style="384"/>
    <col min="11518" max="11518" width="6.28515625" style="384" customWidth="1"/>
    <col min="11519" max="11519" width="93.7109375" style="384" customWidth="1"/>
    <col min="11520" max="11520" width="4.28515625" style="384" customWidth="1"/>
    <col min="11521" max="11521" width="18.28515625" style="384" customWidth="1"/>
    <col min="11522" max="11522" width="19.5703125" style="384" customWidth="1"/>
    <col min="11523" max="11523" width="10.7109375" style="384" customWidth="1"/>
    <col min="11524" max="11524" width="15.7109375" style="384" customWidth="1"/>
    <col min="11525" max="11525" width="9.42578125" style="384" customWidth="1"/>
    <col min="11526" max="11526" width="9.140625" style="384"/>
    <col min="11527" max="11533" width="10.7109375" style="384" customWidth="1"/>
    <col min="11534" max="11773" width="9.140625" style="384"/>
    <col min="11774" max="11774" width="6.28515625" style="384" customWidth="1"/>
    <col min="11775" max="11775" width="93.7109375" style="384" customWidth="1"/>
    <col min="11776" max="11776" width="4.28515625" style="384" customWidth="1"/>
    <col min="11777" max="11777" width="18.28515625" style="384" customWidth="1"/>
    <col min="11778" max="11778" width="19.5703125" style="384" customWidth="1"/>
    <col min="11779" max="11779" width="10.7109375" style="384" customWidth="1"/>
    <col min="11780" max="11780" width="15.7109375" style="384" customWidth="1"/>
    <col min="11781" max="11781" width="9.42578125" style="384" customWidth="1"/>
    <col min="11782" max="11782" width="9.140625" style="384"/>
    <col min="11783" max="11789" width="10.7109375" style="384" customWidth="1"/>
    <col min="11790" max="12029" width="9.140625" style="384"/>
    <col min="12030" max="12030" width="6.28515625" style="384" customWidth="1"/>
    <col min="12031" max="12031" width="93.7109375" style="384" customWidth="1"/>
    <col min="12032" max="12032" width="4.28515625" style="384" customWidth="1"/>
    <col min="12033" max="12033" width="18.28515625" style="384" customWidth="1"/>
    <col min="12034" max="12034" width="19.5703125" style="384" customWidth="1"/>
    <col min="12035" max="12035" width="10.7109375" style="384" customWidth="1"/>
    <col min="12036" max="12036" width="15.7109375" style="384" customWidth="1"/>
    <col min="12037" max="12037" width="9.42578125" style="384" customWidth="1"/>
    <col min="12038" max="12038" width="9.140625" style="384"/>
    <col min="12039" max="12045" width="10.7109375" style="384" customWidth="1"/>
    <col min="12046" max="12285" width="9.140625" style="384"/>
    <col min="12286" max="12286" width="6.28515625" style="384" customWidth="1"/>
    <col min="12287" max="12287" width="93.7109375" style="384" customWidth="1"/>
    <col min="12288" max="12288" width="4.28515625" style="384" customWidth="1"/>
    <col min="12289" max="12289" width="18.28515625" style="384" customWidth="1"/>
    <col min="12290" max="12290" width="19.5703125" style="384" customWidth="1"/>
    <col min="12291" max="12291" width="10.7109375" style="384" customWidth="1"/>
    <col min="12292" max="12292" width="15.7109375" style="384" customWidth="1"/>
    <col min="12293" max="12293" width="9.42578125" style="384" customWidth="1"/>
    <col min="12294" max="12294" width="9.140625" style="384"/>
    <col min="12295" max="12301" width="10.7109375" style="384" customWidth="1"/>
    <col min="12302" max="12541" width="9.140625" style="384"/>
    <col min="12542" max="12542" width="6.28515625" style="384" customWidth="1"/>
    <col min="12543" max="12543" width="93.7109375" style="384" customWidth="1"/>
    <col min="12544" max="12544" width="4.28515625" style="384" customWidth="1"/>
    <col min="12545" max="12545" width="18.28515625" style="384" customWidth="1"/>
    <col min="12546" max="12546" width="19.5703125" style="384" customWidth="1"/>
    <col min="12547" max="12547" width="10.7109375" style="384" customWidth="1"/>
    <col min="12548" max="12548" width="15.7109375" style="384" customWidth="1"/>
    <col min="12549" max="12549" width="9.42578125" style="384" customWidth="1"/>
    <col min="12550" max="12550" width="9.140625" style="384"/>
    <col min="12551" max="12557" width="10.7109375" style="384" customWidth="1"/>
    <col min="12558" max="12797" width="9.140625" style="384"/>
    <col min="12798" max="12798" width="6.28515625" style="384" customWidth="1"/>
    <col min="12799" max="12799" width="93.7109375" style="384" customWidth="1"/>
    <col min="12800" max="12800" width="4.28515625" style="384" customWidth="1"/>
    <col min="12801" max="12801" width="18.28515625" style="384" customWidth="1"/>
    <col min="12802" max="12802" width="19.5703125" style="384" customWidth="1"/>
    <col min="12803" max="12803" width="10.7109375" style="384" customWidth="1"/>
    <col min="12804" max="12804" width="15.7109375" style="384" customWidth="1"/>
    <col min="12805" max="12805" width="9.42578125" style="384" customWidth="1"/>
    <col min="12806" max="12806" width="9.140625" style="384"/>
    <col min="12807" max="12813" width="10.7109375" style="384" customWidth="1"/>
    <col min="12814" max="13053" width="9.140625" style="384"/>
    <col min="13054" max="13054" width="6.28515625" style="384" customWidth="1"/>
    <col min="13055" max="13055" width="93.7109375" style="384" customWidth="1"/>
    <col min="13056" max="13056" width="4.28515625" style="384" customWidth="1"/>
    <col min="13057" max="13057" width="18.28515625" style="384" customWidth="1"/>
    <col min="13058" max="13058" width="19.5703125" style="384" customWidth="1"/>
    <col min="13059" max="13059" width="10.7109375" style="384" customWidth="1"/>
    <col min="13060" max="13060" width="15.7109375" style="384" customWidth="1"/>
    <col min="13061" max="13061" width="9.42578125" style="384" customWidth="1"/>
    <col min="13062" max="13062" width="9.140625" style="384"/>
    <col min="13063" max="13069" width="10.7109375" style="384" customWidth="1"/>
    <col min="13070" max="13309" width="9.140625" style="384"/>
    <col min="13310" max="13310" width="6.28515625" style="384" customWidth="1"/>
    <col min="13311" max="13311" width="93.7109375" style="384" customWidth="1"/>
    <col min="13312" max="13312" width="4.28515625" style="384" customWidth="1"/>
    <col min="13313" max="13313" width="18.28515625" style="384" customWidth="1"/>
    <col min="13314" max="13314" width="19.5703125" style="384" customWidth="1"/>
    <col min="13315" max="13315" width="10.7109375" style="384" customWidth="1"/>
    <col min="13316" max="13316" width="15.7109375" style="384" customWidth="1"/>
    <col min="13317" max="13317" width="9.42578125" style="384" customWidth="1"/>
    <col min="13318" max="13318" width="9.140625" style="384"/>
    <col min="13319" max="13325" width="10.7109375" style="384" customWidth="1"/>
    <col min="13326" max="13565" width="9.140625" style="384"/>
    <col min="13566" max="13566" width="6.28515625" style="384" customWidth="1"/>
    <col min="13567" max="13567" width="93.7109375" style="384" customWidth="1"/>
    <col min="13568" max="13568" width="4.28515625" style="384" customWidth="1"/>
    <col min="13569" max="13569" width="18.28515625" style="384" customWidth="1"/>
    <col min="13570" max="13570" width="19.5703125" style="384" customWidth="1"/>
    <col min="13571" max="13571" width="10.7109375" style="384" customWidth="1"/>
    <col min="13572" max="13572" width="15.7109375" style="384" customWidth="1"/>
    <col min="13573" max="13573" width="9.42578125" style="384" customWidth="1"/>
    <col min="13574" max="13574" width="9.140625" style="384"/>
    <col min="13575" max="13581" width="10.7109375" style="384" customWidth="1"/>
    <col min="13582" max="13821" width="9.140625" style="384"/>
    <col min="13822" max="13822" width="6.28515625" style="384" customWidth="1"/>
    <col min="13823" max="13823" width="93.7109375" style="384" customWidth="1"/>
    <col min="13824" max="13824" width="4.28515625" style="384" customWidth="1"/>
    <col min="13825" max="13825" width="18.28515625" style="384" customWidth="1"/>
    <col min="13826" max="13826" width="19.5703125" style="384" customWidth="1"/>
    <col min="13827" max="13827" width="10.7109375" style="384" customWidth="1"/>
    <col min="13828" max="13828" width="15.7109375" style="384" customWidth="1"/>
    <col min="13829" max="13829" width="9.42578125" style="384" customWidth="1"/>
    <col min="13830" max="13830" width="9.140625" style="384"/>
    <col min="13831" max="13837" width="10.7109375" style="384" customWidth="1"/>
    <col min="13838" max="14077" width="9.140625" style="384"/>
    <col min="14078" max="14078" width="6.28515625" style="384" customWidth="1"/>
    <col min="14079" max="14079" width="93.7109375" style="384" customWidth="1"/>
    <col min="14080" max="14080" width="4.28515625" style="384" customWidth="1"/>
    <col min="14081" max="14081" width="18.28515625" style="384" customWidth="1"/>
    <col min="14082" max="14082" width="19.5703125" style="384" customWidth="1"/>
    <col min="14083" max="14083" width="10.7109375" style="384" customWidth="1"/>
    <col min="14084" max="14084" width="15.7109375" style="384" customWidth="1"/>
    <col min="14085" max="14085" width="9.42578125" style="384" customWidth="1"/>
    <col min="14086" max="14086" width="9.140625" style="384"/>
    <col min="14087" max="14093" width="10.7109375" style="384" customWidth="1"/>
    <col min="14094" max="14333" width="9.140625" style="384"/>
    <col min="14334" max="14334" width="6.28515625" style="384" customWidth="1"/>
    <col min="14335" max="14335" width="93.7109375" style="384" customWidth="1"/>
    <col min="14336" max="14336" width="4.28515625" style="384" customWidth="1"/>
    <col min="14337" max="14337" width="18.28515625" style="384" customWidth="1"/>
    <col min="14338" max="14338" width="19.5703125" style="384" customWidth="1"/>
    <col min="14339" max="14339" width="10.7109375" style="384" customWidth="1"/>
    <col min="14340" max="14340" width="15.7109375" style="384" customWidth="1"/>
    <col min="14341" max="14341" width="9.42578125" style="384" customWidth="1"/>
    <col min="14342" max="14342" width="9.140625" style="384"/>
    <col min="14343" max="14349" width="10.7109375" style="384" customWidth="1"/>
    <col min="14350" max="14589" width="9.140625" style="384"/>
    <col min="14590" max="14590" width="6.28515625" style="384" customWidth="1"/>
    <col min="14591" max="14591" width="93.7109375" style="384" customWidth="1"/>
    <col min="14592" max="14592" width="4.28515625" style="384" customWidth="1"/>
    <col min="14593" max="14593" width="18.28515625" style="384" customWidth="1"/>
    <col min="14594" max="14594" width="19.5703125" style="384" customWidth="1"/>
    <col min="14595" max="14595" width="10.7109375" style="384" customWidth="1"/>
    <col min="14596" max="14596" width="15.7109375" style="384" customWidth="1"/>
    <col min="14597" max="14597" width="9.42578125" style="384" customWidth="1"/>
    <col min="14598" max="14598" width="9.140625" style="384"/>
    <col min="14599" max="14605" width="10.7109375" style="384" customWidth="1"/>
    <col min="14606" max="14845" width="9.140625" style="384"/>
    <col min="14846" max="14846" width="6.28515625" style="384" customWidth="1"/>
    <col min="14847" max="14847" width="93.7109375" style="384" customWidth="1"/>
    <col min="14848" max="14848" width="4.28515625" style="384" customWidth="1"/>
    <col min="14849" max="14849" width="18.28515625" style="384" customWidth="1"/>
    <col min="14850" max="14850" width="19.5703125" style="384" customWidth="1"/>
    <col min="14851" max="14851" width="10.7109375" style="384" customWidth="1"/>
    <col min="14852" max="14852" width="15.7109375" style="384" customWidth="1"/>
    <col min="14853" max="14853" width="9.42578125" style="384" customWidth="1"/>
    <col min="14854" max="14854" width="9.140625" style="384"/>
    <col min="14855" max="14861" width="10.7109375" style="384" customWidth="1"/>
    <col min="14862" max="15101" width="9.140625" style="384"/>
    <col min="15102" max="15102" width="6.28515625" style="384" customWidth="1"/>
    <col min="15103" max="15103" width="93.7109375" style="384" customWidth="1"/>
    <col min="15104" max="15104" width="4.28515625" style="384" customWidth="1"/>
    <col min="15105" max="15105" width="18.28515625" style="384" customWidth="1"/>
    <col min="15106" max="15106" width="19.5703125" style="384" customWidth="1"/>
    <col min="15107" max="15107" width="10.7109375" style="384" customWidth="1"/>
    <col min="15108" max="15108" width="15.7109375" style="384" customWidth="1"/>
    <col min="15109" max="15109" width="9.42578125" style="384" customWidth="1"/>
    <col min="15110" max="15110" width="9.140625" style="384"/>
    <col min="15111" max="15117" width="10.7109375" style="384" customWidth="1"/>
    <col min="15118" max="15357" width="9.140625" style="384"/>
    <col min="15358" max="15358" width="6.28515625" style="384" customWidth="1"/>
    <col min="15359" max="15359" width="93.7109375" style="384" customWidth="1"/>
    <col min="15360" max="15360" width="4.28515625" style="384" customWidth="1"/>
    <col min="15361" max="15361" width="18.28515625" style="384" customWidth="1"/>
    <col min="15362" max="15362" width="19.5703125" style="384" customWidth="1"/>
    <col min="15363" max="15363" width="10.7109375" style="384" customWidth="1"/>
    <col min="15364" max="15364" width="15.7109375" style="384" customWidth="1"/>
    <col min="15365" max="15365" width="9.42578125" style="384" customWidth="1"/>
    <col min="15366" max="15366" width="9.140625" style="384"/>
    <col min="15367" max="15373" width="10.7109375" style="384" customWidth="1"/>
    <col min="15374" max="15613" width="9.140625" style="384"/>
    <col min="15614" max="15614" width="6.28515625" style="384" customWidth="1"/>
    <col min="15615" max="15615" width="93.7109375" style="384" customWidth="1"/>
    <col min="15616" max="15616" width="4.28515625" style="384" customWidth="1"/>
    <col min="15617" max="15617" width="18.28515625" style="384" customWidth="1"/>
    <col min="15618" max="15618" width="19.5703125" style="384" customWidth="1"/>
    <col min="15619" max="15619" width="10.7109375" style="384" customWidth="1"/>
    <col min="15620" max="15620" width="15.7109375" style="384" customWidth="1"/>
    <col min="15621" max="15621" width="9.42578125" style="384" customWidth="1"/>
    <col min="15622" max="15622" width="9.140625" style="384"/>
    <col min="15623" max="15629" width="10.7109375" style="384" customWidth="1"/>
    <col min="15630" max="15869" width="9.140625" style="384"/>
    <col min="15870" max="15870" width="6.28515625" style="384" customWidth="1"/>
    <col min="15871" max="15871" width="93.7109375" style="384" customWidth="1"/>
    <col min="15872" max="15872" width="4.28515625" style="384" customWidth="1"/>
    <col min="15873" max="15873" width="18.28515625" style="384" customWidth="1"/>
    <col min="15874" max="15874" width="19.5703125" style="384" customWidth="1"/>
    <col min="15875" max="15875" width="10.7109375" style="384" customWidth="1"/>
    <col min="15876" max="15876" width="15.7109375" style="384" customWidth="1"/>
    <col min="15877" max="15877" width="9.42578125" style="384" customWidth="1"/>
    <col min="15878" max="15878" width="9.140625" style="384"/>
    <col min="15879" max="15885" width="10.7109375" style="384" customWidth="1"/>
    <col min="15886" max="16125" width="9.140625" style="384"/>
    <col min="16126" max="16126" width="6.28515625" style="384" customWidth="1"/>
    <col min="16127" max="16127" width="93.7109375" style="384" customWidth="1"/>
    <col min="16128" max="16128" width="4.28515625" style="384" customWidth="1"/>
    <col min="16129" max="16129" width="18.28515625" style="384" customWidth="1"/>
    <col min="16130" max="16130" width="19.5703125" style="384" customWidth="1"/>
    <col min="16131" max="16131" width="10.7109375" style="384" customWidth="1"/>
    <col min="16132" max="16132" width="15.7109375" style="384" customWidth="1"/>
    <col min="16133" max="16133" width="9.42578125" style="384" customWidth="1"/>
    <col min="16134" max="16134" width="9.140625" style="384"/>
    <col min="16135" max="16141" width="10.7109375" style="384" customWidth="1"/>
    <col min="16142" max="16380" width="9.140625" style="384"/>
    <col min="16381" max="16384" width="9.140625" style="384" customWidth="1"/>
  </cols>
  <sheetData>
    <row r="2" spans="1:10" s="380" customFormat="1" ht="15">
      <c r="A2" s="341"/>
      <c r="B2" s="346">
        <f>suvaha!B1</f>
        <v>0</v>
      </c>
      <c r="C2" s="554"/>
      <c r="D2" s="347"/>
      <c r="E2" s="347"/>
      <c r="F2" s="347"/>
      <c r="G2"/>
      <c r="H2" s="379"/>
    </row>
    <row r="3" spans="1:10" s="342" customFormat="1" ht="14.25">
      <c r="B3" s="348" t="s">
        <v>3948</v>
      </c>
      <c r="C3" s="555"/>
      <c r="D3" s="349"/>
      <c r="E3" s="348"/>
      <c r="F3" s="576"/>
      <c r="G3"/>
      <c r="H3" s="320"/>
      <c r="I3" s="320"/>
      <c r="J3" s="320"/>
    </row>
    <row r="4" spans="1:10" s="381" customFormat="1">
      <c r="A4" s="337"/>
      <c r="B4" s="731" t="str">
        <f>suvaha!B3</f>
        <v>Označenie</v>
      </c>
      <c r="C4" s="731" t="str">
        <f>Index!C199</f>
        <v>TEXT</v>
      </c>
      <c r="D4" s="736" t="str">
        <f>Index!C200</f>
        <v>č.r.</v>
      </c>
      <c r="E4" s="594"/>
      <c r="F4" s="595"/>
      <c r="G4"/>
      <c r="H4" s="337"/>
      <c r="I4" s="337"/>
      <c r="J4" s="337"/>
    </row>
    <row r="5" spans="1:10" s="381" customFormat="1" ht="33.75">
      <c r="A5" s="337"/>
      <c r="B5" s="732"/>
      <c r="C5" s="732"/>
      <c r="D5" s="749"/>
      <c r="E5" s="593" t="str">
        <f>Index!C202</f>
        <v>Bežné účtovné obdobie</v>
      </c>
      <c r="F5" s="593" t="str">
        <f>Index!C203</f>
        <v>Bezprostredne predchádzajúce účtovné obdobie</v>
      </c>
      <c r="G5"/>
      <c r="H5" s="337"/>
      <c r="I5" s="337"/>
      <c r="J5" s="337"/>
    </row>
    <row r="6" spans="1:10" s="381" customFormat="1">
      <c r="A6" s="337"/>
      <c r="B6" s="4" t="s">
        <v>491</v>
      </c>
      <c r="C6" s="95" t="s">
        <v>492</v>
      </c>
      <c r="D6" s="1" t="s">
        <v>493</v>
      </c>
      <c r="E6" s="4">
        <v>4</v>
      </c>
      <c r="F6" s="4">
        <v>5</v>
      </c>
      <c r="G6"/>
      <c r="H6" s="337"/>
      <c r="I6" s="337"/>
      <c r="J6" s="337"/>
    </row>
    <row r="7" spans="1:10" s="381" customFormat="1">
      <c r="A7" s="337"/>
      <c r="B7" s="4"/>
      <c r="C7" s="95"/>
      <c r="D7" s="1"/>
      <c r="E7" s="7" t="str">
        <f>Index!C204</f>
        <v>(v eurách)</v>
      </c>
      <c r="F7" s="7" t="str">
        <f>Index!D204</f>
        <v>(v eurách)</v>
      </c>
      <c r="G7"/>
      <c r="H7" s="582"/>
      <c r="I7" s="337"/>
      <c r="J7" s="337"/>
    </row>
    <row r="8" spans="1:10" s="383" customFormat="1">
      <c r="A8" s="370" t="str">
        <f>"IS"&amp;D8</f>
        <v>IS01</v>
      </c>
      <c r="B8" s="371" t="s">
        <v>680</v>
      </c>
      <c r="C8" s="372" t="str">
        <f>Index!C205</f>
        <v>Čistý obrat (časť účt. tr. 6 podľa zákona)</v>
      </c>
      <c r="D8" s="338" t="s">
        <v>651</v>
      </c>
      <c r="E8" s="376">
        <f>SUM(E10:E12)</f>
        <v>24041641</v>
      </c>
      <c r="F8" s="640">
        <v>48200537</v>
      </c>
      <c r="G8"/>
      <c r="H8" s="382"/>
      <c r="I8" s="382"/>
      <c r="J8" s="382"/>
    </row>
    <row r="9" spans="1:10" s="382" customFormat="1" ht="25.5">
      <c r="A9" s="370" t="str">
        <f t="shared" ref="A9:A68" si="0">"IS"&amp;D9</f>
        <v>IS02</v>
      </c>
      <c r="B9" s="371" t="s">
        <v>706</v>
      </c>
      <c r="C9" s="372" t="str">
        <f>Index!C206</f>
        <v>Výnosy z hospodárskej činnosti spolu súčet (r. 03 až r. 09)</v>
      </c>
      <c r="D9" s="338" t="s">
        <v>652</v>
      </c>
      <c r="E9" s="376">
        <f>SUM(E10:E16)</f>
        <v>24768575</v>
      </c>
      <c r="F9" s="640">
        <v>51381719</v>
      </c>
      <c r="G9"/>
    </row>
    <row r="10" spans="1:10" s="343" customFormat="1">
      <c r="A10" s="8" t="str">
        <f t="shared" si="0"/>
        <v>IS03</v>
      </c>
      <c r="B10" s="397" t="s">
        <v>649</v>
      </c>
      <c r="C10" s="334" t="str">
        <f>Index!C207</f>
        <v>Tržby z predaja tovaru (604, 607)</v>
      </c>
      <c r="D10" s="327" t="s">
        <v>653</v>
      </c>
      <c r="E10" s="328">
        <f>-SUMIF(GL!D:D,A10,GL!H:H)</f>
        <v>21927081</v>
      </c>
      <c r="F10" s="641">
        <v>41273258</v>
      </c>
      <c r="G10"/>
      <c r="H10" s="384"/>
      <c r="I10" s="384"/>
      <c r="J10" s="384"/>
    </row>
    <row r="11" spans="1:10">
      <c r="A11" s="8" t="str">
        <f t="shared" si="0"/>
        <v>IS04</v>
      </c>
      <c r="B11" s="397" t="s">
        <v>654</v>
      </c>
      <c r="C11" s="334" t="str">
        <f>Index!C208</f>
        <v>Tržby z predaja vlastných výrobkov (601)</v>
      </c>
      <c r="D11" s="327" t="s">
        <v>655</v>
      </c>
      <c r="E11" s="328">
        <f>-SUMIF(GL!D:D,A11,GL!H:H)</f>
        <v>1819998</v>
      </c>
      <c r="F11" s="641">
        <v>6389663</v>
      </c>
    </row>
    <row r="12" spans="1:10">
      <c r="A12" s="8" t="str">
        <f t="shared" si="0"/>
        <v>IS05</v>
      </c>
      <c r="B12" s="397" t="s">
        <v>671</v>
      </c>
      <c r="C12" s="334" t="str">
        <f>Index!C209</f>
        <v>Tržby z predaja služieb (602, 606)</v>
      </c>
      <c r="D12" s="327" t="s">
        <v>656</v>
      </c>
      <c r="E12" s="328">
        <f>-SUMIF(GL!D:D,A12,GL!H:H)</f>
        <v>294562</v>
      </c>
      <c r="F12" s="641">
        <v>537616</v>
      </c>
    </row>
    <row r="13" spans="1:10" ht="25.5">
      <c r="A13" s="8" t="str">
        <f t="shared" si="0"/>
        <v>IS06</v>
      </c>
      <c r="B13" s="397" t="s">
        <v>675</v>
      </c>
      <c r="C13" s="334" t="str">
        <f>Index!C210</f>
        <v>Zmeny stavu vnútroorganizačných zásob (+/- účtová skupina 61)</v>
      </c>
      <c r="D13" s="327" t="s">
        <v>658</v>
      </c>
      <c r="E13" s="328">
        <f>-SUMIF(GL!D:D,A13,GL!H:H)</f>
        <v>0</v>
      </c>
      <c r="F13" s="641">
        <v>0</v>
      </c>
    </row>
    <row r="14" spans="1:10">
      <c r="A14" s="8" t="str">
        <f t="shared" si="0"/>
        <v>IS07</v>
      </c>
      <c r="B14" s="398" t="s">
        <v>679</v>
      </c>
      <c r="C14" s="334" t="str">
        <f>Index!C211</f>
        <v>Aktivácia (účtová skupina 62)</v>
      </c>
      <c r="D14" s="327" t="s">
        <v>660</v>
      </c>
      <c r="E14" s="328">
        <f>-SUMIF(GL!D:D,A14,GL!H:H)</f>
        <v>681003</v>
      </c>
      <c r="F14" s="641">
        <v>256789</v>
      </c>
    </row>
    <row r="15" spans="1:10" ht="38.25">
      <c r="A15" s="8" t="str">
        <f t="shared" si="0"/>
        <v>IS08</v>
      </c>
      <c r="B15" s="398" t="s">
        <v>681</v>
      </c>
      <c r="C15" s="393" t="str">
        <f>Index!C212</f>
        <v>Tržby z predaja dlhodobého nehmotného majetku, dlhodobého hmotného majetku a materiálu (641, 642)</v>
      </c>
      <c r="D15" s="327" t="s">
        <v>661</v>
      </c>
      <c r="E15" s="328">
        <f>-SUMIF(GL!D:D,A15,GL!H:H)</f>
        <v>43214</v>
      </c>
      <c r="F15" s="641">
        <v>0</v>
      </c>
    </row>
    <row r="16" spans="1:10" ht="25.5">
      <c r="A16" s="8" t="str">
        <f t="shared" si="0"/>
        <v>IS09</v>
      </c>
      <c r="B16" s="397" t="s">
        <v>685</v>
      </c>
      <c r="C16" s="344" t="str">
        <f>Index!C213</f>
        <v>Ostatné  výnosy z hospodárskej činnosti (644, 645, 646, 648, 655, 657)</v>
      </c>
      <c r="D16" s="327" t="s">
        <v>662</v>
      </c>
      <c r="E16" s="328">
        <f>-SUMIF(GL!D:D,A16,GL!H:H)</f>
        <v>2717</v>
      </c>
      <c r="F16" s="641">
        <v>2924393</v>
      </c>
    </row>
    <row r="17" spans="1:7" s="382" customFormat="1" ht="38.25">
      <c r="A17" s="370" t="str">
        <f t="shared" si="0"/>
        <v>IS10</v>
      </c>
      <c r="B17" s="371" t="s">
        <v>706</v>
      </c>
      <c r="C17" s="372" t="str">
        <f>Index!C214</f>
        <v>Náklady na hospodársku činnosť spolu (r. 11 + r. 12 + r. 13 + r.14 + r. 15 + r. 20 + r. 21 + r. 24 + r. 25 + r. 26)</v>
      </c>
      <c r="D17" s="373" t="s">
        <v>1548</v>
      </c>
      <c r="E17" s="376">
        <f>SUM(E18:E22)+SUM(E27:E28)+SUM(E31:E33)</f>
        <v>24296559</v>
      </c>
      <c r="F17" s="640">
        <v>49784541</v>
      </c>
      <c r="G17"/>
    </row>
    <row r="18" spans="1:7" ht="25.5">
      <c r="A18" s="8" t="str">
        <f t="shared" si="0"/>
        <v>IS11</v>
      </c>
      <c r="B18" s="397" t="s">
        <v>495</v>
      </c>
      <c r="C18" s="334" t="str">
        <f>Index!C215</f>
        <v>Náklady vynaložené na obstaranie predaného tovaru (504, 507)</v>
      </c>
      <c r="D18" s="327" t="s">
        <v>1549</v>
      </c>
      <c r="E18" s="328">
        <f>SUMIF(GL!D:D,A18,GL!H:H)</f>
        <v>17254511</v>
      </c>
      <c r="F18" s="641">
        <v>32380941</v>
      </c>
    </row>
    <row r="19" spans="1:7" ht="25.5">
      <c r="A19" s="8" t="str">
        <f t="shared" si="0"/>
        <v>IS12</v>
      </c>
      <c r="B19" s="397" t="s">
        <v>536</v>
      </c>
      <c r="C19" s="334" t="str">
        <f>Index!C216</f>
        <v>Spotreba materiálu, energie a ostatných neskladovateľných dodávok (501, 502, 503)</v>
      </c>
      <c r="D19" s="327" t="s">
        <v>1550</v>
      </c>
      <c r="E19" s="328">
        <f>SUMIF(GL!D:D,A19,GL!H:H)</f>
        <v>1079136</v>
      </c>
      <c r="F19" s="641">
        <v>2664555</v>
      </c>
    </row>
    <row r="20" spans="1:7">
      <c r="A20" s="8" t="str">
        <f t="shared" si="0"/>
        <v>IS13</v>
      </c>
      <c r="B20" s="397" t="s">
        <v>576</v>
      </c>
      <c r="C20" s="334" t="str">
        <f>Index!C217</f>
        <v>Opravné položky k zásobám (+/-) (505)</v>
      </c>
      <c r="D20" s="327" t="s">
        <v>1551</v>
      </c>
      <c r="E20" s="328">
        <f>SUMIF(GL!D:D,A20,GL!H:H)</f>
        <v>0</v>
      </c>
      <c r="F20" s="641">
        <v>0</v>
      </c>
    </row>
    <row r="21" spans="1:7">
      <c r="A21" s="8" t="str">
        <f t="shared" si="0"/>
        <v>IS14</v>
      </c>
      <c r="B21" s="398" t="s">
        <v>668</v>
      </c>
      <c r="C21" s="334" t="str">
        <f>Index!C218</f>
        <v>Služby (účtová skupina 51)</v>
      </c>
      <c r="D21" s="351" t="s">
        <v>1552</v>
      </c>
      <c r="E21" s="328">
        <f>SUMIF(GL!D:D,A21,GL!H:H)</f>
        <v>3681734</v>
      </c>
      <c r="F21" s="641">
        <v>11178621</v>
      </c>
    </row>
    <row r="22" spans="1:7">
      <c r="A22" s="370" t="str">
        <f t="shared" si="0"/>
        <v>IS15</v>
      </c>
      <c r="B22" s="377" t="s">
        <v>670</v>
      </c>
      <c r="C22" s="372" t="str">
        <f>Index!C219</f>
        <v>Osobné náklady súčet (r. 16 až r. 19)</v>
      </c>
      <c r="D22" s="373" t="s">
        <v>1555</v>
      </c>
      <c r="E22" s="374">
        <f>SUM(E23:E26)</f>
        <v>252113</v>
      </c>
      <c r="F22" s="639">
        <v>186832</v>
      </c>
    </row>
    <row r="23" spans="1:7">
      <c r="A23" s="8" t="str">
        <f t="shared" si="0"/>
        <v>IS16</v>
      </c>
      <c r="B23" s="397" t="s">
        <v>1734</v>
      </c>
      <c r="C23" s="334" t="str">
        <f>Index!C220</f>
        <v>Mzdové náklady (521, 522)</v>
      </c>
      <c r="D23" s="351" t="s">
        <v>1556</v>
      </c>
      <c r="E23" s="328">
        <f>SUMIF(GL!D:D,A23,GL!H:H)</f>
        <v>180319</v>
      </c>
      <c r="F23" s="641">
        <v>133285</v>
      </c>
    </row>
    <row r="24" spans="1:7" ht="25.5">
      <c r="A24" s="8" t="str">
        <f t="shared" si="0"/>
        <v>IS17</v>
      </c>
      <c r="B24" s="397" t="s">
        <v>1820</v>
      </c>
      <c r="C24" s="334" t="str">
        <f>Index!C221</f>
        <v>Odmeny členom orgánov spoločnosti a družstva (523)</v>
      </c>
      <c r="D24" s="351" t="s">
        <v>1557</v>
      </c>
      <c r="E24" s="328">
        <f>SUMIF(GL!D:D,A24,GL!H:H)</f>
        <v>0</v>
      </c>
      <c r="F24" s="641">
        <v>0</v>
      </c>
    </row>
    <row r="25" spans="1:7">
      <c r="A25" s="8" t="str">
        <f t="shared" si="0"/>
        <v>IS18</v>
      </c>
      <c r="B25" s="397" t="s">
        <v>1821</v>
      </c>
      <c r="C25" s="334" t="str">
        <f>Index!C222</f>
        <v>Náklady na sociálne poistenie (524, 525, 526)</v>
      </c>
      <c r="D25" s="351" t="s">
        <v>1558</v>
      </c>
      <c r="E25" s="328">
        <f>SUMIF(GL!D:D,A25,GL!H:H)</f>
        <v>67453</v>
      </c>
      <c r="F25" s="641">
        <v>49745</v>
      </c>
    </row>
    <row r="26" spans="1:7">
      <c r="A26" s="8" t="str">
        <f t="shared" si="0"/>
        <v>IS19</v>
      </c>
      <c r="B26" s="397" t="s">
        <v>1822</v>
      </c>
      <c r="C26" s="334" t="str">
        <f>Index!C223</f>
        <v>Sociálne náklady (527, 528)</v>
      </c>
      <c r="D26" s="351" t="s">
        <v>1560</v>
      </c>
      <c r="E26" s="328">
        <f>SUMIF(GL!D:D,A26,GL!H:H)</f>
        <v>4341</v>
      </c>
      <c r="F26" s="641">
        <v>3802</v>
      </c>
    </row>
    <row r="27" spans="1:7">
      <c r="A27" s="8" t="str">
        <f t="shared" si="0"/>
        <v>IS20</v>
      </c>
      <c r="B27" s="397" t="s">
        <v>672</v>
      </c>
      <c r="C27" s="334" t="str">
        <f>Index!C224</f>
        <v>Dane a poplatky (účtová skupina 53)</v>
      </c>
      <c r="D27" s="351" t="s">
        <v>1562</v>
      </c>
      <c r="E27" s="328">
        <f>SUMIF(GL!D:D,A27,GL!H:H)</f>
        <v>42932</v>
      </c>
      <c r="F27" s="641">
        <v>43862</v>
      </c>
    </row>
    <row r="28" spans="1:7" ht="38.25">
      <c r="A28" s="400" t="str">
        <f t="shared" si="0"/>
        <v>IS21</v>
      </c>
      <c r="B28" s="371" t="s">
        <v>674</v>
      </c>
      <c r="C28" s="401" t="str">
        <f>Index!C225</f>
        <v>Odpisy a opravné položky k dlhodobému nehmotnému majetku a dlhodobému hmotnému majetku (r. 22 + r. 23)</v>
      </c>
      <c r="D28" s="373" t="s">
        <v>1563</v>
      </c>
      <c r="E28" s="376">
        <f>SUM(E29:E30)</f>
        <v>9551</v>
      </c>
      <c r="F28" s="640">
        <v>4850</v>
      </c>
    </row>
    <row r="29" spans="1:7" ht="25.5">
      <c r="A29" s="8" t="str">
        <f t="shared" si="0"/>
        <v>IS22</v>
      </c>
      <c r="B29" s="397" t="s">
        <v>1735</v>
      </c>
      <c r="C29" s="393" t="str">
        <f>Index!C226</f>
        <v>Odpisy dlhodobého nehmotného majetku a dlhodobého hmotného majetku (551)</v>
      </c>
      <c r="D29" s="351" t="s">
        <v>1564</v>
      </c>
      <c r="E29" s="328">
        <f>SUMIF(GL!D:D,A29,GL!H:H)</f>
        <v>9551</v>
      </c>
      <c r="F29" s="641">
        <v>4850</v>
      </c>
    </row>
    <row r="30" spans="1:7" ht="38.25">
      <c r="A30" s="8" t="str">
        <f t="shared" si="0"/>
        <v>IS23</v>
      </c>
      <c r="B30" s="397" t="s">
        <v>1824</v>
      </c>
      <c r="C30" s="393" t="str">
        <f>Index!C227</f>
        <v>Opravné položky k dlhodobému nehmotnému majetku a dlhodobému hmotnému majetku (+/-) (553)</v>
      </c>
      <c r="D30" s="351" t="s">
        <v>1566</v>
      </c>
      <c r="E30" s="328">
        <f>SUMIF(GL!D:D,A30,GL!H:H)</f>
        <v>0</v>
      </c>
      <c r="F30" s="641">
        <v>0</v>
      </c>
    </row>
    <row r="31" spans="1:7" ht="25.5">
      <c r="A31" s="8" t="str">
        <f t="shared" si="0"/>
        <v>IS24</v>
      </c>
      <c r="B31" s="397" t="s">
        <v>677</v>
      </c>
      <c r="C31" s="334" t="str">
        <f>Index!C228</f>
        <v>Zostatková cena predaného dlhodobého majetku a predaného materiálu (541, 542)</v>
      </c>
      <c r="D31" s="351" t="s">
        <v>1567</v>
      </c>
      <c r="E31" s="328">
        <f>SUMIF(GL!D:D,A31,GL!H:H)</f>
        <v>44293</v>
      </c>
      <c r="F31" s="641">
        <v>0</v>
      </c>
    </row>
    <row r="32" spans="1:7">
      <c r="A32" s="8" t="str">
        <f t="shared" si="0"/>
        <v>IS25</v>
      </c>
      <c r="B32" s="397" t="s">
        <v>649</v>
      </c>
      <c r="C32" s="393" t="str">
        <f>Index!C229</f>
        <v>Opravné položky k pohľadávkam (+/-) (547)</v>
      </c>
      <c r="D32" s="351" t="s">
        <v>1568</v>
      </c>
      <c r="E32" s="328">
        <f>SUMIF(GL!D:D,A32,GL!H:H)</f>
        <v>1898556</v>
      </c>
      <c r="F32" s="641">
        <v>69482</v>
      </c>
    </row>
    <row r="33" spans="1:6" ht="25.5">
      <c r="A33" s="8" t="str">
        <f t="shared" si="0"/>
        <v>IS26</v>
      </c>
      <c r="B33" s="397" t="s">
        <v>683</v>
      </c>
      <c r="C33" s="393" t="str">
        <f>Index!C230</f>
        <v>Ostatné náklady na hospodársku činnosť (543, 544, 545, 546, 548, 549, 555, 557)</v>
      </c>
      <c r="D33" s="351" t="s">
        <v>1569</v>
      </c>
      <c r="E33" s="328">
        <f>SUMIF(GL!D:D,A33,GL!H:H)</f>
        <v>33733</v>
      </c>
      <c r="F33" s="641">
        <v>3255398</v>
      </c>
    </row>
    <row r="34" spans="1:6" ht="25.5">
      <c r="A34" s="370" t="str">
        <f t="shared" si="0"/>
        <v>IS27</v>
      </c>
      <c r="B34" s="375" t="s">
        <v>709</v>
      </c>
      <c r="C34" s="372" t="str">
        <f>Index!C231</f>
        <v>Výsledok hospodárenia z hospodárskej činnosti (+/-) (r. 02 - r. 10)</v>
      </c>
      <c r="D34" s="373" t="s">
        <v>1570</v>
      </c>
      <c r="E34" s="374">
        <f>E9-E17</f>
        <v>472016</v>
      </c>
      <c r="F34" s="639">
        <v>1597178</v>
      </c>
    </row>
    <row r="35" spans="1:6" ht="25.5">
      <c r="A35" s="370" t="str">
        <f t="shared" si="0"/>
        <v>IS28</v>
      </c>
      <c r="B35" s="375" t="s">
        <v>680</v>
      </c>
      <c r="C35" s="372" t="str">
        <f>Index!C232</f>
        <v>Pridaná hodnota (r. 03 + r. 04 + r. 05 + r. 06 + r. 07) - (r. 11 + r. 12 + r. 13 + r. 14)</v>
      </c>
      <c r="D35" s="373" t="s">
        <v>1571</v>
      </c>
      <c r="E35" s="374">
        <f>SUM(E10:E14)-SUM(E18:E21)</f>
        <v>2707263</v>
      </c>
      <c r="F35" s="639">
        <v>2233209</v>
      </c>
    </row>
    <row r="36" spans="1:6" ht="25.5">
      <c r="A36" s="370" t="str">
        <f t="shared" si="0"/>
        <v>IS29</v>
      </c>
      <c r="B36" s="378" t="s">
        <v>706</v>
      </c>
      <c r="C36" s="372" t="str">
        <f>Index!C233</f>
        <v>Výnosy z finančnej činnosti spolu (r. 30 + r. 31 + r. 35 + r. 39 + r. 42 + r. 43 + r. 44)</v>
      </c>
      <c r="D36" s="373" t="s">
        <v>1575</v>
      </c>
      <c r="E36" s="374">
        <f>SUM(E37+E38+E42+E46+E49+E50+E51)</f>
        <v>929922</v>
      </c>
      <c r="F36" s="639">
        <v>3901906</v>
      </c>
    </row>
    <row r="37" spans="1:6" ht="25.5">
      <c r="A37" s="8" t="str">
        <f t="shared" si="0"/>
        <v>IS30</v>
      </c>
      <c r="B37" s="397" t="s">
        <v>686</v>
      </c>
      <c r="C37" s="334" t="str">
        <f>Index!C234</f>
        <v>Tržby z predaja cenných papierov a podielov (661)</v>
      </c>
      <c r="D37" s="351" t="s">
        <v>1577</v>
      </c>
      <c r="E37" s="328">
        <f>-SUMIF(GL!D:D,A37,GL!H:H)</f>
        <v>0</v>
      </c>
      <c r="F37" s="641">
        <v>2803770</v>
      </c>
    </row>
    <row r="38" spans="1:6" ht="25.5">
      <c r="A38" s="8" t="str">
        <f t="shared" si="0"/>
        <v>IS31</v>
      </c>
      <c r="B38" s="399" t="s">
        <v>689</v>
      </c>
      <c r="C38" s="334" t="str">
        <f>Index!C235</f>
        <v>Výnosy z dlhodobého finančného majetku súčet (r. 32 až r. 34)</v>
      </c>
      <c r="D38" s="351" t="s">
        <v>1579</v>
      </c>
      <c r="E38" s="329">
        <f>SUM(E39:E41)</f>
        <v>0</v>
      </c>
      <c r="F38" s="637">
        <v>0</v>
      </c>
    </row>
    <row r="39" spans="1:6" ht="25.5">
      <c r="A39" s="8" t="str">
        <f t="shared" si="0"/>
        <v>IS32</v>
      </c>
      <c r="B39" s="397" t="s">
        <v>1742</v>
      </c>
      <c r="C39" s="334" t="str">
        <f>Index!C236</f>
        <v>Výnosy z cenných papierov a podielov od prepojených účtovných jednotiek (665A)</v>
      </c>
      <c r="D39" s="351" t="s">
        <v>1581</v>
      </c>
      <c r="E39" s="328">
        <f>-SUMIF(GL!D:D,A39,GL!H:H)</f>
        <v>0</v>
      </c>
      <c r="F39" s="641">
        <v>0</v>
      </c>
    </row>
    <row r="40" spans="1:6" ht="38.25">
      <c r="A40" s="8" t="str">
        <f t="shared" si="0"/>
        <v>IS33</v>
      </c>
      <c r="B40" s="397" t="s">
        <v>1828</v>
      </c>
      <c r="C40" s="334" t="str">
        <f>Index!C237</f>
        <v>Výnosy z cenných papierov a podielov v podielovej účasti okrem výnosov prepojených účtovných jednotiek (665A)</v>
      </c>
      <c r="D40" s="351" t="s">
        <v>1582</v>
      </c>
      <c r="E40" s="328">
        <f>-SUMIF(GL!D:D,A40,GL!H:H)</f>
        <v>0</v>
      </c>
      <c r="F40" s="641">
        <v>0</v>
      </c>
    </row>
    <row r="41" spans="1:6" ht="25.5">
      <c r="A41" s="8" t="str">
        <f t="shared" si="0"/>
        <v>IS34</v>
      </c>
      <c r="B41" s="397" t="s">
        <v>1830</v>
      </c>
      <c r="C41" s="334" t="str">
        <f>Index!C238</f>
        <v>Ostatné výnosy z cenných papierov a podielov (665A)</v>
      </c>
      <c r="D41" s="351" t="s">
        <v>1583</v>
      </c>
      <c r="E41" s="328">
        <f>-SUMIF(GL!D:D,A41,GL!H:H)</f>
        <v>0</v>
      </c>
      <c r="F41" s="641">
        <v>0</v>
      </c>
    </row>
    <row r="42" spans="1:6" ht="25.5">
      <c r="A42" s="400" t="str">
        <f t="shared" si="0"/>
        <v>IS35</v>
      </c>
      <c r="B42" s="377" t="s">
        <v>694</v>
      </c>
      <c r="C42" s="372" t="str">
        <f>Index!C239</f>
        <v>Výnosy z krátkodobého finančného majetku súčet (r. 36 až r. 38)</v>
      </c>
      <c r="D42" s="373" t="s">
        <v>1584</v>
      </c>
      <c r="E42" s="374">
        <f>SUM(E43:E45)</f>
        <v>0</v>
      </c>
      <c r="F42" s="639">
        <v>0</v>
      </c>
    </row>
    <row r="43" spans="1:6" ht="25.5">
      <c r="A43" s="8" t="str">
        <f t="shared" si="0"/>
        <v>IS36</v>
      </c>
      <c r="B43" s="397" t="s">
        <v>1745</v>
      </c>
      <c r="C43" s="334" t="str">
        <f>Index!C240</f>
        <v>Výnosy z krátkodobého finančného majetku od prepojených účtovných jednotiek (666A)</v>
      </c>
      <c r="D43" s="351" t="s">
        <v>1585</v>
      </c>
      <c r="E43" s="328">
        <f>-SUMIF(GL!D:D,A43,GL!H:H)</f>
        <v>0</v>
      </c>
      <c r="F43" s="641">
        <v>0</v>
      </c>
    </row>
    <row r="44" spans="1:6" ht="38.25">
      <c r="A44" s="8" t="str">
        <f t="shared" si="0"/>
        <v>IS37</v>
      </c>
      <c r="B44" s="397" t="s">
        <v>1832</v>
      </c>
      <c r="C44" s="334" t="str">
        <f>Index!C241</f>
        <v>Výnosy z krátkodobého finančného majetku v podielovej účasti okrem výnosov prepojených účtovných jednotiek (666A)</v>
      </c>
      <c r="D44" s="351" t="s">
        <v>1586</v>
      </c>
      <c r="E44" s="328">
        <f>-SUMIF(GL!D:D,A44,GL!H:H)</f>
        <v>0</v>
      </c>
      <c r="F44" s="641">
        <v>0</v>
      </c>
    </row>
    <row r="45" spans="1:6" ht="25.5">
      <c r="A45" s="8" t="str">
        <f t="shared" si="0"/>
        <v>IS38</v>
      </c>
      <c r="B45" s="397" t="s">
        <v>1833</v>
      </c>
      <c r="C45" s="334" t="str">
        <f>Index!C242</f>
        <v>Ostatné výnosy z krátkodobého finančného majetku (666A)</v>
      </c>
      <c r="D45" s="351" t="s">
        <v>1587</v>
      </c>
      <c r="E45" s="328">
        <f>-SUMIF(GL!D:D,A45,GL!H:H)</f>
        <v>0</v>
      </c>
      <c r="F45" s="641">
        <v>0</v>
      </c>
    </row>
    <row r="46" spans="1:6">
      <c r="A46" s="400" t="str">
        <f t="shared" si="0"/>
        <v>IS39</v>
      </c>
      <c r="B46" s="371" t="s">
        <v>696</v>
      </c>
      <c r="C46" s="372" t="str">
        <f>Index!C243</f>
        <v>Výnosové úroky (r. 40 + r. 41)</v>
      </c>
      <c r="D46" s="373" t="s">
        <v>1588</v>
      </c>
      <c r="E46" s="376">
        <f>SUM(E47:E48)</f>
        <v>655176</v>
      </c>
      <c r="F46" s="640">
        <v>394157</v>
      </c>
    </row>
    <row r="47" spans="1:6" ht="25.5">
      <c r="A47" s="8" t="str">
        <f t="shared" si="0"/>
        <v>IS40</v>
      </c>
      <c r="B47" s="397" t="s">
        <v>1749</v>
      </c>
      <c r="C47" s="334" t="str">
        <f>Index!C244</f>
        <v>Výnosové úroky od prepojených účtovných jednotiek (662A)</v>
      </c>
      <c r="D47" s="351" t="s">
        <v>1589</v>
      </c>
      <c r="E47" s="328">
        <f>-SUMIF(GL!D:D,A47,GL!H:H)</f>
        <v>566019</v>
      </c>
      <c r="F47" s="641">
        <v>188955</v>
      </c>
    </row>
    <row r="48" spans="1:6">
      <c r="A48" s="8" t="str">
        <f t="shared" si="0"/>
        <v>IS41</v>
      </c>
      <c r="B48" s="397" t="s">
        <v>1835</v>
      </c>
      <c r="C48" s="334" t="str">
        <f>Index!C245</f>
        <v>Ostatné výnosové úroky (662A)</v>
      </c>
      <c r="D48" s="351" t="s">
        <v>1590</v>
      </c>
      <c r="E48" s="328">
        <f>-SUMIF(GL!D:D,A48,GL!H:H)</f>
        <v>89157</v>
      </c>
      <c r="F48" s="641">
        <v>205202</v>
      </c>
    </row>
    <row r="49" spans="1:6">
      <c r="A49" s="8" t="str">
        <f t="shared" si="0"/>
        <v>IS42</v>
      </c>
      <c r="B49" s="397" t="s">
        <v>700</v>
      </c>
      <c r="C49" s="334" t="str">
        <f>Index!C246</f>
        <v>Kurzové zisky (663)</v>
      </c>
      <c r="D49" s="351" t="s">
        <v>1593</v>
      </c>
      <c r="E49" s="328">
        <f>-SUMIF(GL!D:D,A49,GL!H:H)</f>
        <v>185330</v>
      </c>
      <c r="F49" s="641">
        <v>599470</v>
      </c>
    </row>
    <row r="50" spans="1:6" ht="25.5">
      <c r="A50" s="8" t="str">
        <f t="shared" si="0"/>
        <v>IS43</v>
      </c>
      <c r="B50" s="397" t="s">
        <v>704</v>
      </c>
      <c r="C50" s="334" t="str">
        <f>Index!C247</f>
        <v>Výnosy z precenenia cenných papierov a výnosy z derivátových operácií (664, 667)</v>
      </c>
      <c r="D50" s="351" t="s">
        <v>1597</v>
      </c>
      <c r="E50" s="328">
        <f>-SUMIF(GL!D:D,A50,GL!H:H)</f>
        <v>0</v>
      </c>
      <c r="F50" s="641">
        <v>0</v>
      </c>
    </row>
    <row r="51" spans="1:6">
      <c r="A51" s="8" t="str">
        <f t="shared" si="0"/>
        <v>IS44</v>
      </c>
      <c r="B51" s="397" t="s">
        <v>708</v>
      </c>
      <c r="C51" s="334" t="str">
        <f>Index!C248</f>
        <v>Ostatné výnosy z finančnej činnosti (668)</v>
      </c>
      <c r="D51" s="351" t="s">
        <v>1599</v>
      </c>
      <c r="E51" s="328">
        <f>-SUMIF(GL!D:D,A51,GL!H:H)</f>
        <v>89416</v>
      </c>
      <c r="F51" s="641">
        <v>104509</v>
      </c>
    </row>
    <row r="52" spans="1:6" ht="38.25">
      <c r="A52" s="370" t="str">
        <f t="shared" si="0"/>
        <v>IS45</v>
      </c>
      <c r="B52" s="371" t="s">
        <v>706</v>
      </c>
      <c r="C52" s="372" t="str">
        <f>Index!C249</f>
        <v>Náklady na finančnú činnosť spolu (r. 46 + r. 47 + r. 48 + r. 49 + r. 52 + r. 53 + r. 54)</v>
      </c>
      <c r="D52" s="373" t="s">
        <v>1601</v>
      </c>
      <c r="E52" s="374">
        <f>SUM(E53:E56)+SUM(E59:E61)</f>
        <v>796990</v>
      </c>
      <c r="F52" s="639">
        <v>4120973</v>
      </c>
    </row>
    <row r="53" spans="1:6">
      <c r="A53" s="8" t="str">
        <f t="shared" si="0"/>
        <v>IS46</v>
      </c>
      <c r="B53" s="397" t="s">
        <v>687</v>
      </c>
      <c r="C53" s="334" t="str">
        <f>Index!C250</f>
        <v>Predané cenné papiere a podiely (561)</v>
      </c>
      <c r="D53" s="351" t="s">
        <v>1602</v>
      </c>
      <c r="E53" s="328">
        <f>SUMIF(GL!D:D,A53,GL!H:H)</f>
        <v>0</v>
      </c>
      <c r="F53" s="641">
        <v>2803750</v>
      </c>
    </row>
    <row r="54" spans="1:6" ht="25.5">
      <c r="A54" s="8" t="str">
        <f t="shared" si="0"/>
        <v>IS47</v>
      </c>
      <c r="B54" s="397" t="s">
        <v>691</v>
      </c>
      <c r="C54" s="334" t="str">
        <f>Index!C251</f>
        <v>Náklady na krátkodobý finančný majetok (566)</v>
      </c>
      <c r="D54" s="351" t="s">
        <v>1603</v>
      </c>
      <c r="E54" s="328">
        <f>SUMIF(GL!D:D,A54,GL!H:H)</f>
        <v>0</v>
      </c>
      <c r="F54" s="641">
        <v>0</v>
      </c>
    </row>
    <row r="55" spans="1:6" ht="25.5">
      <c r="A55" s="8" t="str">
        <f t="shared" si="0"/>
        <v>IS48</v>
      </c>
      <c r="B55" s="397" t="s">
        <v>693</v>
      </c>
      <c r="C55" s="334" t="str">
        <f>Index!C252</f>
        <v>Opravné položky k finančnému majetku (+/-) (565)</v>
      </c>
      <c r="D55" s="351" t="s">
        <v>1604</v>
      </c>
      <c r="E55" s="328">
        <f>-SUMIF(GL!D:D,A55,GL!H:H)</f>
        <v>0</v>
      </c>
      <c r="F55" s="641">
        <v>0</v>
      </c>
    </row>
    <row r="56" spans="1:6">
      <c r="A56" s="400" t="str">
        <f t="shared" si="0"/>
        <v>IS49</v>
      </c>
      <c r="B56" s="371" t="s">
        <v>695</v>
      </c>
      <c r="C56" s="372" t="str">
        <f>Index!C253</f>
        <v>Nákladové úroky (r. 50 + r. 51)</v>
      </c>
      <c r="D56" s="373" t="s">
        <v>1605</v>
      </c>
      <c r="E56" s="376">
        <f>SUM(E57:E58)</f>
        <v>288670</v>
      </c>
      <c r="F56" s="640">
        <v>317553</v>
      </c>
    </row>
    <row r="57" spans="1:6" ht="25.5">
      <c r="A57" s="8" t="str">
        <f t="shared" si="0"/>
        <v>IS50</v>
      </c>
      <c r="B57" s="397" t="s">
        <v>1754</v>
      </c>
      <c r="C57" s="334" t="str">
        <f>Index!C254</f>
        <v>Nákladové úroky pre prepojené účtovné jednotky (562A)</v>
      </c>
      <c r="D57" s="351" t="s">
        <v>1607</v>
      </c>
      <c r="E57" s="328">
        <f>SUMIF(GL!D:D,A57,GL!H:H)</f>
        <v>114973</v>
      </c>
      <c r="F57" s="641">
        <v>28174</v>
      </c>
    </row>
    <row r="58" spans="1:6">
      <c r="A58" s="8" t="str">
        <f t="shared" si="0"/>
        <v>IS51</v>
      </c>
      <c r="B58" s="397" t="s">
        <v>1837</v>
      </c>
      <c r="C58" s="334" t="str">
        <f>Index!C255</f>
        <v>Ostatné nákladové úroky (562A)</v>
      </c>
      <c r="D58" s="351" t="s">
        <v>1608</v>
      </c>
      <c r="E58" s="328">
        <f>SUMIF(GL!D:D,A58,GL!H:H)-1</f>
        <v>173697</v>
      </c>
      <c r="F58" s="641">
        <v>289379</v>
      </c>
    </row>
    <row r="59" spans="1:6">
      <c r="A59" s="8" t="str">
        <f t="shared" si="0"/>
        <v>IS52</v>
      </c>
      <c r="B59" s="397" t="s">
        <v>698</v>
      </c>
      <c r="C59" s="334" t="str">
        <f>Index!C256</f>
        <v>Kurzové straty (563)</v>
      </c>
      <c r="D59" s="351" t="s">
        <v>1609</v>
      </c>
      <c r="E59" s="328">
        <f>SUMIF(GL!D:D,A59,GL!H:H)</f>
        <v>281471</v>
      </c>
      <c r="F59" s="641">
        <v>487041</v>
      </c>
    </row>
    <row r="60" spans="1:6" ht="25.5">
      <c r="A60" s="8" t="str">
        <f t="shared" si="0"/>
        <v>IS53</v>
      </c>
      <c r="B60" s="397" t="s">
        <v>702</v>
      </c>
      <c r="C60" s="334" t="str">
        <f>Index!C257</f>
        <v>Náklady na precenenie cenných papierov a náklady na derivátové operácie (564, 567)</v>
      </c>
      <c r="D60" s="351" t="s">
        <v>1610</v>
      </c>
      <c r="E60" s="328">
        <f>SUMIF(GL!D:D,A60,GL!H:H)</f>
        <v>0</v>
      </c>
      <c r="F60" s="641">
        <v>0</v>
      </c>
    </row>
    <row r="61" spans="1:6" ht="25.5">
      <c r="A61" s="8" t="str">
        <f t="shared" si="0"/>
        <v>IS54</v>
      </c>
      <c r="B61" s="397" t="s">
        <v>1757</v>
      </c>
      <c r="C61" s="334" t="str">
        <f>Index!C258</f>
        <v>Ostatné náklady na finančnú činnosť (568, 569)</v>
      </c>
      <c r="D61" s="351" t="s">
        <v>1612</v>
      </c>
      <c r="E61" s="328">
        <f>SUMIF(GL!D:D,A61,GL!H:H)</f>
        <v>226849</v>
      </c>
      <c r="F61" s="641">
        <v>512629</v>
      </c>
    </row>
    <row r="62" spans="1:6" ht="25.5">
      <c r="A62" s="370" t="str">
        <f t="shared" si="0"/>
        <v>IS55</v>
      </c>
      <c r="B62" s="375" t="s">
        <v>709</v>
      </c>
      <c r="C62" s="372" t="str">
        <f>Index!C259</f>
        <v>Výsledok hospodárenia z finančnej činnosti (+/-) (r. 29 - r. 45)</v>
      </c>
      <c r="D62" s="373" t="s">
        <v>1613</v>
      </c>
      <c r="E62" s="374">
        <f>E36-E52</f>
        <v>132932</v>
      </c>
      <c r="F62" s="639">
        <v>-219067</v>
      </c>
    </row>
    <row r="63" spans="1:6" ht="38.25">
      <c r="A63" s="370" t="str">
        <f t="shared" si="0"/>
        <v>IS56</v>
      </c>
      <c r="B63" s="375" t="s">
        <v>1760</v>
      </c>
      <c r="C63" s="372" t="str">
        <f>Index!C260</f>
        <v>Výsledok hospodárenia za účtovné obdobie pred zdanením (+/-) (r. 27 + r. 55)</v>
      </c>
      <c r="D63" s="373" t="s">
        <v>1614</v>
      </c>
      <c r="E63" s="374">
        <f>E34+E62</f>
        <v>604948</v>
      </c>
      <c r="F63" s="639">
        <v>1378111</v>
      </c>
    </row>
    <row r="64" spans="1:6">
      <c r="A64" s="400" t="str">
        <f t="shared" si="0"/>
        <v>IS57</v>
      </c>
      <c r="B64" s="371" t="s">
        <v>705</v>
      </c>
      <c r="C64" s="372" t="str">
        <f>Index!C261</f>
        <v>Daň z príjmov (r. 58 + r. 59)</v>
      </c>
      <c r="D64" s="373" t="s">
        <v>1617</v>
      </c>
      <c r="E64" s="376">
        <f>SUM(E65:E66)</f>
        <v>149201</v>
      </c>
      <c r="F64" s="640">
        <v>278914</v>
      </c>
    </row>
    <row r="65" spans="1:6">
      <c r="A65" s="8" t="str">
        <f t="shared" si="0"/>
        <v>IS58</v>
      </c>
      <c r="B65" s="397" t="s">
        <v>1763</v>
      </c>
      <c r="C65" s="334" t="str">
        <f>Index!C262</f>
        <v>Daň z príjmov splatná (591, 595)</v>
      </c>
      <c r="D65" s="351" t="s">
        <v>1618</v>
      </c>
      <c r="E65" s="328">
        <f>SUMIF(GL!D:D,A65,GL!H:H)</f>
        <v>1043213</v>
      </c>
      <c r="F65" s="641">
        <v>634175</v>
      </c>
    </row>
    <row r="66" spans="1:6">
      <c r="A66" s="8" t="str">
        <f t="shared" si="0"/>
        <v>IS59</v>
      </c>
      <c r="B66" s="397" t="s">
        <v>1839</v>
      </c>
      <c r="C66" s="334" t="str">
        <f>Index!C263</f>
        <v>Daň z príjmov odložená (+/-) (592)</v>
      </c>
      <c r="D66" s="351" t="s">
        <v>1619</v>
      </c>
      <c r="E66" s="328">
        <f>SUMIF(GL!D:D,A66,GL!H:H)</f>
        <v>-894012</v>
      </c>
      <c r="F66" s="641">
        <v>-355261</v>
      </c>
    </row>
    <row r="67" spans="1:6" ht="25.5">
      <c r="A67" s="8" t="str">
        <f t="shared" si="0"/>
        <v>IS60</v>
      </c>
      <c r="B67" s="397" t="s">
        <v>707</v>
      </c>
      <c r="C67" s="334" t="str">
        <f>Index!C264</f>
        <v>Prevod podielov na výsledku hospodárenia spoločníkom (+/- 596)</v>
      </c>
      <c r="D67" s="351" t="s">
        <v>1620</v>
      </c>
      <c r="E67" s="328">
        <f>SUMIF(GL!D:D,A67,GL!H:H)</f>
        <v>0</v>
      </c>
      <c r="F67" s="641">
        <v>0</v>
      </c>
    </row>
    <row r="68" spans="1:6" ht="38.25">
      <c r="A68" s="370" t="str">
        <f t="shared" si="0"/>
        <v>IS61</v>
      </c>
      <c r="B68" s="371" t="s">
        <v>1760</v>
      </c>
      <c r="C68" s="372" t="str">
        <f>Index!C265</f>
        <v>Výsledok hospodárenia za účtovné obdobie po zdanení (+/-) 
(r. 56 - r. 57 - r. 60)</v>
      </c>
      <c r="D68" s="373" t="s">
        <v>1621</v>
      </c>
      <c r="E68" s="374">
        <f>E63-E64-E67</f>
        <v>455747</v>
      </c>
      <c r="F68" s="639">
        <v>1099197</v>
      </c>
    </row>
  </sheetData>
  <mergeCells count="3">
    <mergeCell ref="B4:B5"/>
    <mergeCell ref="C4:C5"/>
    <mergeCell ref="D4:D5"/>
  </mergeCells>
  <printOptions horizontalCentered="1"/>
  <pageMargins left="0.55000000000000004" right="0.3" top="0.74803149606299213" bottom="0.70866141732283472" header="0.51181102362204722" footer="0.51181102362204722"/>
  <pageSetup paperSize="9" scale="65"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2"/>
  <dimension ref="A1:AI484"/>
  <sheetViews>
    <sheetView showGridLines="0" zoomScale="78" zoomScaleNormal="78" workbookViewId="0">
      <selection activeCell="A3" sqref="A3"/>
    </sheetView>
  </sheetViews>
  <sheetFormatPr defaultRowHeight="12.75" outlineLevelRow="1" outlineLevelCol="1"/>
  <cols>
    <col min="1" max="1" width="7.42578125" style="67" customWidth="1"/>
    <col min="2" max="2" width="81.85546875" style="67" customWidth="1"/>
    <col min="3" max="3" width="13.140625" style="67" customWidth="1" outlineLevel="1"/>
    <col min="4" max="4" width="13.5703125" style="67" customWidth="1" outlineLevel="1"/>
    <col min="5" max="5" width="12.85546875" style="67" customWidth="1" outlineLevel="1"/>
    <col min="6" max="6" width="14" style="67" customWidth="1"/>
    <col min="7" max="7" width="22.28515625" style="70" customWidth="1"/>
    <col min="8" max="9" width="13.28515625" style="70" customWidth="1" outlineLevel="1"/>
    <col min="10" max="10" width="14" style="70" customWidth="1" outlineLevel="1"/>
    <col min="11" max="23" width="13.28515625" style="70" customWidth="1" outlineLevel="1"/>
    <col min="24" max="24" width="19.140625" style="642" customWidth="1" outlineLevel="1"/>
    <col min="25" max="25" width="15.5703125" style="67" customWidth="1"/>
    <col min="26" max="26" width="13.85546875" style="67" bestFit="1" customWidth="1"/>
    <col min="27" max="27" width="25.42578125" style="67" customWidth="1"/>
    <col min="28" max="28" width="19.42578125" style="67" customWidth="1"/>
    <col min="29" max="29" width="54.85546875" style="67" customWidth="1"/>
    <col min="30" max="30" width="14.42578125" style="67" customWidth="1"/>
    <col min="31" max="31" width="16.28515625" style="67" bestFit="1" customWidth="1"/>
    <col min="32" max="32" width="16.85546875" style="67" bestFit="1" customWidth="1"/>
    <col min="33" max="33" width="19.7109375" style="67" bestFit="1" customWidth="1"/>
    <col min="34" max="34" width="24.42578125" style="67" customWidth="1"/>
    <col min="35" max="35" width="19.140625" style="67" customWidth="1"/>
    <col min="36" max="257" width="9.140625" style="67"/>
    <col min="258" max="258" width="53.140625" style="67" customWidth="1"/>
    <col min="259" max="259" width="12.28515625" style="67" customWidth="1"/>
    <col min="260" max="260" width="13.5703125" style="67" customWidth="1"/>
    <col min="261" max="261" width="10.7109375" style="67" customWidth="1"/>
    <col min="262" max="262" width="11.85546875" style="67" customWidth="1"/>
    <col min="263" max="281" width="13.28515625" style="67" customWidth="1"/>
    <col min="282" max="282" width="11.42578125" style="67" customWidth="1"/>
    <col min="283" max="283" width="10.28515625" style="67" customWidth="1"/>
    <col min="284" max="284" width="11.28515625" style="67" customWidth="1"/>
    <col min="285" max="285" width="9.140625" style="67"/>
    <col min="286" max="286" width="25.28515625" style="67" bestFit="1" customWidth="1"/>
    <col min="287" max="287" width="14.5703125" style="67" bestFit="1" customWidth="1"/>
    <col min="288" max="288" width="16.7109375" style="67" bestFit="1" customWidth="1"/>
    <col min="289" max="289" width="19.5703125" style="67" bestFit="1" customWidth="1"/>
    <col min="290" max="290" width="56.85546875" style="67" customWidth="1"/>
    <col min="291" max="513" width="9.140625" style="67"/>
    <col min="514" max="514" width="53.140625" style="67" customWidth="1"/>
    <col min="515" max="515" width="12.28515625" style="67" customWidth="1"/>
    <col min="516" max="516" width="13.5703125" style="67" customWidth="1"/>
    <col min="517" max="517" width="10.7109375" style="67" customWidth="1"/>
    <col min="518" max="518" width="11.85546875" style="67" customWidth="1"/>
    <col min="519" max="537" width="13.28515625" style="67" customWidth="1"/>
    <col min="538" max="538" width="11.42578125" style="67" customWidth="1"/>
    <col min="539" max="539" width="10.28515625" style="67" customWidth="1"/>
    <col min="540" max="540" width="11.28515625" style="67" customWidth="1"/>
    <col min="541" max="541" width="9.140625" style="67"/>
    <col min="542" max="542" width="25.28515625" style="67" bestFit="1" customWidth="1"/>
    <col min="543" max="543" width="14.5703125" style="67" bestFit="1" customWidth="1"/>
    <col min="544" max="544" width="16.7109375" style="67" bestFit="1" customWidth="1"/>
    <col min="545" max="545" width="19.5703125" style="67" bestFit="1" customWidth="1"/>
    <col min="546" max="546" width="56.85546875" style="67" customWidth="1"/>
    <col min="547" max="769" width="9.140625" style="67"/>
    <col min="770" max="770" width="53.140625" style="67" customWidth="1"/>
    <col min="771" max="771" width="12.28515625" style="67" customWidth="1"/>
    <col min="772" max="772" width="13.5703125" style="67" customWidth="1"/>
    <col min="773" max="773" width="10.7109375" style="67" customWidth="1"/>
    <col min="774" max="774" width="11.85546875" style="67" customWidth="1"/>
    <col min="775" max="793" width="13.28515625" style="67" customWidth="1"/>
    <col min="794" max="794" width="11.42578125" style="67" customWidth="1"/>
    <col min="795" max="795" width="10.28515625" style="67" customWidth="1"/>
    <col min="796" max="796" width="11.28515625" style="67" customWidth="1"/>
    <col min="797" max="797" width="9.140625" style="67"/>
    <col min="798" max="798" width="25.28515625" style="67" bestFit="1" customWidth="1"/>
    <col min="799" max="799" width="14.5703125" style="67" bestFit="1" customWidth="1"/>
    <col min="800" max="800" width="16.7109375" style="67" bestFit="1" customWidth="1"/>
    <col min="801" max="801" width="19.5703125" style="67" bestFit="1" customWidth="1"/>
    <col min="802" max="802" width="56.85546875" style="67" customWidth="1"/>
    <col min="803" max="1025" width="9.140625" style="67"/>
    <col min="1026" max="1026" width="53.140625" style="67" customWidth="1"/>
    <col min="1027" max="1027" width="12.28515625" style="67" customWidth="1"/>
    <col min="1028" max="1028" width="13.5703125" style="67" customWidth="1"/>
    <col min="1029" max="1029" width="10.7109375" style="67" customWidth="1"/>
    <col min="1030" max="1030" width="11.85546875" style="67" customWidth="1"/>
    <col min="1031" max="1049" width="13.28515625" style="67" customWidth="1"/>
    <col min="1050" max="1050" width="11.42578125" style="67" customWidth="1"/>
    <col min="1051" max="1051" width="10.28515625" style="67" customWidth="1"/>
    <col min="1052" max="1052" width="11.28515625" style="67" customWidth="1"/>
    <col min="1053" max="1053" width="9.140625" style="67"/>
    <col min="1054" max="1054" width="25.28515625" style="67" bestFit="1" customWidth="1"/>
    <col min="1055" max="1055" width="14.5703125" style="67" bestFit="1" customWidth="1"/>
    <col min="1056" max="1056" width="16.7109375" style="67" bestFit="1" customWidth="1"/>
    <col min="1057" max="1057" width="19.5703125" style="67" bestFit="1" customWidth="1"/>
    <col min="1058" max="1058" width="56.85546875" style="67" customWidth="1"/>
    <col min="1059" max="1281" width="9.140625" style="67"/>
    <col min="1282" max="1282" width="53.140625" style="67" customWidth="1"/>
    <col min="1283" max="1283" width="12.28515625" style="67" customWidth="1"/>
    <col min="1284" max="1284" width="13.5703125" style="67" customWidth="1"/>
    <col min="1285" max="1285" width="10.7109375" style="67" customWidth="1"/>
    <col min="1286" max="1286" width="11.85546875" style="67" customWidth="1"/>
    <col min="1287" max="1305" width="13.28515625" style="67" customWidth="1"/>
    <col min="1306" max="1306" width="11.42578125" style="67" customWidth="1"/>
    <col min="1307" max="1307" width="10.28515625" style="67" customWidth="1"/>
    <col min="1308" max="1308" width="11.28515625" style="67" customWidth="1"/>
    <col min="1309" max="1309" width="9.140625" style="67"/>
    <col min="1310" max="1310" width="25.28515625" style="67" bestFit="1" customWidth="1"/>
    <col min="1311" max="1311" width="14.5703125" style="67" bestFit="1" customWidth="1"/>
    <col min="1312" max="1312" width="16.7109375" style="67" bestFit="1" customWidth="1"/>
    <col min="1313" max="1313" width="19.5703125" style="67" bestFit="1" customWidth="1"/>
    <col min="1314" max="1314" width="56.85546875" style="67" customWidth="1"/>
    <col min="1315" max="1537" width="9.140625" style="67"/>
    <col min="1538" max="1538" width="53.140625" style="67" customWidth="1"/>
    <col min="1539" max="1539" width="12.28515625" style="67" customWidth="1"/>
    <col min="1540" max="1540" width="13.5703125" style="67" customWidth="1"/>
    <col min="1541" max="1541" width="10.7109375" style="67" customWidth="1"/>
    <col min="1542" max="1542" width="11.85546875" style="67" customWidth="1"/>
    <col min="1543" max="1561" width="13.28515625" style="67" customWidth="1"/>
    <col min="1562" max="1562" width="11.42578125" style="67" customWidth="1"/>
    <col min="1563" max="1563" width="10.28515625" style="67" customWidth="1"/>
    <col min="1564" max="1564" width="11.28515625" style="67" customWidth="1"/>
    <col min="1565" max="1565" width="9.140625" style="67"/>
    <col min="1566" max="1566" width="25.28515625" style="67" bestFit="1" customWidth="1"/>
    <col min="1567" max="1567" width="14.5703125" style="67" bestFit="1" customWidth="1"/>
    <col min="1568" max="1568" width="16.7109375" style="67" bestFit="1" customWidth="1"/>
    <col min="1569" max="1569" width="19.5703125" style="67" bestFit="1" customWidth="1"/>
    <col min="1570" max="1570" width="56.85546875" style="67" customWidth="1"/>
    <col min="1571" max="1793" width="9.140625" style="67"/>
    <col min="1794" max="1794" width="53.140625" style="67" customWidth="1"/>
    <col min="1795" max="1795" width="12.28515625" style="67" customWidth="1"/>
    <col min="1796" max="1796" width="13.5703125" style="67" customWidth="1"/>
    <col min="1797" max="1797" width="10.7109375" style="67" customWidth="1"/>
    <col min="1798" max="1798" width="11.85546875" style="67" customWidth="1"/>
    <col min="1799" max="1817" width="13.28515625" style="67" customWidth="1"/>
    <col min="1818" max="1818" width="11.42578125" style="67" customWidth="1"/>
    <col min="1819" max="1819" width="10.28515625" style="67" customWidth="1"/>
    <col min="1820" max="1820" width="11.28515625" style="67" customWidth="1"/>
    <col min="1821" max="1821" width="9.140625" style="67"/>
    <col min="1822" max="1822" width="25.28515625" style="67" bestFit="1" customWidth="1"/>
    <col min="1823" max="1823" width="14.5703125" style="67" bestFit="1" customWidth="1"/>
    <col min="1824" max="1824" width="16.7109375" style="67" bestFit="1" customWidth="1"/>
    <col min="1825" max="1825" width="19.5703125" style="67" bestFit="1" customWidth="1"/>
    <col min="1826" max="1826" width="56.85546875" style="67" customWidth="1"/>
    <col min="1827" max="2049" width="9.140625" style="67"/>
    <col min="2050" max="2050" width="53.140625" style="67" customWidth="1"/>
    <col min="2051" max="2051" width="12.28515625" style="67" customWidth="1"/>
    <col min="2052" max="2052" width="13.5703125" style="67" customWidth="1"/>
    <col min="2053" max="2053" width="10.7109375" style="67" customWidth="1"/>
    <col min="2054" max="2054" width="11.85546875" style="67" customWidth="1"/>
    <col min="2055" max="2073" width="13.28515625" style="67" customWidth="1"/>
    <col min="2074" max="2074" width="11.42578125" style="67" customWidth="1"/>
    <col min="2075" max="2075" width="10.28515625" style="67" customWidth="1"/>
    <col min="2076" max="2076" width="11.28515625" style="67" customWidth="1"/>
    <col min="2077" max="2077" width="9.140625" style="67"/>
    <col min="2078" max="2078" width="25.28515625" style="67" bestFit="1" customWidth="1"/>
    <col min="2079" max="2079" width="14.5703125" style="67" bestFit="1" customWidth="1"/>
    <col min="2080" max="2080" width="16.7109375" style="67" bestFit="1" customWidth="1"/>
    <col min="2081" max="2081" width="19.5703125" style="67" bestFit="1" customWidth="1"/>
    <col min="2082" max="2082" width="56.85546875" style="67" customWidth="1"/>
    <col min="2083" max="2305" width="9.140625" style="67"/>
    <col min="2306" max="2306" width="53.140625" style="67" customWidth="1"/>
    <col min="2307" max="2307" width="12.28515625" style="67" customWidth="1"/>
    <col min="2308" max="2308" width="13.5703125" style="67" customWidth="1"/>
    <col min="2309" max="2309" width="10.7109375" style="67" customWidth="1"/>
    <col min="2310" max="2310" width="11.85546875" style="67" customWidth="1"/>
    <col min="2311" max="2329" width="13.28515625" style="67" customWidth="1"/>
    <col min="2330" max="2330" width="11.42578125" style="67" customWidth="1"/>
    <col min="2331" max="2331" width="10.28515625" style="67" customWidth="1"/>
    <col min="2332" max="2332" width="11.28515625" style="67" customWidth="1"/>
    <col min="2333" max="2333" width="9.140625" style="67"/>
    <col min="2334" max="2334" width="25.28515625" style="67" bestFit="1" customWidth="1"/>
    <col min="2335" max="2335" width="14.5703125" style="67" bestFit="1" customWidth="1"/>
    <col min="2336" max="2336" width="16.7109375" style="67" bestFit="1" customWidth="1"/>
    <col min="2337" max="2337" width="19.5703125" style="67" bestFit="1" customWidth="1"/>
    <col min="2338" max="2338" width="56.85546875" style="67" customWidth="1"/>
    <col min="2339" max="2561" width="9.140625" style="67"/>
    <col min="2562" max="2562" width="53.140625" style="67" customWidth="1"/>
    <col min="2563" max="2563" width="12.28515625" style="67" customWidth="1"/>
    <col min="2564" max="2564" width="13.5703125" style="67" customWidth="1"/>
    <col min="2565" max="2565" width="10.7109375" style="67" customWidth="1"/>
    <col min="2566" max="2566" width="11.85546875" style="67" customWidth="1"/>
    <col min="2567" max="2585" width="13.28515625" style="67" customWidth="1"/>
    <col min="2586" max="2586" width="11.42578125" style="67" customWidth="1"/>
    <col min="2587" max="2587" width="10.28515625" style="67" customWidth="1"/>
    <col min="2588" max="2588" width="11.28515625" style="67" customWidth="1"/>
    <col min="2589" max="2589" width="9.140625" style="67"/>
    <col min="2590" max="2590" width="25.28515625" style="67" bestFit="1" customWidth="1"/>
    <col min="2591" max="2591" width="14.5703125" style="67" bestFit="1" customWidth="1"/>
    <col min="2592" max="2592" width="16.7109375" style="67" bestFit="1" customWidth="1"/>
    <col min="2593" max="2593" width="19.5703125" style="67" bestFit="1" customWidth="1"/>
    <col min="2594" max="2594" width="56.85546875" style="67" customWidth="1"/>
    <col min="2595" max="2817" width="9.140625" style="67"/>
    <col min="2818" max="2818" width="53.140625" style="67" customWidth="1"/>
    <col min="2819" max="2819" width="12.28515625" style="67" customWidth="1"/>
    <col min="2820" max="2820" width="13.5703125" style="67" customWidth="1"/>
    <col min="2821" max="2821" width="10.7109375" style="67" customWidth="1"/>
    <col min="2822" max="2822" width="11.85546875" style="67" customWidth="1"/>
    <col min="2823" max="2841" width="13.28515625" style="67" customWidth="1"/>
    <col min="2842" max="2842" width="11.42578125" style="67" customWidth="1"/>
    <col min="2843" max="2843" width="10.28515625" style="67" customWidth="1"/>
    <col min="2844" max="2844" width="11.28515625" style="67" customWidth="1"/>
    <col min="2845" max="2845" width="9.140625" style="67"/>
    <col min="2846" max="2846" width="25.28515625" style="67" bestFit="1" customWidth="1"/>
    <col min="2847" max="2847" width="14.5703125" style="67" bestFit="1" customWidth="1"/>
    <col min="2848" max="2848" width="16.7109375" style="67" bestFit="1" customWidth="1"/>
    <col min="2849" max="2849" width="19.5703125" style="67" bestFit="1" customWidth="1"/>
    <col min="2850" max="2850" width="56.85546875" style="67" customWidth="1"/>
    <col min="2851" max="3073" width="9.140625" style="67"/>
    <col min="3074" max="3074" width="53.140625" style="67" customWidth="1"/>
    <col min="3075" max="3075" width="12.28515625" style="67" customWidth="1"/>
    <col min="3076" max="3076" width="13.5703125" style="67" customWidth="1"/>
    <col min="3077" max="3077" width="10.7109375" style="67" customWidth="1"/>
    <col min="3078" max="3078" width="11.85546875" style="67" customWidth="1"/>
    <col min="3079" max="3097" width="13.28515625" style="67" customWidth="1"/>
    <col min="3098" max="3098" width="11.42578125" style="67" customWidth="1"/>
    <col min="3099" max="3099" width="10.28515625" style="67" customWidth="1"/>
    <col min="3100" max="3100" width="11.28515625" style="67" customWidth="1"/>
    <col min="3101" max="3101" width="9.140625" style="67"/>
    <col min="3102" max="3102" width="25.28515625" style="67" bestFit="1" customWidth="1"/>
    <col min="3103" max="3103" width="14.5703125" style="67" bestFit="1" customWidth="1"/>
    <col min="3104" max="3104" width="16.7109375" style="67" bestFit="1" customWidth="1"/>
    <col min="3105" max="3105" width="19.5703125" style="67" bestFit="1" customWidth="1"/>
    <col min="3106" max="3106" width="56.85546875" style="67" customWidth="1"/>
    <col min="3107" max="3329" width="9.140625" style="67"/>
    <col min="3330" max="3330" width="53.140625" style="67" customWidth="1"/>
    <col min="3331" max="3331" width="12.28515625" style="67" customWidth="1"/>
    <col min="3332" max="3332" width="13.5703125" style="67" customWidth="1"/>
    <col min="3333" max="3333" width="10.7109375" style="67" customWidth="1"/>
    <col min="3334" max="3334" width="11.85546875" style="67" customWidth="1"/>
    <col min="3335" max="3353" width="13.28515625" style="67" customWidth="1"/>
    <col min="3354" max="3354" width="11.42578125" style="67" customWidth="1"/>
    <col min="3355" max="3355" width="10.28515625" style="67" customWidth="1"/>
    <col min="3356" max="3356" width="11.28515625" style="67" customWidth="1"/>
    <col min="3357" max="3357" width="9.140625" style="67"/>
    <col min="3358" max="3358" width="25.28515625" style="67" bestFit="1" customWidth="1"/>
    <col min="3359" max="3359" width="14.5703125" style="67" bestFit="1" customWidth="1"/>
    <col min="3360" max="3360" width="16.7109375" style="67" bestFit="1" customWidth="1"/>
    <col min="3361" max="3361" width="19.5703125" style="67" bestFit="1" customWidth="1"/>
    <col min="3362" max="3362" width="56.85546875" style="67" customWidth="1"/>
    <col min="3363" max="3585" width="9.140625" style="67"/>
    <col min="3586" max="3586" width="53.140625" style="67" customWidth="1"/>
    <col min="3587" max="3587" width="12.28515625" style="67" customWidth="1"/>
    <col min="3588" max="3588" width="13.5703125" style="67" customWidth="1"/>
    <col min="3589" max="3589" width="10.7109375" style="67" customWidth="1"/>
    <col min="3590" max="3590" width="11.85546875" style="67" customWidth="1"/>
    <col min="3591" max="3609" width="13.28515625" style="67" customWidth="1"/>
    <col min="3610" max="3610" width="11.42578125" style="67" customWidth="1"/>
    <col min="3611" max="3611" width="10.28515625" style="67" customWidth="1"/>
    <col min="3612" max="3612" width="11.28515625" style="67" customWidth="1"/>
    <col min="3613" max="3613" width="9.140625" style="67"/>
    <col min="3614" max="3614" width="25.28515625" style="67" bestFit="1" customWidth="1"/>
    <col min="3615" max="3615" width="14.5703125" style="67" bestFit="1" customWidth="1"/>
    <col min="3616" max="3616" width="16.7109375" style="67" bestFit="1" customWidth="1"/>
    <col min="3617" max="3617" width="19.5703125" style="67" bestFit="1" customWidth="1"/>
    <col min="3618" max="3618" width="56.85546875" style="67" customWidth="1"/>
    <col min="3619" max="3841" width="9.140625" style="67"/>
    <col min="3842" max="3842" width="53.140625" style="67" customWidth="1"/>
    <col min="3843" max="3843" width="12.28515625" style="67" customWidth="1"/>
    <col min="3844" max="3844" width="13.5703125" style="67" customWidth="1"/>
    <col min="3845" max="3845" width="10.7109375" style="67" customWidth="1"/>
    <col min="3846" max="3846" width="11.85546875" style="67" customWidth="1"/>
    <col min="3847" max="3865" width="13.28515625" style="67" customWidth="1"/>
    <col min="3866" max="3866" width="11.42578125" style="67" customWidth="1"/>
    <col min="3867" max="3867" width="10.28515625" style="67" customWidth="1"/>
    <col min="3868" max="3868" width="11.28515625" style="67" customWidth="1"/>
    <col min="3869" max="3869" width="9.140625" style="67"/>
    <col min="3870" max="3870" width="25.28515625" style="67" bestFit="1" customWidth="1"/>
    <col min="3871" max="3871" width="14.5703125" style="67" bestFit="1" customWidth="1"/>
    <col min="3872" max="3872" width="16.7109375" style="67" bestFit="1" customWidth="1"/>
    <col min="3873" max="3873" width="19.5703125" style="67" bestFit="1" customWidth="1"/>
    <col min="3874" max="3874" width="56.85546875" style="67" customWidth="1"/>
    <col min="3875" max="4097" width="9.140625" style="67"/>
    <col min="4098" max="4098" width="53.140625" style="67" customWidth="1"/>
    <col min="4099" max="4099" width="12.28515625" style="67" customWidth="1"/>
    <col min="4100" max="4100" width="13.5703125" style="67" customWidth="1"/>
    <col min="4101" max="4101" width="10.7109375" style="67" customWidth="1"/>
    <col min="4102" max="4102" width="11.85546875" style="67" customWidth="1"/>
    <col min="4103" max="4121" width="13.28515625" style="67" customWidth="1"/>
    <col min="4122" max="4122" width="11.42578125" style="67" customWidth="1"/>
    <col min="4123" max="4123" width="10.28515625" style="67" customWidth="1"/>
    <col min="4124" max="4124" width="11.28515625" style="67" customWidth="1"/>
    <col min="4125" max="4125" width="9.140625" style="67"/>
    <col min="4126" max="4126" width="25.28515625" style="67" bestFit="1" customWidth="1"/>
    <col min="4127" max="4127" width="14.5703125" style="67" bestFit="1" customWidth="1"/>
    <col min="4128" max="4128" width="16.7109375" style="67" bestFit="1" customWidth="1"/>
    <col min="4129" max="4129" width="19.5703125" style="67" bestFit="1" customWidth="1"/>
    <col min="4130" max="4130" width="56.85546875" style="67" customWidth="1"/>
    <col min="4131" max="4353" width="9.140625" style="67"/>
    <col min="4354" max="4354" width="53.140625" style="67" customWidth="1"/>
    <col min="4355" max="4355" width="12.28515625" style="67" customWidth="1"/>
    <col min="4356" max="4356" width="13.5703125" style="67" customWidth="1"/>
    <col min="4357" max="4357" width="10.7109375" style="67" customWidth="1"/>
    <col min="4358" max="4358" width="11.85546875" style="67" customWidth="1"/>
    <col min="4359" max="4377" width="13.28515625" style="67" customWidth="1"/>
    <col min="4378" max="4378" width="11.42578125" style="67" customWidth="1"/>
    <col min="4379" max="4379" width="10.28515625" style="67" customWidth="1"/>
    <col min="4380" max="4380" width="11.28515625" style="67" customWidth="1"/>
    <col min="4381" max="4381" width="9.140625" style="67"/>
    <col min="4382" max="4382" width="25.28515625" style="67" bestFit="1" customWidth="1"/>
    <col min="4383" max="4383" width="14.5703125" style="67" bestFit="1" customWidth="1"/>
    <col min="4384" max="4384" width="16.7109375" style="67" bestFit="1" customWidth="1"/>
    <col min="4385" max="4385" width="19.5703125" style="67" bestFit="1" customWidth="1"/>
    <col min="4386" max="4386" width="56.85546875" style="67" customWidth="1"/>
    <col min="4387" max="4609" width="9.140625" style="67"/>
    <col min="4610" max="4610" width="53.140625" style="67" customWidth="1"/>
    <col min="4611" max="4611" width="12.28515625" style="67" customWidth="1"/>
    <col min="4612" max="4612" width="13.5703125" style="67" customWidth="1"/>
    <col min="4613" max="4613" width="10.7109375" style="67" customWidth="1"/>
    <col min="4614" max="4614" width="11.85546875" style="67" customWidth="1"/>
    <col min="4615" max="4633" width="13.28515625" style="67" customWidth="1"/>
    <col min="4634" max="4634" width="11.42578125" style="67" customWidth="1"/>
    <col min="4635" max="4635" width="10.28515625" style="67" customWidth="1"/>
    <col min="4636" max="4636" width="11.28515625" style="67" customWidth="1"/>
    <col min="4637" max="4637" width="9.140625" style="67"/>
    <col min="4638" max="4638" width="25.28515625" style="67" bestFit="1" customWidth="1"/>
    <col min="4639" max="4639" width="14.5703125" style="67" bestFit="1" customWidth="1"/>
    <col min="4640" max="4640" width="16.7109375" style="67" bestFit="1" customWidth="1"/>
    <col min="4641" max="4641" width="19.5703125" style="67" bestFit="1" customWidth="1"/>
    <col min="4642" max="4642" width="56.85546875" style="67" customWidth="1"/>
    <col min="4643" max="4865" width="9.140625" style="67"/>
    <col min="4866" max="4866" width="53.140625" style="67" customWidth="1"/>
    <col min="4867" max="4867" width="12.28515625" style="67" customWidth="1"/>
    <col min="4868" max="4868" width="13.5703125" style="67" customWidth="1"/>
    <col min="4869" max="4869" width="10.7109375" style="67" customWidth="1"/>
    <col min="4870" max="4870" width="11.85546875" style="67" customWidth="1"/>
    <col min="4871" max="4889" width="13.28515625" style="67" customWidth="1"/>
    <col min="4890" max="4890" width="11.42578125" style="67" customWidth="1"/>
    <col min="4891" max="4891" width="10.28515625" style="67" customWidth="1"/>
    <col min="4892" max="4892" width="11.28515625" style="67" customWidth="1"/>
    <col min="4893" max="4893" width="9.140625" style="67"/>
    <col min="4894" max="4894" width="25.28515625" style="67" bestFit="1" customWidth="1"/>
    <col min="4895" max="4895" width="14.5703125" style="67" bestFit="1" customWidth="1"/>
    <col min="4896" max="4896" width="16.7109375" style="67" bestFit="1" customWidth="1"/>
    <col min="4897" max="4897" width="19.5703125" style="67" bestFit="1" customWidth="1"/>
    <col min="4898" max="4898" width="56.85546875" style="67" customWidth="1"/>
    <col min="4899" max="5121" width="9.140625" style="67"/>
    <col min="5122" max="5122" width="53.140625" style="67" customWidth="1"/>
    <col min="5123" max="5123" width="12.28515625" style="67" customWidth="1"/>
    <col min="5124" max="5124" width="13.5703125" style="67" customWidth="1"/>
    <col min="5125" max="5125" width="10.7109375" style="67" customWidth="1"/>
    <col min="5126" max="5126" width="11.85546875" style="67" customWidth="1"/>
    <col min="5127" max="5145" width="13.28515625" style="67" customWidth="1"/>
    <col min="5146" max="5146" width="11.42578125" style="67" customWidth="1"/>
    <col min="5147" max="5147" width="10.28515625" style="67" customWidth="1"/>
    <col min="5148" max="5148" width="11.28515625" style="67" customWidth="1"/>
    <col min="5149" max="5149" width="9.140625" style="67"/>
    <col min="5150" max="5150" width="25.28515625" style="67" bestFit="1" customWidth="1"/>
    <col min="5151" max="5151" width="14.5703125" style="67" bestFit="1" customWidth="1"/>
    <col min="5152" max="5152" width="16.7109375" style="67" bestFit="1" customWidth="1"/>
    <col min="5153" max="5153" width="19.5703125" style="67" bestFit="1" customWidth="1"/>
    <col min="5154" max="5154" width="56.85546875" style="67" customWidth="1"/>
    <col min="5155" max="5377" width="9.140625" style="67"/>
    <col min="5378" max="5378" width="53.140625" style="67" customWidth="1"/>
    <col min="5379" max="5379" width="12.28515625" style="67" customWidth="1"/>
    <col min="5380" max="5380" width="13.5703125" style="67" customWidth="1"/>
    <col min="5381" max="5381" width="10.7109375" style="67" customWidth="1"/>
    <col min="5382" max="5382" width="11.85546875" style="67" customWidth="1"/>
    <col min="5383" max="5401" width="13.28515625" style="67" customWidth="1"/>
    <col min="5402" max="5402" width="11.42578125" style="67" customWidth="1"/>
    <col min="5403" max="5403" width="10.28515625" style="67" customWidth="1"/>
    <col min="5404" max="5404" width="11.28515625" style="67" customWidth="1"/>
    <col min="5405" max="5405" width="9.140625" style="67"/>
    <col min="5406" max="5406" width="25.28515625" style="67" bestFit="1" customWidth="1"/>
    <col min="5407" max="5407" width="14.5703125" style="67" bestFit="1" customWidth="1"/>
    <col min="5408" max="5408" width="16.7109375" style="67" bestFit="1" customWidth="1"/>
    <col min="5409" max="5409" width="19.5703125" style="67" bestFit="1" customWidth="1"/>
    <col min="5410" max="5410" width="56.85546875" style="67" customWidth="1"/>
    <col min="5411" max="5633" width="9.140625" style="67"/>
    <col min="5634" max="5634" width="53.140625" style="67" customWidth="1"/>
    <col min="5635" max="5635" width="12.28515625" style="67" customWidth="1"/>
    <col min="5636" max="5636" width="13.5703125" style="67" customWidth="1"/>
    <col min="5637" max="5637" width="10.7109375" style="67" customWidth="1"/>
    <col min="5638" max="5638" width="11.85546875" style="67" customWidth="1"/>
    <col min="5639" max="5657" width="13.28515625" style="67" customWidth="1"/>
    <col min="5658" max="5658" width="11.42578125" style="67" customWidth="1"/>
    <col min="5659" max="5659" width="10.28515625" style="67" customWidth="1"/>
    <col min="5660" max="5660" width="11.28515625" style="67" customWidth="1"/>
    <col min="5661" max="5661" width="9.140625" style="67"/>
    <col min="5662" max="5662" width="25.28515625" style="67" bestFit="1" customWidth="1"/>
    <col min="5663" max="5663" width="14.5703125" style="67" bestFit="1" customWidth="1"/>
    <col min="5664" max="5664" width="16.7109375" style="67" bestFit="1" customWidth="1"/>
    <col min="5665" max="5665" width="19.5703125" style="67" bestFit="1" customWidth="1"/>
    <col min="5666" max="5666" width="56.85546875" style="67" customWidth="1"/>
    <col min="5667" max="5889" width="9.140625" style="67"/>
    <col min="5890" max="5890" width="53.140625" style="67" customWidth="1"/>
    <col min="5891" max="5891" width="12.28515625" style="67" customWidth="1"/>
    <col min="5892" max="5892" width="13.5703125" style="67" customWidth="1"/>
    <col min="5893" max="5893" width="10.7109375" style="67" customWidth="1"/>
    <col min="5894" max="5894" width="11.85546875" style="67" customWidth="1"/>
    <col min="5895" max="5913" width="13.28515625" style="67" customWidth="1"/>
    <col min="5914" max="5914" width="11.42578125" style="67" customWidth="1"/>
    <col min="5915" max="5915" width="10.28515625" style="67" customWidth="1"/>
    <col min="5916" max="5916" width="11.28515625" style="67" customWidth="1"/>
    <col min="5917" max="5917" width="9.140625" style="67"/>
    <col min="5918" max="5918" width="25.28515625" style="67" bestFit="1" customWidth="1"/>
    <col min="5919" max="5919" width="14.5703125" style="67" bestFit="1" customWidth="1"/>
    <col min="5920" max="5920" width="16.7109375" style="67" bestFit="1" customWidth="1"/>
    <col min="5921" max="5921" width="19.5703125" style="67" bestFit="1" customWidth="1"/>
    <col min="5922" max="5922" width="56.85546875" style="67" customWidth="1"/>
    <col min="5923" max="6145" width="9.140625" style="67"/>
    <col min="6146" max="6146" width="53.140625" style="67" customWidth="1"/>
    <col min="6147" max="6147" width="12.28515625" style="67" customWidth="1"/>
    <col min="6148" max="6148" width="13.5703125" style="67" customWidth="1"/>
    <col min="6149" max="6149" width="10.7109375" style="67" customWidth="1"/>
    <col min="6150" max="6150" width="11.85546875" style="67" customWidth="1"/>
    <col min="6151" max="6169" width="13.28515625" style="67" customWidth="1"/>
    <col min="6170" max="6170" width="11.42578125" style="67" customWidth="1"/>
    <col min="6171" max="6171" width="10.28515625" style="67" customWidth="1"/>
    <col min="6172" max="6172" width="11.28515625" style="67" customWidth="1"/>
    <col min="6173" max="6173" width="9.140625" style="67"/>
    <col min="6174" max="6174" width="25.28515625" style="67" bestFit="1" customWidth="1"/>
    <col min="6175" max="6175" width="14.5703125" style="67" bestFit="1" customWidth="1"/>
    <col min="6176" max="6176" width="16.7109375" style="67" bestFit="1" customWidth="1"/>
    <col min="6177" max="6177" width="19.5703125" style="67" bestFit="1" customWidth="1"/>
    <col min="6178" max="6178" width="56.85546875" style="67" customWidth="1"/>
    <col min="6179" max="6401" width="9.140625" style="67"/>
    <col min="6402" max="6402" width="53.140625" style="67" customWidth="1"/>
    <col min="6403" max="6403" width="12.28515625" style="67" customWidth="1"/>
    <col min="6404" max="6404" width="13.5703125" style="67" customWidth="1"/>
    <col min="6405" max="6405" width="10.7109375" style="67" customWidth="1"/>
    <col min="6406" max="6406" width="11.85546875" style="67" customWidth="1"/>
    <col min="6407" max="6425" width="13.28515625" style="67" customWidth="1"/>
    <col min="6426" max="6426" width="11.42578125" style="67" customWidth="1"/>
    <col min="6427" max="6427" width="10.28515625" style="67" customWidth="1"/>
    <col min="6428" max="6428" width="11.28515625" style="67" customWidth="1"/>
    <col min="6429" max="6429" width="9.140625" style="67"/>
    <col min="6430" max="6430" width="25.28515625" style="67" bestFit="1" customWidth="1"/>
    <col min="6431" max="6431" width="14.5703125" style="67" bestFit="1" customWidth="1"/>
    <col min="6432" max="6432" width="16.7109375" style="67" bestFit="1" customWidth="1"/>
    <col min="6433" max="6433" width="19.5703125" style="67" bestFit="1" customWidth="1"/>
    <col min="6434" max="6434" width="56.85546875" style="67" customWidth="1"/>
    <col min="6435" max="6657" width="9.140625" style="67"/>
    <col min="6658" max="6658" width="53.140625" style="67" customWidth="1"/>
    <col min="6659" max="6659" width="12.28515625" style="67" customWidth="1"/>
    <col min="6660" max="6660" width="13.5703125" style="67" customWidth="1"/>
    <col min="6661" max="6661" width="10.7109375" style="67" customWidth="1"/>
    <col min="6662" max="6662" width="11.85546875" style="67" customWidth="1"/>
    <col min="6663" max="6681" width="13.28515625" style="67" customWidth="1"/>
    <col min="6682" max="6682" width="11.42578125" style="67" customWidth="1"/>
    <col min="6683" max="6683" width="10.28515625" style="67" customWidth="1"/>
    <col min="6684" max="6684" width="11.28515625" style="67" customWidth="1"/>
    <col min="6685" max="6685" width="9.140625" style="67"/>
    <col min="6686" max="6686" width="25.28515625" style="67" bestFit="1" customWidth="1"/>
    <col min="6687" max="6687" width="14.5703125" style="67" bestFit="1" customWidth="1"/>
    <col min="6688" max="6688" width="16.7109375" style="67" bestFit="1" customWidth="1"/>
    <col min="6689" max="6689" width="19.5703125" style="67" bestFit="1" customWidth="1"/>
    <col min="6690" max="6690" width="56.85546875" style="67" customWidth="1"/>
    <col min="6691" max="6913" width="9.140625" style="67"/>
    <col min="6914" max="6914" width="53.140625" style="67" customWidth="1"/>
    <col min="6915" max="6915" width="12.28515625" style="67" customWidth="1"/>
    <col min="6916" max="6916" width="13.5703125" style="67" customWidth="1"/>
    <col min="6917" max="6917" width="10.7109375" style="67" customWidth="1"/>
    <col min="6918" max="6918" width="11.85546875" style="67" customWidth="1"/>
    <col min="6919" max="6937" width="13.28515625" style="67" customWidth="1"/>
    <col min="6938" max="6938" width="11.42578125" style="67" customWidth="1"/>
    <col min="6939" max="6939" width="10.28515625" style="67" customWidth="1"/>
    <col min="6940" max="6940" width="11.28515625" style="67" customWidth="1"/>
    <col min="6941" max="6941" width="9.140625" style="67"/>
    <col min="6942" max="6942" width="25.28515625" style="67" bestFit="1" customWidth="1"/>
    <col min="6943" max="6943" width="14.5703125" style="67" bestFit="1" customWidth="1"/>
    <col min="6944" max="6944" width="16.7109375" style="67" bestFit="1" customWidth="1"/>
    <col min="6945" max="6945" width="19.5703125" style="67" bestFit="1" customWidth="1"/>
    <col min="6946" max="6946" width="56.85546875" style="67" customWidth="1"/>
    <col min="6947" max="7169" width="9.140625" style="67"/>
    <col min="7170" max="7170" width="53.140625" style="67" customWidth="1"/>
    <col min="7171" max="7171" width="12.28515625" style="67" customWidth="1"/>
    <col min="7172" max="7172" width="13.5703125" style="67" customWidth="1"/>
    <col min="7173" max="7173" width="10.7109375" style="67" customWidth="1"/>
    <col min="7174" max="7174" width="11.85546875" style="67" customWidth="1"/>
    <col min="7175" max="7193" width="13.28515625" style="67" customWidth="1"/>
    <col min="7194" max="7194" width="11.42578125" style="67" customWidth="1"/>
    <col min="7195" max="7195" width="10.28515625" style="67" customWidth="1"/>
    <col min="7196" max="7196" width="11.28515625" style="67" customWidth="1"/>
    <col min="7197" max="7197" width="9.140625" style="67"/>
    <col min="7198" max="7198" width="25.28515625" style="67" bestFit="1" customWidth="1"/>
    <col min="7199" max="7199" width="14.5703125" style="67" bestFit="1" customWidth="1"/>
    <col min="7200" max="7200" width="16.7109375" style="67" bestFit="1" customWidth="1"/>
    <col min="7201" max="7201" width="19.5703125" style="67" bestFit="1" customWidth="1"/>
    <col min="7202" max="7202" width="56.85546875" style="67" customWidth="1"/>
    <col min="7203" max="7425" width="9.140625" style="67"/>
    <col min="7426" max="7426" width="53.140625" style="67" customWidth="1"/>
    <col min="7427" max="7427" width="12.28515625" style="67" customWidth="1"/>
    <col min="7428" max="7428" width="13.5703125" style="67" customWidth="1"/>
    <col min="7429" max="7429" width="10.7109375" style="67" customWidth="1"/>
    <col min="7430" max="7430" width="11.85546875" style="67" customWidth="1"/>
    <col min="7431" max="7449" width="13.28515625" style="67" customWidth="1"/>
    <col min="7450" max="7450" width="11.42578125" style="67" customWidth="1"/>
    <col min="7451" max="7451" width="10.28515625" style="67" customWidth="1"/>
    <col min="7452" max="7452" width="11.28515625" style="67" customWidth="1"/>
    <col min="7453" max="7453" width="9.140625" style="67"/>
    <col min="7454" max="7454" width="25.28515625" style="67" bestFit="1" customWidth="1"/>
    <col min="7455" max="7455" width="14.5703125" style="67" bestFit="1" customWidth="1"/>
    <col min="7456" max="7456" width="16.7109375" style="67" bestFit="1" customWidth="1"/>
    <col min="7457" max="7457" width="19.5703125" style="67" bestFit="1" customWidth="1"/>
    <col min="7458" max="7458" width="56.85546875" style="67" customWidth="1"/>
    <col min="7459" max="7681" width="9.140625" style="67"/>
    <col min="7682" max="7682" width="53.140625" style="67" customWidth="1"/>
    <col min="7683" max="7683" width="12.28515625" style="67" customWidth="1"/>
    <col min="7684" max="7684" width="13.5703125" style="67" customWidth="1"/>
    <col min="7685" max="7685" width="10.7109375" style="67" customWidth="1"/>
    <col min="7686" max="7686" width="11.85546875" style="67" customWidth="1"/>
    <col min="7687" max="7705" width="13.28515625" style="67" customWidth="1"/>
    <col min="7706" max="7706" width="11.42578125" style="67" customWidth="1"/>
    <col min="7707" max="7707" width="10.28515625" style="67" customWidth="1"/>
    <col min="7708" max="7708" width="11.28515625" style="67" customWidth="1"/>
    <col min="7709" max="7709" width="9.140625" style="67"/>
    <col min="7710" max="7710" width="25.28515625" style="67" bestFit="1" customWidth="1"/>
    <col min="7711" max="7711" width="14.5703125" style="67" bestFit="1" customWidth="1"/>
    <col min="7712" max="7712" width="16.7109375" style="67" bestFit="1" customWidth="1"/>
    <col min="7713" max="7713" width="19.5703125" style="67" bestFit="1" customWidth="1"/>
    <col min="7714" max="7714" width="56.85546875" style="67" customWidth="1"/>
    <col min="7715" max="7937" width="9.140625" style="67"/>
    <col min="7938" max="7938" width="53.140625" style="67" customWidth="1"/>
    <col min="7939" max="7939" width="12.28515625" style="67" customWidth="1"/>
    <col min="7940" max="7940" width="13.5703125" style="67" customWidth="1"/>
    <col min="7941" max="7941" width="10.7109375" style="67" customWidth="1"/>
    <col min="7942" max="7942" width="11.85546875" style="67" customWidth="1"/>
    <col min="7943" max="7961" width="13.28515625" style="67" customWidth="1"/>
    <col min="7962" max="7962" width="11.42578125" style="67" customWidth="1"/>
    <col min="7963" max="7963" width="10.28515625" style="67" customWidth="1"/>
    <col min="7964" max="7964" width="11.28515625" style="67" customWidth="1"/>
    <col min="7965" max="7965" width="9.140625" style="67"/>
    <col min="7966" max="7966" width="25.28515625" style="67" bestFit="1" customWidth="1"/>
    <col min="7967" max="7967" width="14.5703125" style="67" bestFit="1" customWidth="1"/>
    <col min="7968" max="7968" width="16.7109375" style="67" bestFit="1" customWidth="1"/>
    <col min="7969" max="7969" width="19.5703125" style="67" bestFit="1" customWidth="1"/>
    <col min="7970" max="7970" width="56.85546875" style="67" customWidth="1"/>
    <col min="7971" max="8193" width="9.140625" style="67"/>
    <col min="8194" max="8194" width="53.140625" style="67" customWidth="1"/>
    <col min="8195" max="8195" width="12.28515625" style="67" customWidth="1"/>
    <col min="8196" max="8196" width="13.5703125" style="67" customWidth="1"/>
    <col min="8197" max="8197" width="10.7109375" style="67" customWidth="1"/>
    <col min="8198" max="8198" width="11.85546875" style="67" customWidth="1"/>
    <col min="8199" max="8217" width="13.28515625" style="67" customWidth="1"/>
    <col min="8218" max="8218" width="11.42578125" style="67" customWidth="1"/>
    <col min="8219" max="8219" width="10.28515625" style="67" customWidth="1"/>
    <col min="8220" max="8220" width="11.28515625" style="67" customWidth="1"/>
    <col min="8221" max="8221" width="9.140625" style="67"/>
    <col min="8222" max="8222" width="25.28515625" style="67" bestFit="1" customWidth="1"/>
    <col min="8223" max="8223" width="14.5703125" style="67" bestFit="1" customWidth="1"/>
    <col min="8224" max="8224" width="16.7109375" style="67" bestFit="1" customWidth="1"/>
    <col min="8225" max="8225" width="19.5703125" style="67" bestFit="1" customWidth="1"/>
    <col min="8226" max="8226" width="56.85546875" style="67" customWidth="1"/>
    <col min="8227" max="8449" width="9.140625" style="67"/>
    <col min="8450" max="8450" width="53.140625" style="67" customWidth="1"/>
    <col min="8451" max="8451" width="12.28515625" style="67" customWidth="1"/>
    <col min="8452" max="8452" width="13.5703125" style="67" customWidth="1"/>
    <col min="8453" max="8453" width="10.7109375" style="67" customWidth="1"/>
    <col min="8454" max="8454" width="11.85546875" style="67" customWidth="1"/>
    <col min="8455" max="8473" width="13.28515625" style="67" customWidth="1"/>
    <col min="8474" max="8474" width="11.42578125" style="67" customWidth="1"/>
    <col min="8475" max="8475" width="10.28515625" style="67" customWidth="1"/>
    <col min="8476" max="8476" width="11.28515625" style="67" customWidth="1"/>
    <col min="8477" max="8477" width="9.140625" style="67"/>
    <col min="8478" max="8478" width="25.28515625" style="67" bestFit="1" customWidth="1"/>
    <col min="8479" max="8479" width="14.5703125" style="67" bestFit="1" customWidth="1"/>
    <col min="8480" max="8480" width="16.7109375" style="67" bestFit="1" customWidth="1"/>
    <col min="8481" max="8481" width="19.5703125" style="67" bestFit="1" customWidth="1"/>
    <col min="8482" max="8482" width="56.85546875" style="67" customWidth="1"/>
    <col min="8483" max="8705" width="9.140625" style="67"/>
    <col min="8706" max="8706" width="53.140625" style="67" customWidth="1"/>
    <col min="8707" max="8707" width="12.28515625" style="67" customWidth="1"/>
    <col min="8708" max="8708" width="13.5703125" style="67" customWidth="1"/>
    <col min="8709" max="8709" width="10.7109375" style="67" customWidth="1"/>
    <col min="8710" max="8710" width="11.85546875" style="67" customWidth="1"/>
    <col min="8711" max="8729" width="13.28515625" style="67" customWidth="1"/>
    <col min="8730" max="8730" width="11.42578125" style="67" customWidth="1"/>
    <col min="8731" max="8731" width="10.28515625" style="67" customWidth="1"/>
    <col min="8732" max="8732" width="11.28515625" style="67" customWidth="1"/>
    <col min="8733" max="8733" width="9.140625" style="67"/>
    <col min="8734" max="8734" width="25.28515625" style="67" bestFit="1" customWidth="1"/>
    <col min="8735" max="8735" width="14.5703125" style="67" bestFit="1" customWidth="1"/>
    <col min="8736" max="8736" width="16.7109375" style="67" bestFit="1" customWidth="1"/>
    <col min="8737" max="8737" width="19.5703125" style="67" bestFit="1" customWidth="1"/>
    <col min="8738" max="8738" width="56.85546875" style="67" customWidth="1"/>
    <col min="8739" max="8961" width="9.140625" style="67"/>
    <col min="8962" max="8962" width="53.140625" style="67" customWidth="1"/>
    <col min="8963" max="8963" width="12.28515625" style="67" customWidth="1"/>
    <col min="8964" max="8964" width="13.5703125" style="67" customWidth="1"/>
    <col min="8965" max="8965" width="10.7109375" style="67" customWidth="1"/>
    <col min="8966" max="8966" width="11.85546875" style="67" customWidth="1"/>
    <col min="8967" max="8985" width="13.28515625" style="67" customWidth="1"/>
    <col min="8986" max="8986" width="11.42578125" style="67" customWidth="1"/>
    <col min="8987" max="8987" width="10.28515625" style="67" customWidth="1"/>
    <col min="8988" max="8988" width="11.28515625" style="67" customWidth="1"/>
    <col min="8989" max="8989" width="9.140625" style="67"/>
    <col min="8990" max="8990" width="25.28515625" style="67" bestFit="1" customWidth="1"/>
    <col min="8991" max="8991" width="14.5703125" style="67" bestFit="1" customWidth="1"/>
    <col min="8992" max="8992" width="16.7109375" style="67" bestFit="1" customWidth="1"/>
    <col min="8993" max="8993" width="19.5703125" style="67" bestFit="1" customWidth="1"/>
    <col min="8994" max="8994" width="56.85546875" style="67" customWidth="1"/>
    <col min="8995" max="9217" width="9.140625" style="67"/>
    <col min="9218" max="9218" width="53.140625" style="67" customWidth="1"/>
    <col min="9219" max="9219" width="12.28515625" style="67" customWidth="1"/>
    <col min="9220" max="9220" width="13.5703125" style="67" customWidth="1"/>
    <col min="9221" max="9221" width="10.7109375" style="67" customWidth="1"/>
    <col min="9222" max="9222" width="11.85546875" style="67" customWidth="1"/>
    <col min="9223" max="9241" width="13.28515625" style="67" customWidth="1"/>
    <col min="9242" max="9242" width="11.42578125" style="67" customWidth="1"/>
    <col min="9243" max="9243" width="10.28515625" style="67" customWidth="1"/>
    <col min="9244" max="9244" width="11.28515625" style="67" customWidth="1"/>
    <col min="9245" max="9245" width="9.140625" style="67"/>
    <col min="9246" max="9246" width="25.28515625" style="67" bestFit="1" customWidth="1"/>
    <col min="9247" max="9247" width="14.5703125" style="67" bestFit="1" customWidth="1"/>
    <col min="9248" max="9248" width="16.7109375" style="67" bestFit="1" customWidth="1"/>
    <col min="9249" max="9249" width="19.5703125" style="67" bestFit="1" customWidth="1"/>
    <col min="9250" max="9250" width="56.85546875" style="67" customWidth="1"/>
    <col min="9251" max="9473" width="9.140625" style="67"/>
    <col min="9474" max="9474" width="53.140625" style="67" customWidth="1"/>
    <col min="9475" max="9475" width="12.28515625" style="67" customWidth="1"/>
    <col min="9476" max="9476" width="13.5703125" style="67" customWidth="1"/>
    <col min="9477" max="9477" width="10.7109375" style="67" customWidth="1"/>
    <col min="9478" max="9478" width="11.85546875" style="67" customWidth="1"/>
    <col min="9479" max="9497" width="13.28515625" style="67" customWidth="1"/>
    <col min="9498" max="9498" width="11.42578125" style="67" customWidth="1"/>
    <col min="9499" max="9499" width="10.28515625" style="67" customWidth="1"/>
    <col min="9500" max="9500" width="11.28515625" style="67" customWidth="1"/>
    <col min="9501" max="9501" width="9.140625" style="67"/>
    <col min="9502" max="9502" width="25.28515625" style="67" bestFit="1" customWidth="1"/>
    <col min="9503" max="9503" width="14.5703125" style="67" bestFit="1" customWidth="1"/>
    <col min="9504" max="9504" width="16.7109375" style="67" bestFit="1" customWidth="1"/>
    <col min="9505" max="9505" width="19.5703125" style="67" bestFit="1" customWidth="1"/>
    <col min="9506" max="9506" width="56.85546875" style="67" customWidth="1"/>
    <col min="9507" max="9729" width="9.140625" style="67"/>
    <col min="9730" max="9730" width="53.140625" style="67" customWidth="1"/>
    <col min="9731" max="9731" width="12.28515625" style="67" customWidth="1"/>
    <col min="9732" max="9732" width="13.5703125" style="67" customWidth="1"/>
    <col min="9733" max="9733" width="10.7109375" style="67" customWidth="1"/>
    <col min="9734" max="9734" width="11.85546875" style="67" customWidth="1"/>
    <col min="9735" max="9753" width="13.28515625" style="67" customWidth="1"/>
    <col min="9754" max="9754" width="11.42578125" style="67" customWidth="1"/>
    <col min="9755" max="9755" width="10.28515625" style="67" customWidth="1"/>
    <col min="9756" max="9756" width="11.28515625" style="67" customWidth="1"/>
    <col min="9757" max="9757" width="9.140625" style="67"/>
    <col min="9758" max="9758" width="25.28515625" style="67" bestFit="1" customWidth="1"/>
    <col min="9759" max="9759" width="14.5703125" style="67" bestFit="1" customWidth="1"/>
    <col min="9760" max="9760" width="16.7109375" style="67" bestFit="1" customWidth="1"/>
    <col min="9761" max="9761" width="19.5703125" style="67" bestFit="1" customWidth="1"/>
    <col min="9762" max="9762" width="56.85546875" style="67" customWidth="1"/>
    <col min="9763" max="9985" width="9.140625" style="67"/>
    <col min="9986" max="9986" width="53.140625" style="67" customWidth="1"/>
    <col min="9987" max="9987" width="12.28515625" style="67" customWidth="1"/>
    <col min="9988" max="9988" width="13.5703125" style="67" customWidth="1"/>
    <col min="9989" max="9989" width="10.7109375" style="67" customWidth="1"/>
    <col min="9990" max="9990" width="11.85546875" style="67" customWidth="1"/>
    <col min="9991" max="10009" width="13.28515625" style="67" customWidth="1"/>
    <col min="10010" max="10010" width="11.42578125" style="67" customWidth="1"/>
    <col min="10011" max="10011" width="10.28515625" style="67" customWidth="1"/>
    <col min="10012" max="10012" width="11.28515625" style="67" customWidth="1"/>
    <col min="10013" max="10013" width="9.140625" style="67"/>
    <col min="10014" max="10014" width="25.28515625" style="67" bestFit="1" customWidth="1"/>
    <col min="10015" max="10015" width="14.5703125" style="67" bestFit="1" customWidth="1"/>
    <col min="10016" max="10016" width="16.7109375" style="67" bestFit="1" customWidth="1"/>
    <col min="10017" max="10017" width="19.5703125" style="67" bestFit="1" customWidth="1"/>
    <col min="10018" max="10018" width="56.85546875" style="67" customWidth="1"/>
    <col min="10019" max="10241" width="9.140625" style="67"/>
    <col min="10242" max="10242" width="53.140625" style="67" customWidth="1"/>
    <col min="10243" max="10243" width="12.28515625" style="67" customWidth="1"/>
    <col min="10244" max="10244" width="13.5703125" style="67" customWidth="1"/>
    <col min="10245" max="10245" width="10.7109375" style="67" customWidth="1"/>
    <col min="10246" max="10246" width="11.85546875" style="67" customWidth="1"/>
    <col min="10247" max="10265" width="13.28515625" style="67" customWidth="1"/>
    <col min="10266" max="10266" width="11.42578125" style="67" customWidth="1"/>
    <col min="10267" max="10267" width="10.28515625" style="67" customWidth="1"/>
    <col min="10268" max="10268" width="11.28515625" style="67" customWidth="1"/>
    <col min="10269" max="10269" width="9.140625" style="67"/>
    <col min="10270" max="10270" width="25.28515625" style="67" bestFit="1" customWidth="1"/>
    <col min="10271" max="10271" width="14.5703125" style="67" bestFit="1" customWidth="1"/>
    <col min="10272" max="10272" width="16.7109375" style="67" bestFit="1" customWidth="1"/>
    <col min="10273" max="10273" width="19.5703125" style="67" bestFit="1" customWidth="1"/>
    <col min="10274" max="10274" width="56.85546875" style="67" customWidth="1"/>
    <col min="10275" max="10497" width="9.140625" style="67"/>
    <col min="10498" max="10498" width="53.140625" style="67" customWidth="1"/>
    <col min="10499" max="10499" width="12.28515625" style="67" customWidth="1"/>
    <col min="10500" max="10500" width="13.5703125" style="67" customWidth="1"/>
    <col min="10501" max="10501" width="10.7109375" style="67" customWidth="1"/>
    <col min="10502" max="10502" width="11.85546875" style="67" customWidth="1"/>
    <col min="10503" max="10521" width="13.28515625" style="67" customWidth="1"/>
    <col min="10522" max="10522" width="11.42578125" style="67" customWidth="1"/>
    <col min="10523" max="10523" width="10.28515625" style="67" customWidth="1"/>
    <col min="10524" max="10524" width="11.28515625" style="67" customWidth="1"/>
    <col min="10525" max="10525" width="9.140625" style="67"/>
    <col min="10526" max="10526" width="25.28515625" style="67" bestFit="1" customWidth="1"/>
    <col min="10527" max="10527" width="14.5703125" style="67" bestFit="1" customWidth="1"/>
    <col min="10528" max="10528" width="16.7109375" style="67" bestFit="1" customWidth="1"/>
    <col min="10529" max="10529" width="19.5703125" style="67" bestFit="1" customWidth="1"/>
    <col min="10530" max="10530" width="56.85546875" style="67" customWidth="1"/>
    <col min="10531" max="10753" width="9.140625" style="67"/>
    <col min="10754" max="10754" width="53.140625" style="67" customWidth="1"/>
    <col min="10755" max="10755" width="12.28515625" style="67" customWidth="1"/>
    <col min="10756" max="10756" width="13.5703125" style="67" customWidth="1"/>
    <col min="10757" max="10757" width="10.7109375" style="67" customWidth="1"/>
    <col min="10758" max="10758" width="11.85546875" style="67" customWidth="1"/>
    <col min="10759" max="10777" width="13.28515625" style="67" customWidth="1"/>
    <col min="10778" max="10778" width="11.42578125" style="67" customWidth="1"/>
    <col min="10779" max="10779" width="10.28515625" style="67" customWidth="1"/>
    <col min="10780" max="10780" width="11.28515625" style="67" customWidth="1"/>
    <col min="10781" max="10781" width="9.140625" style="67"/>
    <col min="10782" max="10782" width="25.28515625" style="67" bestFit="1" customWidth="1"/>
    <col min="10783" max="10783" width="14.5703125" style="67" bestFit="1" customWidth="1"/>
    <col min="10784" max="10784" width="16.7109375" style="67" bestFit="1" customWidth="1"/>
    <col min="10785" max="10785" width="19.5703125" style="67" bestFit="1" customWidth="1"/>
    <col min="10786" max="10786" width="56.85546875" style="67" customWidth="1"/>
    <col min="10787" max="11009" width="9.140625" style="67"/>
    <col min="11010" max="11010" width="53.140625" style="67" customWidth="1"/>
    <col min="11011" max="11011" width="12.28515625" style="67" customWidth="1"/>
    <col min="11012" max="11012" width="13.5703125" style="67" customWidth="1"/>
    <col min="11013" max="11013" width="10.7109375" style="67" customWidth="1"/>
    <col min="11014" max="11014" width="11.85546875" style="67" customWidth="1"/>
    <col min="11015" max="11033" width="13.28515625" style="67" customWidth="1"/>
    <col min="11034" max="11034" width="11.42578125" style="67" customWidth="1"/>
    <col min="11035" max="11035" width="10.28515625" style="67" customWidth="1"/>
    <col min="11036" max="11036" width="11.28515625" style="67" customWidth="1"/>
    <col min="11037" max="11037" width="9.140625" style="67"/>
    <col min="11038" max="11038" width="25.28515625" style="67" bestFit="1" customWidth="1"/>
    <col min="11039" max="11039" width="14.5703125" style="67" bestFit="1" customWidth="1"/>
    <col min="11040" max="11040" width="16.7109375" style="67" bestFit="1" customWidth="1"/>
    <col min="11041" max="11041" width="19.5703125" style="67" bestFit="1" customWidth="1"/>
    <col min="11042" max="11042" width="56.85546875" style="67" customWidth="1"/>
    <col min="11043" max="11265" width="9.140625" style="67"/>
    <col min="11266" max="11266" width="53.140625" style="67" customWidth="1"/>
    <col min="11267" max="11267" width="12.28515625" style="67" customWidth="1"/>
    <col min="11268" max="11268" width="13.5703125" style="67" customWidth="1"/>
    <col min="11269" max="11269" width="10.7109375" style="67" customWidth="1"/>
    <col min="11270" max="11270" width="11.85546875" style="67" customWidth="1"/>
    <col min="11271" max="11289" width="13.28515625" style="67" customWidth="1"/>
    <col min="11290" max="11290" width="11.42578125" style="67" customWidth="1"/>
    <col min="11291" max="11291" width="10.28515625" style="67" customWidth="1"/>
    <col min="11292" max="11292" width="11.28515625" style="67" customWidth="1"/>
    <col min="11293" max="11293" width="9.140625" style="67"/>
    <col min="11294" max="11294" width="25.28515625" style="67" bestFit="1" customWidth="1"/>
    <col min="11295" max="11295" width="14.5703125" style="67" bestFit="1" customWidth="1"/>
    <col min="11296" max="11296" width="16.7109375" style="67" bestFit="1" customWidth="1"/>
    <col min="11297" max="11297" width="19.5703125" style="67" bestFit="1" customWidth="1"/>
    <col min="11298" max="11298" width="56.85546875" style="67" customWidth="1"/>
    <col min="11299" max="11521" width="9.140625" style="67"/>
    <col min="11522" max="11522" width="53.140625" style="67" customWidth="1"/>
    <col min="11523" max="11523" width="12.28515625" style="67" customWidth="1"/>
    <col min="11524" max="11524" width="13.5703125" style="67" customWidth="1"/>
    <col min="11525" max="11525" width="10.7109375" style="67" customWidth="1"/>
    <col min="11526" max="11526" width="11.85546875" style="67" customWidth="1"/>
    <col min="11527" max="11545" width="13.28515625" style="67" customWidth="1"/>
    <col min="11546" max="11546" width="11.42578125" style="67" customWidth="1"/>
    <col min="11547" max="11547" width="10.28515625" style="67" customWidth="1"/>
    <col min="11548" max="11548" width="11.28515625" style="67" customWidth="1"/>
    <col min="11549" max="11549" width="9.140625" style="67"/>
    <col min="11550" max="11550" width="25.28515625" style="67" bestFit="1" customWidth="1"/>
    <col min="11551" max="11551" width="14.5703125" style="67" bestFit="1" customWidth="1"/>
    <col min="11552" max="11552" width="16.7109375" style="67" bestFit="1" customWidth="1"/>
    <col min="11553" max="11553" width="19.5703125" style="67" bestFit="1" customWidth="1"/>
    <col min="11554" max="11554" width="56.85546875" style="67" customWidth="1"/>
    <col min="11555" max="11777" width="9.140625" style="67"/>
    <col min="11778" max="11778" width="53.140625" style="67" customWidth="1"/>
    <col min="11779" max="11779" width="12.28515625" style="67" customWidth="1"/>
    <col min="11780" max="11780" width="13.5703125" style="67" customWidth="1"/>
    <col min="11781" max="11781" width="10.7109375" style="67" customWidth="1"/>
    <col min="11782" max="11782" width="11.85546875" style="67" customWidth="1"/>
    <col min="11783" max="11801" width="13.28515625" style="67" customWidth="1"/>
    <col min="11802" max="11802" width="11.42578125" style="67" customWidth="1"/>
    <col min="11803" max="11803" width="10.28515625" style="67" customWidth="1"/>
    <col min="11804" max="11804" width="11.28515625" style="67" customWidth="1"/>
    <col min="11805" max="11805" width="9.140625" style="67"/>
    <col min="11806" max="11806" width="25.28515625" style="67" bestFit="1" customWidth="1"/>
    <col min="11807" max="11807" width="14.5703125" style="67" bestFit="1" customWidth="1"/>
    <col min="11808" max="11808" width="16.7109375" style="67" bestFit="1" customWidth="1"/>
    <col min="11809" max="11809" width="19.5703125" style="67" bestFit="1" customWidth="1"/>
    <col min="11810" max="11810" width="56.85546875" style="67" customWidth="1"/>
    <col min="11811" max="12033" width="9.140625" style="67"/>
    <col min="12034" max="12034" width="53.140625" style="67" customWidth="1"/>
    <col min="12035" max="12035" width="12.28515625" style="67" customWidth="1"/>
    <col min="12036" max="12036" width="13.5703125" style="67" customWidth="1"/>
    <col min="12037" max="12037" width="10.7109375" style="67" customWidth="1"/>
    <col min="12038" max="12038" width="11.85546875" style="67" customWidth="1"/>
    <col min="12039" max="12057" width="13.28515625" style="67" customWidth="1"/>
    <col min="12058" max="12058" width="11.42578125" style="67" customWidth="1"/>
    <col min="12059" max="12059" width="10.28515625" style="67" customWidth="1"/>
    <col min="12060" max="12060" width="11.28515625" style="67" customWidth="1"/>
    <col min="12061" max="12061" width="9.140625" style="67"/>
    <col min="12062" max="12062" width="25.28515625" style="67" bestFit="1" customWidth="1"/>
    <col min="12063" max="12063" width="14.5703125" style="67" bestFit="1" customWidth="1"/>
    <col min="12064" max="12064" width="16.7109375" style="67" bestFit="1" customWidth="1"/>
    <col min="12065" max="12065" width="19.5703125" style="67" bestFit="1" customWidth="1"/>
    <col min="12066" max="12066" width="56.85546875" style="67" customWidth="1"/>
    <col min="12067" max="12289" width="9.140625" style="67"/>
    <col min="12290" max="12290" width="53.140625" style="67" customWidth="1"/>
    <col min="12291" max="12291" width="12.28515625" style="67" customWidth="1"/>
    <col min="12292" max="12292" width="13.5703125" style="67" customWidth="1"/>
    <col min="12293" max="12293" width="10.7109375" style="67" customWidth="1"/>
    <col min="12294" max="12294" width="11.85546875" style="67" customWidth="1"/>
    <col min="12295" max="12313" width="13.28515625" style="67" customWidth="1"/>
    <col min="12314" max="12314" width="11.42578125" style="67" customWidth="1"/>
    <col min="12315" max="12315" width="10.28515625" style="67" customWidth="1"/>
    <col min="12316" max="12316" width="11.28515625" style="67" customWidth="1"/>
    <col min="12317" max="12317" width="9.140625" style="67"/>
    <col min="12318" max="12318" width="25.28515625" style="67" bestFit="1" customWidth="1"/>
    <col min="12319" max="12319" width="14.5703125" style="67" bestFit="1" customWidth="1"/>
    <col min="12320" max="12320" width="16.7109375" style="67" bestFit="1" customWidth="1"/>
    <col min="12321" max="12321" width="19.5703125" style="67" bestFit="1" customWidth="1"/>
    <col min="12322" max="12322" width="56.85546875" style="67" customWidth="1"/>
    <col min="12323" max="12545" width="9.140625" style="67"/>
    <col min="12546" max="12546" width="53.140625" style="67" customWidth="1"/>
    <col min="12547" max="12547" width="12.28515625" style="67" customWidth="1"/>
    <col min="12548" max="12548" width="13.5703125" style="67" customWidth="1"/>
    <col min="12549" max="12549" width="10.7109375" style="67" customWidth="1"/>
    <col min="12550" max="12550" width="11.85546875" style="67" customWidth="1"/>
    <col min="12551" max="12569" width="13.28515625" style="67" customWidth="1"/>
    <col min="12570" max="12570" width="11.42578125" style="67" customWidth="1"/>
    <col min="12571" max="12571" width="10.28515625" style="67" customWidth="1"/>
    <col min="12572" max="12572" width="11.28515625" style="67" customWidth="1"/>
    <col min="12573" max="12573" width="9.140625" style="67"/>
    <col min="12574" max="12574" width="25.28515625" style="67" bestFit="1" customWidth="1"/>
    <col min="12575" max="12575" width="14.5703125" style="67" bestFit="1" customWidth="1"/>
    <col min="12576" max="12576" width="16.7109375" style="67" bestFit="1" customWidth="1"/>
    <col min="12577" max="12577" width="19.5703125" style="67" bestFit="1" customWidth="1"/>
    <col min="12578" max="12578" width="56.85546875" style="67" customWidth="1"/>
    <col min="12579" max="12801" width="9.140625" style="67"/>
    <col min="12802" max="12802" width="53.140625" style="67" customWidth="1"/>
    <col min="12803" max="12803" width="12.28515625" style="67" customWidth="1"/>
    <col min="12804" max="12804" width="13.5703125" style="67" customWidth="1"/>
    <col min="12805" max="12805" width="10.7109375" style="67" customWidth="1"/>
    <col min="12806" max="12806" width="11.85546875" style="67" customWidth="1"/>
    <col min="12807" max="12825" width="13.28515625" style="67" customWidth="1"/>
    <col min="12826" max="12826" width="11.42578125" style="67" customWidth="1"/>
    <col min="12827" max="12827" width="10.28515625" style="67" customWidth="1"/>
    <col min="12828" max="12828" width="11.28515625" style="67" customWidth="1"/>
    <col min="12829" max="12829" width="9.140625" style="67"/>
    <col min="12830" max="12830" width="25.28515625" style="67" bestFit="1" customWidth="1"/>
    <col min="12831" max="12831" width="14.5703125" style="67" bestFit="1" customWidth="1"/>
    <col min="12832" max="12832" width="16.7109375" style="67" bestFit="1" customWidth="1"/>
    <col min="12833" max="12833" width="19.5703125" style="67" bestFit="1" customWidth="1"/>
    <col min="12834" max="12834" width="56.85546875" style="67" customWidth="1"/>
    <col min="12835" max="13057" width="9.140625" style="67"/>
    <col min="13058" max="13058" width="53.140625" style="67" customWidth="1"/>
    <col min="13059" max="13059" width="12.28515625" style="67" customWidth="1"/>
    <col min="13060" max="13060" width="13.5703125" style="67" customWidth="1"/>
    <col min="13061" max="13061" width="10.7109375" style="67" customWidth="1"/>
    <col min="13062" max="13062" width="11.85546875" style="67" customWidth="1"/>
    <col min="13063" max="13081" width="13.28515625" style="67" customWidth="1"/>
    <col min="13082" max="13082" width="11.42578125" style="67" customWidth="1"/>
    <col min="13083" max="13083" width="10.28515625" style="67" customWidth="1"/>
    <col min="13084" max="13084" width="11.28515625" style="67" customWidth="1"/>
    <col min="13085" max="13085" width="9.140625" style="67"/>
    <col min="13086" max="13086" width="25.28515625" style="67" bestFit="1" customWidth="1"/>
    <col min="13087" max="13087" width="14.5703125" style="67" bestFit="1" customWidth="1"/>
    <col min="13088" max="13088" width="16.7109375" style="67" bestFit="1" customWidth="1"/>
    <col min="13089" max="13089" width="19.5703125" style="67" bestFit="1" customWidth="1"/>
    <col min="13090" max="13090" width="56.85546875" style="67" customWidth="1"/>
    <col min="13091" max="13313" width="9.140625" style="67"/>
    <col min="13314" max="13314" width="53.140625" style="67" customWidth="1"/>
    <col min="13315" max="13315" width="12.28515625" style="67" customWidth="1"/>
    <col min="13316" max="13316" width="13.5703125" style="67" customWidth="1"/>
    <col min="13317" max="13317" width="10.7109375" style="67" customWidth="1"/>
    <col min="13318" max="13318" width="11.85546875" style="67" customWidth="1"/>
    <col min="13319" max="13337" width="13.28515625" style="67" customWidth="1"/>
    <col min="13338" max="13338" width="11.42578125" style="67" customWidth="1"/>
    <col min="13339" max="13339" width="10.28515625" style="67" customWidth="1"/>
    <col min="13340" max="13340" width="11.28515625" style="67" customWidth="1"/>
    <col min="13341" max="13341" width="9.140625" style="67"/>
    <col min="13342" max="13342" width="25.28515625" style="67" bestFit="1" customWidth="1"/>
    <col min="13343" max="13343" width="14.5703125" style="67" bestFit="1" customWidth="1"/>
    <col min="13344" max="13344" width="16.7109375" style="67" bestFit="1" customWidth="1"/>
    <col min="13345" max="13345" width="19.5703125" style="67" bestFit="1" customWidth="1"/>
    <col min="13346" max="13346" width="56.85546875" style="67" customWidth="1"/>
    <col min="13347" max="13569" width="9.140625" style="67"/>
    <col min="13570" max="13570" width="53.140625" style="67" customWidth="1"/>
    <col min="13571" max="13571" width="12.28515625" style="67" customWidth="1"/>
    <col min="13572" max="13572" width="13.5703125" style="67" customWidth="1"/>
    <col min="13573" max="13573" width="10.7109375" style="67" customWidth="1"/>
    <col min="13574" max="13574" width="11.85546875" style="67" customWidth="1"/>
    <col min="13575" max="13593" width="13.28515625" style="67" customWidth="1"/>
    <col min="13594" max="13594" width="11.42578125" style="67" customWidth="1"/>
    <col min="13595" max="13595" width="10.28515625" style="67" customWidth="1"/>
    <col min="13596" max="13596" width="11.28515625" style="67" customWidth="1"/>
    <col min="13597" max="13597" width="9.140625" style="67"/>
    <col min="13598" max="13598" width="25.28515625" style="67" bestFit="1" customWidth="1"/>
    <col min="13599" max="13599" width="14.5703125" style="67" bestFit="1" customWidth="1"/>
    <col min="13600" max="13600" width="16.7109375" style="67" bestFit="1" customWidth="1"/>
    <col min="13601" max="13601" width="19.5703125" style="67" bestFit="1" customWidth="1"/>
    <col min="13602" max="13602" width="56.85546875" style="67" customWidth="1"/>
    <col min="13603" max="13825" width="9.140625" style="67"/>
    <col min="13826" max="13826" width="53.140625" style="67" customWidth="1"/>
    <col min="13827" max="13827" width="12.28515625" style="67" customWidth="1"/>
    <col min="13828" max="13828" width="13.5703125" style="67" customWidth="1"/>
    <col min="13829" max="13829" width="10.7109375" style="67" customWidth="1"/>
    <col min="13830" max="13830" width="11.85546875" style="67" customWidth="1"/>
    <col min="13831" max="13849" width="13.28515625" style="67" customWidth="1"/>
    <col min="13850" max="13850" width="11.42578125" style="67" customWidth="1"/>
    <col min="13851" max="13851" width="10.28515625" style="67" customWidth="1"/>
    <col min="13852" max="13852" width="11.28515625" style="67" customWidth="1"/>
    <col min="13853" max="13853" width="9.140625" style="67"/>
    <col min="13854" max="13854" width="25.28515625" style="67" bestFit="1" customWidth="1"/>
    <col min="13855" max="13855" width="14.5703125" style="67" bestFit="1" customWidth="1"/>
    <col min="13856" max="13856" width="16.7109375" style="67" bestFit="1" customWidth="1"/>
    <col min="13857" max="13857" width="19.5703125" style="67" bestFit="1" customWidth="1"/>
    <col min="13858" max="13858" width="56.85546875" style="67" customWidth="1"/>
    <col min="13859" max="14081" width="9.140625" style="67"/>
    <col min="14082" max="14082" width="53.140625" style="67" customWidth="1"/>
    <col min="14083" max="14083" width="12.28515625" style="67" customWidth="1"/>
    <col min="14084" max="14084" width="13.5703125" style="67" customWidth="1"/>
    <col min="14085" max="14085" width="10.7109375" style="67" customWidth="1"/>
    <col min="14086" max="14086" width="11.85546875" style="67" customWidth="1"/>
    <col min="14087" max="14105" width="13.28515625" style="67" customWidth="1"/>
    <col min="14106" max="14106" width="11.42578125" style="67" customWidth="1"/>
    <col min="14107" max="14107" width="10.28515625" style="67" customWidth="1"/>
    <col min="14108" max="14108" width="11.28515625" style="67" customWidth="1"/>
    <col min="14109" max="14109" width="9.140625" style="67"/>
    <col min="14110" max="14110" width="25.28515625" style="67" bestFit="1" customWidth="1"/>
    <col min="14111" max="14111" width="14.5703125" style="67" bestFit="1" customWidth="1"/>
    <col min="14112" max="14112" width="16.7109375" style="67" bestFit="1" customWidth="1"/>
    <col min="14113" max="14113" width="19.5703125" style="67" bestFit="1" customWidth="1"/>
    <col min="14114" max="14114" width="56.85546875" style="67" customWidth="1"/>
    <col min="14115" max="14337" width="9.140625" style="67"/>
    <col min="14338" max="14338" width="53.140625" style="67" customWidth="1"/>
    <col min="14339" max="14339" width="12.28515625" style="67" customWidth="1"/>
    <col min="14340" max="14340" width="13.5703125" style="67" customWidth="1"/>
    <col min="14341" max="14341" width="10.7109375" style="67" customWidth="1"/>
    <col min="14342" max="14342" width="11.85546875" style="67" customWidth="1"/>
    <col min="14343" max="14361" width="13.28515625" style="67" customWidth="1"/>
    <col min="14362" max="14362" width="11.42578125" style="67" customWidth="1"/>
    <col min="14363" max="14363" width="10.28515625" style="67" customWidth="1"/>
    <col min="14364" max="14364" width="11.28515625" style="67" customWidth="1"/>
    <col min="14365" max="14365" width="9.140625" style="67"/>
    <col min="14366" max="14366" width="25.28515625" style="67" bestFit="1" customWidth="1"/>
    <col min="14367" max="14367" width="14.5703125" style="67" bestFit="1" customWidth="1"/>
    <col min="14368" max="14368" width="16.7109375" style="67" bestFit="1" customWidth="1"/>
    <col min="14369" max="14369" width="19.5703125" style="67" bestFit="1" customWidth="1"/>
    <col min="14370" max="14370" width="56.85546875" style="67" customWidth="1"/>
    <col min="14371" max="14593" width="9.140625" style="67"/>
    <col min="14594" max="14594" width="53.140625" style="67" customWidth="1"/>
    <col min="14595" max="14595" width="12.28515625" style="67" customWidth="1"/>
    <col min="14596" max="14596" width="13.5703125" style="67" customWidth="1"/>
    <col min="14597" max="14597" width="10.7109375" style="67" customWidth="1"/>
    <col min="14598" max="14598" width="11.85546875" style="67" customWidth="1"/>
    <col min="14599" max="14617" width="13.28515625" style="67" customWidth="1"/>
    <col min="14618" max="14618" width="11.42578125" style="67" customWidth="1"/>
    <col min="14619" max="14619" width="10.28515625" style="67" customWidth="1"/>
    <col min="14620" max="14620" width="11.28515625" style="67" customWidth="1"/>
    <col min="14621" max="14621" width="9.140625" style="67"/>
    <col min="14622" max="14622" width="25.28515625" style="67" bestFit="1" customWidth="1"/>
    <col min="14623" max="14623" width="14.5703125" style="67" bestFit="1" customWidth="1"/>
    <col min="14624" max="14624" width="16.7109375" style="67" bestFit="1" customWidth="1"/>
    <col min="14625" max="14625" width="19.5703125" style="67" bestFit="1" customWidth="1"/>
    <col min="14626" max="14626" width="56.85546875" style="67" customWidth="1"/>
    <col min="14627" max="14849" width="9.140625" style="67"/>
    <col min="14850" max="14850" width="53.140625" style="67" customWidth="1"/>
    <col min="14851" max="14851" width="12.28515625" style="67" customWidth="1"/>
    <col min="14852" max="14852" width="13.5703125" style="67" customWidth="1"/>
    <col min="14853" max="14853" width="10.7109375" style="67" customWidth="1"/>
    <col min="14854" max="14854" width="11.85546875" style="67" customWidth="1"/>
    <col min="14855" max="14873" width="13.28515625" style="67" customWidth="1"/>
    <col min="14874" max="14874" width="11.42578125" style="67" customWidth="1"/>
    <col min="14875" max="14875" width="10.28515625" style="67" customWidth="1"/>
    <col min="14876" max="14876" width="11.28515625" style="67" customWidth="1"/>
    <col min="14877" max="14877" width="9.140625" style="67"/>
    <col min="14878" max="14878" width="25.28515625" style="67" bestFit="1" customWidth="1"/>
    <col min="14879" max="14879" width="14.5703125" style="67" bestFit="1" customWidth="1"/>
    <col min="14880" max="14880" width="16.7109375" style="67" bestFit="1" customWidth="1"/>
    <col min="14881" max="14881" width="19.5703125" style="67" bestFit="1" customWidth="1"/>
    <col min="14882" max="14882" width="56.85546875" style="67" customWidth="1"/>
    <col min="14883" max="15105" width="9.140625" style="67"/>
    <col min="15106" max="15106" width="53.140625" style="67" customWidth="1"/>
    <col min="15107" max="15107" width="12.28515625" style="67" customWidth="1"/>
    <col min="15108" max="15108" width="13.5703125" style="67" customWidth="1"/>
    <col min="15109" max="15109" width="10.7109375" style="67" customWidth="1"/>
    <col min="15110" max="15110" width="11.85546875" style="67" customWidth="1"/>
    <col min="15111" max="15129" width="13.28515625" style="67" customWidth="1"/>
    <col min="15130" max="15130" width="11.42578125" style="67" customWidth="1"/>
    <col min="15131" max="15131" width="10.28515625" style="67" customWidth="1"/>
    <col min="15132" max="15132" width="11.28515625" style="67" customWidth="1"/>
    <col min="15133" max="15133" width="9.140625" style="67"/>
    <col min="15134" max="15134" width="25.28515625" style="67" bestFit="1" customWidth="1"/>
    <col min="15135" max="15135" width="14.5703125" style="67" bestFit="1" customWidth="1"/>
    <col min="15136" max="15136" width="16.7109375" style="67" bestFit="1" customWidth="1"/>
    <col min="15137" max="15137" width="19.5703125" style="67" bestFit="1" customWidth="1"/>
    <col min="15138" max="15138" width="56.85546875" style="67" customWidth="1"/>
    <col min="15139" max="15361" width="9.140625" style="67"/>
    <col min="15362" max="15362" width="53.140625" style="67" customWidth="1"/>
    <col min="15363" max="15363" width="12.28515625" style="67" customWidth="1"/>
    <col min="15364" max="15364" width="13.5703125" style="67" customWidth="1"/>
    <col min="15365" max="15365" width="10.7109375" style="67" customWidth="1"/>
    <col min="15366" max="15366" width="11.85546875" style="67" customWidth="1"/>
    <col min="15367" max="15385" width="13.28515625" style="67" customWidth="1"/>
    <col min="15386" max="15386" width="11.42578125" style="67" customWidth="1"/>
    <col min="15387" max="15387" width="10.28515625" style="67" customWidth="1"/>
    <col min="15388" max="15388" width="11.28515625" style="67" customWidth="1"/>
    <col min="15389" max="15389" width="9.140625" style="67"/>
    <col min="15390" max="15390" width="25.28515625" style="67" bestFit="1" customWidth="1"/>
    <col min="15391" max="15391" width="14.5703125" style="67" bestFit="1" customWidth="1"/>
    <col min="15392" max="15392" width="16.7109375" style="67" bestFit="1" customWidth="1"/>
    <col min="15393" max="15393" width="19.5703125" style="67" bestFit="1" customWidth="1"/>
    <col min="15394" max="15394" width="56.85546875" style="67" customWidth="1"/>
    <col min="15395" max="15617" width="9.140625" style="67"/>
    <col min="15618" max="15618" width="53.140625" style="67" customWidth="1"/>
    <col min="15619" max="15619" width="12.28515625" style="67" customWidth="1"/>
    <col min="15620" max="15620" width="13.5703125" style="67" customWidth="1"/>
    <col min="15621" max="15621" width="10.7109375" style="67" customWidth="1"/>
    <col min="15622" max="15622" width="11.85546875" style="67" customWidth="1"/>
    <col min="15623" max="15641" width="13.28515625" style="67" customWidth="1"/>
    <col min="15642" max="15642" width="11.42578125" style="67" customWidth="1"/>
    <col min="15643" max="15643" width="10.28515625" style="67" customWidth="1"/>
    <col min="15644" max="15644" width="11.28515625" style="67" customWidth="1"/>
    <col min="15645" max="15645" width="9.140625" style="67"/>
    <col min="15646" max="15646" width="25.28515625" style="67" bestFit="1" customWidth="1"/>
    <col min="15647" max="15647" width="14.5703125" style="67" bestFit="1" customWidth="1"/>
    <col min="15648" max="15648" width="16.7109375" style="67" bestFit="1" customWidth="1"/>
    <col min="15649" max="15649" width="19.5703125" style="67" bestFit="1" customWidth="1"/>
    <col min="15650" max="15650" width="56.85546875" style="67" customWidth="1"/>
    <col min="15651" max="15873" width="9.140625" style="67"/>
    <col min="15874" max="15874" width="53.140625" style="67" customWidth="1"/>
    <col min="15875" max="15875" width="12.28515625" style="67" customWidth="1"/>
    <col min="15876" max="15876" width="13.5703125" style="67" customWidth="1"/>
    <col min="15877" max="15877" width="10.7109375" style="67" customWidth="1"/>
    <col min="15878" max="15878" width="11.85546875" style="67" customWidth="1"/>
    <col min="15879" max="15897" width="13.28515625" style="67" customWidth="1"/>
    <col min="15898" max="15898" width="11.42578125" style="67" customWidth="1"/>
    <col min="15899" max="15899" width="10.28515625" style="67" customWidth="1"/>
    <col min="15900" max="15900" width="11.28515625" style="67" customWidth="1"/>
    <col min="15901" max="15901" width="9.140625" style="67"/>
    <col min="15902" max="15902" width="25.28515625" style="67" bestFit="1" customWidth="1"/>
    <col min="15903" max="15903" width="14.5703125" style="67" bestFit="1" customWidth="1"/>
    <col min="15904" max="15904" width="16.7109375" style="67" bestFit="1" customWidth="1"/>
    <col min="15905" max="15905" width="19.5703125" style="67" bestFit="1" customWidth="1"/>
    <col min="15906" max="15906" width="56.85546875" style="67" customWidth="1"/>
    <col min="15907" max="16129" width="9.140625" style="67"/>
    <col min="16130" max="16130" width="53.140625" style="67" customWidth="1"/>
    <col min="16131" max="16131" width="12.28515625" style="67" customWidth="1"/>
    <col min="16132" max="16132" width="13.5703125" style="67" customWidth="1"/>
    <col min="16133" max="16133" width="10.7109375" style="67" customWidth="1"/>
    <col min="16134" max="16134" width="11.85546875" style="67" customWidth="1"/>
    <col min="16135" max="16153" width="13.28515625" style="67" customWidth="1"/>
    <col min="16154" max="16154" width="11.42578125" style="67" customWidth="1"/>
    <col min="16155" max="16155" width="10.28515625" style="67" customWidth="1"/>
    <col min="16156" max="16156" width="11.28515625" style="67" customWidth="1"/>
    <col min="16157" max="16157" width="9.140625" style="67"/>
    <col min="16158" max="16158" width="25.28515625" style="67" bestFit="1" customWidth="1"/>
    <col min="16159" max="16159" width="14.5703125" style="67" bestFit="1" customWidth="1"/>
    <col min="16160" max="16160" width="16.7109375" style="67" bestFit="1" customWidth="1"/>
    <col min="16161" max="16161" width="19.5703125" style="67" bestFit="1" customWidth="1"/>
    <col min="16162" max="16162" width="56.85546875" style="67" customWidth="1"/>
    <col min="16163" max="16384" width="9.140625" style="67"/>
  </cols>
  <sheetData>
    <row r="1" spans="1:24">
      <c r="B1" s="68"/>
      <c r="C1" s="69"/>
    </row>
    <row r="2" spans="1:24" ht="21" customHeight="1">
      <c r="A2" s="71" t="s">
        <v>1230</v>
      </c>
      <c r="B2" s="72"/>
      <c r="C2" s="69"/>
      <c r="X2" s="643"/>
    </row>
    <row r="3" spans="1:24" s="320" customFormat="1" ht="14.25" outlineLevel="1">
      <c r="A3" s="387" t="str">
        <f>Index!$C$39</f>
        <v>Súvaha k 31. decembru 2016</v>
      </c>
      <c r="B3" s="348"/>
      <c r="C3" s="388"/>
      <c r="D3" s="348"/>
      <c r="E3" s="348"/>
      <c r="F3" s="348"/>
      <c r="G3" s="389"/>
      <c r="X3" s="644"/>
    </row>
    <row r="4" spans="1:24" s="319" customFormat="1" ht="24.95" customHeight="1" outlineLevel="1">
      <c r="A4" s="731" t="str">
        <f>Index!$C$40</f>
        <v>Označenie</v>
      </c>
      <c r="B4" s="734" t="str">
        <f>Index!$C$41</f>
        <v>STRANA AKTÍV</v>
      </c>
      <c r="C4" s="734" t="str">
        <f>Index!$C$42</f>
        <v>č.r.</v>
      </c>
      <c r="D4" s="736" t="str">
        <f>Index!$C$43</f>
        <v>Bežné účtovné obdobie</v>
      </c>
      <c r="E4" s="737"/>
      <c r="F4" s="738"/>
      <c r="G4" s="731" t="str">
        <f>Index!$C$44</f>
        <v>Bezprostredne predchádzajúce účtovné obdobie</v>
      </c>
      <c r="X4" s="645"/>
    </row>
    <row r="5" spans="1:24" s="319" customFormat="1" ht="24.95" customHeight="1" outlineLevel="1">
      <c r="A5" s="732"/>
      <c r="B5" s="735"/>
      <c r="C5" s="735"/>
      <c r="D5" s="739"/>
      <c r="E5" s="740"/>
      <c r="F5" s="741"/>
      <c r="G5" s="742"/>
      <c r="X5" s="645"/>
    </row>
    <row r="6" spans="1:24" s="319" customFormat="1" ht="11.25" outlineLevel="1">
      <c r="A6" s="732"/>
      <c r="B6" s="735"/>
      <c r="C6" s="735"/>
      <c r="D6" s="1" t="str">
        <f>Index!$C$45</f>
        <v>Brutto</v>
      </c>
      <c r="E6" s="2" t="str">
        <f>Index!$C$46</f>
        <v>Korekcia</v>
      </c>
      <c r="F6" s="3" t="str">
        <f>Index!$C$47</f>
        <v>Netto</v>
      </c>
      <c r="G6" s="2" t="str">
        <f>Index!$C$47</f>
        <v>Netto</v>
      </c>
      <c r="H6" s="750" t="s">
        <v>1231</v>
      </c>
      <c r="X6" s="645"/>
    </row>
    <row r="7" spans="1:24" s="319" customFormat="1" ht="11.25" outlineLevel="1">
      <c r="A7" s="4" t="s">
        <v>491</v>
      </c>
      <c r="B7" s="3" t="s">
        <v>492</v>
      </c>
      <c r="C7" s="4" t="s">
        <v>493</v>
      </c>
      <c r="D7" s="1" t="str">
        <f>Index!$C$48</f>
        <v>1 (časť 1)</v>
      </c>
      <c r="E7" s="1" t="str">
        <f>Index!$C$49</f>
        <v>1 (časť 2)</v>
      </c>
      <c r="F7" s="4">
        <v>2</v>
      </c>
      <c r="G7" s="4">
        <v>3</v>
      </c>
      <c r="H7" s="750"/>
      <c r="X7" s="645"/>
    </row>
    <row r="8" spans="1:24" s="319" customFormat="1" ht="12.75" customHeight="1" outlineLevel="1">
      <c r="A8" s="5"/>
      <c r="B8" s="3"/>
      <c r="C8" s="4"/>
      <c r="D8" s="6" t="str">
        <f>Index!$C$50</f>
        <v>(v eurách)</v>
      </c>
      <c r="E8" s="6" t="str">
        <f>Index!$C$50</f>
        <v>(v eurách)</v>
      </c>
      <c r="F8" s="6" t="str">
        <f>Index!$C$50</f>
        <v>(v eurách)</v>
      </c>
      <c r="G8" s="7" t="str">
        <f>Index!$C$50</f>
        <v>(v eurách)</v>
      </c>
      <c r="H8" s="750"/>
      <c r="I8" s="321"/>
      <c r="J8" s="321"/>
      <c r="K8" s="321"/>
      <c r="L8" s="321"/>
      <c r="M8" s="321"/>
      <c r="N8" s="321"/>
      <c r="O8" s="321"/>
      <c r="P8" s="321"/>
      <c r="Q8" s="321"/>
      <c r="R8" s="321"/>
      <c r="S8" s="321"/>
      <c r="T8" s="321"/>
      <c r="U8" s="321"/>
      <c r="X8" s="645"/>
    </row>
    <row r="9" spans="1:24" s="319" customFormat="1" outlineLevel="1">
      <c r="A9" s="322"/>
      <c r="B9" s="322" t="s">
        <v>1919</v>
      </c>
      <c r="C9" s="323" t="s">
        <v>651</v>
      </c>
      <c r="D9" s="324">
        <f>suvaha!E8</f>
        <v>66186947.530000001</v>
      </c>
      <c r="E9" s="324">
        <f>suvaha!F8</f>
        <v>1982439</v>
      </c>
      <c r="F9" s="324">
        <f>suvaha!G8</f>
        <v>64204508.530000001</v>
      </c>
      <c r="G9" s="324">
        <f>suvaha!H8</f>
        <v>47257737</v>
      </c>
      <c r="I9" s="321"/>
      <c r="J9" s="321"/>
      <c r="K9" s="321"/>
      <c r="L9" s="321"/>
      <c r="M9" s="321"/>
      <c r="N9" s="321"/>
      <c r="O9" s="321"/>
      <c r="P9" s="321"/>
      <c r="Q9" s="321"/>
      <c r="R9" s="321"/>
      <c r="S9" s="321"/>
      <c r="T9" s="321"/>
      <c r="U9" s="321"/>
      <c r="X9" s="645"/>
    </row>
    <row r="10" spans="1:24" s="319" customFormat="1" outlineLevel="1">
      <c r="A10" s="322" t="s">
        <v>495</v>
      </c>
      <c r="B10" s="322" t="s">
        <v>1920</v>
      </c>
      <c r="C10" s="323" t="s">
        <v>652</v>
      </c>
      <c r="D10" s="324">
        <f>suvaha!E9</f>
        <v>41748236.530000001</v>
      </c>
      <c r="E10" s="324">
        <f>suvaha!F9</f>
        <v>14401</v>
      </c>
      <c r="F10" s="324">
        <f>suvaha!G9</f>
        <v>41733835.530000001</v>
      </c>
      <c r="G10" s="324">
        <f>suvaha!H9</f>
        <v>19034501</v>
      </c>
      <c r="H10" s="508"/>
      <c r="X10" s="645"/>
    </row>
    <row r="11" spans="1:24" s="319" customFormat="1" outlineLevel="1">
      <c r="A11" s="325" t="s">
        <v>496</v>
      </c>
      <c r="B11" s="325" t="s">
        <v>1921</v>
      </c>
      <c r="C11" s="323" t="s">
        <v>653</v>
      </c>
      <c r="D11" s="324">
        <f>suvaha!E10</f>
        <v>965238</v>
      </c>
      <c r="E11" s="324">
        <f>suvaha!F10</f>
        <v>10297</v>
      </c>
      <c r="F11" s="324">
        <f>suvaha!G10</f>
        <v>954941</v>
      </c>
      <c r="G11" s="324">
        <f>suvaha!H10</f>
        <v>275588</v>
      </c>
      <c r="H11" s="510">
        <f>G11-F11</f>
        <v>-679353</v>
      </c>
      <c r="X11" s="645"/>
    </row>
    <row r="12" spans="1:24" s="319" customFormat="1" outlineLevel="1">
      <c r="A12" s="326" t="s">
        <v>586</v>
      </c>
      <c r="B12" s="326" t="s">
        <v>498</v>
      </c>
      <c r="C12" s="327" t="s">
        <v>655</v>
      </c>
      <c r="D12" s="9">
        <f>suvaha!E11</f>
        <v>0</v>
      </c>
      <c r="E12" s="9">
        <f>suvaha!F11</f>
        <v>0</v>
      </c>
      <c r="F12" s="329">
        <f>suvaha!G11</f>
        <v>0</v>
      </c>
      <c r="G12" s="9">
        <f>suvaha!H11</f>
        <v>0</v>
      </c>
      <c r="H12" s="508"/>
      <c r="X12" s="645"/>
    </row>
    <row r="13" spans="1:24" s="319" customFormat="1" outlineLevel="1">
      <c r="A13" s="326" t="s">
        <v>497</v>
      </c>
      <c r="B13" s="326" t="s">
        <v>500</v>
      </c>
      <c r="C13" s="327" t="s">
        <v>656</v>
      </c>
      <c r="D13" s="9">
        <f>suvaha!E12</f>
        <v>24946</v>
      </c>
      <c r="E13" s="9">
        <f>suvaha!F12</f>
        <v>9533</v>
      </c>
      <c r="F13" s="329">
        <f>suvaha!G12</f>
        <v>15413</v>
      </c>
      <c r="G13" s="9">
        <f>suvaha!H12</f>
        <v>18799</v>
      </c>
      <c r="H13" s="508"/>
      <c r="I13" s="330"/>
      <c r="X13" s="645"/>
    </row>
    <row r="14" spans="1:24" s="319" customFormat="1" outlineLevel="1">
      <c r="A14" s="326" t="s">
        <v>499</v>
      </c>
      <c r="B14" s="326" t="s">
        <v>502</v>
      </c>
      <c r="C14" s="327" t="s">
        <v>658</v>
      </c>
      <c r="D14" s="9">
        <f>suvaha!E13</f>
        <v>2500</v>
      </c>
      <c r="E14" s="9">
        <f>suvaha!F13</f>
        <v>764</v>
      </c>
      <c r="F14" s="329">
        <f>suvaha!G13</f>
        <v>1736</v>
      </c>
      <c r="G14" s="9">
        <f>suvaha!H13</f>
        <v>0</v>
      </c>
      <c r="H14" s="508"/>
      <c r="I14" s="330"/>
      <c r="X14" s="645"/>
    </row>
    <row r="15" spans="1:24" s="319" customFormat="1" outlineLevel="1">
      <c r="A15" s="326" t="s">
        <v>501</v>
      </c>
      <c r="B15" s="326" t="s">
        <v>504</v>
      </c>
      <c r="C15" s="327" t="s">
        <v>660</v>
      </c>
      <c r="D15" s="9">
        <f>suvaha!E14</f>
        <v>0</v>
      </c>
      <c r="E15" s="9">
        <f>suvaha!F14</f>
        <v>0</v>
      </c>
      <c r="F15" s="329">
        <f>suvaha!G14</f>
        <v>0</v>
      </c>
      <c r="G15" s="9">
        <f>suvaha!H14</f>
        <v>0</v>
      </c>
      <c r="H15" s="508"/>
      <c r="X15" s="645"/>
    </row>
    <row r="16" spans="1:24" s="319" customFormat="1" outlineLevel="1">
      <c r="A16" s="326" t="s">
        <v>503</v>
      </c>
      <c r="B16" s="326" t="s">
        <v>506</v>
      </c>
      <c r="C16" s="327" t="s">
        <v>661</v>
      </c>
      <c r="D16" s="9">
        <f>suvaha!E15</f>
        <v>0</v>
      </c>
      <c r="E16" s="9">
        <f>suvaha!F15</f>
        <v>0</v>
      </c>
      <c r="F16" s="329">
        <f>suvaha!G15</f>
        <v>0</v>
      </c>
      <c r="G16" s="9">
        <f>suvaha!H15</f>
        <v>0</v>
      </c>
      <c r="H16" s="508"/>
      <c r="X16" s="645"/>
    </row>
    <row r="17" spans="1:24" s="319" customFormat="1" outlineLevel="1">
      <c r="A17" s="326" t="s">
        <v>505</v>
      </c>
      <c r="B17" s="326" t="s">
        <v>508</v>
      </c>
      <c r="C17" s="327" t="s">
        <v>662</v>
      </c>
      <c r="D17" s="9">
        <f>suvaha!E16</f>
        <v>937792</v>
      </c>
      <c r="E17" s="9">
        <f>suvaha!F16</f>
        <v>0</v>
      </c>
      <c r="F17" s="329">
        <f>suvaha!G16</f>
        <v>937792</v>
      </c>
      <c r="G17" s="9">
        <f>suvaha!H16</f>
        <v>256789</v>
      </c>
      <c r="H17" s="508"/>
      <c r="X17" s="645"/>
    </row>
    <row r="18" spans="1:24" s="319" customFormat="1" outlineLevel="1">
      <c r="A18" s="326" t="s">
        <v>507</v>
      </c>
      <c r="B18" s="326" t="s">
        <v>2399</v>
      </c>
      <c r="C18" s="327" t="s">
        <v>1548</v>
      </c>
      <c r="D18" s="9">
        <f>suvaha!E17</f>
        <v>0</v>
      </c>
      <c r="E18" s="9">
        <f>suvaha!F17</f>
        <v>0</v>
      </c>
      <c r="F18" s="329">
        <f>suvaha!G17</f>
        <v>0</v>
      </c>
      <c r="G18" s="9">
        <f>suvaha!H17</f>
        <v>0</v>
      </c>
      <c r="H18" s="508"/>
      <c r="X18" s="645"/>
    </row>
    <row r="19" spans="1:24" s="319" customFormat="1" outlineLevel="1">
      <c r="A19" s="325" t="s">
        <v>509</v>
      </c>
      <c r="B19" s="325" t="s">
        <v>1922</v>
      </c>
      <c r="C19" s="323" t="s">
        <v>1549</v>
      </c>
      <c r="D19" s="324">
        <f>suvaha!E18</f>
        <v>106757</v>
      </c>
      <c r="E19" s="324">
        <f>suvaha!F18</f>
        <v>4104</v>
      </c>
      <c r="F19" s="324">
        <f>suvaha!G18</f>
        <v>102653</v>
      </c>
      <c r="G19" s="324">
        <f>suvaha!H18</f>
        <v>3153</v>
      </c>
      <c r="H19" s="510">
        <f>G19-F19</f>
        <v>-99500</v>
      </c>
      <c r="X19" s="645"/>
    </row>
    <row r="20" spans="1:24" s="319" customFormat="1" outlineLevel="1">
      <c r="A20" s="326" t="s">
        <v>510</v>
      </c>
      <c r="B20" s="326" t="s">
        <v>511</v>
      </c>
      <c r="C20" s="327" t="s">
        <v>1550</v>
      </c>
      <c r="D20" s="9">
        <f>suvaha!E19</f>
        <v>0</v>
      </c>
      <c r="E20" s="9">
        <f>suvaha!F19</f>
        <v>0</v>
      </c>
      <c r="F20" s="329">
        <f>suvaha!G19</f>
        <v>0</v>
      </c>
      <c r="G20" s="9">
        <f>suvaha!H19</f>
        <v>0</v>
      </c>
      <c r="H20" s="508"/>
      <c r="X20" s="645"/>
    </row>
    <row r="21" spans="1:24" s="319" customFormat="1" outlineLevel="1">
      <c r="A21" s="326" t="s">
        <v>512</v>
      </c>
      <c r="B21" s="326" t="s">
        <v>513</v>
      </c>
      <c r="C21" s="327" t="s">
        <v>1551</v>
      </c>
      <c r="D21" s="9">
        <f>suvaha!E20</f>
        <v>0</v>
      </c>
      <c r="E21" s="9">
        <f>suvaha!F20</f>
        <v>0</v>
      </c>
      <c r="F21" s="329">
        <f>suvaha!G20</f>
        <v>0</v>
      </c>
      <c r="G21" s="9">
        <f>suvaha!H20</f>
        <v>0</v>
      </c>
      <c r="H21" s="508"/>
      <c r="X21" s="645"/>
    </row>
    <row r="22" spans="1:24" s="319" customFormat="1" outlineLevel="1">
      <c r="A22" s="331" t="s">
        <v>514</v>
      </c>
      <c r="B22" s="331" t="s">
        <v>515</v>
      </c>
      <c r="C22" s="327" t="s">
        <v>1552</v>
      </c>
      <c r="D22" s="9">
        <f>suvaha!E21</f>
        <v>106757</v>
      </c>
      <c r="E22" s="9">
        <f>suvaha!F21</f>
        <v>4104</v>
      </c>
      <c r="F22" s="332">
        <f>suvaha!G21</f>
        <v>102653</v>
      </c>
      <c r="G22" s="9">
        <f>suvaha!H21</f>
        <v>3153</v>
      </c>
      <c r="H22" s="508"/>
      <c r="X22" s="645"/>
    </row>
    <row r="23" spans="1:24" s="319" customFormat="1" outlineLevel="1">
      <c r="A23" s="326" t="s">
        <v>516</v>
      </c>
      <c r="B23" s="326" t="s">
        <v>517</v>
      </c>
      <c r="C23" s="327" t="s">
        <v>1555</v>
      </c>
      <c r="D23" s="9">
        <f>suvaha!E22</f>
        <v>0</v>
      </c>
      <c r="E23" s="9">
        <f>suvaha!F22</f>
        <v>0</v>
      </c>
      <c r="F23" s="329">
        <f>suvaha!G22</f>
        <v>0</v>
      </c>
      <c r="G23" s="9">
        <f>suvaha!H22</f>
        <v>0</v>
      </c>
      <c r="H23" s="508"/>
      <c r="X23" s="645"/>
    </row>
    <row r="24" spans="1:24" s="319" customFormat="1" outlineLevel="1">
      <c r="A24" s="326" t="s">
        <v>518</v>
      </c>
      <c r="B24" s="326" t="s">
        <v>519</v>
      </c>
      <c r="C24" s="327" t="s">
        <v>1556</v>
      </c>
      <c r="D24" s="9">
        <f>suvaha!E23</f>
        <v>0</v>
      </c>
      <c r="E24" s="9">
        <f>suvaha!F23</f>
        <v>0</v>
      </c>
      <c r="F24" s="329">
        <f>suvaha!G23</f>
        <v>0</v>
      </c>
      <c r="G24" s="9">
        <f>suvaha!H23</f>
        <v>0</v>
      </c>
      <c r="H24" s="508"/>
      <c r="X24" s="645"/>
    </row>
    <row r="25" spans="1:24" s="319" customFormat="1" outlineLevel="1">
      <c r="A25" s="326" t="s">
        <v>520</v>
      </c>
      <c r="B25" s="326" t="s">
        <v>521</v>
      </c>
      <c r="C25" s="327" t="s">
        <v>1557</v>
      </c>
      <c r="D25" s="9">
        <f>suvaha!E24</f>
        <v>0</v>
      </c>
      <c r="E25" s="9">
        <f>suvaha!F24</f>
        <v>0</v>
      </c>
      <c r="F25" s="329">
        <f>suvaha!G24</f>
        <v>0</v>
      </c>
      <c r="G25" s="9">
        <f>suvaha!H24</f>
        <v>0</v>
      </c>
      <c r="H25" s="508"/>
      <c r="X25" s="645"/>
    </row>
    <row r="26" spans="1:24" s="319" customFormat="1" outlineLevel="1">
      <c r="A26" s="326" t="s">
        <v>522</v>
      </c>
      <c r="B26" s="326" t="s">
        <v>523</v>
      </c>
      <c r="C26" s="327" t="s">
        <v>1558</v>
      </c>
      <c r="D26" s="9">
        <f>suvaha!E25</f>
        <v>0</v>
      </c>
      <c r="E26" s="9">
        <f>suvaha!F25</f>
        <v>0</v>
      </c>
      <c r="F26" s="329">
        <f>suvaha!G25</f>
        <v>0</v>
      </c>
      <c r="G26" s="9">
        <f>suvaha!H25</f>
        <v>0</v>
      </c>
      <c r="H26" s="508"/>
      <c r="X26" s="645"/>
    </row>
    <row r="27" spans="1:24" s="319" customFormat="1" outlineLevel="1">
      <c r="A27" s="326" t="s">
        <v>524</v>
      </c>
      <c r="B27" s="326" t="s">
        <v>2410</v>
      </c>
      <c r="C27" s="327" t="s">
        <v>1560</v>
      </c>
      <c r="D27" s="9">
        <f>suvaha!E26</f>
        <v>0</v>
      </c>
      <c r="E27" s="9">
        <f>suvaha!F26</f>
        <v>0</v>
      </c>
      <c r="F27" s="329">
        <f>suvaha!G26</f>
        <v>0</v>
      </c>
      <c r="G27" s="9">
        <f>suvaha!H26</f>
        <v>0</v>
      </c>
      <c r="H27" s="508"/>
      <c r="X27" s="645"/>
    </row>
    <row r="28" spans="1:24" s="319" customFormat="1" outlineLevel="1">
      <c r="A28" s="326" t="s">
        <v>525</v>
      </c>
      <c r="B28" s="326" t="s">
        <v>526</v>
      </c>
      <c r="C28" s="327" t="s">
        <v>1562</v>
      </c>
      <c r="D28" s="9">
        <f>suvaha!E27</f>
        <v>0</v>
      </c>
      <c r="E28" s="9">
        <f>suvaha!F27</f>
        <v>0</v>
      </c>
      <c r="F28" s="329">
        <f>suvaha!G27</f>
        <v>0</v>
      </c>
      <c r="G28" s="9">
        <f>suvaha!H27</f>
        <v>0</v>
      </c>
      <c r="H28" s="508"/>
      <c r="X28" s="645"/>
    </row>
    <row r="29" spans="1:24" s="319" customFormat="1" outlineLevel="1">
      <c r="A29" s="322" t="s">
        <v>527</v>
      </c>
      <c r="B29" s="322" t="s">
        <v>1923</v>
      </c>
      <c r="C29" s="323" t="s">
        <v>1563</v>
      </c>
      <c r="D29" s="324">
        <f>suvaha!E28</f>
        <v>40676241.530000001</v>
      </c>
      <c r="E29" s="324">
        <f>suvaha!F28</f>
        <v>0</v>
      </c>
      <c r="F29" s="324">
        <f>suvaha!G28</f>
        <v>40676241.530000001</v>
      </c>
      <c r="G29" s="324">
        <f>suvaha!H28</f>
        <v>18755760</v>
      </c>
      <c r="H29" s="508"/>
      <c r="X29" s="645"/>
    </row>
    <row r="30" spans="1:24" s="319" customFormat="1" outlineLevel="1">
      <c r="A30" s="326" t="s">
        <v>528</v>
      </c>
      <c r="B30" s="326" t="s">
        <v>2415</v>
      </c>
      <c r="C30" s="327" t="s">
        <v>1564</v>
      </c>
      <c r="D30" s="9">
        <f>suvaha!E29</f>
        <v>40676241.530000001</v>
      </c>
      <c r="E30" s="9">
        <f>suvaha!F29</f>
        <v>0</v>
      </c>
      <c r="F30" s="329">
        <f>suvaha!G29</f>
        <v>40676241.530000001</v>
      </c>
      <c r="G30" s="9">
        <f>suvaha!H29</f>
        <v>18755760</v>
      </c>
      <c r="H30" s="510">
        <f>G30-F30</f>
        <v>-21920481.530000001</v>
      </c>
      <c r="X30" s="645"/>
    </row>
    <row r="31" spans="1:24" s="319" customFormat="1" outlineLevel="1">
      <c r="A31" s="326" t="s">
        <v>529</v>
      </c>
      <c r="B31" s="326" t="s">
        <v>2418</v>
      </c>
      <c r="C31" s="327" t="s">
        <v>1566</v>
      </c>
      <c r="D31" s="9">
        <f>suvaha!E30</f>
        <v>0</v>
      </c>
      <c r="E31" s="9">
        <f>suvaha!F30</f>
        <v>0</v>
      </c>
      <c r="F31" s="329">
        <f>suvaha!G30</f>
        <v>0</v>
      </c>
      <c r="G31" s="9">
        <f>suvaha!H30</f>
        <v>0</v>
      </c>
      <c r="H31" s="510">
        <f t="shared" ref="H31:H40" si="0">G31-F31</f>
        <v>0</v>
      </c>
      <c r="X31" s="645"/>
    </row>
    <row r="32" spans="1:24" s="319" customFormat="1" outlineLevel="1">
      <c r="A32" s="326" t="s">
        <v>530</v>
      </c>
      <c r="B32" s="326" t="s">
        <v>1767</v>
      </c>
      <c r="C32" s="327" t="s">
        <v>1567</v>
      </c>
      <c r="D32" s="9">
        <f>suvaha!E31</f>
        <v>0</v>
      </c>
      <c r="E32" s="9">
        <f>suvaha!F31</f>
        <v>0</v>
      </c>
      <c r="F32" s="329">
        <f>suvaha!G31</f>
        <v>0</v>
      </c>
      <c r="G32" s="9">
        <f>suvaha!H31</f>
        <v>0</v>
      </c>
      <c r="H32" s="510">
        <f t="shared" si="0"/>
        <v>0</v>
      </c>
      <c r="X32" s="645"/>
    </row>
    <row r="33" spans="1:24" s="319" customFormat="1" outlineLevel="1">
      <c r="A33" s="326" t="s">
        <v>531</v>
      </c>
      <c r="B33" s="326" t="s">
        <v>1768</v>
      </c>
      <c r="C33" s="327" t="s">
        <v>1568</v>
      </c>
      <c r="D33" s="9">
        <f>suvaha!E32</f>
        <v>0</v>
      </c>
      <c r="E33" s="9">
        <f>suvaha!F32</f>
        <v>0</v>
      </c>
      <c r="F33" s="329">
        <f>suvaha!G32</f>
        <v>0</v>
      </c>
      <c r="G33" s="9">
        <f>suvaha!H32</f>
        <v>0</v>
      </c>
      <c r="H33" s="510">
        <f t="shared" si="0"/>
        <v>0</v>
      </c>
      <c r="X33" s="645"/>
    </row>
    <row r="34" spans="1:24" s="319" customFormat="1" outlineLevel="1">
      <c r="A34" s="331" t="s">
        <v>532</v>
      </c>
      <c r="B34" s="331" t="s">
        <v>1769</v>
      </c>
      <c r="C34" s="327" t="s">
        <v>1569</v>
      </c>
      <c r="D34" s="9">
        <f>suvaha!E33</f>
        <v>0</v>
      </c>
      <c r="E34" s="9">
        <f>suvaha!F33</f>
        <v>0</v>
      </c>
      <c r="F34" s="329">
        <f>suvaha!G33</f>
        <v>0</v>
      </c>
      <c r="G34" s="9">
        <f>suvaha!H33</f>
        <v>0</v>
      </c>
      <c r="H34" s="510">
        <f t="shared" si="0"/>
        <v>0</v>
      </c>
      <c r="X34" s="645"/>
    </row>
    <row r="35" spans="1:24" s="319" customFormat="1" outlineLevel="1">
      <c r="A35" s="331" t="s">
        <v>533</v>
      </c>
      <c r="B35" s="331" t="s">
        <v>2426</v>
      </c>
      <c r="C35" s="327" t="s">
        <v>1570</v>
      </c>
      <c r="D35" s="9">
        <f>suvaha!E34</f>
        <v>0</v>
      </c>
      <c r="E35" s="9">
        <f>suvaha!F34</f>
        <v>0</v>
      </c>
      <c r="F35" s="329">
        <f>suvaha!G34</f>
        <v>0</v>
      </c>
      <c r="G35" s="9">
        <f>suvaha!H34</f>
        <v>0</v>
      </c>
      <c r="H35" s="510">
        <f t="shared" si="0"/>
        <v>0</v>
      </c>
      <c r="X35" s="645"/>
    </row>
    <row r="36" spans="1:24" s="319" customFormat="1" outlineLevel="1">
      <c r="A36" s="331" t="s">
        <v>534</v>
      </c>
      <c r="B36" s="331" t="s">
        <v>1770</v>
      </c>
      <c r="C36" s="327" t="s">
        <v>1571</v>
      </c>
      <c r="D36" s="9">
        <f>suvaha!E35</f>
        <v>0</v>
      </c>
      <c r="E36" s="9">
        <f>suvaha!F35</f>
        <v>0</v>
      </c>
      <c r="F36" s="329">
        <f>suvaha!G35</f>
        <v>0</v>
      </c>
      <c r="G36" s="9">
        <f>suvaha!H35</f>
        <v>0</v>
      </c>
      <c r="H36" s="510">
        <f t="shared" si="0"/>
        <v>0</v>
      </c>
      <c r="X36" s="645"/>
    </row>
    <row r="37" spans="1:24" s="319" customFormat="1" outlineLevel="1">
      <c r="A37" s="331" t="s">
        <v>535</v>
      </c>
      <c r="B37" s="331" t="s">
        <v>1771</v>
      </c>
      <c r="C37" s="327" t="s">
        <v>1575</v>
      </c>
      <c r="D37" s="9">
        <f>suvaha!E36</f>
        <v>0</v>
      </c>
      <c r="E37" s="9">
        <f>suvaha!F36</f>
        <v>0</v>
      </c>
      <c r="F37" s="329">
        <f>suvaha!G36</f>
        <v>0</v>
      </c>
      <c r="G37" s="9">
        <f>suvaha!H36</f>
        <v>0</v>
      </c>
      <c r="H37" s="510">
        <f t="shared" si="0"/>
        <v>0</v>
      </c>
      <c r="X37" s="645"/>
    </row>
    <row r="38" spans="1:24" s="319" customFormat="1" outlineLevel="1">
      <c r="A38" s="331" t="s">
        <v>1772</v>
      </c>
      <c r="B38" s="331" t="s">
        <v>1576</v>
      </c>
      <c r="C38" s="327" t="s">
        <v>1577</v>
      </c>
      <c r="D38" s="9">
        <f>suvaha!E37</f>
        <v>0</v>
      </c>
      <c r="E38" s="9">
        <f>suvaha!F37</f>
        <v>0</v>
      </c>
      <c r="F38" s="329">
        <f>suvaha!G37</f>
        <v>0</v>
      </c>
      <c r="G38" s="9">
        <f>suvaha!H37</f>
        <v>0</v>
      </c>
      <c r="H38" s="510">
        <f t="shared" si="0"/>
        <v>0</v>
      </c>
      <c r="X38" s="645"/>
    </row>
    <row r="39" spans="1:24" s="319" customFormat="1" outlineLevel="1">
      <c r="A39" s="331" t="s">
        <v>1773</v>
      </c>
      <c r="B39" s="331" t="s">
        <v>2432</v>
      </c>
      <c r="C39" s="327" t="s">
        <v>1579</v>
      </c>
      <c r="D39" s="9">
        <f>suvaha!E38</f>
        <v>0</v>
      </c>
      <c r="E39" s="9">
        <f>suvaha!F38</f>
        <v>0</v>
      </c>
      <c r="F39" s="329">
        <f>suvaha!G38</f>
        <v>0</v>
      </c>
      <c r="G39" s="9">
        <f>suvaha!H38</f>
        <v>0</v>
      </c>
      <c r="H39" s="510">
        <f t="shared" si="0"/>
        <v>0</v>
      </c>
      <c r="X39" s="645"/>
    </row>
    <row r="40" spans="1:24" s="319" customFormat="1" outlineLevel="1">
      <c r="A40" s="331" t="s">
        <v>1774</v>
      </c>
      <c r="B40" s="331" t="s">
        <v>2435</v>
      </c>
      <c r="C40" s="327" t="s">
        <v>1581</v>
      </c>
      <c r="D40" s="9">
        <f>suvaha!E39</f>
        <v>0</v>
      </c>
      <c r="E40" s="9">
        <f>suvaha!F39</f>
        <v>0</v>
      </c>
      <c r="F40" s="329">
        <f>suvaha!G39</f>
        <v>0</v>
      </c>
      <c r="G40" s="9">
        <f>suvaha!H39</f>
        <v>0</v>
      </c>
      <c r="H40" s="510">
        <f t="shared" si="0"/>
        <v>0</v>
      </c>
      <c r="X40" s="645"/>
    </row>
    <row r="41" spans="1:24" s="319" customFormat="1" outlineLevel="1">
      <c r="A41" s="322" t="s">
        <v>536</v>
      </c>
      <c r="B41" s="322" t="s">
        <v>2438</v>
      </c>
      <c r="C41" s="323" t="s">
        <v>1582</v>
      </c>
      <c r="D41" s="324">
        <f>suvaha!E40</f>
        <v>24392646</v>
      </c>
      <c r="E41" s="324">
        <f>suvaha!F40</f>
        <v>1968038</v>
      </c>
      <c r="F41" s="324">
        <f>suvaha!G40</f>
        <v>22424608</v>
      </c>
      <c r="G41" s="324">
        <f>suvaha!H40</f>
        <v>27985905</v>
      </c>
      <c r="H41" s="508"/>
      <c r="X41" s="645"/>
    </row>
    <row r="42" spans="1:24" s="319" customFormat="1" outlineLevel="1">
      <c r="A42" s="322" t="s">
        <v>537</v>
      </c>
      <c r="B42" s="322" t="s">
        <v>1924</v>
      </c>
      <c r="C42" s="323" t="s">
        <v>1583</v>
      </c>
      <c r="D42" s="324">
        <f>suvaha!E41</f>
        <v>1408083</v>
      </c>
      <c r="E42" s="324">
        <f>suvaha!F41</f>
        <v>0</v>
      </c>
      <c r="F42" s="324">
        <f>suvaha!G41</f>
        <v>1408083</v>
      </c>
      <c r="G42" s="324">
        <f>suvaha!H41</f>
        <v>2154400</v>
      </c>
      <c r="H42" s="510">
        <f>G42-F42</f>
        <v>746317</v>
      </c>
      <c r="X42" s="645"/>
    </row>
    <row r="43" spans="1:24" s="319" customFormat="1" outlineLevel="1">
      <c r="A43" s="326" t="s">
        <v>538</v>
      </c>
      <c r="B43" s="326" t="s">
        <v>539</v>
      </c>
      <c r="C43" s="327" t="s">
        <v>1584</v>
      </c>
      <c r="D43" s="9">
        <f>suvaha!E42</f>
        <v>1018841</v>
      </c>
      <c r="E43" s="9">
        <f>suvaha!F42</f>
        <v>0</v>
      </c>
      <c r="F43" s="329">
        <f>suvaha!G42</f>
        <v>1018841</v>
      </c>
      <c r="G43" s="9">
        <f>suvaha!H42</f>
        <v>1296579</v>
      </c>
      <c r="H43" s="508"/>
      <c r="X43" s="645"/>
    </row>
    <row r="44" spans="1:24" s="319" customFormat="1" outlineLevel="1">
      <c r="A44" s="326" t="s">
        <v>540</v>
      </c>
      <c r="B44" s="326" t="s">
        <v>541</v>
      </c>
      <c r="C44" s="327" t="s">
        <v>1585</v>
      </c>
      <c r="D44" s="9">
        <f>suvaha!E43</f>
        <v>0</v>
      </c>
      <c r="E44" s="9">
        <f>suvaha!F43</f>
        <v>0</v>
      </c>
      <c r="F44" s="329">
        <f>suvaha!G43</f>
        <v>0</v>
      </c>
      <c r="G44" s="9">
        <f>suvaha!H43</f>
        <v>0</v>
      </c>
      <c r="H44" s="508"/>
      <c r="X44" s="645"/>
    </row>
    <row r="45" spans="1:24" s="319" customFormat="1" outlineLevel="1">
      <c r="A45" s="326" t="s">
        <v>542</v>
      </c>
      <c r="B45" s="326" t="s">
        <v>543</v>
      </c>
      <c r="C45" s="327" t="s">
        <v>1586</v>
      </c>
      <c r="D45" s="9">
        <f>suvaha!E44</f>
        <v>0</v>
      </c>
      <c r="E45" s="9">
        <f>suvaha!F44</f>
        <v>0</v>
      </c>
      <c r="F45" s="329">
        <f>suvaha!G44</f>
        <v>0</v>
      </c>
      <c r="G45" s="9">
        <f>suvaha!H44</f>
        <v>0</v>
      </c>
      <c r="H45" s="508"/>
      <c r="X45" s="645"/>
    </row>
    <row r="46" spans="1:24" s="319" customFormat="1" outlineLevel="1">
      <c r="A46" s="326" t="s">
        <v>544</v>
      </c>
      <c r="B46" s="326" t="s">
        <v>545</v>
      </c>
      <c r="C46" s="327" t="s">
        <v>1587</v>
      </c>
      <c r="D46" s="9">
        <f>suvaha!E45</f>
        <v>0</v>
      </c>
      <c r="E46" s="9">
        <f>suvaha!F45</f>
        <v>0</v>
      </c>
      <c r="F46" s="329">
        <f>suvaha!G45</f>
        <v>0</v>
      </c>
      <c r="G46" s="9">
        <f>suvaha!H45</f>
        <v>0</v>
      </c>
      <c r="H46" s="508"/>
      <c r="X46" s="645"/>
    </row>
    <row r="47" spans="1:24" s="319" customFormat="1" outlineLevel="1">
      <c r="A47" s="326" t="s">
        <v>546</v>
      </c>
      <c r="B47" s="326" t="s">
        <v>547</v>
      </c>
      <c r="C47" s="327" t="s">
        <v>1588</v>
      </c>
      <c r="D47" s="9">
        <f>suvaha!E46</f>
        <v>176880</v>
      </c>
      <c r="E47" s="9">
        <f>suvaha!F46</f>
        <v>0</v>
      </c>
      <c r="F47" s="329">
        <f>suvaha!G46</f>
        <v>176880</v>
      </c>
      <c r="G47" s="9">
        <f>suvaha!H46</f>
        <v>101177</v>
      </c>
      <c r="H47" s="508"/>
      <c r="X47" s="645"/>
    </row>
    <row r="48" spans="1:24" s="319" customFormat="1" outlineLevel="1">
      <c r="A48" s="326" t="s">
        <v>548</v>
      </c>
      <c r="B48" s="326" t="s">
        <v>2447</v>
      </c>
      <c r="C48" s="327" t="s">
        <v>1589</v>
      </c>
      <c r="D48" s="9">
        <f>suvaha!E47</f>
        <v>212362</v>
      </c>
      <c r="E48" s="9">
        <f>suvaha!F47</f>
        <v>0</v>
      </c>
      <c r="F48" s="329">
        <f>suvaha!G47</f>
        <v>212362</v>
      </c>
      <c r="G48" s="9">
        <f>suvaha!H47</f>
        <v>756644</v>
      </c>
      <c r="H48" s="508"/>
      <c r="X48" s="645"/>
    </row>
    <row r="49" spans="1:24" s="319" customFormat="1" outlineLevel="1">
      <c r="A49" s="322" t="s">
        <v>549</v>
      </c>
      <c r="B49" s="322" t="s">
        <v>1925</v>
      </c>
      <c r="C49" s="323" t="s">
        <v>1590</v>
      </c>
      <c r="D49" s="324">
        <f>suvaha!E48</f>
        <v>35660</v>
      </c>
      <c r="E49" s="324">
        <f>suvaha!F48</f>
        <v>0</v>
      </c>
      <c r="F49" s="324">
        <f>suvaha!G48</f>
        <v>35660</v>
      </c>
      <c r="G49" s="324">
        <f>suvaha!H48</f>
        <v>35589</v>
      </c>
      <c r="H49" s="508"/>
      <c r="X49" s="645"/>
    </row>
    <row r="50" spans="1:24" s="319" customFormat="1" outlineLevel="1">
      <c r="A50" s="392" t="s">
        <v>550</v>
      </c>
      <c r="B50" s="392" t="s">
        <v>1592</v>
      </c>
      <c r="C50" s="338" t="s">
        <v>1593</v>
      </c>
      <c r="D50" s="376">
        <f>suvaha!E49</f>
        <v>35660</v>
      </c>
      <c r="E50" s="376">
        <f>suvaha!F49</f>
        <v>0</v>
      </c>
      <c r="F50" s="376">
        <f>suvaha!G49</f>
        <v>35660</v>
      </c>
      <c r="G50" s="376">
        <f>suvaha!H49</f>
        <v>0</v>
      </c>
      <c r="H50" s="510">
        <f>G50-F50</f>
        <v>-35660</v>
      </c>
      <c r="X50" s="645"/>
    </row>
    <row r="51" spans="1:24" s="319" customFormat="1" outlineLevel="1">
      <c r="A51" s="326" t="s">
        <v>1775</v>
      </c>
      <c r="B51" s="326" t="s">
        <v>2452</v>
      </c>
      <c r="C51" s="327" t="s">
        <v>1597</v>
      </c>
      <c r="D51" s="9">
        <f>suvaha!E50</f>
        <v>0</v>
      </c>
      <c r="E51" s="9">
        <f>suvaha!F50</f>
        <v>0</v>
      </c>
      <c r="F51" s="329">
        <f>suvaha!G50</f>
        <v>0</v>
      </c>
      <c r="G51" s="9">
        <f>suvaha!H50</f>
        <v>0</v>
      </c>
      <c r="H51" s="508"/>
      <c r="X51" s="645"/>
    </row>
    <row r="52" spans="1:24" s="319" customFormat="1" outlineLevel="1">
      <c r="A52" s="326" t="s">
        <v>1776</v>
      </c>
      <c r="B52" s="326" t="s">
        <v>2455</v>
      </c>
      <c r="C52" s="327" t="s">
        <v>1599</v>
      </c>
      <c r="D52" s="9">
        <f>suvaha!E51</f>
        <v>0</v>
      </c>
      <c r="E52" s="9">
        <f>suvaha!F51</f>
        <v>0</v>
      </c>
      <c r="F52" s="329">
        <f>suvaha!G51</f>
        <v>0</v>
      </c>
      <c r="G52" s="9">
        <f>suvaha!H51</f>
        <v>0</v>
      </c>
      <c r="H52" s="508"/>
      <c r="X52" s="645"/>
    </row>
    <row r="53" spans="1:24" s="319" customFormat="1" outlineLevel="1">
      <c r="A53" s="326" t="s">
        <v>1777</v>
      </c>
      <c r="B53" s="326" t="s">
        <v>2458</v>
      </c>
      <c r="C53" s="327" t="s">
        <v>1601</v>
      </c>
      <c r="D53" s="9">
        <f>suvaha!E52</f>
        <v>35660</v>
      </c>
      <c r="E53" s="9">
        <f>suvaha!F52</f>
        <v>0</v>
      </c>
      <c r="F53" s="329">
        <f>suvaha!G52</f>
        <v>35660</v>
      </c>
      <c r="G53" s="9">
        <f>suvaha!H52</f>
        <v>0</v>
      </c>
      <c r="H53" s="508"/>
      <c r="X53" s="645"/>
    </row>
    <row r="54" spans="1:24" s="319" customFormat="1" outlineLevel="1">
      <c r="A54" s="326" t="s">
        <v>551</v>
      </c>
      <c r="B54" s="326" t="s">
        <v>552</v>
      </c>
      <c r="C54" s="327" t="s">
        <v>1602</v>
      </c>
      <c r="D54" s="9">
        <f>suvaha!E53</f>
        <v>0</v>
      </c>
      <c r="E54" s="9">
        <f>suvaha!F53</f>
        <v>0</v>
      </c>
      <c r="F54" s="329">
        <f>suvaha!G53</f>
        <v>0</v>
      </c>
      <c r="G54" s="9">
        <f>suvaha!H53</f>
        <v>0</v>
      </c>
      <c r="H54" s="510">
        <f t="shared" ref="H54:H60" si="1">G54-F54</f>
        <v>0</v>
      </c>
      <c r="X54" s="645"/>
    </row>
    <row r="55" spans="1:24" s="319" customFormat="1" outlineLevel="1">
      <c r="A55" s="326" t="s">
        <v>553</v>
      </c>
      <c r="B55" s="326" t="s">
        <v>2461</v>
      </c>
      <c r="C55" s="327" t="s">
        <v>1603</v>
      </c>
      <c r="D55" s="9">
        <f>suvaha!E54</f>
        <v>0</v>
      </c>
      <c r="E55" s="9">
        <f>suvaha!F54</f>
        <v>0</v>
      </c>
      <c r="F55" s="329">
        <f>suvaha!G54</f>
        <v>0</v>
      </c>
      <c r="G55" s="9">
        <f>suvaha!H54</f>
        <v>0</v>
      </c>
      <c r="H55" s="510">
        <f t="shared" si="1"/>
        <v>0</v>
      </c>
      <c r="X55" s="645"/>
    </row>
    <row r="56" spans="1:24" s="319" customFormat="1" outlineLevel="1">
      <c r="A56" s="326" t="s">
        <v>554</v>
      </c>
      <c r="B56" s="326" t="s">
        <v>2464</v>
      </c>
      <c r="C56" s="327" t="s">
        <v>1604</v>
      </c>
      <c r="D56" s="9">
        <f>suvaha!E55</f>
        <v>0</v>
      </c>
      <c r="E56" s="9">
        <f>suvaha!F55</f>
        <v>0</v>
      </c>
      <c r="F56" s="329">
        <f>suvaha!G55</f>
        <v>0</v>
      </c>
      <c r="G56" s="9">
        <f>suvaha!H55</f>
        <v>0</v>
      </c>
      <c r="H56" s="510">
        <f t="shared" si="1"/>
        <v>0</v>
      </c>
      <c r="X56" s="645"/>
    </row>
    <row r="57" spans="1:24" s="319" customFormat="1" ht="25.5" customHeight="1" outlineLevel="1">
      <c r="A57" s="331" t="s">
        <v>555</v>
      </c>
      <c r="B57" s="331" t="s">
        <v>2467</v>
      </c>
      <c r="C57" s="327" t="s">
        <v>1605</v>
      </c>
      <c r="D57" s="9">
        <f>suvaha!E56</f>
        <v>0</v>
      </c>
      <c r="E57" s="9">
        <f>suvaha!F56</f>
        <v>0</v>
      </c>
      <c r="F57" s="329">
        <f>suvaha!G56</f>
        <v>0</v>
      </c>
      <c r="G57" s="9">
        <f>suvaha!H56</f>
        <v>0</v>
      </c>
      <c r="H57" s="510">
        <f t="shared" si="1"/>
        <v>0</v>
      </c>
      <c r="X57" s="645"/>
    </row>
    <row r="58" spans="1:24" s="319" customFormat="1" outlineLevel="1">
      <c r="A58" s="331" t="s">
        <v>556</v>
      </c>
      <c r="B58" s="331" t="s">
        <v>1606</v>
      </c>
      <c r="C58" s="327" t="s">
        <v>1607</v>
      </c>
      <c r="D58" s="9">
        <f>suvaha!E57</f>
        <v>0</v>
      </c>
      <c r="E58" s="9">
        <f>suvaha!F57</f>
        <v>0</v>
      </c>
      <c r="F58" s="329">
        <f>suvaha!G57</f>
        <v>0</v>
      </c>
      <c r="G58" s="9">
        <f>suvaha!H57</f>
        <v>0</v>
      </c>
      <c r="H58" s="508">
        <f t="shared" si="1"/>
        <v>0</v>
      </c>
      <c r="X58" s="645"/>
    </row>
    <row r="59" spans="1:24" s="319" customFormat="1" outlineLevel="1">
      <c r="A59" s="331" t="s">
        <v>557</v>
      </c>
      <c r="B59" s="331" t="s">
        <v>2471</v>
      </c>
      <c r="C59" s="327" t="s">
        <v>1608</v>
      </c>
      <c r="D59" s="9">
        <f>suvaha!E58</f>
        <v>0</v>
      </c>
      <c r="E59" s="9">
        <f>suvaha!F58</f>
        <v>0</v>
      </c>
      <c r="F59" s="329">
        <f>suvaha!G58</f>
        <v>0</v>
      </c>
      <c r="G59" s="9">
        <f>suvaha!H58</f>
        <v>35589</v>
      </c>
      <c r="H59" s="510">
        <f t="shared" si="1"/>
        <v>35589</v>
      </c>
      <c r="X59" s="645"/>
    </row>
    <row r="60" spans="1:24" s="319" customFormat="1" outlineLevel="1">
      <c r="A60" s="331" t="s">
        <v>606</v>
      </c>
      <c r="B60" s="331" t="s">
        <v>558</v>
      </c>
      <c r="C60" s="327" t="s">
        <v>1609</v>
      </c>
      <c r="D60" s="9">
        <f>suvaha!E59</f>
        <v>0</v>
      </c>
      <c r="E60" s="9">
        <f>suvaha!F59</f>
        <v>0</v>
      </c>
      <c r="F60" s="329">
        <f>suvaha!G59</f>
        <v>0</v>
      </c>
      <c r="G60" s="9">
        <f>suvaha!H59</f>
        <v>0</v>
      </c>
      <c r="H60" s="510">
        <f t="shared" si="1"/>
        <v>0</v>
      </c>
      <c r="X60" s="645"/>
    </row>
    <row r="61" spans="1:24" s="319" customFormat="1" outlineLevel="1">
      <c r="A61" s="322" t="s">
        <v>559</v>
      </c>
      <c r="B61" s="322" t="s">
        <v>1926</v>
      </c>
      <c r="C61" s="323" t="s">
        <v>1610</v>
      </c>
      <c r="D61" s="324">
        <f>suvaha!E60</f>
        <v>18162428</v>
      </c>
      <c r="E61" s="324">
        <f>suvaha!F60</f>
        <v>1968038</v>
      </c>
      <c r="F61" s="324">
        <f>suvaha!G60</f>
        <v>16194390</v>
      </c>
      <c r="G61" s="324">
        <f>suvaha!H60</f>
        <v>25782632</v>
      </c>
      <c r="H61" s="508"/>
      <c r="X61" s="645"/>
    </row>
    <row r="62" spans="1:24" s="319" customFormat="1" outlineLevel="1">
      <c r="A62" s="392" t="s">
        <v>560</v>
      </c>
      <c r="B62" s="392" t="s">
        <v>1611</v>
      </c>
      <c r="C62" s="338" t="s">
        <v>1612</v>
      </c>
      <c r="D62" s="376">
        <f>suvaha!E61</f>
        <v>4015326</v>
      </c>
      <c r="E62" s="376">
        <f>suvaha!F61</f>
        <v>1968038</v>
      </c>
      <c r="F62" s="376">
        <f>suvaha!G61</f>
        <v>2047288</v>
      </c>
      <c r="G62" s="376">
        <f>suvaha!H61</f>
        <v>3380546</v>
      </c>
      <c r="H62" s="510">
        <f>G62-F62</f>
        <v>1333258</v>
      </c>
      <c r="X62" s="645"/>
    </row>
    <row r="63" spans="1:24" s="319" customFormat="1" outlineLevel="1">
      <c r="A63" s="326" t="s">
        <v>1778</v>
      </c>
      <c r="B63" s="326" t="s">
        <v>2452</v>
      </c>
      <c r="C63" s="327" t="s">
        <v>1613</v>
      </c>
      <c r="D63" s="9">
        <f>suvaha!E62</f>
        <v>183723</v>
      </c>
      <c r="E63" s="9">
        <f>suvaha!F62</f>
        <v>0</v>
      </c>
      <c r="F63" s="329">
        <f>suvaha!G62</f>
        <v>183723</v>
      </c>
      <c r="G63" s="9">
        <f>suvaha!H62</f>
        <v>703155</v>
      </c>
      <c r="H63" s="508"/>
      <c r="X63" s="645"/>
    </row>
    <row r="64" spans="1:24" s="319" customFormat="1" outlineLevel="1">
      <c r="A64" s="326" t="s">
        <v>1779</v>
      </c>
      <c r="B64" s="326" t="s">
        <v>2455</v>
      </c>
      <c r="C64" s="327" t="s">
        <v>1614</v>
      </c>
      <c r="D64" s="9">
        <f>suvaha!E63</f>
        <v>0</v>
      </c>
      <c r="E64" s="9">
        <f>suvaha!F63</f>
        <v>0</v>
      </c>
      <c r="F64" s="329">
        <f>suvaha!G63</f>
        <v>0</v>
      </c>
      <c r="G64" s="9">
        <f>suvaha!H63</f>
        <v>0</v>
      </c>
      <c r="H64" s="508"/>
      <c r="X64" s="645"/>
    </row>
    <row r="65" spans="1:24" s="319" customFormat="1" ht="25.5" customHeight="1" outlineLevel="1">
      <c r="A65" s="326" t="s">
        <v>1780</v>
      </c>
      <c r="B65" s="326" t="s">
        <v>2458</v>
      </c>
      <c r="C65" s="327" t="s">
        <v>1617</v>
      </c>
      <c r="D65" s="9">
        <f>suvaha!E64</f>
        <v>3831603</v>
      </c>
      <c r="E65" s="9">
        <f>suvaha!F64</f>
        <v>1968038</v>
      </c>
      <c r="F65" s="329">
        <f>suvaha!G64</f>
        <v>1863565</v>
      </c>
      <c r="G65" s="9">
        <f>suvaha!H64</f>
        <v>2677391</v>
      </c>
      <c r="H65" s="508"/>
      <c r="X65" s="645"/>
    </row>
    <row r="66" spans="1:24" s="319" customFormat="1" outlineLevel="1">
      <c r="A66" s="326" t="s">
        <v>561</v>
      </c>
      <c r="B66" s="326" t="s">
        <v>552</v>
      </c>
      <c r="C66" s="327" t="s">
        <v>1618</v>
      </c>
      <c r="D66" s="9">
        <f>suvaha!E65</f>
        <v>0</v>
      </c>
      <c r="E66" s="9">
        <f>suvaha!F65</f>
        <v>0</v>
      </c>
      <c r="F66" s="329">
        <f>suvaha!G65</f>
        <v>0</v>
      </c>
      <c r="G66" s="9">
        <f>suvaha!H65</f>
        <v>0</v>
      </c>
      <c r="H66" s="510">
        <f t="shared" ref="H66:H73" si="2">G66-F66</f>
        <v>0</v>
      </c>
      <c r="X66" s="645"/>
    </row>
    <row r="67" spans="1:24" s="319" customFormat="1" outlineLevel="1">
      <c r="A67" s="326" t="s">
        <v>562</v>
      </c>
      <c r="B67" s="326" t="s">
        <v>2461</v>
      </c>
      <c r="C67" s="327" t="s">
        <v>1619</v>
      </c>
      <c r="D67" s="9">
        <f>suvaha!E66</f>
        <v>14148371</v>
      </c>
      <c r="E67" s="9">
        <f>suvaha!F66</f>
        <v>0</v>
      </c>
      <c r="F67" s="329">
        <f>suvaha!G66</f>
        <v>14148371</v>
      </c>
      <c r="G67" s="9">
        <f>suvaha!H66</f>
        <v>22399745</v>
      </c>
      <c r="H67" s="510">
        <f t="shared" si="2"/>
        <v>8251374</v>
      </c>
      <c r="X67" s="645"/>
    </row>
    <row r="68" spans="1:24" s="319" customFormat="1" outlineLevel="1">
      <c r="A68" s="326" t="s">
        <v>563</v>
      </c>
      <c r="B68" s="326" t="s">
        <v>2464</v>
      </c>
      <c r="C68" s="327" t="s">
        <v>1620</v>
      </c>
      <c r="D68" s="9">
        <f>suvaha!E67</f>
        <v>0</v>
      </c>
      <c r="E68" s="9">
        <f>suvaha!F67</f>
        <v>0</v>
      </c>
      <c r="F68" s="329">
        <f>suvaha!G67</f>
        <v>0</v>
      </c>
      <c r="G68" s="9">
        <f>suvaha!H67</f>
        <v>0</v>
      </c>
      <c r="H68" s="510">
        <f t="shared" si="2"/>
        <v>0</v>
      </c>
      <c r="X68" s="645"/>
    </row>
    <row r="69" spans="1:24" s="319" customFormat="1" ht="25.5" customHeight="1" outlineLevel="1">
      <c r="A69" s="326" t="s">
        <v>564</v>
      </c>
      <c r="B69" s="326" t="s">
        <v>2479</v>
      </c>
      <c r="C69" s="327" t="s">
        <v>1621</v>
      </c>
      <c r="D69" s="9">
        <f>suvaha!E68</f>
        <v>0</v>
      </c>
      <c r="E69" s="9">
        <f>suvaha!F68</f>
        <v>0</v>
      </c>
      <c r="F69" s="329">
        <f>suvaha!G68</f>
        <v>0</v>
      </c>
      <c r="G69" s="9">
        <f>suvaha!H68</f>
        <v>0</v>
      </c>
      <c r="H69" s="510">
        <f t="shared" si="2"/>
        <v>0</v>
      </c>
      <c r="X69" s="645"/>
    </row>
    <row r="70" spans="1:24" s="319" customFormat="1" outlineLevel="1">
      <c r="A70" s="326" t="s">
        <v>565</v>
      </c>
      <c r="B70" s="326" t="s">
        <v>2481</v>
      </c>
      <c r="C70" s="327" t="s">
        <v>1622</v>
      </c>
      <c r="D70" s="9">
        <f>suvaha!E69</f>
        <v>0</v>
      </c>
      <c r="E70" s="9">
        <f>suvaha!F69</f>
        <v>0</v>
      </c>
      <c r="F70" s="329">
        <f>suvaha!G69</f>
        <v>0</v>
      </c>
      <c r="G70" s="9">
        <f>suvaha!H69</f>
        <v>0</v>
      </c>
      <c r="H70" s="510">
        <f t="shared" si="2"/>
        <v>0</v>
      </c>
      <c r="X70" s="645"/>
    </row>
    <row r="71" spans="1:24" s="319" customFormat="1" outlineLevel="1">
      <c r="A71" s="331" t="s">
        <v>566</v>
      </c>
      <c r="B71" s="331" t="s">
        <v>2483</v>
      </c>
      <c r="C71" s="327" t="s">
        <v>1623</v>
      </c>
      <c r="D71" s="9">
        <f>suvaha!E70</f>
        <v>482</v>
      </c>
      <c r="E71" s="9">
        <f>suvaha!F70</f>
        <v>0</v>
      </c>
      <c r="F71" s="329">
        <f>suvaha!G70</f>
        <v>482</v>
      </c>
      <c r="G71" s="9">
        <f>suvaha!H70</f>
        <v>2448</v>
      </c>
      <c r="H71" s="510">
        <f t="shared" si="2"/>
        <v>1966</v>
      </c>
      <c r="X71" s="645"/>
    </row>
    <row r="72" spans="1:24" s="319" customFormat="1" outlineLevel="1">
      <c r="A72" s="331" t="s">
        <v>567</v>
      </c>
      <c r="B72" s="331" t="s">
        <v>1606</v>
      </c>
      <c r="C72" s="327" t="s">
        <v>1624</v>
      </c>
      <c r="D72" s="9">
        <f>suvaha!E71</f>
        <v>0</v>
      </c>
      <c r="E72" s="9">
        <f>suvaha!F71</f>
        <v>0</v>
      </c>
      <c r="F72" s="329">
        <f>suvaha!G71</f>
        <v>0</v>
      </c>
      <c r="G72" s="9">
        <f>suvaha!H71</f>
        <v>0</v>
      </c>
      <c r="H72" s="508">
        <f t="shared" si="2"/>
        <v>0</v>
      </c>
      <c r="X72" s="645"/>
    </row>
    <row r="73" spans="1:24" s="319" customFormat="1" outlineLevel="1">
      <c r="A73" s="331" t="s">
        <v>625</v>
      </c>
      <c r="B73" s="331" t="s">
        <v>2485</v>
      </c>
      <c r="C73" s="327" t="s">
        <v>1625</v>
      </c>
      <c r="D73" s="9">
        <f>suvaha!E72</f>
        <v>-1751</v>
      </c>
      <c r="E73" s="9">
        <f>suvaha!F72</f>
        <v>0</v>
      </c>
      <c r="F73" s="329">
        <f>suvaha!G72</f>
        <v>-1751</v>
      </c>
      <c r="G73" s="9">
        <f>suvaha!H72</f>
        <v>-107</v>
      </c>
      <c r="H73" s="510">
        <f t="shared" si="2"/>
        <v>1644</v>
      </c>
      <c r="X73" s="645"/>
    </row>
    <row r="74" spans="1:24" s="319" customFormat="1" outlineLevel="1">
      <c r="A74" s="322" t="s">
        <v>568</v>
      </c>
      <c r="B74" s="322" t="s">
        <v>1781</v>
      </c>
      <c r="C74" s="323" t="s">
        <v>1626</v>
      </c>
      <c r="D74" s="324">
        <f>suvaha!E73</f>
        <v>0</v>
      </c>
      <c r="E74" s="324">
        <f>suvaha!F73</f>
        <v>0</v>
      </c>
      <c r="F74" s="324">
        <f>suvaha!G73</f>
        <v>0</v>
      </c>
      <c r="G74" s="324">
        <f>suvaha!H73</f>
        <v>0</v>
      </c>
      <c r="H74" s="542"/>
      <c r="X74" s="645"/>
    </row>
    <row r="75" spans="1:24" s="319" customFormat="1" outlineLevel="1">
      <c r="A75" s="326" t="s">
        <v>569</v>
      </c>
      <c r="B75" s="326" t="s">
        <v>1627</v>
      </c>
      <c r="C75" s="327" t="s">
        <v>1628</v>
      </c>
      <c r="D75" s="9">
        <f>suvaha!E74</f>
        <v>0</v>
      </c>
      <c r="E75" s="9">
        <f>suvaha!F74</f>
        <v>0</v>
      </c>
      <c r="F75" s="329">
        <f>suvaha!G74</f>
        <v>0</v>
      </c>
      <c r="G75" s="9">
        <f>suvaha!H74</f>
        <v>0</v>
      </c>
      <c r="H75" s="510">
        <f>G75-F75</f>
        <v>0</v>
      </c>
      <c r="X75" s="645"/>
    </row>
    <row r="76" spans="1:24" s="319" customFormat="1" outlineLevel="1">
      <c r="A76" s="326" t="s">
        <v>571</v>
      </c>
      <c r="B76" s="326" t="s">
        <v>1782</v>
      </c>
      <c r="C76" s="327" t="s">
        <v>1629</v>
      </c>
      <c r="D76" s="9">
        <f>suvaha!E75</f>
        <v>0</v>
      </c>
      <c r="E76" s="9">
        <f>suvaha!F75</f>
        <v>0</v>
      </c>
      <c r="F76" s="329">
        <f>suvaha!G75</f>
        <v>0</v>
      </c>
      <c r="G76" s="9">
        <f>suvaha!H75</f>
        <v>0</v>
      </c>
      <c r="H76" s="510">
        <f>G76-F76</f>
        <v>0</v>
      </c>
      <c r="X76" s="645"/>
    </row>
    <row r="77" spans="1:24" s="319" customFormat="1" outlineLevel="1">
      <c r="A77" s="326" t="s">
        <v>573</v>
      </c>
      <c r="B77" s="326" t="s">
        <v>1630</v>
      </c>
      <c r="C77" s="327" t="s">
        <v>1631</v>
      </c>
      <c r="D77" s="9">
        <f>suvaha!E76</f>
        <v>0</v>
      </c>
      <c r="E77" s="9">
        <f>suvaha!F76</f>
        <v>0</v>
      </c>
      <c r="F77" s="329">
        <f>suvaha!G76</f>
        <v>0</v>
      </c>
      <c r="G77" s="9">
        <f>suvaha!H76</f>
        <v>0</v>
      </c>
      <c r="H77" s="510">
        <f>G77-F77</f>
        <v>0</v>
      </c>
      <c r="X77" s="645"/>
    </row>
    <row r="78" spans="1:24" s="319" customFormat="1" outlineLevel="1">
      <c r="A78" s="326" t="s">
        <v>574</v>
      </c>
      <c r="B78" s="326" t="s">
        <v>1783</v>
      </c>
      <c r="C78" s="327" t="s">
        <v>1632</v>
      </c>
      <c r="D78" s="9">
        <f>suvaha!E77</f>
        <v>0</v>
      </c>
      <c r="E78" s="9">
        <f>suvaha!F77</f>
        <v>0</v>
      </c>
      <c r="F78" s="329">
        <f>suvaha!G77</f>
        <v>0</v>
      </c>
      <c r="G78" s="9">
        <f>suvaha!H77</f>
        <v>0</v>
      </c>
      <c r="H78" s="510">
        <f>G78-F78</f>
        <v>0</v>
      </c>
      <c r="X78" s="645"/>
    </row>
    <row r="79" spans="1:24" s="335" customFormat="1" outlineLevel="1">
      <c r="A79" s="322" t="s">
        <v>631</v>
      </c>
      <c r="B79" s="322" t="s">
        <v>2494</v>
      </c>
      <c r="C79" s="323" t="s">
        <v>1635</v>
      </c>
      <c r="D79" s="324">
        <f>suvaha!E78</f>
        <v>4786475</v>
      </c>
      <c r="E79" s="324">
        <f>suvaha!F78</f>
        <v>0</v>
      </c>
      <c r="F79" s="324">
        <f>suvaha!G78</f>
        <v>4786475</v>
      </c>
      <c r="G79" s="324">
        <f>suvaha!H78</f>
        <v>13284</v>
      </c>
      <c r="H79" s="510">
        <f>G79-F79</f>
        <v>-4773191</v>
      </c>
      <c r="X79" s="646"/>
    </row>
    <row r="80" spans="1:24" s="319" customFormat="1" outlineLevel="1">
      <c r="A80" s="326" t="s">
        <v>633</v>
      </c>
      <c r="B80" s="326" t="s">
        <v>570</v>
      </c>
      <c r="C80" s="327" t="s">
        <v>1636</v>
      </c>
      <c r="D80" s="9">
        <f>suvaha!E79</f>
        <v>811</v>
      </c>
      <c r="E80" s="9">
        <f>suvaha!F79</f>
        <v>0</v>
      </c>
      <c r="F80" s="329">
        <f>suvaha!G79</f>
        <v>811</v>
      </c>
      <c r="G80" s="9">
        <f>suvaha!H79</f>
        <v>386</v>
      </c>
      <c r="H80" s="508"/>
      <c r="X80" s="645"/>
    </row>
    <row r="81" spans="1:24" s="319" customFormat="1" outlineLevel="1">
      <c r="A81" s="326" t="s">
        <v>635</v>
      </c>
      <c r="B81" s="326" t="s">
        <v>572</v>
      </c>
      <c r="C81" s="327" t="s">
        <v>1637</v>
      </c>
      <c r="D81" s="9">
        <f>suvaha!E80</f>
        <v>4785664</v>
      </c>
      <c r="E81" s="9">
        <f>suvaha!F80</f>
        <v>0</v>
      </c>
      <c r="F81" s="329">
        <f>suvaha!G80</f>
        <v>4785664</v>
      </c>
      <c r="G81" s="9">
        <f>suvaha!H80</f>
        <v>12898</v>
      </c>
      <c r="H81" s="508"/>
      <c r="X81" s="645"/>
    </row>
    <row r="82" spans="1:24" s="319" customFormat="1" outlineLevel="1">
      <c r="A82" s="322" t="s">
        <v>576</v>
      </c>
      <c r="B82" s="322" t="s">
        <v>1927</v>
      </c>
      <c r="C82" s="323" t="s">
        <v>1639</v>
      </c>
      <c r="D82" s="324">
        <f>suvaha!E81</f>
        <v>46065</v>
      </c>
      <c r="E82" s="324">
        <f>suvaha!F81</f>
        <v>0</v>
      </c>
      <c r="F82" s="324">
        <f>suvaha!G81</f>
        <v>46065</v>
      </c>
      <c r="G82" s="324">
        <f>suvaha!H81</f>
        <v>237331</v>
      </c>
      <c r="H82" s="510">
        <f>G82-F82</f>
        <v>191266</v>
      </c>
      <c r="X82" s="645"/>
    </row>
    <row r="83" spans="1:24" s="319" customFormat="1" outlineLevel="1">
      <c r="A83" s="326" t="s">
        <v>577</v>
      </c>
      <c r="B83" s="326" t="s">
        <v>578</v>
      </c>
      <c r="C83" s="327" t="s">
        <v>1640</v>
      </c>
      <c r="D83" s="9">
        <f>suvaha!E82</f>
        <v>0</v>
      </c>
      <c r="E83" s="9">
        <f>suvaha!F82</f>
        <v>0</v>
      </c>
      <c r="F83" s="329">
        <f>suvaha!G82</f>
        <v>0</v>
      </c>
      <c r="G83" s="9">
        <f>suvaha!H82</f>
        <v>0</v>
      </c>
      <c r="H83" s="508"/>
      <c r="X83" s="645"/>
    </row>
    <row r="84" spans="1:24" s="319" customFormat="1" outlineLevel="1">
      <c r="A84" s="326" t="s">
        <v>579</v>
      </c>
      <c r="B84" s="326" t="s">
        <v>580</v>
      </c>
      <c r="C84" s="327" t="s">
        <v>1641</v>
      </c>
      <c r="D84" s="9">
        <f>suvaha!E83</f>
        <v>2182</v>
      </c>
      <c r="E84" s="9">
        <f>suvaha!F83</f>
        <v>0</v>
      </c>
      <c r="F84" s="329">
        <f>suvaha!G83</f>
        <v>2182</v>
      </c>
      <c r="G84" s="9">
        <f>suvaha!H83</f>
        <v>302</v>
      </c>
      <c r="H84" s="508"/>
      <c r="X84" s="645"/>
    </row>
    <row r="85" spans="1:24" s="319" customFormat="1" outlineLevel="1">
      <c r="A85" s="326" t="s">
        <v>581</v>
      </c>
      <c r="B85" s="326" t="s">
        <v>582</v>
      </c>
      <c r="C85" s="327" t="s">
        <v>1642</v>
      </c>
      <c r="D85" s="9">
        <f>suvaha!E84</f>
        <v>0</v>
      </c>
      <c r="E85" s="9">
        <f>suvaha!F84</f>
        <v>0</v>
      </c>
      <c r="F85" s="329">
        <f>suvaha!G84</f>
        <v>0</v>
      </c>
      <c r="G85" s="9">
        <f>suvaha!H84</f>
        <v>0</v>
      </c>
      <c r="H85" s="508"/>
      <c r="X85" s="645"/>
    </row>
    <row r="86" spans="1:24" s="319" customFormat="1" outlineLevel="1">
      <c r="A86" s="326" t="s">
        <v>583</v>
      </c>
      <c r="B86" s="326" t="s">
        <v>584</v>
      </c>
      <c r="C86" s="327" t="s">
        <v>1643</v>
      </c>
      <c r="D86" s="9">
        <f>suvaha!E85</f>
        <v>43883</v>
      </c>
      <c r="E86" s="9">
        <f>suvaha!F85</f>
        <v>0</v>
      </c>
      <c r="F86" s="329">
        <f>suvaha!G85</f>
        <v>43883</v>
      </c>
      <c r="G86" s="9">
        <f>suvaha!H85</f>
        <v>237029</v>
      </c>
      <c r="H86" s="508"/>
      <c r="X86" s="645"/>
    </row>
    <row r="87" spans="1:24" s="455" customFormat="1" ht="15" outlineLevel="1">
      <c r="A87" s="450" t="e">
        <f>#REF!</f>
        <v>#REF!</v>
      </c>
      <c r="B87" s="451"/>
      <c r="C87" s="452"/>
      <c r="D87" s="453"/>
      <c r="E87" s="453"/>
      <c r="F87" s="453"/>
      <c r="G87" s="453"/>
      <c r="H87" s="509"/>
      <c r="X87" s="647"/>
    </row>
    <row r="88" spans="1:24" s="460" customFormat="1" ht="14.25" outlineLevel="1">
      <c r="A88" s="456" t="str">
        <f>A3</f>
        <v>Súvaha k 31. decembru 2016</v>
      </c>
      <c r="B88" s="457"/>
      <c r="C88" s="458"/>
      <c r="D88" s="459"/>
      <c r="E88" s="459"/>
      <c r="F88" s="459"/>
      <c r="G88" s="459"/>
      <c r="H88" s="509"/>
      <c r="X88" s="648"/>
    </row>
    <row r="89" spans="1:24" s="336" customFormat="1" ht="17.25" customHeight="1" outlineLevel="1">
      <c r="A89" s="731" t="str">
        <f>A4</f>
        <v>Označenie</v>
      </c>
      <c r="B89" s="731">
        <f>Index!C544</f>
        <v>0</v>
      </c>
      <c r="C89" s="734" t="str">
        <f>C4</f>
        <v>č.r.</v>
      </c>
      <c r="D89" s="743" t="str">
        <f>D4</f>
        <v>Bežné účtovné obdobie</v>
      </c>
      <c r="E89" s="744"/>
      <c r="F89" s="743" t="str">
        <f>G4</f>
        <v>Bezprostredne predchádzajúce účtovné obdobie</v>
      </c>
      <c r="G89" s="744"/>
      <c r="H89" s="508"/>
      <c r="X89" s="649"/>
    </row>
    <row r="90" spans="1:24" s="336" customFormat="1" ht="17.25" customHeight="1" outlineLevel="1">
      <c r="A90" s="733"/>
      <c r="B90" s="732"/>
      <c r="C90" s="735"/>
      <c r="D90" s="745"/>
      <c r="E90" s="746"/>
      <c r="F90" s="745"/>
      <c r="G90" s="746"/>
      <c r="H90" s="508"/>
      <c r="X90" s="649"/>
    </row>
    <row r="91" spans="1:24" s="337" customFormat="1" ht="12" outlineLevel="1">
      <c r="A91" s="4" t="s">
        <v>491</v>
      </c>
      <c r="B91" s="95" t="s">
        <v>492</v>
      </c>
      <c r="C91" s="4" t="s">
        <v>493</v>
      </c>
      <c r="D91" s="416">
        <v>5</v>
      </c>
      <c r="E91" s="417"/>
      <c r="F91" s="416">
        <v>6</v>
      </c>
      <c r="G91" s="417"/>
      <c r="H91" s="508"/>
      <c r="X91" s="650"/>
    </row>
    <row r="92" spans="1:24" s="337" customFormat="1" ht="12" outlineLevel="1">
      <c r="A92" s="5"/>
      <c r="B92" s="96"/>
      <c r="C92" s="7"/>
      <c r="D92" s="418" t="s">
        <v>883</v>
      </c>
      <c r="E92" s="419"/>
      <c r="F92" s="418" t="s">
        <v>883</v>
      </c>
      <c r="G92" s="419"/>
      <c r="H92" s="508"/>
      <c r="X92" s="650"/>
    </row>
    <row r="93" spans="1:24" s="319" customFormat="1" outlineLevel="1">
      <c r="A93" s="392"/>
      <c r="B93" s="392" t="s">
        <v>2503</v>
      </c>
      <c r="C93" s="338" t="s">
        <v>1645</v>
      </c>
      <c r="D93" s="723">
        <f>suvaha!E92</f>
        <v>64204508.530000001</v>
      </c>
      <c r="E93" s="724"/>
      <c r="F93" s="723">
        <f>suvaha!G92</f>
        <v>47257737</v>
      </c>
      <c r="G93" s="724"/>
      <c r="H93" s="508"/>
      <c r="X93" s="645"/>
    </row>
    <row r="94" spans="1:24" s="319" customFormat="1" outlineLevel="1">
      <c r="A94" s="392" t="s">
        <v>495</v>
      </c>
      <c r="B94" s="392" t="s">
        <v>1784</v>
      </c>
      <c r="C94" s="338" t="s">
        <v>1646</v>
      </c>
      <c r="D94" s="723">
        <f>suvaha!E93</f>
        <v>48639426.530000001</v>
      </c>
      <c r="E94" s="724"/>
      <c r="F94" s="723">
        <f>suvaha!G93</f>
        <v>26263197</v>
      </c>
      <c r="G94" s="724"/>
      <c r="H94" s="508"/>
      <c r="X94" s="645"/>
    </row>
    <row r="95" spans="1:24" s="319" customFormat="1" outlineLevel="1">
      <c r="A95" s="340" t="s">
        <v>496</v>
      </c>
      <c r="B95" s="340" t="s">
        <v>1928</v>
      </c>
      <c r="C95" s="338" t="s">
        <v>1647</v>
      </c>
      <c r="D95" s="723">
        <f>suvaha!E94</f>
        <v>179249</v>
      </c>
      <c r="E95" s="724"/>
      <c r="F95" s="723">
        <f>suvaha!G94</f>
        <v>179249</v>
      </c>
      <c r="G95" s="724"/>
      <c r="H95" s="510">
        <f>D95-F95</f>
        <v>0</v>
      </c>
      <c r="X95" s="645"/>
    </row>
    <row r="96" spans="1:24" s="319" customFormat="1" outlineLevel="1">
      <c r="A96" s="326" t="s">
        <v>586</v>
      </c>
      <c r="B96" s="326" t="s">
        <v>587</v>
      </c>
      <c r="C96" s="327" t="s">
        <v>1648</v>
      </c>
      <c r="D96" s="721">
        <f>suvaha!E95</f>
        <v>179249</v>
      </c>
      <c r="E96" s="722"/>
      <c r="F96" s="721">
        <f>suvaha!G95</f>
        <v>179249</v>
      </c>
      <c r="G96" s="722"/>
      <c r="H96" s="508"/>
      <c r="X96" s="645"/>
    </row>
    <row r="97" spans="1:24" s="319" customFormat="1" outlineLevel="1">
      <c r="A97" s="331" t="s">
        <v>497</v>
      </c>
      <c r="B97" s="331" t="s">
        <v>588</v>
      </c>
      <c r="C97" s="327" t="s">
        <v>1649</v>
      </c>
      <c r="D97" s="721">
        <f>suvaha!E96</f>
        <v>0</v>
      </c>
      <c r="E97" s="722"/>
      <c r="F97" s="721">
        <f>suvaha!G96</f>
        <v>0</v>
      </c>
      <c r="G97" s="722"/>
      <c r="H97" s="508"/>
      <c r="X97" s="645"/>
    </row>
    <row r="98" spans="1:24" s="319" customFormat="1" outlineLevel="1">
      <c r="A98" s="326" t="s">
        <v>499</v>
      </c>
      <c r="B98" s="326" t="s">
        <v>589</v>
      </c>
      <c r="C98" s="327" t="s">
        <v>1650</v>
      </c>
      <c r="D98" s="721">
        <f>suvaha!E97</f>
        <v>0</v>
      </c>
      <c r="E98" s="722"/>
      <c r="F98" s="721">
        <f>suvaha!G97</f>
        <v>0</v>
      </c>
      <c r="G98" s="722"/>
      <c r="H98" s="508"/>
      <c r="X98" s="645"/>
    </row>
    <row r="99" spans="1:24" s="319" customFormat="1" outlineLevel="1">
      <c r="A99" s="396" t="s">
        <v>509</v>
      </c>
      <c r="B99" s="396" t="s">
        <v>590</v>
      </c>
      <c r="C99" s="327" t="s">
        <v>1651</v>
      </c>
      <c r="D99" s="721">
        <f>suvaha!E98</f>
        <v>0</v>
      </c>
      <c r="E99" s="722"/>
      <c r="F99" s="721">
        <f>suvaha!G98</f>
        <v>0</v>
      </c>
      <c r="G99" s="722"/>
      <c r="H99" s="510">
        <f>D99-F99</f>
        <v>0</v>
      </c>
      <c r="X99" s="645"/>
    </row>
    <row r="100" spans="1:24" s="319" customFormat="1" ht="12.95" customHeight="1" outlineLevel="1">
      <c r="A100" s="326" t="s">
        <v>527</v>
      </c>
      <c r="B100" s="326" t="s">
        <v>591</v>
      </c>
      <c r="C100" s="327" t="s">
        <v>1652</v>
      </c>
      <c r="D100" s="721">
        <f>suvaha!E99</f>
        <v>1500000</v>
      </c>
      <c r="E100" s="722"/>
      <c r="F100" s="721">
        <f>suvaha!G99</f>
        <v>1500000</v>
      </c>
      <c r="G100" s="722"/>
      <c r="H100" s="510">
        <f>D100-F100</f>
        <v>0</v>
      </c>
      <c r="X100" s="645"/>
    </row>
    <row r="101" spans="1:24" s="319" customFormat="1" ht="12.95" customHeight="1" outlineLevel="1">
      <c r="A101" s="392" t="s">
        <v>595</v>
      </c>
      <c r="B101" s="392" t="s">
        <v>1653</v>
      </c>
      <c r="C101" s="338" t="s">
        <v>1654</v>
      </c>
      <c r="D101" s="727">
        <f>suvaha!E100</f>
        <v>17930</v>
      </c>
      <c r="E101" s="728"/>
      <c r="F101" s="727">
        <f>suvaha!G100</f>
        <v>17930</v>
      </c>
      <c r="G101" s="728"/>
      <c r="H101" s="510">
        <f>D101-F101</f>
        <v>0</v>
      </c>
      <c r="X101" s="645"/>
    </row>
    <row r="102" spans="1:24" s="319" customFormat="1" ht="15.75" customHeight="1" outlineLevel="1">
      <c r="A102" s="326" t="s">
        <v>596</v>
      </c>
      <c r="B102" s="326" t="s">
        <v>1655</v>
      </c>
      <c r="C102" s="327" t="s">
        <v>1656</v>
      </c>
      <c r="D102" s="721">
        <f>suvaha!E101</f>
        <v>17930</v>
      </c>
      <c r="E102" s="722"/>
      <c r="F102" s="721">
        <f>suvaha!G101</f>
        <v>17930</v>
      </c>
      <c r="G102" s="722"/>
      <c r="H102" s="508"/>
      <c r="X102" s="645"/>
    </row>
    <row r="103" spans="1:24" s="319" customFormat="1" outlineLevel="1">
      <c r="A103" s="326" t="s">
        <v>598</v>
      </c>
      <c r="B103" s="326" t="s">
        <v>1657</v>
      </c>
      <c r="C103" s="327" t="s">
        <v>1658</v>
      </c>
      <c r="D103" s="721">
        <f>suvaha!E102</f>
        <v>0</v>
      </c>
      <c r="E103" s="722"/>
      <c r="F103" s="721">
        <f>suvaha!G102</f>
        <v>0</v>
      </c>
      <c r="G103" s="722"/>
      <c r="H103" s="508"/>
      <c r="X103" s="645"/>
    </row>
    <row r="104" spans="1:24" s="319" customFormat="1" outlineLevel="1">
      <c r="A104" s="340" t="s">
        <v>600</v>
      </c>
      <c r="B104" s="340" t="s">
        <v>2515</v>
      </c>
      <c r="C104" s="338" t="s">
        <v>1661</v>
      </c>
      <c r="D104" s="723">
        <f>suvaha!E103</f>
        <v>0</v>
      </c>
      <c r="E104" s="724"/>
      <c r="F104" s="723">
        <f>suvaha!G103</f>
        <v>0</v>
      </c>
      <c r="G104" s="724"/>
      <c r="H104" s="510">
        <f>D104-F104</f>
        <v>0</v>
      </c>
      <c r="X104" s="645"/>
    </row>
    <row r="105" spans="1:24" s="319" customFormat="1" outlineLevel="1">
      <c r="A105" s="326" t="s">
        <v>1662</v>
      </c>
      <c r="B105" s="326" t="s">
        <v>1785</v>
      </c>
      <c r="C105" s="327" t="s">
        <v>1663</v>
      </c>
      <c r="D105" s="721">
        <f>suvaha!E104</f>
        <v>0</v>
      </c>
      <c r="E105" s="722"/>
      <c r="F105" s="721">
        <f>suvaha!G104</f>
        <v>0</v>
      </c>
      <c r="G105" s="722"/>
      <c r="H105" s="508"/>
      <c r="X105" s="645"/>
    </row>
    <row r="106" spans="1:24" s="319" customFormat="1" outlineLevel="1">
      <c r="A106" s="326" t="s">
        <v>1786</v>
      </c>
      <c r="B106" s="326" t="s">
        <v>1664</v>
      </c>
      <c r="C106" s="327" t="s">
        <v>1665</v>
      </c>
      <c r="D106" s="721">
        <f>suvaha!E105</f>
        <v>0</v>
      </c>
      <c r="E106" s="722"/>
      <c r="F106" s="721">
        <f>suvaha!G105</f>
        <v>0</v>
      </c>
      <c r="G106" s="722"/>
      <c r="H106" s="508"/>
      <c r="X106" s="645"/>
    </row>
    <row r="107" spans="1:24" s="319" customFormat="1" outlineLevel="1">
      <c r="A107" s="395" t="s">
        <v>1666</v>
      </c>
      <c r="B107" s="395" t="s">
        <v>1667</v>
      </c>
      <c r="C107" s="338" t="s">
        <v>1668</v>
      </c>
      <c r="D107" s="727">
        <f>suvaha!E106</f>
        <v>19660241.530000001</v>
      </c>
      <c r="E107" s="728"/>
      <c r="F107" s="727">
        <f>suvaha!G106</f>
        <v>-2260240</v>
      </c>
      <c r="G107" s="728"/>
      <c r="H107" s="542"/>
      <c r="X107" s="645"/>
    </row>
    <row r="108" spans="1:24" s="319" customFormat="1" outlineLevel="1">
      <c r="A108" s="326" t="s">
        <v>1787</v>
      </c>
      <c r="B108" s="326" t="s">
        <v>592</v>
      </c>
      <c r="C108" s="327" t="s">
        <v>1670</v>
      </c>
      <c r="D108" s="721">
        <f>suvaha!E107</f>
        <v>19660241.530000001</v>
      </c>
      <c r="E108" s="722"/>
      <c r="F108" s="721">
        <f>suvaha!G107</f>
        <v>-2260240</v>
      </c>
      <c r="G108" s="722"/>
      <c r="H108" s="510">
        <f>D108-F108</f>
        <v>21920481.530000001</v>
      </c>
      <c r="X108" s="645"/>
    </row>
    <row r="109" spans="1:24" s="319" customFormat="1" outlineLevel="1">
      <c r="A109" s="326" t="s">
        <v>1788</v>
      </c>
      <c r="B109" s="326" t="s">
        <v>593</v>
      </c>
      <c r="C109" s="327" t="s">
        <v>1671</v>
      </c>
      <c r="D109" s="721">
        <f>suvaha!E108</f>
        <v>0</v>
      </c>
      <c r="E109" s="722"/>
      <c r="F109" s="721">
        <f>suvaha!G108</f>
        <v>0</v>
      </c>
      <c r="G109" s="722"/>
      <c r="H109" s="510">
        <f>D109-F109</f>
        <v>0</v>
      </c>
      <c r="X109" s="645"/>
    </row>
    <row r="110" spans="1:24" s="319" customFormat="1" outlineLevel="1">
      <c r="A110" s="331" t="s">
        <v>1789</v>
      </c>
      <c r="B110" s="331" t="s">
        <v>594</v>
      </c>
      <c r="C110" s="327" t="s">
        <v>1672</v>
      </c>
      <c r="D110" s="721">
        <f>suvaha!E109</f>
        <v>0</v>
      </c>
      <c r="E110" s="722"/>
      <c r="F110" s="721">
        <f>suvaha!G109</f>
        <v>0</v>
      </c>
      <c r="G110" s="722"/>
      <c r="H110" s="510">
        <f>D110-F110</f>
        <v>0</v>
      </c>
      <c r="X110" s="645"/>
    </row>
    <row r="111" spans="1:24" s="319" customFormat="1" outlineLevel="1">
      <c r="A111" s="340" t="s">
        <v>1673</v>
      </c>
      <c r="B111" s="340" t="s">
        <v>2523</v>
      </c>
      <c r="C111" s="338" t="s">
        <v>1674</v>
      </c>
      <c r="D111" s="723">
        <f>suvaha!E110</f>
        <v>26826259</v>
      </c>
      <c r="E111" s="724"/>
      <c r="F111" s="723">
        <f>suvaha!G110</f>
        <v>25727061</v>
      </c>
      <c r="G111" s="724"/>
      <c r="H111" s="510">
        <f>D111-F111</f>
        <v>1099198</v>
      </c>
      <c r="X111" s="645"/>
    </row>
    <row r="112" spans="1:24" s="319" customFormat="1" outlineLevel="1">
      <c r="A112" s="326" t="s">
        <v>1675</v>
      </c>
      <c r="B112" s="326" t="s">
        <v>597</v>
      </c>
      <c r="C112" s="327" t="s">
        <v>1676</v>
      </c>
      <c r="D112" s="721">
        <f>suvaha!E111</f>
        <v>26864597</v>
      </c>
      <c r="E112" s="722"/>
      <c r="F112" s="721">
        <f>suvaha!G111</f>
        <v>26864596</v>
      </c>
      <c r="G112" s="722"/>
      <c r="H112" s="508"/>
      <c r="X112" s="645"/>
    </row>
    <row r="113" spans="1:24" s="319" customFormat="1" outlineLevel="1">
      <c r="A113" s="331" t="s">
        <v>1790</v>
      </c>
      <c r="B113" s="331" t="s">
        <v>599</v>
      </c>
      <c r="C113" s="327" t="s">
        <v>1677</v>
      </c>
      <c r="D113" s="721">
        <f>suvaha!E112</f>
        <v>-38338</v>
      </c>
      <c r="E113" s="722"/>
      <c r="F113" s="721">
        <f>suvaha!G112</f>
        <v>-1137535</v>
      </c>
      <c r="G113" s="722"/>
      <c r="H113" s="508"/>
      <c r="X113" s="645"/>
    </row>
    <row r="114" spans="1:24" s="319" customFormat="1" ht="42" customHeight="1" outlineLevel="1">
      <c r="A114" s="392" t="s">
        <v>1678</v>
      </c>
      <c r="B114" s="392" t="s">
        <v>1791</v>
      </c>
      <c r="C114" s="338" t="s">
        <v>603</v>
      </c>
      <c r="D114" s="723">
        <f>suvaha!E113</f>
        <v>455747</v>
      </c>
      <c r="E114" s="724"/>
      <c r="F114" s="723">
        <f>suvaha!G113</f>
        <v>1099197</v>
      </c>
      <c r="G114" s="724"/>
      <c r="H114" s="510">
        <f>D114-F114</f>
        <v>-643450</v>
      </c>
      <c r="X114" s="645"/>
    </row>
    <row r="115" spans="1:24" s="319" customFormat="1" outlineLevel="1">
      <c r="A115" s="392" t="s">
        <v>601</v>
      </c>
      <c r="B115" s="392" t="s">
        <v>1792</v>
      </c>
      <c r="C115" s="338" t="s">
        <v>605</v>
      </c>
      <c r="D115" s="723">
        <f>suvaha!E114</f>
        <v>15544250</v>
      </c>
      <c r="E115" s="724"/>
      <c r="F115" s="723">
        <f>suvaha!G114</f>
        <v>20994540</v>
      </c>
      <c r="G115" s="724"/>
      <c r="H115" s="508"/>
      <c r="X115" s="645"/>
    </row>
    <row r="116" spans="1:24" s="319" customFormat="1" outlineLevel="1">
      <c r="A116" s="340" t="s">
        <v>537</v>
      </c>
      <c r="B116" s="340" t="s">
        <v>1793</v>
      </c>
      <c r="C116" s="338" t="s">
        <v>608</v>
      </c>
      <c r="D116" s="723">
        <f>suvaha!E115</f>
        <v>664213</v>
      </c>
      <c r="E116" s="724"/>
      <c r="F116" s="723">
        <f>suvaha!G115</f>
        <v>1557876</v>
      </c>
      <c r="G116" s="724"/>
      <c r="H116" s="508"/>
      <c r="X116" s="645"/>
    </row>
    <row r="117" spans="1:24" s="319" customFormat="1" outlineLevel="1">
      <c r="A117" s="340" t="s">
        <v>538</v>
      </c>
      <c r="B117" s="340" t="s">
        <v>1794</v>
      </c>
      <c r="C117" s="338" t="s">
        <v>610</v>
      </c>
      <c r="D117" s="723">
        <f>suvaha!E116</f>
        <v>0</v>
      </c>
      <c r="E117" s="724"/>
      <c r="F117" s="723">
        <f>suvaha!G116</f>
        <v>0</v>
      </c>
      <c r="G117" s="724"/>
      <c r="H117" s="510">
        <f>D117-F117</f>
        <v>0</v>
      </c>
      <c r="X117" s="645"/>
    </row>
    <row r="118" spans="1:24" s="319" customFormat="1" outlineLevel="1">
      <c r="A118" s="326" t="s">
        <v>1795</v>
      </c>
      <c r="B118" s="326" t="s">
        <v>1679</v>
      </c>
      <c r="C118" s="327" t="s">
        <v>611</v>
      </c>
      <c r="D118" s="721">
        <f>suvaha!E117</f>
        <v>0</v>
      </c>
      <c r="E118" s="722"/>
      <c r="F118" s="721">
        <f>suvaha!G117</f>
        <v>0</v>
      </c>
      <c r="G118" s="722"/>
      <c r="H118" s="508"/>
      <c r="X118" s="645"/>
    </row>
    <row r="119" spans="1:24" s="319" customFormat="1" outlineLevel="1">
      <c r="A119" s="326" t="s">
        <v>1796</v>
      </c>
      <c r="B119" s="326" t="s">
        <v>1680</v>
      </c>
      <c r="C119" s="327" t="s">
        <v>613</v>
      </c>
      <c r="D119" s="721">
        <f>suvaha!E118</f>
        <v>0</v>
      </c>
      <c r="E119" s="722"/>
      <c r="F119" s="721">
        <f>suvaha!G118</f>
        <v>0</v>
      </c>
      <c r="G119" s="722"/>
      <c r="H119" s="508"/>
      <c r="X119" s="645"/>
    </row>
    <row r="120" spans="1:24" s="319" customFormat="1" outlineLevel="1">
      <c r="A120" s="326" t="s">
        <v>1797</v>
      </c>
      <c r="B120" s="326" t="s">
        <v>1681</v>
      </c>
      <c r="C120" s="327" t="s">
        <v>614</v>
      </c>
      <c r="D120" s="721">
        <f>suvaha!E119</f>
        <v>0</v>
      </c>
      <c r="E120" s="722"/>
      <c r="F120" s="721">
        <f>suvaha!G119</f>
        <v>0</v>
      </c>
      <c r="G120" s="722"/>
      <c r="H120" s="508"/>
      <c r="X120" s="645"/>
    </row>
    <row r="121" spans="1:24" s="319" customFormat="1" outlineLevel="1">
      <c r="A121" s="326" t="s">
        <v>540</v>
      </c>
      <c r="B121" s="326" t="s">
        <v>552</v>
      </c>
      <c r="C121" s="327" t="s">
        <v>615</v>
      </c>
      <c r="D121" s="721">
        <f>suvaha!E120</f>
        <v>0</v>
      </c>
      <c r="E121" s="722"/>
      <c r="F121" s="721">
        <f>suvaha!G120</f>
        <v>0</v>
      </c>
      <c r="G121" s="722"/>
      <c r="H121" s="510">
        <f t="shared" ref="H121:H132" si="3">D121-F121</f>
        <v>0</v>
      </c>
      <c r="X121" s="645"/>
    </row>
    <row r="122" spans="1:24" s="319" customFormat="1" outlineLevel="1">
      <c r="A122" s="326" t="s">
        <v>542</v>
      </c>
      <c r="B122" s="326" t="s">
        <v>1682</v>
      </c>
      <c r="C122" s="327" t="s">
        <v>616</v>
      </c>
      <c r="D122" s="721">
        <f>suvaha!E121</f>
        <v>0</v>
      </c>
      <c r="E122" s="722"/>
      <c r="F122" s="721">
        <f>suvaha!G121</f>
        <v>0</v>
      </c>
      <c r="G122" s="722"/>
      <c r="H122" s="510">
        <f t="shared" si="3"/>
        <v>0</v>
      </c>
      <c r="X122" s="645"/>
    </row>
    <row r="123" spans="1:24" s="319" customFormat="1" outlineLevel="1">
      <c r="A123" s="326" t="s">
        <v>544</v>
      </c>
      <c r="B123" s="326" t="s">
        <v>1683</v>
      </c>
      <c r="C123" s="327" t="s">
        <v>617</v>
      </c>
      <c r="D123" s="721">
        <f>suvaha!E122</f>
        <v>0</v>
      </c>
      <c r="E123" s="722"/>
      <c r="F123" s="721">
        <f>suvaha!G122</f>
        <v>0</v>
      </c>
      <c r="G123" s="722"/>
      <c r="H123" s="510">
        <f t="shared" si="3"/>
        <v>0</v>
      </c>
      <c r="X123" s="645"/>
    </row>
    <row r="124" spans="1:24" s="319" customFormat="1" outlineLevel="1">
      <c r="A124" s="326" t="s">
        <v>546</v>
      </c>
      <c r="B124" s="326" t="s">
        <v>1684</v>
      </c>
      <c r="C124" s="327" t="s">
        <v>618</v>
      </c>
      <c r="D124" s="721">
        <f>suvaha!E123</f>
        <v>0</v>
      </c>
      <c r="E124" s="722"/>
      <c r="F124" s="721">
        <f>suvaha!G123</f>
        <v>0</v>
      </c>
      <c r="G124" s="722"/>
      <c r="H124" s="510">
        <f t="shared" si="3"/>
        <v>0</v>
      </c>
      <c r="X124" s="645"/>
    </row>
    <row r="125" spans="1:24" s="319" customFormat="1" outlineLevel="1">
      <c r="A125" s="326" t="s">
        <v>548</v>
      </c>
      <c r="B125" s="326" t="s">
        <v>602</v>
      </c>
      <c r="C125" s="327" t="s">
        <v>619</v>
      </c>
      <c r="D125" s="721">
        <f>suvaha!E124</f>
        <v>0</v>
      </c>
      <c r="E125" s="722"/>
      <c r="F125" s="721">
        <f>suvaha!G124</f>
        <v>0</v>
      </c>
      <c r="G125" s="722"/>
      <c r="H125" s="510">
        <f t="shared" si="3"/>
        <v>0</v>
      </c>
      <c r="X125" s="645"/>
    </row>
    <row r="126" spans="1:24" s="319" customFormat="1" outlineLevel="1">
      <c r="A126" s="326" t="s">
        <v>1798</v>
      </c>
      <c r="B126" s="326" t="s">
        <v>604</v>
      </c>
      <c r="C126" s="327" t="s">
        <v>621</v>
      </c>
      <c r="D126" s="721">
        <f>suvaha!E125</f>
        <v>0</v>
      </c>
      <c r="E126" s="722"/>
      <c r="F126" s="721">
        <f>suvaha!G125</f>
        <v>0</v>
      </c>
      <c r="G126" s="722"/>
      <c r="H126" s="510">
        <f t="shared" si="3"/>
        <v>0</v>
      </c>
      <c r="X126" s="645"/>
    </row>
    <row r="127" spans="1:24" s="319" customFormat="1" outlineLevel="1">
      <c r="A127" s="326" t="s">
        <v>1799</v>
      </c>
      <c r="B127" s="326" t="s">
        <v>607</v>
      </c>
      <c r="C127" s="327" t="s">
        <v>623</v>
      </c>
      <c r="D127" s="721">
        <f>suvaha!E126</f>
        <v>0</v>
      </c>
      <c r="E127" s="722"/>
      <c r="F127" s="721">
        <f>suvaha!G126</f>
        <v>0</v>
      </c>
      <c r="G127" s="722"/>
      <c r="H127" s="510">
        <f t="shared" si="3"/>
        <v>0</v>
      </c>
      <c r="X127" s="645"/>
    </row>
    <row r="128" spans="1:24" s="319" customFormat="1" outlineLevel="1">
      <c r="A128" s="326" t="s">
        <v>1800</v>
      </c>
      <c r="B128" s="326" t="s">
        <v>609</v>
      </c>
      <c r="C128" s="327" t="s">
        <v>624</v>
      </c>
      <c r="D128" s="721">
        <f>suvaha!E127</f>
        <v>576</v>
      </c>
      <c r="E128" s="722"/>
      <c r="F128" s="721">
        <f>suvaha!G127</f>
        <v>227</v>
      </c>
      <c r="G128" s="722"/>
      <c r="H128" s="510">
        <f t="shared" si="3"/>
        <v>349</v>
      </c>
      <c r="X128" s="645"/>
    </row>
    <row r="129" spans="1:24" s="319" customFormat="1" outlineLevel="1">
      <c r="A129" s="326" t="s">
        <v>1801</v>
      </c>
      <c r="B129" s="326" t="s">
        <v>1802</v>
      </c>
      <c r="C129" s="327" t="s">
        <v>627</v>
      </c>
      <c r="D129" s="721">
        <f>suvaha!E128</f>
        <v>0</v>
      </c>
      <c r="E129" s="722"/>
      <c r="F129" s="721">
        <f>suvaha!G128</f>
        <v>0</v>
      </c>
      <c r="G129" s="722"/>
      <c r="H129" s="510">
        <f t="shared" si="3"/>
        <v>0</v>
      </c>
      <c r="X129" s="645"/>
    </row>
    <row r="130" spans="1:24" s="319" customFormat="1" outlineLevel="1">
      <c r="A130" s="326" t="s">
        <v>1803</v>
      </c>
      <c r="B130" s="326" t="s">
        <v>1804</v>
      </c>
      <c r="C130" s="327" t="s">
        <v>628</v>
      </c>
      <c r="D130" s="721">
        <f>suvaha!E129</f>
        <v>0</v>
      </c>
      <c r="E130" s="722"/>
      <c r="F130" s="721">
        <f>suvaha!G129</f>
        <v>0</v>
      </c>
      <c r="G130" s="722"/>
      <c r="H130" s="508">
        <f t="shared" si="3"/>
        <v>0</v>
      </c>
      <c r="X130" s="645"/>
    </row>
    <row r="131" spans="1:24" s="319" customFormat="1" outlineLevel="1">
      <c r="A131" s="326" t="s">
        <v>1805</v>
      </c>
      <c r="B131" s="326" t="s">
        <v>612</v>
      </c>
      <c r="C131" s="327" t="s">
        <v>630</v>
      </c>
      <c r="D131" s="721">
        <f>suvaha!E130</f>
        <v>663637</v>
      </c>
      <c r="E131" s="722"/>
      <c r="F131" s="721">
        <f>suvaha!G130</f>
        <v>1557649</v>
      </c>
      <c r="G131" s="722"/>
      <c r="H131" s="508">
        <f t="shared" si="3"/>
        <v>-894012</v>
      </c>
      <c r="X131" s="645"/>
    </row>
    <row r="132" spans="1:24" s="319" customFormat="1" outlineLevel="1">
      <c r="A132" s="340" t="s">
        <v>549</v>
      </c>
      <c r="B132" s="340" t="s">
        <v>2552</v>
      </c>
      <c r="C132" s="333" t="s">
        <v>632</v>
      </c>
      <c r="D132" s="723">
        <f>suvaha!E131</f>
        <v>0</v>
      </c>
      <c r="E132" s="724"/>
      <c r="F132" s="723">
        <f>suvaha!G131</f>
        <v>0</v>
      </c>
      <c r="G132" s="724"/>
      <c r="H132" s="510">
        <f t="shared" si="3"/>
        <v>0</v>
      </c>
      <c r="X132" s="645"/>
    </row>
    <row r="133" spans="1:24" s="319" customFormat="1" outlineLevel="1">
      <c r="A133" s="326" t="s">
        <v>550</v>
      </c>
      <c r="B133" s="326" t="s">
        <v>1688</v>
      </c>
      <c r="C133" s="327" t="s">
        <v>634</v>
      </c>
      <c r="D133" s="721">
        <f>suvaha!E132</f>
        <v>0</v>
      </c>
      <c r="E133" s="722"/>
      <c r="F133" s="721">
        <f>suvaha!G132</f>
        <v>0</v>
      </c>
      <c r="G133" s="722"/>
      <c r="H133" s="508"/>
      <c r="X133" s="645"/>
    </row>
    <row r="134" spans="1:24" s="319" customFormat="1" outlineLevel="1">
      <c r="A134" s="326" t="s">
        <v>551</v>
      </c>
      <c r="B134" s="326" t="s">
        <v>1689</v>
      </c>
      <c r="C134" s="327" t="s">
        <v>637</v>
      </c>
      <c r="D134" s="721">
        <f>suvaha!E133</f>
        <v>0</v>
      </c>
      <c r="E134" s="722"/>
      <c r="F134" s="721">
        <f>suvaha!G133</f>
        <v>0</v>
      </c>
      <c r="G134" s="722"/>
      <c r="H134" s="508"/>
      <c r="X134" s="645"/>
    </row>
    <row r="135" spans="1:24" s="335" customFormat="1" outlineLevel="1">
      <c r="A135" s="340" t="s">
        <v>559</v>
      </c>
      <c r="B135" s="340" t="s">
        <v>1690</v>
      </c>
      <c r="C135" s="338" t="s">
        <v>638</v>
      </c>
      <c r="D135" s="723">
        <f>suvaha!E134</f>
        <v>0</v>
      </c>
      <c r="E135" s="724"/>
      <c r="F135" s="723">
        <f>suvaha!G134</f>
        <v>79732</v>
      </c>
      <c r="G135" s="724"/>
      <c r="H135" s="510">
        <f>D135-F135</f>
        <v>-79732</v>
      </c>
      <c r="X135" s="646"/>
    </row>
    <row r="136" spans="1:24" s="335" customFormat="1" outlineLevel="1">
      <c r="A136" s="340" t="s">
        <v>568</v>
      </c>
      <c r="B136" s="340" t="s">
        <v>1806</v>
      </c>
      <c r="C136" s="338" t="s">
        <v>640</v>
      </c>
      <c r="D136" s="723">
        <f>suvaha!E135</f>
        <v>8642615</v>
      </c>
      <c r="E136" s="724"/>
      <c r="F136" s="723">
        <f>suvaha!G135</f>
        <v>7177782</v>
      </c>
      <c r="G136" s="724"/>
      <c r="H136" s="508"/>
      <c r="X136" s="646"/>
    </row>
    <row r="137" spans="1:24" s="339" customFormat="1" ht="13.5" customHeight="1" outlineLevel="1">
      <c r="A137" s="340" t="s">
        <v>569</v>
      </c>
      <c r="B137" s="340" t="s">
        <v>1692</v>
      </c>
      <c r="C137" s="338" t="s">
        <v>642</v>
      </c>
      <c r="D137" s="723">
        <f>suvaha!E136</f>
        <v>1330637</v>
      </c>
      <c r="E137" s="724"/>
      <c r="F137" s="723">
        <f>suvaha!G136</f>
        <v>6392502</v>
      </c>
      <c r="G137" s="724"/>
      <c r="H137" s="510">
        <f>D137-F137</f>
        <v>-5061865</v>
      </c>
      <c r="X137" s="651"/>
    </row>
    <row r="138" spans="1:24" s="319" customFormat="1" outlineLevel="1">
      <c r="A138" s="326" t="s">
        <v>1807</v>
      </c>
      <c r="B138" s="326" t="s">
        <v>1693</v>
      </c>
      <c r="C138" s="327" t="s">
        <v>644</v>
      </c>
      <c r="D138" s="721">
        <f>suvaha!E137</f>
        <v>1011780</v>
      </c>
      <c r="E138" s="722"/>
      <c r="F138" s="721">
        <f>suvaha!G137</f>
        <v>2584330</v>
      </c>
      <c r="G138" s="722"/>
      <c r="H138" s="508"/>
      <c r="X138" s="645"/>
    </row>
    <row r="139" spans="1:24" s="319" customFormat="1" outlineLevel="1">
      <c r="A139" s="326" t="s">
        <v>1808</v>
      </c>
      <c r="B139" s="326" t="s">
        <v>1809</v>
      </c>
      <c r="C139" s="327" t="s">
        <v>646</v>
      </c>
      <c r="D139" s="721">
        <f>suvaha!E138</f>
        <v>0</v>
      </c>
      <c r="E139" s="722"/>
      <c r="F139" s="721">
        <f>suvaha!G138</f>
        <v>0</v>
      </c>
      <c r="G139" s="722"/>
      <c r="H139" s="508"/>
      <c r="X139" s="645"/>
    </row>
    <row r="140" spans="1:24" s="319" customFormat="1" outlineLevel="1">
      <c r="A140" s="326" t="s">
        <v>1810</v>
      </c>
      <c r="B140" s="326" t="s">
        <v>1694</v>
      </c>
      <c r="C140" s="327" t="s">
        <v>1695</v>
      </c>
      <c r="D140" s="721">
        <f>suvaha!E139</f>
        <v>318857</v>
      </c>
      <c r="E140" s="722"/>
      <c r="F140" s="721">
        <f>suvaha!G139</f>
        <v>3808172</v>
      </c>
      <c r="G140" s="722"/>
      <c r="H140" s="508"/>
      <c r="X140" s="645"/>
    </row>
    <row r="141" spans="1:24" s="319" customFormat="1" outlineLevel="1">
      <c r="A141" s="326" t="s">
        <v>571</v>
      </c>
      <c r="B141" s="326" t="s">
        <v>552</v>
      </c>
      <c r="C141" s="327" t="s">
        <v>1696</v>
      </c>
      <c r="D141" s="721">
        <f>suvaha!E140</f>
        <v>0</v>
      </c>
      <c r="E141" s="722"/>
      <c r="F141" s="721">
        <f>suvaha!G140</f>
        <v>0</v>
      </c>
      <c r="G141" s="722"/>
      <c r="H141" s="510">
        <f t="shared" ref="H141:H150" si="4">D141-F141</f>
        <v>0</v>
      </c>
      <c r="X141" s="645"/>
    </row>
    <row r="142" spans="1:24" s="319" customFormat="1" ht="25.5" customHeight="1" outlineLevel="1">
      <c r="A142" s="326" t="s">
        <v>573</v>
      </c>
      <c r="B142" s="326" t="s">
        <v>1697</v>
      </c>
      <c r="C142" s="327" t="s">
        <v>1698</v>
      </c>
      <c r="D142" s="721">
        <f>suvaha!E141</f>
        <v>6757769</v>
      </c>
      <c r="E142" s="722"/>
      <c r="F142" s="721">
        <f>suvaha!G141</f>
        <v>316587</v>
      </c>
      <c r="G142" s="722"/>
      <c r="H142" s="510">
        <f t="shared" si="4"/>
        <v>6441182</v>
      </c>
      <c r="X142" s="645"/>
    </row>
    <row r="143" spans="1:24" s="319" customFormat="1" outlineLevel="1">
      <c r="A143" s="326" t="s">
        <v>574</v>
      </c>
      <c r="B143" s="326" t="s">
        <v>1699</v>
      </c>
      <c r="C143" s="327" t="s">
        <v>1700</v>
      </c>
      <c r="D143" s="721">
        <f>suvaha!E142</f>
        <v>0</v>
      </c>
      <c r="E143" s="722"/>
      <c r="F143" s="721">
        <f>suvaha!G142</f>
        <v>0</v>
      </c>
      <c r="G143" s="722"/>
      <c r="H143" s="510">
        <f t="shared" si="4"/>
        <v>0</v>
      </c>
      <c r="X143" s="645"/>
    </row>
    <row r="144" spans="1:24" s="319" customFormat="1" ht="25.5" customHeight="1" outlineLevel="1">
      <c r="A144" s="326" t="s">
        <v>575</v>
      </c>
      <c r="B144" s="326" t="s">
        <v>620</v>
      </c>
      <c r="C144" s="327" t="s">
        <v>1701</v>
      </c>
      <c r="D144" s="721">
        <f>suvaha!E143</f>
        <v>0</v>
      </c>
      <c r="E144" s="722"/>
      <c r="F144" s="721">
        <f>suvaha!G143</f>
        <v>0</v>
      </c>
      <c r="G144" s="722"/>
      <c r="H144" s="510">
        <f t="shared" si="4"/>
        <v>0</v>
      </c>
      <c r="X144" s="645"/>
    </row>
    <row r="145" spans="1:26" s="319" customFormat="1" ht="14.25" customHeight="1" outlineLevel="1">
      <c r="A145" s="326" t="s">
        <v>1811</v>
      </c>
      <c r="B145" s="326" t="s">
        <v>622</v>
      </c>
      <c r="C145" s="327" t="s">
        <v>1702</v>
      </c>
      <c r="D145" s="721">
        <f>suvaha!E144</f>
        <v>12029</v>
      </c>
      <c r="E145" s="722"/>
      <c r="F145" s="721">
        <f>suvaha!G144</f>
        <v>10045</v>
      </c>
      <c r="G145" s="722"/>
      <c r="H145" s="510">
        <f t="shared" si="4"/>
        <v>1984</v>
      </c>
      <c r="X145" s="645"/>
    </row>
    <row r="146" spans="1:26" s="319" customFormat="1" outlineLevel="1">
      <c r="A146" s="326" t="s">
        <v>1812</v>
      </c>
      <c r="B146" s="326" t="s">
        <v>1703</v>
      </c>
      <c r="C146" s="327" t="s">
        <v>1704</v>
      </c>
      <c r="D146" s="721">
        <f>suvaha!E145</f>
        <v>32382</v>
      </c>
      <c r="E146" s="722"/>
      <c r="F146" s="721">
        <f>suvaha!G145</f>
        <v>59447</v>
      </c>
      <c r="G146" s="722"/>
      <c r="H146" s="510">
        <f t="shared" si="4"/>
        <v>-27065</v>
      </c>
      <c r="X146" s="645"/>
    </row>
    <row r="147" spans="1:26" s="319" customFormat="1" outlineLevel="1">
      <c r="A147" s="326" t="s">
        <v>1813</v>
      </c>
      <c r="B147" s="326" t="s">
        <v>626</v>
      </c>
      <c r="C147" s="327" t="s">
        <v>1705</v>
      </c>
      <c r="D147" s="721">
        <f>suvaha!E146</f>
        <v>501533</v>
      </c>
      <c r="E147" s="722"/>
      <c r="F147" s="721">
        <f>suvaha!G146</f>
        <v>394551</v>
      </c>
      <c r="G147" s="722"/>
      <c r="H147" s="510">
        <f t="shared" si="4"/>
        <v>106982</v>
      </c>
      <c r="X147" s="645"/>
    </row>
    <row r="148" spans="1:26" s="319" customFormat="1" outlineLevel="1">
      <c r="A148" s="394" t="s">
        <v>1814</v>
      </c>
      <c r="B148" s="394" t="s">
        <v>1706</v>
      </c>
      <c r="C148" s="327" t="s">
        <v>1707</v>
      </c>
      <c r="D148" s="721">
        <f>suvaha!E147</f>
        <v>0</v>
      </c>
      <c r="E148" s="722"/>
      <c r="F148" s="721">
        <f>suvaha!G147</f>
        <v>0</v>
      </c>
      <c r="G148" s="722"/>
      <c r="H148" s="510">
        <f t="shared" si="4"/>
        <v>0</v>
      </c>
      <c r="X148" s="645"/>
    </row>
    <row r="149" spans="1:26" s="319" customFormat="1" outlineLevel="1">
      <c r="A149" s="326" t="s">
        <v>1815</v>
      </c>
      <c r="B149" s="326" t="s">
        <v>1816</v>
      </c>
      <c r="C149" s="327" t="s">
        <v>1708</v>
      </c>
      <c r="D149" s="721">
        <f>suvaha!E148</f>
        <v>8265</v>
      </c>
      <c r="E149" s="722"/>
      <c r="F149" s="721">
        <f>suvaha!G148</f>
        <v>4650</v>
      </c>
      <c r="G149" s="722"/>
      <c r="H149" s="510">
        <f t="shared" si="4"/>
        <v>3615</v>
      </c>
      <c r="X149" s="645"/>
    </row>
    <row r="150" spans="1:26" s="335" customFormat="1" outlineLevel="1">
      <c r="A150" s="340" t="s">
        <v>631</v>
      </c>
      <c r="B150" s="340" t="s">
        <v>2574</v>
      </c>
      <c r="C150" s="338" t="s">
        <v>1709</v>
      </c>
      <c r="D150" s="723">
        <f>suvaha!E149</f>
        <v>238441</v>
      </c>
      <c r="E150" s="724"/>
      <c r="F150" s="723">
        <f>suvaha!G149</f>
        <v>529520</v>
      </c>
      <c r="G150" s="724"/>
      <c r="H150" s="510">
        <f t="shared" si="4"/>
        <v>-291079</v>
      </c>
      <c r="X150" s="646"/>
    </row>
    <row r="151" spans="1:26" s="319" customFormat="1" outlineLevel="1">
      <c r="A151" s="326" t="s">
        <v>633</v>
      </c>
      <c r="B151" s="326" t="s">
        <v>1710</v>
      </c>
      <c r="C151" s="327" t="s">
        <v>1711</v>
      </c>
      <c r="D151" s="721">
        <f>suvaha!E150</f>
        <v>0</v>
      </c>
      <c r="E151" s="722"/>
      <c r="F151" s="721">
        <f>suvaha!G150</f>
        <v>5283</v>
      </c>
      <c r="G151" s="722"/>
      <c r="H151" s="508"/>
      <c r="X151" s="645"/>
    </row>
    <row r="152" spans="1:26" s="319" customFormat="1" outlineLevel="1">
      <c r="A152" s="326" t="s">
        <v>635</v>
      </c>
      <c r="B152" s="326" t="s">
        <v>1712</v>
      </c>
      <c r="C152" s="327" t="s">
        <v>1713</v>
      </c>
      <c r="D152" s="721">
        <f>suvaha!E151</f>
        <v>238441</v>
      </c>
      <c r="E152" s="722"/>
      <c r="F152" s="721">
        <f>suvaha!G151</f>
        <v>524237</v>
      </c>
      <c r="G152" s="722"/>
      <c r="H152" s="508"/>
      <c r="X152" s="645"/>
    </row>
    <row r="153" spans="1:26" s="319" customFormat="1" outlineLevel="1">
      <c r="A153" s="396" t="s">
        <v>1714</v>
      </c>
      <c r="B153" s="396" t="s">
        <v>636</v>
      </c>
      <c r="C153" s="327" t="s">
        <v>1715</v>
      </c>
      <c r="D153" s="721">
        <f>suvaha!E152</f>
        <v>5998981</v>
      </c>
      <c r="E153" s="722"/>
      <c r="F153" s="721">
        <f>suvaha!G152</f>
        <v>11649630</v>
      </c>
      <c r="G153" s="722"/>
      <c r="H153" s="510">
        <f>D153-F153</f>
        <v>-5650649</v>
      </c>
      <c r="X153" s="645"/>
    </row>
    <row r="154" spans="1:26" s="319" customFormat="1" outlineLevel="1">
      <c r="A154" s="396" t="s">
        <v>1716</v>
      </c>
      <c r="B154" s="396" t="s">
        <v>629</v>
      </c>
      <c r="C154" s="327" t="s">
        <v>1717</v>
      </c>
      <c r="D154" s="721">
        <f>suvaha!E153</f>
        <v>0</v>
      </c>
      <c r="E154" s="722"/>
      <c r="F154" s="721">
        <f>suvaha!G153</f>
        <v>0</v>
      </c>
      <c r="G154" s="722"/>
      <c r="H154" s="510">
        <f>D154-F154</f>
        <v>0</v>
      </c>
      <c r="X154" s="645"/>
    </row>
    <row r="155" spans="1:26" s="335" customFormat="1" outlineLevel="1">
      <c r="A155" s="392" t="s">
        <v>576</v>
      </c>
      <c r="B155" s="392" t="s">
        <v>1817</v>
      </c>
      <c r="C155" s="338" t="s">
        <v>1718</v>
      </c>
      <c r="D155" s="723">
        <f>suvaha!E154</f>
        <v>20832</v>
      </c>
      <c r="E155" s="724"/>
      <c r="F155" s="723">
        <f>suvaha!G154</f>
        <v>0</v>
      </c>
      <c r="G155" s="724"/>
      <c r="H155" s="510">
        <f>D155-F155</f>
        <v>20832</v>
      </c>
      <c r="X155" s="646"/>
    </row>
    <row r="156" spans="1:26" s="319" customFormat="1" outlineLevel="1">
      <c r="A156" s="326" t="s">
        <v>577</v>
      </c>
      <c r="B156" s="326" t="s">
        <v>639</v>
      </c>
      <c r="C156" s="327" t="s">
        <v>1719</v>
      </c>
      <c r="D156" s="721">
        <f>suvaha!E155</f>
        <v>0</v>
      </c>
      <c r="E156" s="722"/>
      <c r="F156" s="721">
        <f>suvaha!G155</f>
        <v>0</v>
      </c>
      <c r="G156" s="722"/>
      <c r="H156" s="508"/>
      <c r="X156" s="645"/>
    </row>
    <row r="157" spans="1:26" s="319" customFormat="1" outlineLevel="1">
      <c r="A157" s="326" t="s">
        <v>579</v>
      </c>
      <c r="B157" s="326" t="s">
        <v>641</v>
      </c>
      <c r="C157" s="327" t="s">
        <v>1720</v>
      </c>
      <c r="D157" s="721">
        <f>suvaha!E156</f>
        <v>20832</v>
      </c>
      <c r="E157" s="722"/>
      <c r="F157" s="721">
        <f>suvaha!G156</f>
        <v>0</v>
      </c>
      <c r="G157" s="722"/>
      <c r="H157" s="508"/>
      <c r="X157" s="645"/>
    </row>
    <row r="158" spans="1:26" s="319" customFormat="1" outlineLevel="1">
      <c r="A158" s="326" t="s">
        <v>581</v>
      </c>
      <c r="B158" s="326" t="s">
        <v>643</v>
      </c>
      <c r="C158" s="327" t="s">
        <v>1721</v>
      </c>
      <c r="D158" s="721">
        <f>suvaha!E157</f>
        <v>0</v>
      </c>
      <c r="E158" s="722"/>
      <c r="F158" s="721">
        <f>suvaha!G157</f>
        <v>0</v>
      </c>
      <c r="G158" s="722"/>
      <c r="H158" s="508"/>
      <c r="X158" s="645"/>
    </row>
    <row r="159" spans="1:26" s="319" customFormat="1" outlineLevel="1">
      <c r="A159" s="326" t="s">
        <v>583</v>
      </c>
      <c r="B159" s="326" t="s">
        <v>645</v>
      </c>
      <c r="C159" s="327" t="s">
        <v>1722</v>
      </c>
      <c r="D159" s="721">
        <f>suvaha!E158</f>
        <v>0</v>
      </c>
      <c r="E159" s="722"/>
      <c r="F159" s="721">
        <f>suvaha!G158</f>
        <v>0</v>
      </c>
      <c r="G159" s="722"/>
      <c r="H159" s="508"/>
      <c r="X159" s="645"/>
    </row>
    <row r="160" spans="1:26">
      <c r="B160" s="70"/>
      <c r="G160" s="67"/>
      <c r="H160" s="67"/>
      <c r="I160" s="67"/>
      <c r="J160" s="67"/>
      <c r="K160" s="67"/>
      <c r="L160" s="67"/>
      <c r="M160" s="67"/>
      <c r="N160" s="67"/>
      <c r="O160" s="67"/>
      <c r="P160" s="67"/>
      <c r="Q160" s="67"/>
      <c r="R160" s="67"/>
      <c r="S160" s="67"/>
      <c r="T160" s="67"/>
      <c r="U160" s="67"/>
      <c r="V160" s="67"/>
      <c r="W160" s="67"/>
      <c r="X160" s="643"/>
      <c r="Y160" s="70"/>
      <c r="Z160" s="70"/>
    </row>
    <row r="161" spans="1:27">
      <c r="B161" s="70"/>
      <c r="G161" s="67"/>
      <c r="H161" s="67"/>
      <c r="I161" s="67"/>
      <c r="J161" s="67"/>
      <c r="K161" s="67"/>
      <c r="L161" s="67"/>
      <c r="M161" s="67"/>
      <c r="N161" s="67"/>
      <c r="O161" s="67"/>
      <c r="P161" s="67"/>
      <c r="Q161" s="67"/>
      <c r="R161" s="67"/>
      <c r="S161" s="67"/>
      <c r="T161" s="67"/>
      <c r="U161" s="67"/>
      <c r="V161" s="67"/>
      <c r="W161" s="67"/>
      <c r="X161" s="643"/>
      <c r="Y161" s="70"/>
      <c r="Z161" s="70"/>
    </row>
    <row r="162" spans="1:27" ht="63.75">
      <c r="B162" s="70"/>
      <c r="F162" s="518" t="s">
        <v>1238</v>
      </c>
      <c r="G162" s="519" t="s">
        <v>1239</v>
      </c>
      <c r="H162" s="519" t="s">
        <v>1240</v>
      </c>
      <c r="I162" s="519" t="s">
        <v>1241</v>
      </c>
      <c r="J162" s="519" t="s">
        <v>1242</v>
      </c>
      <c r="K162" s="519" t="s">
        <v>1243</v>
      </c>
      <c r="L162" s="519" t="s">
        <v>1244</v>
      </c>
      <c r="M162" s="519" t="s">
        <v>1245</v>
      </c>
      <c r="N162" s="519" t="s">
        <v>1246</v>
      </c>
      <c r="O162" s="519" t="s">
        <v>871</v>
      </c>
      <c r="P162" s="519" t="s">
        <v>1247</v>
      </c>
      <c r="Q162" s="519" t="s">
        <v>1248</v>
      </c>
      <c r="R162" s="519" t="s">
        <v>1249</v>
      </c>
      <c r="S162" s="519" t="s">
        <v>1250</v>
      </c>
      <c r="T162" s="519" t="s">
        <v>1251</v>
      </c>
      <c r="U162" s="519" t="s">
        <v>1252</v>
      </c>
      <c r="V162" s="519" t="s">
        <v>1253</v>
      </c>
      <c r="W162" s="519" t="s">
        <v>1254</v>
      </c>
      <c r="X162" s="652" t="s">
        <v>1255</v>
      </c>
      <c r="Y162" s="519" t="s">
        <v>2764</v>
      </c>
      <c r="Z162" s="519" t="s">
        <v>1256</v>
      </c>
    </row>
    <row r="163" spans="1:27" s="474" customFormat="1" ht="15">
      <c r="A163" s="482" t="s">
        <v>1013</v>
      </c>
      <c r="C163"/>
      <c r="D163"/>
      <c r="E163"/>
      <c r="X163" s="653"/>
    </row>
    <row r="164" spans="1:27" s="474" customFormat="1" ht="15">
      <c r="A164" s="475" t="s">
        <v>1014</v>
      </c>
      <c r="B164" s="486" t="s">
        <v>2715</v>
      </c>
      <c r="C164" s="486"/>
      <c r="D164" s="486"/>
      <c r="E164" s="511"/>
      <c r="F164" s="511"/>
      <c r="G164" s="511">
        <f t="shared" ref="G164:G191" si="5">SUM(H164:W164)</f>
        <v>604948</v>
      </c>
      <c r="H164" s="511"/>
      <c r="I164" s="511"/>
      <c r="J164" s="511"/>
      <c r="K164" s="511"/>
      <c r="L164" s="511"/>
      <c r="M164" s="511"/>
      <c r="N164" s="511"/>
      <c r="O164" s="511"/>
      <c r="P164" s="511"/>
      <c r="Q164" s="511"/>
      <c r="R164" s="511"/>
      <c r="S164" s="511"/>
      <c r="T164" s="511"/>
      <c r="U164" s="511"/>
      <c r="V164" s="511"/>
      <c r="W164" s="511">
        <f>vysledovka!E63</f>
        <v>604948</v>
      </c>
      <c r="X164" s="654"/>
      <c r="Y164" s="517">
        <f t="shared" ref="Y164:Y191" si="6">F164+G164+X164</f>
        <v>604948</v>
      </c>
      <c r="Z164" s="511">
        <f>Y164</f>
        <v>604948</v>
      </c>
    </row>
    <row r="165" spans="1:27" s="474" customFormat="1" ht="15">
      <c r="A165" s="470" t="s">
        <v>1015</v>
      </c>
      <c r="B165" s="488" t="s">
        <v>1016</v>
      </c>
      <c r="C165" s="491" t="s">
        <v>965</v>
      </c>
      <c r="D165" s="491"/>
      <c r="E165" s="512"/>
      <c r="F165" s="512"/>
      <c r="G165" s="512">
        <f t="shared" si="5"/>
        <v>0</v>
      </c>
      <c r="H165" s="512"/>
      <c r="I165" s="512"/>
      <c r="J165" s="512"/>
      <c r="K165" s="512"/>
      <c r="L165" s="512"/>
      <c r="M165" s="512"/>
      <c r="N165" s="512"/>
      <c r="O165" s="512"/>
      <c r="P165" s="512"/>
      <c r="Q165" s="512"/>
      <c r="R165" s="512"/>
      <c r="S165" s="512"/>
      <c r="T165" s="512"/>
      <c r="U165" s="512"/>
      <c r="V165" s="512"/>
      <c r="W165" s="512"/>
      <c r="X165" s="655"/>
      <c r="Y165" s="517">
        <f t="shared" si="6"/>
        <v>0</v>
      </c>
      <c r="AA165" s="540">
        <f>SUM(Z166:Z177)</f>
        <v>1530324</v>
      </c>
    </row>
    <row r="166" spans="1:27" s="474" customFormat="1" ht="15">
      <c r="A166" s="470"/>
      <c r="B166" s="491" t="s">
        <v>1017</v>
      </c>
      <c r="C166" s="491" t="s">
        <v>965</v>
      </c>
      <c r="D166" s="491"/>
      <c r="E166" s="512"/>
      <c r="F166" s="512"/>
      <c r="G166" s="512">
        <f t="shared" si="5"/>
        <v>9551</v>
      </c>
      <c r="H166" s="512"/>
      <c r="I166" s="512">
        <f>C275</f>
        <v>9551</v>
      </c>
      <c r="J166" s="512"/>
      <c r="K166" s="512"/>
      <c r="L166" s="512"/>
      <c r="M166" s="512"/>
      <c r="N166" s="512"/>
      <c r="O166" s="512"/>
      <c r="P166" s="512"/>
      <c r="Q166" s="512"/>
      <c r="R166" s="512"/>
      <c r="S166" s="512"/>
      <c r="T166" s="512"/>
      <c r="U166" s="512"/>
      <c r="V166" s="512"/>
      <c r="W166" s="512"/>
      <c r="X166" s="655"/>
      <c r="Y166" s="517">
        <f t="shared" si="6"/>
        <v>9551</v>
      </c>
      <c r="Z166" s="512">
        <f>Y166</f>
        <v>9551</v>
      </c>
    </row>
    <row r="167" spans="1:27" s="474" customFormat="1" ht="15">
      <c r="A167" s="470"/>
      <c r="B167" s="491" t="s">
        <v>1018</v>
      </c>
      <c r="C167" s="491" t="s">
        <v>965</v>
      </c>
      <c r="D167" s="491"/>
      <c r="E167" s="512"/>
      <c r="F167" s="512"/>
      <c r="G167" s="512">
        <f t="shared" si="5"/>
        <v>0</v>
      </c>
      <c r="H167" s="512"/>
      <c r="I167" s="512"/>
      <c r="J167" s="512"/>
      <c r="K167" s="512"/>
      <c r="L167" s="512"/>
      <c r="M167" s="512"/>
      <c r="N167" s="512"/>
      <c r="O167" s="512"/>
      <c r="P167" s="512"/>
      <c r="Q167" s="512"/>
      <c r="R167" s="512"/>
      <c r="S167" s="512"/>
      <c r="T167" s="512"/>
      <c r="U167" s="512"/>
      <c r="V167" s="512"/>
      <c r="W167" s="512"/>
      <c r="X167" s="655"/>
      <c r="Y167" s="517">
        <f t="shared" si="6"/>
        <v>0</v>
      </c>
      <c r="Z167" s="512">
        <f t="shared" ref="Z167:Z177" si="7">Y167</f>
        <v>0</v>
      </c>
    </row>
    <row r="168" spans="1:27" s="474" customFormat="1" ht="15">
      <c r="A168" s="470"/>
      <c r="B168" s="491" t="s">
        <v>1084</v>
      </c>
      <c r="C168" s="491" t="s">
        <v>965</v>
      </c>
      <c r="D168" s="491"/>
      <c r="E168" s="512"/>
      <c r="F168" s="512"/>
      <c r="G168" s="512">
        <f t="shared" si="5"/>
        <v>0</v>
      </c>
      <c r="H168" s="512"/>
      <c r="I168" s="512"/>
      <c r="J168" s="512"/>
      <c r="K168" s="512"/>
      <c r="L168" s="512"/>
      <c r="M168" s="512"/>
      <c r="N168" s="512"/>
      <c r="O168" s="512"/>
      <c r="P168" s="512"/>
      <c r="Q168" s="512"/>
      <c r="R168" s="512"/>
      <c r="S168" s="512"/>
      <c r="T168" s="512"/>
      <c r="U168" s="512"/>
      <c r="V168" s="512"/>
      <c r="W168" s="512"/>
      <c r="X168" s="655"/>
      <c r="Y168" s="517">
        <f t="shared" si="6"/>
        <v>0</v>
      </c>
      <c r="Z168" s="512">
        <f t="shared" si="7"/>
        <v>0</v>
      </c>
    </row>
    <row r="169" spans="1:27" s="474" customFormat="1" ht="15">
      <c r="A169" s="470"/>
      <c r="B169" s="491" t="s">
        <v>1019</v>
      </c>
      <c r="C169" s="491" t="s">
        <v>965</v>
      </c>
      <c r="D169" s="491"/>
      <c r="E169" s="512"/>
      <c r="F169" s="522">
        <f>+H132+H150</f>
        <v>-291079</v>
      </c>
      <c r="G169" s="512">
        <f>SUM(H169:W169)</f>
        <v>0</v>
      </c>
      <c r="H169" s="512"/>
      <c r="I169" s="512"/>
      <c r="J169" s="512"/>
      <c r="K169" s="512"/>
      <c r="L169" s="512"/>
      <c r="M169" s="512">
        <f>-C339-C340</f>
        <v>0</v>
      </c>
      <c r="N169" s="512"/>
      <c r="O169" s="512"/>
      <c r="P169" s="512"/>
      <c r="Q169" s="512"/>
      <c r="R169" s="512"/>
      <c r="S169" s="512"/>
      <c r="T169" s="512"/>
      <c r="U169" s="512"/>
      <c r="V169" s="512"/>
      <c r="W169" s="512"/>
      <c r="X169" s="655"/>
      <c r="Y169" s="517">
        <f t="shared" si="6"/>
        <v>-291079</v>
      </c>
      <c r="Z169" s="512">
        <f t="shared" si="7"/>
        <v>-291079</v>
      </c>
    </row>
    <row r="170" spans="1:27" s="474" customFormat="1" ht="15">
      <c r="A170" s="470"/>
      <c r="B170" s="491" t="s">
        <v>1020</v>
      </c>
      <c r="C170" s="491" t="s">
        <v>965</v>
      </c>
      <c r="D170" s="491"/>
      <c r="E170" s="512"/>
      <c r="F170" s="512"/>
      <c r="G170" s="512">
        <f>SUM(H170:W170)</f>
        <v>1898556</v>
      </c>
      <c r="H170" s="512"/>
      <c r="I170" s="512"/>
      <c r="J170" s="512"/>
      <c r="K170" s="512"/>
      <c r="L170" s="512"/>
      <c r="M170" s="512"/>
      <c r="N170" s="512">
        <f>F365</f>
        <v>1898556</v>
      </c>
      <c r="O170" s="512"/>
      <c r="P170" s="512"/>
      <c r="Q170" s="512"/>
      <c r="R170" s="512"/>
      <c r="S170" s="512"/>
      <c r="T170" s="512"/>
      <c r="U170" s="512"/>
      <c r="V170" s="512"/>
      <c r="W170" s="512"/>
      <c r="X170" s="655"/>
      <c r="Y170" s="517">
        <f t="shared" si="6"/>
        <v>1898556</v>
      </c>
      <c r="Z170" s="512">
        <f t="shared" si="7"/>
        <v>1898556</v>
      </c>
    </row>
    <row r="171" spans="1:27" s="474" customFormat="1" ht="15">
      <c r="A171" s="470"/>
      <c r="B171" s="491" t="s">
        <v>1021</v>
      </c>
      <c r="C171" s="491" t="s">
        <v>965</v>
      </c>
      <c r="D171" s="491"/>
      <c r="E171" s="512"/>
      <c r="F171" s="522">
        <f>H82+H155</f>
        <v>212098</v>
      </c>
      <c r="G171" s="512">
        <f t="shared" si="5"/>
        <v>0</v>
      </c>
      <c r="H171" s="512"/>
      <c r="I171" s="512"/>
      <c r="J171" s="512">
        <f>-E290</f>
        <v>0</v>
      </c>
      <c r="K171" s="512">
        <f>C305</f>
        <v>0</v>
      </c>
      <c r="L171" s="512"/>
      <c r="M171" s="512">
        <f>-C338-C347</f>
        <v>0</v>
      </c>
      <c r="N171" s="512">
        <f>-F364</f>
        <v>0</v>
      </c>
      <c r="O171" s="512"/>
      <c r="P171" s="512"/>
      <c r="Q171" s="512"/>
      <c r="R171" s="512"/>
      <c r="S171" s="512"/>
      <c r="T171" s="512"/>
      <c r="U171" s="512"/>
      <c r="V171" s="512"/>
      <c r="W171" s="512"/>
      <c r="X171" s="655"/>
      <c r="Y171" s="517">
        <f t="shared" si="6"/>
        <v>212098</v>
      </c>
      <c r="Z171" s="512">
        <f t="shared" si="7"/>
        <v>212098</v>
      </c>
    </row>
    <row r="172" spans="1:27" s="474" customFormat="1" ht="15">
      <c r="B172" s="491" t="s">
        <v>1022</v>
      </c>
      <c r="C172" s="491" t="s">
        <v>965</v>
      </c>
      <c r="D172" s="491"/>
      <c r="E172" s="512"/>
      <c r="F172" s="512"/>
      <c r="G172" s="512">
        <f t="shared" si="5"/>
        <v>0</v>
      </c>
      <c r="H172" s="512"/>
      <c r="I172" s="512"/>
      <c r="J172" s="512"/>
      <c r="K172" s="512"/>
      <c r="L172" s="512"/>
      <c r="M172" s="512"/>
      <c r="N172" s="512"/>
      <c r="O172" s="512"/>
      <c r="P172" s="512"/>
      <c r="Q172" s="512"/>
      <c r="R172" s="512">
        <f>-C405</f>
        <v>0</v>
      </c>
      <c r="S172" s="512"/>
      <c r="T172" s="512"/>
      <c r="U172" s="512"/>
      <c r="V172" s="512"/>
      <c r="W172" s="512"/>
      <c r="X172" s="655"/>
      <c r="Y172" s="517">
        <f t="shared" si="6"/>
        <v>0</v>
      </c>
      <c r="Z172" s="512">
        <f t="shared" si="7"/>
        <v>0</v>
      </c>
    </row>
    <row r="173" spans="1:27" s="474" customFormat="1" ht="15">
      <c r="B173" s="491" t="s">
        <v>1023</v>
      </c>
      <c r="C173" s="491" t="s">
        <v>965</v>
      </c>
      <c r="D173" s="491"/>
      <c r="E173" s="512"/>
      <c r="F173" s="512"/>
      <c r="G173" s="512">
        <f t="shared" si="5"/>
        <v>288671</v>
      </c>
      <c r="H173" s="512"/>
      <c r="I173" s="512"/>
      <c r="J173" s="512">
        <f>C283</f>
        <v>288671</v>
      </c>
      <c r="K173" s="512"/>
      <c r="L173" s="512"/>
      <c r="M173" s="512"/>
      <c r="N173" s="512"/>
      <c r="O173" s="512"/>
      <c r="P173" s="512"/>
      <c r="Q173" s="512"/>
      <c r="R173" s="512"/>
      <c r="S173" s="512"/>
      <c r="T173" s="512"/>
      <c r="U173" s="512"/>
      <c r="V173" s="512"/>
      <c r="W173" s="512"/>
      <c r="X173" s="655"/>
      <c r="Y173" s="517">
        <f t="shared" si="6"/>
        <v>288671</v>
      </c>
      <c r="Z173" s="512">
        <f t="shared" si="7"/>
        <v>288671</v>
      </c>
    </row>
    <row r="174" spans="1:27" s="474" customFormat="1" ht="15">
      <c r="B174" s="491" t="s">
        <v>1024</v>
      </c>
      <c r="C174" s="491" t="s">
        <v>965</v>
      </c>
      <c r="D174" s="491"/>
      <c r="E174" s="512"/>
      <c r="F174" s="512"/>
      <c r="G174" s="512">
        <f t="shared" si="5"/>
        <v>-655176</v>
      </c>
      <c r="H174" s="512"/>
      <c r="I174" s="512"/>
      <c r="J174" s="512"/>
      <c r="K174" s="512">
        <f>-E299-E312</f>
        <v>-655176</v>
      </c>
      <c r="L174" s="512"/>
      <c r="M174" s="512"/>
      <c r="N174" s="512"/>
      <c r="O174" s="512"/>
      <c r="P174" s="512"/>
      <c r="Q174" s="512"/>
      <c r="R174" s="512"/>
      <c r="S174" s="512"/>
      <c r="T174" s="512"/>
      <c r="U174" s="512"/>
      <c r="V174" s="512"/>
      <c r="W174" s="512"/>
      <c r="X174" s="655"/>
      <c r="Y174" s="517">
        <f t="shared" si="6"/>
        <v>-655176</v>
      </c>
      <c r="Z174" s="512">
        <f t="shared" si="7"/>
        <v>-655176</v>
      </c>
    </row>
    <row r="175" spans="1:27" s="474" customFormat="1" ht="15">
      <c r="B175" s="491" t="s">
        <v>1025</v>
      </c>
      <c r="C175" s="491" t="s">
        <v>965</v>
      </c>
      <c r="D175" s="491"/>
      <c r="E175" s="512"/>
      <c r="F175" s="512"/>
      <c r="G175" s="512">
        <f t="shared" si="5"/>
        <v>0</v>
      </c>
      <c r="H175" s="512"/>
      <c r="I175" s="512"/>
      <c r="J175" s="512"/>
      <c r="K175" s="512"/>
      <c r="L175" s="512"/>
      <c r="M175" s="512">
        <f>+C336</f>
        <v>0</v>
      </c>
      <c r="N175" s="512"/>
      <c r="O175" s="512"/>
      <c r="P175" s="512"/>
      <c r="Q175" s="512"/>
      <c r="R175" s="512"/>
      <c r="S175" s="512"/>
      <c r="T175" s="512"/>
      <c r="U175" s="512"/>
      <c r="V175" s="512"/>
      <c r="W175" s="512"/>
      <c r="X175" s="655"/>
      <c r="Y175" s="517">
        <f t="shared" si="6"/>
        <v>0</v>
      </c>
      <c r="Z175" s="512">
        <f t="shared" si="7"/>
        <v>0</v>
      </c>
    </row>
    <row r="176" spans="1:27" s="474" customFormat="1" ht="15">
      <c r="B176" s="491" t="s">
        <v>1085</v>
      </c>
      <c r="C176" s="491" t="s">
        <v>965</v>
      </c>
      <c r="D176" s="491"/>
      <c r="E176" s="512"/>
      <c r="F176" s="512"/>
      <c r="G176" s="512">
        <f t="shared" si="5"/>
        <v>0</v>
      </c>
      <c r="H176" s="512"/>
      <c r="I176" s="512"/>
      <c r="J176" s="512"/>
      <c r="K176" s="512"/>
      <c r="L176" s="512">
        <f>-C324</f>
        <v>0</v>
      </c>
      <c r="M176" s="512"/>
      <c r="N176" s="512"/>
      <c r="O176" s="512"/>
      <c r="P176" s="512"/>
      <c r="Q176" s="512"/>
      <c r="R176" s="512"/>
      <c r="S176" s="512"/>
      <c r="T176" s="512"/>
      <c r="U176" s="512"/>
      <c r="V176" s="512"/>
      <c r="W176" s="512"/>
      <c r="X176" s="655"/>
      <c r="Y176" s="517">
        <f t="shared" si="6"/>
        <v>0</v>
      </c>
      <c r="Z176" s="512">
        <f t="shared" si="7"/>
        <v>0</v>
      </c>
    </row>
    <row r="177" spans="1:27" s="474" customFormat="1" ht="15">
      <c r="B177" s="491" t="s">
        <v>1026</v>
      </c>
      <c r="C177" s="491" t="s">
        <v>965</v>
      </c>
      <c r="D177" s="491"/>
      <c r="E177" s="512"/>
      <c r="F177" s="512"/>
      <c r="G177" s="512">
        <f t="shared" si="5"/>
        <v>67703</v>
      </c>
      <c r="H177" s="512"/>
      <c r="I177" s="512"/>
      <c r="J177" s="512"/>
      <c r="K177" s="512"/>
      <c r="L177" s="512"/>
      <c r="M177" s="512">
        <f>C350-C351-C336+1</f>
        <v>67703</v>
      </c>
      <c r="N177" s="512"/>
      <c r="O177" s="512">
        <f>C384</f>
        <v>0</v>
      </c>
      <c r="P177" s="512">
        <f>C387</f>
        <v>0</v>
      </c>
      <c r="Q177" s="512">
        <f>C399</f>
        <v>0</v>
      </c>
      <c r="R177" s="512"/>
      <c r="S177" s="512"/>
      <c r="T177" s="512"/>
      <c r="U177" s="512">
        <f>-C450</f>
        <v>0</v>
      </c>
      <c r="V177" s="512"/>
      <c r="W177" s="512"/>
      <c r="X177" s="662"/>
      <c r="Y177" s="517">
        <f t="shared" si="6"/>
        <v>67703</v>
      </c>
      <c r="Z177" s="512">
        <f t="shared" si="7"/>
        <v>67703</v>
      </c>
      <c r="AA177" s="587"/>
    </row>
    <row r="178" spans="1:27" s="474" customFormat="1" ht="15">
      <c r="A178" s="474" t="s">
        <v>1027</v>
      </c>
      <c r="B178" s="488" t="s">
        <v>1028</v>
      </c>
      <c r="C178" s="491" t="s">
        <v>965</v>
      </c>
      <c r="D178" s="491"/>
      <c r="E178" s="512"/>
      <c r="F178" s="512"/>
      <c r="G178" s="512">
        <f t="shared" si="5"/>
        <v>0</v>
      </c>
      <c r="H178" s="512"/>
      <c r="I178" s="512"/>
      <c r="J178" s="512"/>
      <c r="K178" s="512"/>
      <c r="L178" s="512"/>
      <c r="M178" s="512"/>
      <c r="N178" s="512"/>
      <c r="O178" s="512"/>
      <c r="P178" s="512"/>
      <c r="Q178" s="512"/>
      <c r="R178" s="512"/>
      <c r="S178" s="512"/>
      <c r="T178" s="512"/>
      <c r="U178" s="512"/>
      <c r="V178" s="512"/>
      <c r="W178" s="512"/>
      <c r="X178" s="655"/>
      <c r="Y178" s="517">
        <f t="shared" si="6"/>
        <v>0</v>
      </c>
      <c r="Z178" s="512"/>
      <c r="AA178" s="540">
        <f>SUM(Z179:Z182)</f>
        <v>-5026734</v>
      </c>
    </row>
    <row r="179" spans="1:27" s="474" customFormat="1" ht="15">
      <c r="B179" s="491" t="s">
        <v>1029</v>
      </c>
      <c r="C179" s="491" t="s">
        <v>965</v>
      </c>
      <c r="D179" s="491"/>
      <c r="E179" s="512"/>
      <c r="F179" s="522">
        <f>H50+H54+H59+H60+H62+H66+H70+H71+H73</f>
        <v>1336797</v>
      </c>
      <c r="G179" s="512">
        <f t="shared" si="5"/>
        <v>-1966258</v>
      </c>
      <c r="H179" s="512">
        <f>D262+D271</f>
        <v>0</v>
      </c>
      <c r="I179" s="512"/>
      <c r="J179" s="512"/>
      <c r="K179" s="512">
        <f>C304</f>
        <v>0</v>
      </c>
      <c r="L179" s="512"/>
      <c r="M179" s="512">
        <f>-C334-C335</f>
        <v>-67702</v>
      </c>
      <c r="N179" s="512">
        <f>-F362</f>
        <v>-1898556</v>
      </c>
      <c r="O179" s="512">
        <f>-C381</f>
        <v>0</v>
      </c>
      <c r="P179" s="512">
        <f>-C387</f>
        <v>0</v>
      </c>
      <c r="Q179" s="512">
        <f>-C396</f>
        <v>0</v>
      </c>
      <c r="R179" s="512">
        <f>C409</f>
        <v>0</v>
      </c>
      <c r="S179" s="512"/>
      <c r="T179" s="512">
        <f>C436</f>
        <v>0</v>
      </c>
      <c r="U179" s="512">
        <f>-C446</f>
        <v>0</v>
      </c>
      <c r="V179" s="512"/>
      <c r="W179" s="512"/>
      <c r="X179" s="655"/>
      <c r="Y179" s="517">
        <f t="shared" si="6"/>
        <v>-629461</v>
      </c>
      <c r="Z179" s="512">
        <f>Y179</f>
        <v>-629461</v>
      </c>
    </row>
    <row r="180" spans="1:27" s="474" customFormat="1" ht="15">
      <c r="B180" s="491" t="s">
        <v>1030</v>
      </c>
      <c r="C180" s="491" t="s">
        <v>965</v>
      </c>
      <c r="D180" s="491"/>
      <c r="E180" s="512"/>
      <c r="F180" s="522">
        <f>H117+H121+H124+H125+H128+H129+H131+H137+H141+H145+H146+H147+H149</f>
        <v>-5870012</v>
      </c>
      <c r="G180" s="512">
        <f t="shared" si="5"/>
        <v>726422</v>
      </c>
      <c r="H180" s="512">
        <f>E262+E271</f>
        <v>726422</v>
      </c>
      <c r="I180" s="512"/>
      <c r="J180" s="512">
        <f>-E287</f>
        <v>0</v>
      </c>
      <c r="K180" s="512"/>
      <c r="L180" s="512"/>
      <c r="M180" s="512">
        <f>-C345</f>
        <v>0</v>
      </c>
      <c r="N180" s="512"/>
      <c r="O180" s="512"/>
      <c r="P180" s="512"/>
      <c r="Q180" s="512"/>
      <c r="R180" s="512"/>
      <c r="S180" s="512">
        <f>-C417-C421-C422</f>
        <v>0</v>
      </c>
      <c r="T180" s="512"/>
      <c r="U180" s="512">
        <f>-C449</f>
        <v>0</v>
      </c>
      <c r="V180" s="512">
        <f>E460</f>
        <v>0</v>
      </c>
      <c r="W180" s="512"/>
      <c r="X180" s="656"/>
      <c r="Y180" s="517">
        <f t="shared" si="6"/>
        <v>-5143590</v>
      </c>
      <c r="Z180" s="512">
        <f>Y180</f>
        <v>-5143590</v>
      </c>
      <c r="AA180" s="586"/>
    </row>
    <row r="181" spans="1:27" s="474" customFormat="1" ht="15">
      <c r="B181" s="491" t="s">
        <v>1031</v>
      </c>
      <c r="C181" s="491" t="s">
        <v>965</v>
      </c>
      <c r="D181" s="491"/>
      <c r="E181" s="512"/>
      <c r="F181" s="522">
        <f>H42</f>
        <v>746317</v>
      </c>
      <c r="G181" s="512">
        <f t="shared" si="5"/>
        <v>0</v>
      </c>
      <c r="H181" s="512"/>
      <c r="I181" s="512"/>
      <c r="J181" s="512"/>
      <c r="K181" s="512"/>
      <c r="L181" s="512"/>
      <c r="M181" s="512">
        <f>-C333</f>
        <v>0</v>
      </c>
      <c r="N181" s="512">
        <f>-F363</f>
        <v>0</v>
      </c>
      <c r="O181" s="512">
        <f>-C380</f>
        <v>0</v>
      </c>
      <c r="P181" s="512"/>
      <c r="Q181" s="512">
        <f>-C395</f>
        <v>0</v>
      </c>
      <c r="R181" s="512"/>
      <c r="S181" s="512"/>
      <c r="T181" s="512">
        <f>C435</f>
        <v>0</v>
      </c>
      <c r="U181" s="512">
        <f>-C447</f>
        <v>0</v>
      </c>
      <c r="V181" s="512"/>
      <c r="W181" s="512"/>
      <c r="X181" s="655"/>
      <c r="Y181" s="517">
        <f t="shared" si="6"/>
        <v>746317</v>
      </c>
      <c r="Z181" s="512">
        <f>Y181</f>
        <v>746317</v>
      </c>
    </row>
    <row r="182" spans="1:27" s="474" customFormat="1" ht="15">
      <c r="B182" s="491" t="s">
        <v>1032</v>
      </c>
      <c r="C182" s="491" t="s">
        <v>965</v>
      </c>
      <c r="D182" s="491"/>
      <c r="E182" s="512"/>
      <c r="F182" s="522">
        <f>H75+H76+H78</f>
        <v>0</v>
      </c>
      <c r="G182" s="512">
        <f>SUM(H182:W182)</f>
        <v>0</v>
      </c>
      <c r="H182" s="512"/>
      <c r="I182" s="512"/>
      <c r="J182" s="512"/>
      <c r="K182" s="512">
        <f>C315</f>
        <v>0</v>
      </c>
      <c r="L182" s="512"/>
      <c r="M182" s="512">
        <f>-C337</f>
        <v>0</v>
      </c>
      <c r="N182" s="512">
        <f>-F361</f>
        <v>0</v>
      </c>
      <c r="O182" s="512">
        <f>-C379</f>
        <v>0</v>
      </c>
      <c r="P182" s="512"/>
      <c r="Q182" s="512">
        <f>-C394</f>
        <v>0</v>
      </c>
      <c r="R182" s="512"/>
      <c r="S182" s="512"/>
      <c r="T182" s="512">
        <f>C434</f>
        <v>0</v>
      </c>
      <c r="U182" s="512"/>
      <c r="V182" s="512"/>
      <c r="W182" s="512"/>
      <c r="X182" s="655"/>
      <c r="Y182" s="517">
        <f t="shared" si="6"/>
        <v>0</v>
      </c>
      <c r="Z182" s="512">
        <f>Y182</f>
        <v>0</v>
      </c>
    </row>
    <row r="183" spans="1:27" s="474" customFormat="1" ht="15">
      <c r="B183" s="491" t="s">
        <v>1469</v>
      </c>
      <c r="C183" s="491" t="s">
        <v>965</v>
      </c>
      <c r="D183" s="491"/>
      <c r="E183" s="512"/>
      <c r="F183" s="512"/>
      <c r="G183" s="512">
        <f t="shared" si="5"/>
        <v>0</v>
      </c>
      <c r="H183" s="512"/>
      <c r="I183" s="512"/>
      <c r="J183" s="512"/>
      <c r="K183" s="512"/>
      <c r="L183" s="512"/>
      <c r="M183" s="512"/>
      <c r="N183" s="512"/>
      <c r="O183" s="512"/>
      <c r="P183" s="512"/>
      <c r="Q183" s="512"/>
      <c r="R183" s="512"/>
      <c r="S183" s="512"/>
      <c r="T183" s="512"/>
      <c r="U183" s="512"/>
      <c r="V183" s="512"/>
      <c r="W183" s="512"/>
      <c r="X183" s="655"/>
      <c r="Y183" s="517">
        <f t="shared" si="6"/>
        <v>0</v>
      </c>
      <c r="Z183" s="512"/>
      <c r="AA183" s="540">
        <f>AA178+AA165+Z164</f>
        <v>-2891462</v>
      </c>
    </row>
    <row r="184" spans="1:27" s="474" customFormat="1" ht="15">
      <c r="B184" s="491" t="s">
        <v>1033</v>
      </c>
      <c r="C184" s="491" t="s">
        <v>965</v>
      </c>
      <c r="D184" s="491"/>
      <c r="E184" s="512"/>
      <c r="F184" s="512"/>
      <c r="G184" s="512">
        <f t="shared" si="5"/>
        <v>655176</v>
      </c>
      <c r="H184" s="512"/>
      <c r="I184" s="512"/>
      <c r="J184" s="512"/>
      <c r="K184" s="512">
        <f>C298+C311</f>
        <v>655176</v>
      </c>
      <c r="L184" s="512"/>
      <c r="M184" s="512"/>
      <c r="N184" s="512"/>
      <c r="O184" s="512"/>
      <c r="P184" s="512"/>
      <c r="Q184" s="512"/>
      <c r="R184" s="512"/>
      <c r="S184" s="512"/>
      <c r="T184" s="512"/>
      <c r="U184" s="512"/>
      <c r="V184" s="512"/>
      <c r="W184" s="512"/>
      <c r="X184" s="655"/>
      <c r="Y184" s="517">
        <f t="shared" si="6"/>
        <v>655176</v>
      </c>
      <c r="Z184" s="512">
        <f>Y184</f>
        <v>655176</v>
      </c>
    </row>
    <row r="185" spans="1:27" s="474" customFormat="1" ht="15">
      <c r="B185" s="491" t="s">
        <v>1034</v>
      </c>
      <c r="C185" s="491" t="s">
        <v>965</v>
      </c>
      <c r="D185" s="491"/>
      <c r="E185" s="512"/>
      <c r="F185" s="512"/>
      <c r="G185" s="512">
        <f t="shared" si="5"/>
        <v>-288671</v>
      </c>
      <c r="H185" s="512"/>
      <c r="I185" s="512"/>
      <c r="J185" s="512">
        <f>-C282</f>
        <v>-288671</v>
      </c>
      <c r="K185" s="512"/>
      <c r="L185" s="512"/>
      <c r="M185" s="512"/>
      <c r="N185" s="512"/>
      <c r="O185" s="512"/>
      <c r="P185" s="512"/>
      <c r="Q185" s="512"/>
      <c r="R185" s="512"/>
      <c r="S185" s="512"/>
      <c r="T185" s="512"/>
      <c r="U185" s="512"/>
      <c r="V185" s="512"/>
      <c r="W185" s="512"/>
      <c r="X185" s="655"/>
      <c r="Y185" s="517">
        <f t="shared" si="6"/>
        <v>-288671</v>
      </c>
      <c r="Z185" s="512">
        <f t="shared" ref="Z185:Z190" si="8">Y185</f>
        <v>-288671</v>
      </c>
    </row>
    <row r="186" spans="1:27" s="474" customFormat="1" ht="15">
      <c r="B186" s="491" t="s">
        <v>1035</v>
      </c>
      <c r="C186" s="491" t="s">
        <v>965</v>
      </c>
      <c r="D186" s="491"/>
      <c r="E186" s="512"/>
      <c r="F186" s="512"/>
      <c r="G186" s="512">
        <f t="shared" si="5"/>
        <v>0</v>
      </c>
      <c r="H186" s="512"/>
      <c r="I186" s="512"/>
      <c r="J186" s="512"/>
      <c r="K186" s="512"/>
      <c r="L186" s="512"/>
      <c r="M186" s="512"/>
      <c r="N186" s="512"/>
      <c r="O186" s="512"/>
      <c r="P186" s="512"/>
      <c r="Q186" s="512"/>
      <c r="R186" s="512"/>
      <c r="S186" s="512"/>
      <c r="T186" s="512"/>
      <c r="U186" s="512"/>
      <c r="V186" s="512"/>
      <c r="W186" s="512"/>
      <c r="X186" s="655"/>
      <c r="Y186" s="517">
        <f t="shared" si="6"/>
        <v>0</v>
      </c>
      <c r="Z186" s="512">
        <f t="shared" si="8"/>
        <v>0</v>
      </c>
    </row>
    <row r="187" spans="1:27" s="474" customFormat="1" ht="15">
      <c r="B187" s="491" t="s">
        <v>1036</v>
      </c>
      <c r="C187" s="491" t="s">
        <v>965</v>
      </c>
      <c r="D187" s="491"/>
      <c r="E187" s="512"/>
      <c r="F187" s="512"/>
      <c r="G187" s="512">
        <f t="shared" si="5"/>
        <v>0</v>
      </c>
      <c r="H187" s="512"/>
      <c r="I187" s="512"/>
      <c r="J187" s="512"/>
      <c r="K187" s="512"/>
      <c r="L187" s="512"/>
      <c r="M187" s="512"/>
      <c r="N187" s="512"/>
      <c r="O187" s="512"/>
      <c r="P187" s="512"/>
      <c r="Q187" s="512"/>
      <c r="R187" s="512"/>
      <c r="S187" s="512"/>
      <c r="T187" s="512"/>
      <c r="U187" s="512"/>
      <c r="V187" s="512"/>
      <c r="W187" s="512"/>
      <c r="X187" s="655"/>
      <c r="Y187" s="517">
        <f t="shared" si="6"/>
        <v>0</v>
      </c>
      <c r="Z187" s="512">
        <f t="shared" si="8"/>
        <v>0</v>
      </c>
    </row>
    <row r="188" spans="1:27" s="474" customFormat="1" ht="15">
      <c r="A188" s="470"/>
      <c r="B188" s="491" t="s">
        <v>1037</v>
      </c>
      <c r="C188" s="491" t="s">
        <v>965</v>
      </c>
      <c r="D188" s="491"/>
      <c r="E188" s="512"/>
      <c r="F188" s="512"/>
      <c r="G188" s="512">
        <f t="shared" si="5"/>
        <v>-875623</v>
      </c>
      <c r="H188" s="512">
        <f>-SUM(C257:C259)</f>
        <v>-875623</v>
      </c>
      <c r="I188" s="512"/>
      <c r="J188" s="512"/>
      <c r="K188" s="512"/>
      <c r="L188" s="512"/>
      <c r="M188" s="512"/>
      <c r="N188" s="512"/>
      <c r="O188" s="512"/>
      <c r="P188" s="512"/>
      <c r="Q188" s="512"/>
      <c r="R188" s="512"/>
      <c r="S188" s="512"/>
      <c r="T188" s="512"/>
      <c r="U188" s="512"/>
      <c r="V188" s="512"/>
      <c r="W188" s="512"/>
      <c r="X188" s="655"/>
      <c r="Y188" s="517">
        <f t="shared" si="6"/>
        <v>-875623</v>
      </c>
      <c r="Z188" s="512">
        <f t="shared" si="8"/>
        <v>-875623</v>
      </c>
    </row>
    <row r="189" spans="1:27" s="474" customFormat="1" ht="15">
      <c r="A189" s="470"/>
      <c r="B189" s="491" t="s">
        <v>2722</v>
      </c>
      <c r="C189" s="491" t="s">
        <v>965</v>
      </c>
      <c r="D189" s="491"/>
      <c r="E189" s="512"/>
      <c r="F189" s="512"/>
      <c r="G189" s="512">
        <f t="shared" si="5"/>
        <v>0</v>
      </c>
      <c r="H189" s="512"/>
      <c r="I189" s="512"/>
      <c r="J189" s="512"/>
      <c r="K189" s="512"/>
      <c r="L189" s="512"/>
      <c r="M189" s="512"/>
      <c r="N189" s="512"/>
      <c r="O189" s="512"/>
      <c r="P189" s="512"/>
      <c r="Q189" s="512"/>
      <c r="R189" s="512"/>
      <c r="S189" s="512"/>
      <c r="T189" s="512"/>
      <c r="U189" s="512"/>
      <c r="V189" s="512"/>
      <c r="W189" s="512"/>
      <c r="X189" s="655"/>
      <c r="Y189" s="517">
        <f t="shared" si="6"/>
        <v>0</v>
      </c>
      <c r="Z189" s="512">
        <f t="shared" si="8"/>
        <v>0</v>
      </c>
    </row>
    <row r="190" spans="1:27" s="474" customFormat="1" ht="15">
      <c r="A190" s="470"/>
      <c r="B190" s="491" t="s">
        <v>2724</v>
      </c>
      <c r="C190" s="491" t="s">
        <v>965</v>
      </c>
      <c r="D190" s="491"/>
      <c r="E190" s="512"/>
      <c r="F190" s="512"/>
      <c r="G190" s="512">
        <f t="shared" si="5"/>
        <v>0</v>
      </c>
      <c r="H190" s="512"/>
      <c r="I190" s="512"/>
      <c r="J190" s="512"/>
      <c r="K190" s="512"/>
      <c r="L190" s="512"/>
      <c r="M190" s="512"/>
      <c r="N190" s="512"/>
      <c r="O190" s="512"/>
      <c r="P190" s="512"/>
      <c r="Q190" s="512"/>
      <c r="R190" s="512"/>
      <c r="S190" s="512"/>
      <c r="T190" s="512"/>
      <c r="U190" s="512"/>
      <c r="V190" s="512"/>
      <c r="W190" s="512"/>
      <c r="X190" s="655"/>
      <c r="Y190" s="517">
        <f t="shared" si="6"/>
        <v>0</v>
      </c>
      <c r="Z190" s="512">
        <f t="shared" si="8"/>
        <v>0</v>
      </c>
    </row>
    <row r="191" spans="1:27" s="474" customFormat="1" ht="15">
      <c r="A191" s="470" t="s">
        <v>495</v>
      </c>
      <c r="B191" s="494" t="s">
        <v>1038</v>
      </c>
      <c r="C191" s="491" t="s">
        <v>965</v>
      </c>
      <c r="D191" s="486"/>
      <c r="E191" s="511"/>
      <c r="F191" s="511"/>
      <c r="G191" s="511">
        <f t="shared" si="5"/>
        <v>0</v>
      </c>
      <c r="H191" s="511"/>
      <c r="I191" s="511"/>
      <c r="J191" s="511"/>
      <c r="K191" s="511"/>
      <c r="L191" s="511"/>
      <c r="M191" s="511"/>
      <c r="N191" s="511"/>
      <c r="O191" s="511"/>
      <c r="P191" s="511"/>
      <c r="Q191" s="511"/>
      <c r="R191" s="511"/>
      <c r="S191" s="511"/>
      <c r="T191" s="511"/>
      <c r="U191" s="511"/>
      <c r="V191" s="511"/>
      <c r="W191" s="511"/>
      <c r="X191" s="654"/>
      <c r="Y191" s="517">
        <f t="shared" si="6"/>
        <v>0</v>
      </c>
      <c r="Z191" s="512"/>
      <c r="AA191" s="540">
        <f>SUM(Z183:Z190)+AA183</f>
        <v>-3400580</v>
      </c>
    </row>
    <row r="192" spans="1:27" s="474" customFormat="1" ht="15">
      <c r="A192" s="470"/>
      <c r="B192" s="495"/>
      <c r="C192"/>
      <c r="D192"/>
      <c r="E192"/>
      <c r="F192"/>
      <c r="G192"/>
      <c r="H192"/>
      <c r="I192"/>
      <c r="J192"/>
      <c r="K192"/>
      <c r="L192"/>
      <c r="M192"/>
      <c r="N192"/>
      <c r="O192"/>
      <c r="P192"/>
      <c r="Q192"/>
      <c r="R192"/>
      <c r="S192"/>
      <c r="T192"/>
      <c r="U192"/>
      <c r="V192"/>
      <c r="W192"/>
      <c r="X192" s="598"/>
      <c r="Y192"/>
      <c r="Z192"/>
    </row>
    <row r="193" spans="1:30" s="474" customFormat="1" ht="15">
      <c r="A193" s="482" t="s">
        <v>1039</v>
      </c>
      <c r="B193" s="482"/>
      <c r="C193"/>
      <c r="D193"/>
      <c r="E193"/>
      <c r="F193"/>
      <c r="G193"/>
      <c r="H193"/>
      <c r="I193"/>
      <c r="J193"/>
      <c r="K193"/>
      <c r="L193"/>
      <c r="M193"/>
      <c r="N193"/>
      <c r="O193"/>
      <c r="P193"/>
      <c r="Q193"/>
      <c r="R193"/>
      <c r="S193"/>
      <c r="T193"/>
      <c r="U193"/>
      <c r="V193"/>
      <c r="W193"/>
      <c r="X193" s="598"/>
      <c r="Y193"/>
      <c r="Z193"/>
    </row>
    <row r="194" spans="1:30" s="474" customFormat="1" ht="15">
      <c r="A194" s="470"/>
      <c r="B194" s="491" t="s">
        <v>1040</v>
      </c>
      <c r="C194" s="491" t="s">
        <v>965</v>
      </c>
      <c r="D194" s="491"/>
      <c r="E194" s="512"/>
      <c r="F194" s="512"/>
      <c r="G194" s="512">
        <f t="shared" ref="G194:G213" si="9">SUM(H194:W194)</f>
        <v>0</v>
      </c>
      <c r="H194" s="512"/>
      <c r="I194" s="512"/>
      <c r="J194" s="512"/>
      <c r="K194" s="512"/>
      <c r="L194" s="512"/>
      <c r="M194" s="512"/>
      <c r="N194" s="512"/>
      <c r="O194" s="512"/>
      <c r="P194" s="512"/>
      <c r="Q194" s="512"/>
      <c r="R194" s="512"/>
      <c r="S194" s="512"/>
      <c r="T194" s="512"/>
      <c r="U194" s="512"/>
      <c r="V194" s="512"/>
      <c r="W194" s="512"/>
      <c r="X194" s="655"/>
      <c r="Y194" s="517">
        <f t="shared" ref="Y194:Y213" si="10">F194+G194+X194</f>
        <v>0</v>
      </c>
      <c r="Z194" s="512">
        <f>AD199</f>
        <v>-685131</v>
      </c>
    </row>
    <row r="195" spans="1:30" s="474" customFormat="1" ht="15">
      <c r="A195" s="470"/>
      <c r="B195" s="491" t="s">
        <v>1041</v>
      </c>
      <c r="C195" s="491" t="s">
        <v>965</v>
      </c>
      <c r="D195" s="491"/>
      <c r="E195" s="512"/>
      <c r="F195" s="522">
        <f>H11+H19</f>
        <v>-778853</v>
      </c>
      <c r="G195" s="512">
        <f t="shared" si="9"/>
        <v>-9551</v>
      </c>
      <c r="H195" s="512"/>
      <c r="I195" s="512">
        <f>-C275</f>
        <v>-9551</v>
      </c>
      <c r="J195" s="512">
        <f>D283</f>
        <v>0</v>
      </c>
      <c r="K195" s="512"/>
      <c r="L195" s="512">
        <f>-C321</f>
        <v>0</v>
      </c>
      <c r="M195" s="512">
        <f>-C329-C330</f>
        <v>0</v>
      </c>
      <c r="N195" s="512">
        <f>-F357</f>
        <v>0</v>
      </c>
      <c r="O195" s="512">
        <f>-C376</f>
        <v>0</v>
      </c>
      <c r="P195" s="512"/>
      <c r="Q195" s="512">
        <f>-C392</f>
        <v>0</v>
      </c>
      <c r="R195" s="512"/>
      <c r="S195" s="512"/>
      <c r="T195" s="512">
        <f>C431</f>
        <v>0</v>
      </c>
      <c r="U195" s="512">
        <f>-C448</f>
        <v>0</v>
      </c>
      <c r="V195" s="512">
        <f>D464</f>
        <v>0</v>
      </c>
      <c r="W195" s="512"/>
      <c r="X195" s="656"/>
      <c r="Y195" s="517">
        <f t="shared" si="10"/>
        <v>-788404</v>
      </c>
      <c r="Z195" s="512">
        <f>Y195-Z194</f>
        <v>-103273</v>
      </c>
      <c r="AA195" s="586"/>
      <c r="AC195" s="532" t="s">
        <v>1213</v>
      </c>
      <c r="AD195" s="530"/>
    </row>
    <row r="196" spans="1:30" s="474" customFormat="1" ht="15">
      <c r="A196" s="470"/>
      <c r="B196" s="491" t="s">
        <v>1042</v>
      </c>
      <c r="C196" s="491" t="s">
        <v>965</v>
      </c>
      <c r="D196" s="491"/>
      <c r="E196" s="512"/>
      <c r="F196" s="522">
        <f>H30+H31+H32+H36+H39+H40+H109</f>
        <v>-21920481.530000001</v>
      </c>
      <c r="G196" s="512">
        <f t="shared" si="9"/>
        <v>0</v>
      </c>
      <c r="H196" s="512"/>
      <c r="I196" s="512"/>
      <c r="J196" s="512"/>
      <c r="K196" s="512">
        <f>D315</f>
        <v>0</v>
      </c>
      <c r="L196" s="512">
        <f>-C323</f>
        <v>0</v>
      </c>
      <c r="M196" s="512">
        <f>-C331</f>
        <v>0</v>
      </c>
      <c r="N196" s="512">
        <f>-F359</f>
        <v>0</v>
      </c>
      <c r="O196" s="512">
        <f>-C377</f>
        <v>0</v>
      </c>
      <c r="P196" s="512"/>
      <c r="Q196" s="512">
        <f>-C393</f>
        <v>0</v>
      </c>
      <c r="R196" s="512"/>
      <c r="S196" s="512"/>
      <c r="T196" s="512">
        <f>C432</f>
        <v>0</v>
      </c>
      <c r="U196" s="512"/>
      <c r="V196" s="512"/>
      <c r="W196" s="512"/>
      <c r="X196" s="655">
        <v>21648364</v>
      </c>
      <c r="Y196" s="517">
        <f t="shared" si="10"/>
        <v>-272117.53000000119</v>
      </c>
      <c r="Z196" s="512">
        <f>Y196</f>
        <v>-272117.53000000119</v>
      </c>
      <c r="AA196" s="587" t="s">
        <v>3946</v>
      </c>
      <c r="AC196" s="532"/>
      <c r="AD196" s="532"/>
    </row>
    <row r="197" spans="1:30" s="474" customFormat="1" ht="15">
      <c r="A197" s="470"/>
      <c r="B197" s="491" t="s">
        <v>1043</v>
      </c>
      <c r="C197" s="491" t="s">
        <v>965</v>
      </c>
      <c r="D197" s="491"/>
      <c r="E197" s="512"/>
      <c r="F197" s="512"/>
      <c r="G197" s="512">
        <f t="shared" si="9"/>
        <v>0</v>
      </c>
      <c r="H197" s="512"/>
      <c r="I197" s="512"/>
      <c r="J197" s="512"/>
      <c r="K197" s="512"/>
      <c r="L197" s="512">
        <f>C320</f>
        <v>0</v>
      </c>
      <c r="M197" s="512"/>
      <c r="N197" s="512"/>
      <c r="O197" s="512"/>
      <c r="P197" s="512"/>
      <c r="Q197" s="512"/>
      <c r="R197" s="512"/>
      <c r="S197" s="512"/>
      <c r="T197" s="512"/>
      <c r="U197" s="512"/>
      <c r="V197" s="512"/>
      <c r="W197" s="512"/>
      <c r="X197" s="656"/>
      <c r="Y197" s="517">
        <f t="shared" si="10"/>
        <v>0</v>
      </c>
      <c r="Z197" s="512">
        <f>Y197</f>
        <v>0</v>
      </c>
      <c r="AA197" s="586" t="s">
        <v>3102</v>
      </c>
      <c r="AC197" s="530" t="s">
        <v>1214</v>
      </c>
      <c r="AD197" s="527">
        <f>Y195</f>
        <v>-788404</v>
      </c>
    </row>
    <row r="198" spans="1:30" s="474" customFormat="1" ht="15">
      <c r="A198" s="470"/>
      <c r="B198" s="491" t="s">
        <v>1044</v>
      </c>
      <c r="C198" s="491" t="s">
        <v>965</v>
      </c>
      <c r="D198" s="491"/>
      <c r="E198" s="512"/>
      <c r="F198" s="512"/>
      <c r="G198" s="512">
        <f t="shared" si="9"/>
        <v>0</v>
      </c>
      <c r="H198" s="512"/>
      <c r="I198" s="512"/>
      <c r="J198" s="512"/>
      <c r="K198" s="512"/>
      <c r="L198" s="512"/>
      <c r="M198" s="512"/>
      <c r="N198" s="512"/>
      <c r="O198" s="512"/>
      <c r="P198" s="512"/>
      <c r="Q198" s="512"/>
      <c r="R198" s="512"/>
      <c r="S198" s="512"/>
      <c r="T198" s="512"/>
      <c r="U198" s="512"/>
      <c r="V198" s="512"/>
      <c r="W198" s="512"/>
      <c r="X198" s="656"/>
      <c r="Y198" s="517">
        <f t="shared" si="10"/>
        <v>0</v>
      </c>
      <c r="Z198" s="512">
        <f t="shared" ref="Z198:Z212" si="11">Y198</f>
        <v>0</v>
      </c>
      <c r="AA198" s="586" t="s">
        <v>3102</v>
      </c>
      <c r="AC198" s="531" t="s">
        <v>1215</v>
      </c>
      <c r="AD198" s="530"/>
    </row>
    <row r="199" spans="1:30" s="474" customFormat="1" ht="15">
      <c r="A199" s="470"/>
      <c r="B199" s="491" t="s">
        <v>1045</v>
      </c>
      <c r="C199" s="491" t="s">
        <v>965</v>
      </c>
      <c r="D199" s="491"/>
      <c r="E199" s="512"/>
      <c r="F199" s="512"/>
      <c r="G199" s="512">
        <f t="shared" si="9"/>
        <v>0</v>
      </c>
      <c r="H199" s="512"/>
      <c r="I199" s="512"/>
      <c r="J199" s="512"/>
      <c r="K199" s="512"/>
      <c r="L199" s="512">
        <f>C322</f>
        <v>0</v>
      </c>
      <c r="M199" s="512">
        <f>-C332</f>
        <v>0</v>
      </c>
      <c r="N199" s="512"/>
      <c r="O199" s="512"/>
      <c r="P199" s="512"/>
      <c r="Q199" s="512"/>
      <c r="R199" s="512"/>
      <c r="S199" s="512"/>
      <c r="T199" s="512"/>
      <c r="U199" s="512"/>
      <c r="V199" s="512"/>
      <c r="W199" s="512"/>
      <c r="X199" s="655"/>
      <c r="Y199" s="517">
        <f t="shared" si="10"/>
        <v>0</v>
      </c>
      <c r="Z199" s="512">
        <f t="shared" si="11"/>
        <v>0</v>
      </c>
      <c r="AC199" s="530" t="s">
        <v>1216</v>
      </c>
      <c r="AD199" s="529">
        <f>-ROUND('GL @ 31.12.2022'!E18,0)</f>
        <v>-685131</v>
      </c>
    </row>
    <row r="200" spans="1:30" s="474" customFormat="1" ht="15">
      <c r="A200" s="470"/>
      <c r="B200" s="491" t="s">
        <v>1046</v>
      </c>
      <c r="C200" s="491" t="s">
        <v>965</v>
      </c>
      <c r="D200" s="491"/>
      <c r="E200" s="512"/>
      <c r="F200" s="522">
        <f>H33+H67+H55</f>
        <v>8251374</v>
      </c>
      <c r="G200" s="512">
        <f t="shared" si="9"/>
        <v>0</v>
      </c>
      <c r="H200" s="512"/>
      <c r="I200" s="512"/>
      <c r="J200" s="512"/>
      <c r="K200" s="512"/>
      <c r="L200" s="512"/>
      <c r="M200" s="512"/>
      <c r="N200" s="512"/>
      <c r="O200" s="512">
        <f>-C378</f>
        <v>0</v>
      </c>
      <c r="P200" s="512"/>
      <c r="Q200" s="512"/>
      <c r="R200" s="512"/>
      <c r="S200" s="512"/>
      <c r="T200" s="512">
        <f>C433</f>
        <v>0</v>
      </c>
      <c r="U200" s="512"/>
      <c r="V200" s="512"/>
      <c r="W200" s="512"/>
      <c r="X200" s="655"/>
      <c r="Y200" s="517">
        <f t="shared" si="10"/>
        <v>8251374</v>
      </c>
      <c r="Z200" s="525">
        <f>IF(Y200&lt;0,Y200,0)</f>
        <v>0</v>
      </c>
      <c r="AC200" s="528" t="s">
        <v>1217</v>
      </c>
      <c r="AD200" s="527">
        <f>AD197-AD199</f>
        <v>-103273</v>
      </c>
    </row>
    <row r="201" spans="1:30" s="474" customFormat="1" ht="15">
      <c r="A201" s="470"/>
      <c r="B201" s="491" t="s">
        <v>1047</v>
      </c>
      <c r="C201" s="491" t="s">
        <v>965</v>
      </c>
      <c r="D201" s="491"/>
      <c r="E201" s="512"/>
      <c r="F201" s="512"/>
      <c r="G201" s="512">
        <f t="shared" si="9"/>
        <v>0</v>
      </c>
      <c r="H201" s="512"/>
      <c r="I201" s="512"/>
      <c r="J201" s="512"/>
      <c r="K201" s="512"/>
      <c r="L201" s="512"/>
      <c r="M201" s="512"/>
      <c r="N201" s="512"/>
      <c r="O201" s="512"/>
      <c r="P201" s="512"/>
      <c r="Q201" s="512"/>
      <c r="R201" s="512"/>
      <c r="S201" s="512"/>
      <c r="T201" s="512"/>
      <c r="U201" s="512"/>
      <c r="V201" s="512"/>
      <c r="W201" s="512"/>
      <c r="X201" s="655"/>
      <c r="Y201" s="517">
        <f>F201+G201+X201</f>
        <v>0</v>
      </c>
      <c r="Z201" s="525">
        <f>IF(Y200&gt;0,Y200,0)</f>
        <v>8251374</v>
      </c>
    </row>
    <row r="202" spans="1:30" s="474" customFormat="1" ht="15">
      <c r="A202" s="470"/>
      <c r="B202" s="491" t="s">
        <v>1048</v>
      </c>
      <c r="C202" s="491" t="s">
        <v>965</v>
      </c>
      <c r="D202" s="491"/>
      <c r="E202" s="512"/>
      <c r="F202" s="522">
        <f>H34+H35+H37+H68+H69+H56+H57</f>
        <v>0</v>
      </c>
      <c r="G202" s="512">
        <f t="shared" si="9"/>
        <v>0</v>
      </c>
      <c r="H202" s="512"/>
      <c r="I202" s="512"/>
      <c r="J202" s="512"/>
      <c r="K202" s="512">
        <f>D303</f>
        <v>0</v>
      </c>
      <c r="L202" s="512"/>
      <c r="M202" s="512"/>
      <c r="N202" s="512"/>
      <c r="O202" s="512"/>
      <c r="P202" s="512"/>
      <c r="Q202" s="512"/>
      <c r="R202" s="512"/>
      <c r="S202" s="512"/>
      <c r="T202" s="512"/>
      <c r="U202" s="512"/>
      <c r="V202" s="512"/>
      <c r="W202" s="512"/>
      <c r="X202" s="655"/>
      <c r="Y202" s="517">
        <f t="shared" si="10"/>
        <v>0</v>
      </c>
      <c r="Z202" s="525">
        <f>IF(Y202&lt;0,Y202,0)</f>
        <v>0</v>
      </c>
    </row>
    <row r="203" spans="1:30" s="474" customFormat="1" ht="15">
      <c r="A203" s="470"/>
      <c r="B203" s="498" t="s">
        <v>1049</v>
      </c>
      <c r="C203" s="491" t="s">
        <v>965</v>
      </c>
      <c r="D203" s="498"/>
      <c r="E203" s="515"/>
      <c r="F203" s="515"/>
      <c r="G203" s="515">
        <f t="shared" si="9"/>
        <v>0</v>
      </c>
      <c r="H203" s="515"/>
      <c r="I203" s="515"/>
      <c r="J203" s="515"/>
      <c r="K203" s="515"/>
      <c r="L203" s="515"/>
      <c r="M203" s="515"/>
      <c r="N203" s="515"/>
      <c r="O203" s="515"/>
      <c r="P203" s="515"/>
      <c r="Q203" s="515"/>
      <c r="R203" s="515"/>
      <c r="S203" s="515"/>
      <c r="T203" s="515"/>
      <c r="U203" s="515"/>
      <c r="V203" s="515"/>
      <c r="W203" s="515"/>
      <c r="X203" s="657"/>
      <c r="Y203" s="517">
        <f t="shared" si="10"/>
        <v>0</v>
      </c>
      <c r="Z203" s="525">
        <f>IF(Y202&gt;0,Y202,0)</f>
        <v>0</v>
      </c>
    </row>
    <row r="204" spans="1:30" s="474" customFormat="1" ht="15">
      <c r="A204" s="470"/>
      <c r="B204" s="498" t="s">
        <v>1033</v>
      </c>
      <c r="C204" s="491" t="s">
        <v>965</v>
      </c>
      <c r="D204" s="498"/>
      <c r="E204" s="515"/>
      <c r="F204" s="515"/>
      <c r="G204" s="515">
        <f t="shared" si="9"/>
        <v>0</v>
      </c>
      <c r="H204" s="515"/>
      <c r="I204" s="515"/>
      <c r="J204" s="515"/>
      <c r="K204" s="515">
        <f>D298+D311</f>
        <v>0</v>
      </c>
      <c r="L204" s="515"/>
      <c r="M204" s="515"/>
      <c r="N204" s="515"/>
      <c r="O204" s="515"/>
      <c r="P204" s="515"/>
      <c r="Q204" s="515"/>
      <c r="R204" s="515"/>
      <c r="S204" s="515"/>
      <c r="T204" s="515"/>
      <c r="U204" s="515"/>
      <c r="V204" s="515"/>
      <c r="W204" s="515"/>
      <c r="X204" s="657"/>
      <c r="Y204" s="517">
        <f t="shared" si="10"/>
        <v>0</v>
      </c>
      <c r="Z204" s="512">
        <f t="shared" si="11"/>
        <v>0</v>
      </c>
    </row>
    <row r="205" spans="1:30" s="474" customFormat="1" ht="15">
      <c r="A205" s="470"/>
      <c r="B205" s="498" t="s">
        <v>1035</v>
      </c>
      <c r="C205" s="491" t="s">
        <v>965</v>
      </c>
      <c r="D205" s="498"/>
      <c r="E205" s="515"/>
      <c r="F205" s="515"/>
      <c r="G205" s="515">
        <f t="shared" si="9"/>
        <v>0</v>
      </c>
      <c r="H205" s="515"/>
      <c r="I205" s="515"/>
      <c r="J205" s="515"/>
      <c r="K205" s="515"/>
      <c r="L205" s="515"/>
      <c r="M205" s="515"/>
      <c r="N205" s="515"/>
      <c r="O205" s="515"/>
      <c r="P205" s="515"/>
      <c r="Q205" s="515"/>
      <c r="R205" s="515">
        <f>C406</f>
        <v>0</v>
      </c>
      <c r="S205" s="515"/>
      <c r="T205" s="515"/>
      <c r="U205" s="515"/>
      <c r="V205" s="515"/>
      <c r="W205" s="515"/>
      <c r="X205" s="657"/>
      <c r="Y205" s="517">
        <f t="shared" si="10"/>
        <v>0</v>
      </c>
      <c r="Z205" s="512">
        <f t="shared" si="11"/>
        <v>0</v>
      </c>
    </row>
    <row r="206" spans="1:30" s="474" customFormat="1" ht="15">
      <c r="A206" s="470"/>
      <c r="B206" s="498" t="s">
        <v>1050</v>
      </c>
      <c r="C206" s="491" t="s">
        <v>965</v>
      </c>
      <c r="D206" s="498"/>
      <c r="E206" s="515"/>
      <c r="F206" s="515"/>
      <c r="G206" s="515">
        <f t="shared" si="9"/>
        <v>0</v>
      </c>
      <c r="H206" s="515"/>
      <c r="I206" s="515"/>
      <c r="J206" s="515"/>
      <c r="K206" s="515"/>
      <c r="L206" s="515"/>
      <c r="M206" s="515"/>
      <c r="N206" s="515"/>
      <c r="O206" s="515"/>
      <c r="P206" s="515"/>
      <c r="Q206" s="515"/>
      <c r="R206" s="515"/>
      <c r="S206" s="515"/>
      <c r="T206" s="515"/>
      <c r="U206" s="515"/>
      <c r="V206" s="515"/>
      <c r="W206" s="515"/>
      <c r="X206" s="657"/>
      <c r="Y206" s="517">
        <f t="shared" si="10"/>
        <v>0</v>
      </c>
      <c r="Z206" s="512">
        <f t="shared" si="11"/>
        <v>0</v>
      </c>
    </row>
    <row r="207" spans="1:30" s="474" customFormat="1" ht="15">
      <c r="A207" s="470"/>
      <c r="B207" s="498" t="s">
        <v>1051</v>
      </c>
      <c r="C207" s="491" t="s">
        <v>965</v>
      </c>
      <c r="D207" s="498"/>
      <c r="E207" s="515"/>
      <c r="F207" s="515"/>
      <c r="G207" s="515">
        <f t="shared" si="9"/>
        <v>0</v>
      </c>
      <c r="H207" s="515"/>
      <c r="I207" s="515"/>
      <c r="J207" s="515"/>
      <c r="K207" s="515"/>
      <c r="L207" s="515"/>
      <c r="M207" s="515"/>
      <c r="N207" s="515"/>
      <c r="O207" s="515"/>
      <c r="P207" s="515"/>
      <c r="Q207" s="515"/>
      <c r="R207" s="515"/>
      <c r="S207" s="515"/>
      <c r="T207" s="515"/>
      <c r="U207" s="515"/>
      <c r="V207" s="515"/>
      <c r="W207" s="515"/>
      <c r="X207" s="657"/>
      <c r="Y207" s="517">
        <f t="shared" si="10"/>
        <v>0</v>
      </c>
      <c r="Z207" s="512">
        <f t="shared" si="11"/>
        <v>0</v>
      </c>
    </row>
    <row r="208" spans="1:30" s="474" customFormat="1" ht="15">
      <c r="A208" s="470"/>
      <c r="B208" s="498" t="s">
        <v>1052</v>
      </c>
      <c r="C208" s="491" t="s">
        <v>965</v>
      </c>
      <c r="D208" s="498"/>
      <c r="E208" s="515"/>
      <c r="F208" s="515"/>
      <c r="G208" s="515">
        <f t="shared" si="9"/>
        <v>0</v>
      </c>
      <c r="H208" s="515"/>
      <c r="I208" s="515"/>
      <c r="J208" s="515"/>
      <c r="K208" s="515"/>
      <c r="L208" s="515"/>
      <c r="M208" s="515"/>
      <c r="N208" s="515"/>
      <c r="O208" s="515"/>
      <c r="P208" s="515"/>
      <c r="Q208" s="515"/>
      <c r="R208" s="515"/>
      <c r="S208" s="515"/>
      <c r="T208" s="515"/>
      <c r="U208" s="515"/>
      <c r="V208" s="515"/>
      <c r="W208" s="515"/>
      <c r="X208" s="657"/>
      <c r="Y208" s="517">
        <f t="shared" si="10"/>
        <v>0</v>
      </c>
      <c r="Z208" s="512">
        <f t="shared" si="11"/>
        <v>0</v>
      </c>
    </row>
    <row r="209" spans="1:27" s="474" customFormat="1" ht="15">
      <c r="A209" s="470"/>
      <c r="B209" s="498" t="s">
        <v>2737</v>
      </c>
      <c r="C209" s="491" t="s">
        <v>965</v>
      </c>
      <c r="D209" s="498"/>
      <c r="E209" s="515"/>
      <c r="F209" s="515"/>
      <c r="G209" s="515">
        <f t="shared" si="9"/>
        <v>0</v>
      </c>
      <c r="H209" s="515"/>
      <c r="I209" s="515"/>
      <c r="J209" s="515"/>
      <c r="K209" s="515"/>
      <c r="L209" s="515"/>
      <c r="M209" s="515"/>
      <c r="N209" s="515"/>
      <c r="O209" s="515"/>
      <c r="P209" s="515"/>
      <c r="Q209" s="515"/>
      <c r="R209" s="515"/>
      <c r="S209" s="515"/>
      <c r="T209" s="515"/>
      <c r="U209" s="515"/>
      <c r="V209" s="515"/>
      <c r="W209" s="515"/>
      <c r="X209" s="657"/>
      <c r="Y209" s="517">
        <f t="shared" si="10"/>
        <v>0</v>
      </c>
      <c r="Z209" s="512">
        <f t="shared" si="11"/>
        <v>0</v>
      </c>
    </row>
    <row r="210" spans="1:27" s="474" customFormat="1" ht="15">
      <c r="A210" s="470"/>
      <c r="B210" s="498" t="s">
        <v>2739</v>
      </c>
      <c r="C210" s="491" t="s">
        <v>965</v>
      </c>
      <c r="D210" s="498"/>
      <c r="E210" s="515"/>
      <c r="F210" s="515"/>
      <c r="G210" s="515">
        <f t="shared" si="9"/>
        <v>0</v>
      </c>
      <c r="H210" s="515"/>
      <c r="I210" s="515"/>
      <c r="J210" s="515"/>
      <c r="K210" s="515"/>
      <c r="L210" s="515"/>
      <c r="M210" s="515"/>
      <c r="N210" s="515"/>
      <c r="O210" s="515"/>
      <c r="P210" s="515"/>
      <c r="Q210" s="515"/>
      <c r="R210" s="515"/>
      <c r="S210" s="515"/>
      <c r="T210" s="515"/>
      <c r="U210" s="515"/>
      <c r="V210" s="515"/>
      <c r="W210" s="515"/>
      <c r="X210" s="657"/>
      <c r="Y210" s="517">
        <f t="shared" si="10"/>
        <v>0</v>
      </c>
      <c r="Z210" s="512">
        <f t="shared" si="11"/>
        <v>0</v>
      </c>
    </row>
    <row r="211" spans="1:27" s="474" customFormat="1" ht="15">
      <c r="A211" s="470"/>
      <c r="B211" s="498" t="s">
        <v>1053</v>
      </c>
      <c r="C211" s="491" t="s">
        <v>965</v>
      </c>
      <c r="D211" s="498"/>
      <c r="E211" s="515"/>
      <c r="F211" s="523">
        <f>H38</f>
        <v>0</v>
      </c>
      <c r="G211" s="515">
        <f t="shared" si="9"/>
        <v>0</v>
      </c>
      <c r="H211" s="515"/>
      <c r="I211" s="515"/>
      <c r="J211" s="515"/>
      <c r="K211" s="515"/>
      <c r="L211" s="515"/>
      <c r="M211" s="515"/>
      <c r="N211" s="515"/>
      <c r="O211" s="515"/>
      <c r="P211" s="515"/>
      <c r="Q211" s="515"/>
      <c r="R211" s="515"/>
      <c r="S211" s="515"/>
      <c r="T211" s="515"/>
      <c r="U211" s="515"/>
      <c r="V211" s="515"/>
      <c r="W211" s="515"/>
      <c r="X211" s="657"/>
      <c r="Y211" s="517">
        <f t="shared" si="10"/>
        <v>0</v>
      </c>
      <c r="Z211" s="512">
        <f t="shared" si="11"/>
        <v>0</v>
      </c>
    </row>
    <row r="212" spans="1:27" s="474" customFormat="1" ht="15">
      <c r="A212" s="470"/>
      <c r="B212" s="498" t="s">
        <v>1054</v>
      </c>
      <c r="C212" s="491" t="s">
        <v>965</v>
      </c>
      <c r="D212" s="498"/>
      <c r="E212" s="515"/>
      <c r="F212" s="515"/>
      <c r="G212" s="515">
        <f t="shared" si="9"/>
        <v>0</v>
      </c>
      <c r="H212" s="515"/>
      <c r="I212" s="515"/>
      <c r="J212" s="515"/>
      <c r="K212" s="515"/>
      <c r="L212" s="515"/>
      <c r="M212" s="515"/>
      <c r="N212" s="515"/>
      <c r="O212" s="515"/>
      <c r="P212" s="515"/>
      <c r="Q212" s="515"/>
      <c r="R212" s="515"/>
      <c r="S212" s="515"/>
      <c r="T212" s="515"/>
      <c r="U212" s="515"/>
      <c r="V212" s="515"/>
      <c r="W212" s="515"/>
      <c r="X212" s="657"/>
      <c r="Y212" s="517">
        <f t="shared" si="10"/>
        <v>0</v>
      </c>
      <c r="Z212" s="512">
        <f t="shared" si="11"/>
        <v>0</v>
      </c>
    </row>
    <row r="213" spans="1:27" s="474" customFormat="1" ht="15">
      <c r="A213" s="475" t="s">
        <v>536</v>
      </c>
      <c r="B213" s="501" t="s">
        <v>1055</v>
      </c>
      <c r="C213" s="491" t="s">
        <v>965</v>
      </c>
      <c r="D213" s="506"/>
      <c r="E213" s="516"/>
      <c r="F213" s="516"/>
      <c r="G213" s="516">
        <f t="shared" si="9"/>
        <v>0</v>
      </c>
      <c r="H213" s="516"/>
      <c r="I213" s="516"/>
      <c r="J213" s="516"/>
      <c r="K213" s="516"/>
      <c r="L213" s="516"/>
      <c r="M213" s="516"/>
      <c r="N213" s="516"/>
      <c r="O213" s="516"/>
      <c r="P213" s="516"/>
      <c r="Q213" s="516"/>
      <c r="R213" s="516"/>
      <c r="S213" s="516"/>
      <c r="T213" s="516"/>
      <c r="U213" s="516"/>
      <c r="V213" s="516"/>
      <c r="W213" s="516"/>
      <c r="X213" s="658"/>
      <c r="Y213" s="517">
        <f t="shared" si="10"/>
        <v>0</v>
      </c>
      <c r="Z213" s="512"/>
      <c r="AA213" s="540">
        <f>SUM(Z194:Z212)</f>
        <v>7190852.4699999988</v>
      </c>
    </row>
    <row r="214" spans="1:27" s="474" customFormat="1" ht="15">
      <c r="A214" s="475"/>
      <c r="B214" s="495"/>
      <c r="C214"/>
      <c r="D214"/>
      <c r="E214"/>
      <c r="F214"/>
      <c r="G214"/>
      <c r="H214"/>
      <c r="I214"/>
      <c r="J214"/>
      <c r="K214"/>
      <c r="L214"/>
      <c r="M214"/>
      <c r="N214"/>
      <c r="O214"/>
      <c r="P214"/>
      <c r="Q214"/>
      <c r="R214"/>
      <c r="S214"/>
      <c r="T214"/>
      <c r="U214"/>
      <c r="V214"/>
      <c r="W214"/>
      <c r="X214" s="598"/>
      <c r="Y214"/>
      <c r="Z214" s="513"/>
    </row>
    <row r="215" spans="1:27" s="474" customFormat="1" ht="15">
      <c r="A215" s="475" t="s">
        <v>1056</v>
      </c>
      <c r="B215" s="482"/>
      <c r="C215"/>
      <c r="D215"/>
      <c r="E215"/>
      <c r="F215"/>
      <c r="G215"/>
      <c r="H215"/>
      <c r="I215"/>
      <c r="J215"/>
      <c r="K215"/>
      <c r="L215"/>
      <c r="M215"/>
      <c r="N215"/>
      <c r="O215"/>
      <c r="P215"/>
      <c r="Q215"/>
      <c r="R215"/>
      <c r="S215"/>
      <c r="T215"/>
      <c r="U215"/>
      <c r="V215"/>
      <c r="W215"/>
      <c r="X215" s="598"/>
      <c r="Y215"/>
      <c r="Z215" s="514"/>
    </row>
    <row r="216" spans="1:27" s="474" customFormat="1" ht="15">
      <c r="A216" s="470" t="s">
        <v>577</v>
      </c>
      <c r="B216" s="488" t="s">
        <v>1057</v>
      </c>
      <c r="C216" s="491" t="s">
        <v>965</v>
      </c>
      <c r="D216" s="491"/>
      <c r="E216" s="512"/>
      <c r="F216" s="512"/>
      <c r="G216" s="512">
        <f t="shared" ref="G216:G247" si="12">SUM(H216:W216)</f>
        <v>0</v>
      </c>
      <c r="H216" s="512"/>
      <c r="I216" s="512"/>
      <c r="J216" s="512"/>
      <c r="K216" s="512"/>
      <c r="L216" s="512"/>
      <c r="M216" s="512"/>
      <c r="N216" s="512"/>
      <c r="O216" s="512"/>
      <c r="P216" s="512"/>
      <c r="Q216" s="512"/>
      <c r="R216" s="512"/>
      <c r="S216" s="512"/>
      <c r="T216" s="512"/>
      <c r="U216" s="512"/>
      <c r="V216" s="512"/>
      <c r="W216" s="512"/>
      <c r="X216" s="655"/>
      <c r="Y216" s="517">
        <f t="shared" ref="Y216:Y247" si="13">F216+G216+X216</f>
        <v>0</v>
      </c>
      <c r="Z216" s="512"/>
      <c r="AA216" s="540">
        <f>SUM(Z217:Z224)</f>
        <v>0</v>
      </c>
    </row>
    <row r="217" spans="1:27" s="474" customFormat="1" ht="15">
      <c r="A217" s="470"/>
      <c r="B217" s="491" t="s">
        <v>1058</v>
      </c>
      <c r="C217" s="491" t="s">
        <v>965</v>
      </c>
      <c r="D217" s="491"/>
      <c r="E217" s="512"/>
      <c r="F217" s="522">
        <f>H95+H99</f>
        <v>0</v>
      </c>
      <c r="G217" s="512">
        <f t="shared" si="12"/>
        <v>0</v>
      </c>
      <c r="H217" s="512"/>
      <c r="I217" s="512"/>
      <c r="J217" s="512"/>
      <c r="K217" s="512"/>
      <c r="L217" s="512"/>
      <c r="M217" s="512"/>
      <c r="N217" s="512"/>
      <c r="O217" s="512"/>
      <c r="P217" s="512"/>
      <c r="Q217" s="512"/>
      <c r="R217" s="512"/>
      <c r="S217" s="512"/>
      <c r="T217" s="512"/>
      <c r="U217" s="512"/>
      <c r="V217" s="512"/>
      <c r="W217" s="512"/>
      <c r="X217" s="655"/>
      <c r="Y217" s="517">
        <f t="shared" si="13"/>
        <v>0</v>
      </c>
      <c r="Z217" s="512">
        <f t="shared" ref="Z217:Z224" si="14">Y217</f>
        <v>0</v>
      </c>
    </row>
    <row r="218" spans="1:27" s="474" customFormat="1" ht="15">
      <c r="A218" s="470"/>
      <c r="B218" s="491" t="s">
        <v>1059</v>
      </c>
      <c r="C218" s="491" t="s">
        <v>965</v>
      </c>
      <c r="D218" s="491"/>
      <c r="E218" s="512"/>
      <c r="F218" s="522">
        <f>H100+H110</f>
        <v>0</v>
      </c>
      <c r="G218" s="512">
        <f t="shared" si="12"/>
        <v>0</v>
      </c>
      <c r="H218" s="512"/>
      <c r="I218" s="512"/>
      <c r="J218" s="512"/>
      <c r="K218" s="512"/>
      <c r="L218" s="512"/>
      <c r="M218" s="512"/>
      <c r="N218" s="512"/>
      <c r="O218" s="512"/>
      <c r="P218" s="512"/>
      <c r="Q218" s="512"/>
      <c r="R218" s="512"/>
      <c r="S218" s="512"/>
      <c r="T218" s="512">
        <f>-C439</f>
        <v>0</v>
      </c>
      <c r="U218" s="512"/>
      <c r="V218" s="512"/>
      <c r="W218" s="512"/>
      <c r="X218" s="655"/>
      <c r="Y218" s="517">
        <f t="shared" si="13"/>
        <v>0</v>
      </c>
      <c r="Z218" s="512">
        <f t="shared" si="14"/>
        <v>0</v>
      </c>
    </row>
    <row r="219" spans="1:27" s="474" customFormat="1" ht="15">
      <c r="A219" s="470"/>
      <c r="B219" s="491" t="s">
        <v>1060</v>
      </c>
      <c r="C219" s="491" t="s">
        <v>965</v>
      </c>
      <c r="D219" s="491"/>
      <c r="E219" s="512"/>
      <c r="F219" s="512"/>
      <c r="G219" s="512">
        <f t="shared" si="12"/>
        <v>0</v>
      </c>
      <c r="H219" s="512"/>
      <c r="I219" s="512"/>
      <c r="J219" s="512"/>
      <c r="K219" s="512"/>
      <c r="L219" s="512"/>
      <c r="M219" s="512"/>
      <c r="N219" s="512"/>
      <c r="O219" s="512"/>
      <c r="P219" s="512"/>
      <c r="Q219" s="512"/>
      <c r="R219" s="512"/>
      <c r="S219" s="512"/>
      <c r="T219" s="512"/>
      <c r="U219" s="512"/>
      <c r="V219" s="512"/>
      <c r="W219" s="512"/>
      <c r="X219" s="655"/>
      <c r="Y219" s="517">
        <f t="shared" si="13"/>
        <v>0</v>
      </c>
      <c r="Z219" s="512">
        <f t="shared" si="14"/>
        <v>0</v>
      </c>
    </row>
    <row r="220" spans="1:27" s="474" customFormat="1" ht="15">
      <c r="B220" s="491" t="s">
        <v>1061</v>
      </c>
      <c r="C220" s="491" t="s">
        <v>965</v>
      </c>
      <c r="D220" s="491"/>
      <c r="E220" s="512"/>
      <c r="F220" s="512"/>
      <c r="G220" s="512">
        <f t="shared" si="12"/>
        <v>0</v>
      </c>
      <c r="H220" s="512"/>
      <c r="I220" s="512"/>
      <c r="J220" s="512"/>
      <c r="K220" s="512"/>
      <c r="L220" s="512"/>
      <c r="M220" s="512"/>
      <c r="N220" s="512"/>
      <c r="O220" s="512"/>
      <c r="P220" s="512"/>
      <c r="Q220" s="512"/>
      <c r="R220" s="512"/>
      <c r="S220" s="512">
        <f>-C420</f>
        <v>0</v>
      </c>
      <c r="T220" s="512"/>
      <c r="U220" s="512"/>
      <c r="V220" s="512"/>
      <c r="W220" s="512"/>
      <c r="X220" s="655"/>
      <c r="Y220" s="517">
        <f t="shared" si="13"/>
        <v>0</v>
      </c>
      <c r="Z220" s="512">
        <f t="shared" si="14"/>
        <v>0</v>
      </c>
    </row>
    <row r="221" spans="1:27" s="474" customFormat="1" ht="15">
      <c r="B221" s="491" t="s">
        <v>1062</v>
      </c>
      <c r="C221" s="491" t="s">
        <v>965</v>
      </c>
      <c r="D221" s="491"/>
      <c r="E221" s="512"/>
      <c r="F221" s="522">
        <f>H77</f>
        <v>0</v>
      </c>
      <c r="G221" s="512">
        <f t="shared" si="12"/>
        <v>0</v>
      </c>
      <c r="H221" s="512"/>
      <c r="I221" s="512"/>
      <c r="J221" s="512"/>
      <c r="K221" s="512"/>
      <c r="L221" s="512"/>
      <c r="M221" s="512"/>
      <c r="N221" s="512"/>
      <c r="O221" s="512"/>
      <c r="P221" s="512"/>
      <c r="Q221" s="512"/>
      <c r="R221" s="512"/>
      <c r="S221" s="512"/>
      <c r="T221" s="512"/>
      <c r="U221" s="512"/>
      <c r="V221" s="512"/>
      <c r="W221" s="512"/>
      <c r="X221" s="655"/>
      <c r="Y221" s="517">
        <f t="shared" si="13"/>
        <v>0</v>
      </c>
      <c r="Z221" s="512">
        <f t="shared" si="14"/>
        <v>0</v>
      </c>
    </row>
    <row r="222" spans="1:27" s="474" customFormat="1" ht="15">
      <c r="B222" s="491" t="s">
        <v>1063</v>
      </c>
      <c r="C222" s="491" t="s">
        <v>965</v>
      </c>
      <c r="D222" s="491"/>
      <c r="E222" s="512"/>
      <c r="F222" s="512"/>
      <c r="G222" s="512">
        <f t="shared" si="12"/>
        <v>0</v>
      </c>
      <c r="H222" s="512"/>
      <c r="I222" s="512"/>
      <c r="J222" s="512"/>
      <c r="K222" s="512"/>
      <c r="L222" s="512"/>
      <c r="M222" s="512"/>
      <c r="N222" s="512"/>
      <c r="O222" s="512"/>
      <c r="P222" s="512"/>
      <c r="Q222" s="512"/>
      <c r="R222" s="512"/>
      <c r="S222" s="512"/>
      <c r="T222" s="512"/>
      <c r="U222" s="512"/>
      <c r="V222" s="512"/>
      <c r="W222" s="512"/>
      <c r="X222" s="655"/>
      <c r="Y222" s="517">
        <f t="shared" si="13"/>
        <v>0</v>
      </c>
      <c r="Z222" s="512">
        <f t="shared" si="14"/>
        <v>0</v>
      </c>
    </row>
    <row r="223" spans="1:27" s="474" customFormat="1" ht="15">
      <c r="B223" s="491" t="s">
        <v>1064</v>
      </c>
      <c r="C223" s="491" t="s">
        <v>965</v>
      </c>
      <c r="D223" s="491"/>
      <c r="E223" s="512"/>
      <c r="F223" s="512"/>
      <c r="G223" s="512">
        <f t="shared" si="12"/>
        <v>0</v>
      </c>
      <c r="H223" s="512"/>
      <c r="I223" s="512"/>
      <c r="J223" s="512"/>
      <c r="K223" s="512"/>
      <c r="L223" s="512"/>
      <c r="M223" s="512"/>
      <c r="N223" s="512"/>
      <c r="O223" s="512"/>
      <c r="P223" s="512"/>
      <c r="Q223" s="512"/>
      <c r="R223" s="512"/>
      <c r="S223" s="512"/>
      <c r="T223" s="512"/>
      <c r="U223" s="512"/>
      <c r="V223" s="512"/>
      <c r="W223" s="512"/>
      <c r="X223" s="655"/>
      <c r="Y223" s="517">
        <f t="shared" si="13"/>
        <v>0</v>
      </c>
      <c r="Z223" s="512">
        <f t="shared" si="14"/>
        <v>0</v>
      </c>
    </row>
    <row r="224" spans="1:27" s="474" customFormat="1" ht="15">
      <c r="B224" s="491" t="s">
        <v>1065</v>
      </c>
      <c r="C224" s="491" t="s">
        <v>965</v>
      </c>
      <c r="D224" s="491"/>
      <c r="E224" s="512"/>
      <c r="F224" s="512"/>
      <c r="G224" s="512">
        <f t="shared" si="12"/>
        <v>0</v>
      </c>
      <c r="H224" s="512"/>
      <c r="I224" s="512"/>
      <c r="J224" s="512"/>
      <c r="K224" s="512"/>
      <c r="L224" s="512"/>
      <c r="M224" s="512"/>
      <c r="N224" s="512"/>
      <c r="O224" s="512"/>
      <c r="P224" s="512"/>
      <c r="Q224" s="512"/>
      <c r="R224" s="512"/>
      <c r="S224" s="512"/>
      <c r="T224" s="512"/>
      <c r="U224" s="512"/>
      <c r="V224" s="512"/>
      <c r="W224" s="512"/>
      <c r="X224" s="655"/>
      <c r="Y224" s="517">
        <f t="shared" si="13"/>
        <v>0</v>
      </c>
      <c r="Z224" s="512">
        <f t="shared" si="14"/>
        <v>0</v>
      </c>
    </row>
    <row r="225" spans="1:35" s="474" customFormat="1" ht="15">
      <c r="A225" s="474" t="s">
        <v>579</v>
      </c>
      <c r="B225" s="488" t="s">
        <v>1066</v>
      </c>
      <c r="C225" s="491" t="s">
        <v>965</v>
      </c>
      <c r="D225" s="491"/>
      <c r="E225" s="512"/>
      <c r="F225" s="512"/>
      <c r="G225" s="512">
        <f t="shared" si="12"/>
        <v>0</v>
      </c>
      <c r="H225" s="512"/>
      <c r="I225" s="512"/>
      <c r="J225" s="512"/>
      <c r="K225" s="512"/>
      <c r="L225" s="512"/>
      <c r="M225" s="512"/>
      <c r="N225" s="512"/>
      <c r="O225" s="512"/>
      <c r="P225" s="512"/>
      <c r="Q225" s="512"/>
      <c r="R225" s="512"/>
      <c r="S225" s="512"/>
      <c r="T225" s="512"/>
      <c r="U225" s="512"/>
      <c r="V225" s="512"/>
      <c r="W225" s="512"/>
      <c r="X225" s="655"/>
      <c r="Y225" s="517">
        <f t="shared" si="13"/>
        <v>0</v>
      </c>
      <c r="Z225" s="512"/>
      <c r="AA225" s="540">
        <f>SUM(Z226:Z241)</f>
        <v>982918.53000000119</v>
      </c>
      <c r="AC225" s="532" t="s">
        <v>2784</v>
      </c>
      <c r="AD225" s="533"/>
      <c r="AE225" s="533"/>
      <c r="AF225" s="533"/>
      <c r="AG225" s="533"/>
      <c r="AH225" s="533"/>
      <c r="AI225" s="533"/>
    </row>
    <row r="226" spans="1:35" s="474" customFormat="1" ht="25.5">
      <c r="B226" s="491" t="s">
        <v>1067</v>
      </c>
      <c r="C226" s="491" t="s">
        <v>965</v>
      </c>
      <c r="D226" s="491"/>
      <c r="E226" s="512"/>
      <c r="F226" s="512"/>
      <c r="G226" s="512">
        <f t="shared" si="12"/>
        <v>0</v>
      </c>
      <c r="H226" s="512"/>
      <c r="I226" s="512"/>
      <c r="J226" s="512"/>
      <c r="K226" s="512"/>
      <c r="L226" s="512"/>
      <c r="M226" s="512"/>
      <c r="N226" s="512"/>
      <c r="O226" s="512"/>
      <c r="P226" s="512"/>
      <c r="Q226" s="512"/>
      <c r="R226" s="512"/>
      <c r="S226" s="512"/>
      <c r="T226" s="512"/>
      <c r="U226" s="512"/>
      <c r="V226" s="512"/>
      <c r="W226" s="512"/>
      <c r="X226" s="655"/>
      <c r="Y226" s="517">
        <f t="shared" si="13"/>
        <v>0</v>
      </c>
      <c r="Z226" s="525">
        <f>IF(Y227&gt;0,Y227,0)</f>
        <v>0</v>
      </c>
      <c r="AC226" s="534" t="s">
        <v>1218</v>
      </c>
      <c r="AD226" s="534" t="s">
        <v>1219</v>
      </c>
      <c r="AE226" s="534" t="s">
        <v>1220</v>
      </c>
      <c r="AF226" s="534" t="s">
        <v>1221</v>
      </c>
      <c r="AG226" s="534" t="s">
        <v>1222</v>
      </c>
      <c r="AH226" s="535" t="s">
        <v>1223</v>
      </c>
      <c r="AI226" s="534" t="s">
        <v>1224</v>
      </c>
    </row>
    <row r="227" spans="1:35" s="474" customFormat="1" ht="15">
      <c r="B227" s="491" t="s">
        <v>1068</v>
      </c>
      <c r="C227" s="491" t="s">
        <v>965</v>
      </c>
      <c r="D227" s="491"/>
      <c r="E227" s="512"/>
      <c r="F227" s="522">
        <f>H127+H126</f>
        <v>0</v>
      </c>
      <c r="G227" s="512">
        <f t="shared" si="12"/>
        <v>0</v>
      </c>
      <c r="H227" s="512"/>
      <c r="I227" s="512"/>
      <c r="J227" s="512"/>
      <c r="K227" s="512"/>
      <c r="L227" s="512"/>
      <c r="M227" s="512">
        <f>-C344</f>
        <v>0</v>
      </c>
      <c r="N227" s="512"/>
      <c r="O227" s="512"/>
      <c r="P227" s="512"/>
      <c r="Q227" s="512"/>
      <c r="R227" s="512"/>
      <c r="S227" s="512"/>
      <c r="T227" s="512"/>
      <c r="U227" s="512"/>
      <c r="V227" s="512"/>
      <c r="W227" s="512"/>
      <c r="X227" s="655"/>
      <c r="Y227" s="517">
        <f t="shared" si="13"/>
        <v>0</v>
      </c>
      <c r="Z227" s="525">
        <f>IF(Y227&lt;0,Y227,0)</f>
        <v>0</v>
      </c>
      <c r="AC227" s="536" t="s">
        <v>3089</v>
      </c>
      <c r="AD227" s="579">
        <f>-ROUND(SUM('GL @ 31.12.2022'!D425:D426),0)</f>
        <v>143517</v>
      </c>
      <c r="AE227" s="579">
        <f>-SUM('GL @ 31.12.2022'!G425:G426)</f>
        <v>0</v>
      </c>
      <c r="AF227" s="588">
        <f>AE227-AD227</f>
        <v>-143517</v>
      </c>
      <c r="AG227" s="589">
        <v>0</v>
      </c>
      <c r="AH227" s="589">
        <v>-143517</v>
      </c>
      <c r="AI227" s="588">
        <f t="shared" ref="AI227:AI232" si="15">(AG227+AH227)-AF227</f>
        <v>0</v>
      </c>
    </row>
    <row r="228" spans="1:35" s="474" customFormat="1" ht="15">
      <c r="B228" s="491" t="s">
        <v>1069</v>
      </c>
      <c r="C228" s="491" t="s">
        <v>965</v>
      </c>
      <c r="D228" s="491"/>
      <c r="E228" s="512"/>
      <c r="F228" s="512"/>
      <c r="G228" s="512">
        <f t="shared" si="12"/>
        <v>0</v>
      </c>
      <c r="H228" s="512"/>
      <c r="I228" s="512"/>
      <c r="J228" s="512"/>
      <c r="K228" s="512"/>
      <c r="L228" s="512"/>
      <c r="M228" s="512"/>
      <c r="N228" s="512"/>
      <c r="O228" s="512"/>
      <c r="P228" s="512"/>
      <c r="Q228" s="512"/>
      <c r="R228" s="512"/>
      <c r="S228" s="512"/>
      <c r="T228" s="512"/>
      <c r="U228" s="512"/>
      <c r="V228" s="512"/>
      <c r="W228" s="512"/>
      <c r="X228" s="655"/>
      <c r="Y228" s="517">
        <f t="shared" si="13"/>
        <v>0</v>
      </c>
      <c r="Z228" s="525">
        <f>IF(AG232=0,IF(Y229&gt;0,Y229,0),AG232)</f>
        <v>3886386</v>
      </c>
      <c r="AC228" s="536" t="s">
        <v>3090</v>
      </c>
      <c r="AD228" s="579"/>
      <c r="AE228" s="579">
        <v>0</v>
      </c>
      <c r="AF228" s="588">
        <f>AE228-AD228</f>
        <v>0</v>
      </c>
      <c r="AG228" s="589">
        <v>0</v>
      </c>
      <c r="AH228" s="589">
        <v>0</v>
      </c>
      <c r="AI228" s="588">
        <f t="shared" si="15"/>
        <v>0</v>
      </c>
    </row>
    <row r="229" spans="1:35" s="474" customFormat="1" ht="15">
      <c r="B229" s="491" t="s">
        <v>1070</v>
      </c>
      <c r="C229" s="491" t="s">
        <v>965</v>
      </c>
      <c r="D229" s="491"/>
      <c r="E229" s="512"/>
      <c r="F229" s="522">
        <f>H135+H153+H154</f>
        <v>-5730381</v>
      </c>
      <c r="G229" s="512">
        <f t="shared" si="12"/>
        <v>0</v>
      </c>
      <c r="H229" s="512"/>
      <c r="I229" s="512"/>
      <c r="J229" s="512">
        <f>-E289</f>
        <v>0</v>
      </c>
      <c r="K229" s="512"/>
      <c r="L229" s="512"/>
      <c r="M229" s="512">
        <f>-C346</f>
        <v>0</v>
      </c>
      <c r="N229" s="512"/>
      <c r="O229" s="512"/>
      <c r="P229" s="512"/>
      <c r="Q229" s="512"/>
      <c r="R229" s="512"/>
      <c r="S229" s="512"/>
      <c r="T229" s="512"/>
      <c r="U229" s="512"/>
      <c r="V229" s="512"/>
      <c r="W229" s="512"/>
      <c r="X229" s="655"/>
      <c r="Y229" s="517">
        <f>F229+G229+X229</f>
        <v>-5730381</v>
      </c>
      <c r="Z229" s="525">
        <f>IF(AH232=0,IF(Y229&lt;0,Y229,0),AH232)</f>
        <v>-9616767</v>
      </c>
      <c r="AC229" s="536" t="s">
        <v>3091</v>
      </c>
      <c r="AD229" s="579"/>
      <c r="AE229" s="579"/>
      <c r="AF229" s="588">
        <f>AE229-AD229</f>
        <v>0</v>
      </c>
      <c r="AG229" s="589">
        <v>0</v>
      </c>
      <c r="AH229" s="589">
        <v>0</v>
      </c>
      <c r="AI229" s="588">
        <f t="shared" si="15"/>
        <v>0</v>
      </c>
    </row>
    <row r="230" spans="1:35" s="474" customFormat="1" ht="15">
      <c r="B230" s="491" t="s">
        <v>1071</v>
      </c>
      <c r="C230" s="491" t="s">
        <v>965</v>
      </c>
      <c r="D230" s="491"/>
      <c r="E230" s="512"/>
      <c r="F230" s="512"/>
      <c r="G230" s="512">
        <f t="shared" si="12"/>
        <v>0</v>
      </c>
      <c r="H230" s="512"/>
      <c r="I230" s="512"/>
      <c r="J230" s="512"/>
      <c r="K230" s="512"/>
      <c r="L230" s="512"/>
      <c r="M230" s="512"/>
      <c r="N230" s="512"/>
      <c r="O230" s="512"/>
      <c r="P230" s="512"/>
      <c r="Q230" s="512"/>
      <c r="R230" s="512"/>
      <c r="S230" s="512"/>
      <c r="T230" s="512"/>
      <c r="U230" s="512"/>
      <c r="V230" s="512"/>
      <c r="W230" s="512"/>
      <c r="X230" s="656">
        <v>6441182</v>
      </c>
      <c r="Y230" s="517">
        <f t="shared" si="13"/>
        <v>6441182</v>
      </c>
      <c r="Z230" s="525">
        <f>IF(Y230&gt;0,Y230,0)</f>
        <v>6441182</v>
      </c>
      <c r="AA230" s="590"/>
      <c r="AC230" s="533" t="s">
        <v>3945</v>
      </c>
      <c r="AD230" s="579">
        <f>-ROUND('GL @ 31.12.2022'!D153,0)</f>
        <v>6795768</v>
      </c>
      <c r="AE230" s="579">
        <f>-ROUND('GL @ 31.12.2022'!G153,0)</f>
        <v>5998981</v>
      </c>
      <c r="AF230" s="588">
        <f>AE230-AD230</f>
        <v>-796787</v>
      </c>
      <c r="AG230" s="588">
        <f>ROUND('GL @ 31.12.2022'!F153,0)-1</f>
        <v>623665</v>
      </c>
      <c r="AH230" s="588">
        <f>-ROUND('GL @ 31.12.2022'!E153,0)</f>
        <v>-1420452</v>
      </c>
      <c r="AI230" s="588">
        <f t="shared" si="15"/>
        <v>0</v>
      </c>
    </row>
    <row r="231" spans="1:35" s="474" customFormat="1" ht="15">
      <c r="B231" s="491" t="s">
        <v>1072</v>
      </c>
      <c r="C231" s="491" t="s">
        <v>965</v>
      </c>
      <c r="D231" s="491"/>
      <c r="E231" s="512"/>
      <c r="F231" s="522">
        <f>H122+H123+H142+H143+H144</f>
        <v>6441182</v>
      </c>
      <c r="G231" s="512">
        <f t="shared" si="12"/>
        <v>0</v>
      </c>
      <c r="H231" s="512"/>
      <c r="I231" s="512"/>
      <c r="J231" s="512">
        <f>-E288</f>
        <v>0</v>
      </c>
      <c r="K231" s="512"/>
      <c r="L231" s="512"/>
      <c r="M231" s="512">
        <f>-C343</f>
        <v>0</v>
      </c>
      <c r="N231" s="512">
        <f>-F360</f>
        <v>0</v>
      </c>
      <c r="O231" s="512"/>
      <c r="P231" s="512"/>
      <c r="Q231" s="512"/>
      <c r="R231" s="512"/>
      <c r="S231" s="512"/>
      <c r="T231" s="512"/>
      <c r="U231" s="512"/>
      <c r="V231" s="512"/>
      <c r="W231" s="512"/>
      <c r="X231" s="656">
        <v>-6441182</v>
      </c>
      <c r="Y231" s="517">
        <f>F231+G231+X231</f>
        <v>0</v>
      </c>
      <c r="Z231" s="525">
        <f>IF(Y231&lt;0,Y231,0)</f>
        <v>0</v>
      </c>
      <c r="AA231" s="590"/>
      <c r="AC231" s="533" t="s">
        <v>3100</v>
      </c>
      <c r="AD231" s="579">
        <f>-ROUND('GL @ 31.12.2022'!D137,0)</f>
        <v>4790077</v>
      </c>
      <c r="AE231" s="579">
        <f>ROUND('GL @ 31.12.2022'!G137,0)</f>
        <v>0</v>
      </c>
      <c r="AF231" s="588">
        <f>AE231-AD231</f>
        <v>-4790077</v>
      </c>
      <c r="AG231" s="588">
        <f>ROUND('GL @ 31.12.2022'!F137,0)</f>
        <v>3262721</v>
      </c>
      <c r="AH231" s="588">
        <f>-ROUND('GL @ 31.12.2022'!E137,0)</f>
        <v>-8052798</v>
      </c>
      <c r="AI231" s="588">
        <f t="shared" si="15"/>
        <v>0</v>
      </c>
    </row>
    <row r="232" spans="1:35" s="474" customFormat="1" ht="15.75" thickBot="1">
      <c r="B232" s="491" t="s">
        <v>1073</v>
      </c>
      <c r="C232" s="491" t="s">
        <v>965</v>
      </c>
      <c r="D232" s="491"/>
      <c r="E232" s="512"/>
      <c r="F232" s="512"/>
      <c r="G232" s="512">
        <f>SUM(H232:W232)</f>
        <v>0</v>
      </c>
      <c r="H232" s="512"/>
      <c r="I232" s="512"/>
      <c r="J232" s="512"/>
      <c r="K232" s="512"/>
      <c r="L232" s="512"/>
      <c r="M232" s="512"/>
      <c r="N232" s="512"/>
      <c r="O232" s="512"/>
      <c r="P232" s="512"/>
      <c r="Q232" s="512"/>
      <c r="R232" s="512"/>
      <c r="S232" s="512"/>
      <c r="T232" s="512"/>
      <c r="U232" s="512"/>
      <c r="V232" s="512">
        <f>-D464-E460</f>
        <v>0</v>
      </c>
      <c r="W232" s="512"/>
      <c r="X232" s="655"/>
      <c r="Y232" s="517">
        <f>F232+G232+X232</f>
        <v>0</v>
      </c>
      <c r="Z232" s="512">
        <f>Y232</f>
        <v>0</v>
      </c>
      <c r="AC232" s="537" t="s">
        <v>813</v>
      </c>
      <c r="AD232" s="580">
        <f>SUM(AD227:AD231)</f>
        <v>11729362</v>
      </c>
      <c r="AE232" s="580">
        <f>SUM(AE227:AE231)</f>
        <v>5998981</v>
      </c>
      <c r="AF232" s="580">
        <f>SUM(AF227:AF231)</f>
        <v>-5730381</v>
      </c>
      <c r="AG232" s="580">
        <f>SUM(AG227:AG231)</f>
        <v>3886386</v>
      </c>
      <c r="AH232" s="580">
        <f>SUM(AH227:AH231)</f>
        <v>-9616767</v>
      </c>
      <c r="AI232" s="580">
        <f t="shared" si="15"/>
        <v>0</v>
      </c>
    </row>
    <row r="233" spans="1:35" s="474" customFormat="1" ht="15.75" thickTop="1">
      <c r="B233" s="491" t="s">
        <v>1074</v>
      </c>
      <c r="C233" s="491" t="s">
        <v>965</v>
      </c>
      <c r="D233" s="491"/>
      <c r="E233" s="512"/>
      <c r="F233" s="512"/>
      <c r="G233" s="512">
        <f t="shared" si="12"/>
        <v>0</v>
      </c>
      <c r="H233" s="512"/>
      <c r="I233" s="512"/>
      <c r="J233" s="512"/>
      <c r="K233" s="512"/>
      <c r="L233" s="512"/>
      <c r="M233" s="512">
        <f>-C341</f>
        <v>0</v>
      </c>
      <c r="N233" s="512"/>
      <c r="O233" s="512"/>
      <c r="P233" s="512"/>
      <c r="Q233" s="512"/>
      <c r="R233" s="512"/>
      <c r="S233" s="512"/>
      <c r="T233" s="512"/>
      <c r="U233" s="512"/>
      <c r="V233" s="512"/>
      <c r="W233" s="512"/>
      <c r="X233" s="655"/>
      <c r="Y233" s="517">
        <f t="shared" si="13"/>
        <v>0</v>
      </c>
      <c r="Z233" s="512">
        <f t="shared" ref="Z233:Z241" si="16">Y233</f>
        <v>0</v>
      </c>
      <c r="AC233" s="533" t="s">
        <v>1225</v>
      </c>
      <c r="AD233" s="588"/>
      <c r="AE233" s="588"/>
      <c r="AF233" s="588">
        <f>Y229</f>
        <v>-5730381</v>
      </c>
      <c r="AG233" s="588"/>
      <c r="AH233" s="588"/>
      <c r="AI233" s="588"/>
    </row>
    <row r="234" spans="1:35" s="474" customFormat="1" ht="15">
      <c r="B234" s="498" t="s">
        <v>1075</v>
      </c>
      <c r="C234" s="491" t="s">
        <v>965</v>
      </c>
      <c r="D234" s="498"/>
      <c r="E234" s="515"/>
      <c r="F234" s="515"/>
      <c r="G234" s="515">
        <f t="shared" si="12"/>
        <v>0</v>
      </c>
      <c r="H234" s="515"/>
      <c r="I234" s="515"/>
      <c r="J234" s="515"/>
      <c r="K234" s="515"/>
      <c r="L234" s="515"/>
      <c r="M234" s="515">
        <f>-C342</f>
        <v>0</v>
      </c>
      <c r="N234" s="515"/>
      <c r="O234" s="515"/>
      <c r="P234" s="515"/>
      <c r="Q234" s="515"/>
      <c r="R234" s="515"/>
      <c r="S234" s="515"/>
      <c r="T234" s="515"/>
      <c r="U234" s="515"/>
      <c r="V234" s="515"/>
      <c r="W234" s="515"/>
      <c r="X234" s="657"/>
      <c r="Y234" s="517">
        <f t="shared" si="13"/>
        <v>0</v>
      </c>
      <c r="Z234" s="512">
        <f t="shared" si="16"/>
        <v>0</v>
      </c>
      <c r="AC234" s="533" t="s">
        <v>1226</v>
      </c>
      <c r="AD234" s="533"/>
      <c r="AE234" s="533"/>
      <c r="AF234" s="538">
        <f>AF233-AF232</f>
        <v>0</v>
      </c>
      <c r="AG234" s="539" t="s">
        <v>1227</v>
      </c>
      <c r="AH234" s="533"/>
      <c r="AI234" s="533"/>
    </row>
    <row r="235" spans="1:35" s="474" customFormat="1" ht="15">
      <c r="B235" s="498" t="s">
        <v>1034</v>
      </c>
      <c r="C235" s="491" t="s">
        <v>965</v>
      </c>
      <c r="D235" s="498"/>
      <c r="E235" s="515"/>
      <c r="F235" s="515"/>
      <c r="G235" s="515">
        <f t="shared" si="12"/>
        <v>0</v>
      </c>
      <c r="H235" s="515"/>
      <c r="I235" s="515"/>
      <c r="J235" s="515">
        <f>-D282</f>
        <v>0</v>
      </c>
      <c r="K235" s="515"/>
      <c r="L235" s="515"/>
      <c r="M235" s="515"/>
      <c r="N235" s="515"/>
      <c r="O235" s="515"/>
      <c r="P235" s="515"/>
      <c r="Q235" s="515"/>
      <c r="R235" s="515"/>
      <c r="S235" s="515"/>
      <c r="T235" s="515"/>
      <c r="U235" s="515"/>
      <c r="V235" s="515"/>
      <c r="W235" s="515"/>
      <c r="X235" s="657"/>
      <c r="Y235" s="517">
        <f t="shared" si="13"/>
        <v>0</v>
      </c>
      <c r="Z235" s="512">
        <f t="shared" si="16"/>
        <v>0</v>
      </c>
      <c r="AC235" s="539" t="s">
        <v>1228</v>
      </c>
      <c r="AD235" s="533"/>
      <c r="AE235" s="533"/>
      <c r="AF235" s="533"/>
      <c r="AG235" s="533"/>
      <c r="AH235" s="533"/>
      <c r="AI235" s="533"/>
    </row>
    <row r="236" spans="1:35" s="474" customFormat="1" ht="15">
      <c r="A236" s="470"/>
      <c r="B236" s="491" t="s">
        <v>1036</v>
      </c>
      <c r="C236" s="491" t="s">
        <v>965</v>
      </c>
      <c r="D236" s="491"/>
      <c r="E236" s="512"/>
      <c r="F236" s="512"/>
      <c r="G236" s="512">
        <f t="shared" si="12"/>
        <v>0</v>
      </c>
      <c r="H236" s="512"/>
      <c r="I236" s="512"/>
      <c r="J236" s="512"/>
      <c r="K236" s="512"/>
      <c r="L236" s="512"/>
      <c r="M236" s="512"/>
      <c r="N236" s="512"/>
      <c r="O236" s="512"/>
      <c r="P236" s="512"/>
      <c r="Q236" s="512"/>
      <c r="R236" s="512"/>
      <c r="S236" s="512">
        <f>-C416</f>
        <v>0</v>
      </c>
      <c r="T236" s="512"/>
      <c r="U236" s="512"/>
      <c r="V236" s="512"/>
      <c r="W236" s="512"/>
      <c r="X236" s="655"/>
      <c r="Y236" s="517">
        <f t="shared" si="13"/>
        <v>0</v>
      </c>
      <c r="Z236" s="512">
        <f t="shared" si="16"/>
        <v>0</v>
      </c>
    </row>
    <row r="237" spans="1:35" s="474" customFormat="1" ht="15">
      <c r="A237" s="470"/>
      <c r="B237" s="491" t="s">
        <v>2750</v>
      </c>
      <c r="C237" s="491" t="s">
        <v>965</v>
      </c>
      <c r="D237" s="491"/>
      <c r="E237" s="512"/>
      <c r="F237" s="522">
        <f>H148+H108</f>
        <v>21920481.530000001</v>
      </c>
      <c r="G237" s="512">
        <f t="shared" si="12"/>
        <v>0</v>
      </c>
      <c r="H237" s="512">
        <f>C268</f>
        <v>0</v>
      </c>
      <c r="I237" s="512"/>
      <c r="J237" s="512"/>
      <c r="K237" s="512"/>
      <c r="L237" s="512"/>
      <c r="M237" s="512"/>
      <c r="N237" s="512"/>
      <c r="O237" s="512"/>
      <c r="P237" s="512"/>
      <c r="Q237" s="512"/>
      <c r="R237" s="512"/>
      <c r="S237" s="512"/>
      <c r="T237" s="512"/>
      <c r="U237" s="512"/>
      <c r="V237" s="512"/>
      <c r="W237" s="512"/>
      <c r="X237" s="655">
        <v>-21648364</v>
      </c>
      <c r="Y237" s="517">
        <f t="shared" si="13"/>
        <v>272117.53000000119</v>
      </c>
      <c r="Z237" s="512">
        <f t="shared" si="16"/>
        <v>272117.53000000119</v>
      </c>
      <c r="AA237" s="587" t="s">
        <v>3946</v>
      </c>
    </row>
    <row r="238" spans="1:35" s="474" customFormat="1" ht="15">
      <c r="A238" s="470"/>
      <c r="B238" s="491" t="s">
        <v>1076</v>
      </c>
      <c r="C238" s="491" t="s">
        <v>965</v>
      </c>
      <c r="D238" s="491"/>
      <c r="E238" s="512"/>
      <c r="F238" s="512"/>
      <c r="G238" s="512">
        <f t="shared" si="12"/>
        <v>0</v>
      </c>
      <c r="H238" s="512"/>
      <c r="I238" s="512"/>
      <c r="J238" s="512"/>
      <c r="K238" s="512"/>
      <c r="L238" s="512"/>
      <c r="M238" s="512"/>
      <c r="N238" s="512"/>
      <c r="O238" s="512"/>
      <c r="P238" s="512"/>
      <c r="Q238" s="512"/>
      <c r="R238" s="512"/>
      <c r="S238" s="512"/>
      <c r="T238" s="512"/>
      <c r="U238" s="512"/>
      <c r="V238" s="512"/>
      <c r="W238" s="512"/>
      <c r="X238" s="655"/>
      <c r="Y238" s="517">
        <f t="shared" si="13"/>
        <v>0</v>
      </c>
      <c r="Z238" s="512">
        <f t="shared" si="16"/>
        <v>0</v>
      </c>
    </row>
    <row r="239" spans="1:35" s="474" customFormat="1" ht="15">
      <c r="A239" s="470"/>
      <c r="B239" s="491" t="s">
        <v>1052</v>
      </c>
      <c r="C239" s="491" t="s">
        <v>965</v>
      </c>
      <c r="D239" s="491"/>
      <c r="E239" s="512"/>
      <c r="F239" s="512"/>
      <c r="G239" s="512">
        <f t="shared" si="12"/>
        <v>0</v>
      </c>
      <c r="H239" s="512"/>
      <c r="I239" s="512"/>
      <c r="J239" s="512"/>
      <c r="K239" s="512"/>
      <c r="L239" s="512"/>
      <c r="M239" s="512"/>
      <c r="N239" s="512"/>
      <c r="O239" s="512"/>
      <c r="P239" s="512"/>
      <c r="Q239" s="512"/>
      <c r="R239" s="512"/>
      <c r="S239" s="512"/>
      <c r="T239" s="512"/>
      <c r="U239" s="512"/>
      <c r="V239" s="512"/>
      <c r="W239" s="512"/>
      <c r="X239" s="655"/>
      <c r="Y239" s="517">
        <f t="shared" si="13"/>
        <v>0</v>
      </c>
      <c r="Z239" s="512">
        <f t="shared" si="16"/>
        <v>0</v>
      </c>
    </row>
    <row r="240" spans="1:35" s="474" customFormat="1" ht="15">
      <c r="A240" s="470"/>
      <c r="B240" s="491" t="s">
        <v>2753</v>
      </c>
      <c r="C240" s="491" t="s">
        <v>965</v>
      </c>
      <c r="D240" s="491"/>
      <c r="E240" s="512"/>
      <c r="F240" s="512"/>
      <c r="G240" s="512">
        <f t="shared" si="12"/>
        <v>0</v>
      </c>
      <c r="H240" s="512"/>
      <c r="I240" s="512"/>
      <c r="J240" s="512"/>
      <c r="K240" s="512"/>
      <c r="L240" s="512"/>
      <c r="M240" s="512"/>
      <c r="N240" s="512"/>
      <c r="O240" s="512"/>
      <c r="P240" s="512"/>
      <c r="Q240" s="512"/>
      <c r="R240" s="512"/>
      <c r="S240" s="512"/>
      <c r="T240" s="512"/>
      <c r="U240" s="512"/>
      <c r="V240" s="512"/>
      <c r="W240" s="512"/>
      <c r="X240" s="655"/>
      <c r="Y240" s="517">
        <f t="shared" si="13"/>
        <v>0</v>
      </c>
      <c r="Z240" s="512">
        <f t="shared" si="16"/>
        <v>0</v>
      </c>
    </row>
    <row r="241" spans="1:27" s="474" customFormat="1" ht="15">
      <c r="A241" s="470"/>
      <c r="B241" s="491" t="s">
        <v>2755</v>
      </c>
      <c r="C241" s="491" t="s">
        <v>965</v>
      </c>
      <c r="D241" s="491"/>
      <c r="E241" s="512"/>
      <c r="F241" s="512"/>
      <c r="G241" s="512">
        <f t="shared" si="12"/>
        <v>0</v>
      </c>
      <c r="H241" s="512"/>
      <c r="I241" s="512"/>
      <c r="J241" s="512"/>
      <c r="K241" s="512"/>
      <c r="L241" s="512"/>
      <c r="M241" s="512"/>
      <c r="N241" s="512"/>
      <c r="O241" s="512"/>
      <c r="P241" s="512"/>
      <c r="Q241" s="512"/>
      <c r="R241" s="512"/>
      <c r="S241" s="512"/>
      <c r="T241" s="512"/>
      <c r="U241" s="512"/>
      <c r="V241" s="512"/>
      <c r="W241" s="512"/>
      <c r="X241" s="655"/>
      <c r="Y241" s="517">
        <f t="shared" si="13"/>
        <v>0</v>
      </c>
      <c r="Z241" s="512">
        <f t="shared" si="16"/>
        <v>0</v>
      </c>
    </row>
    <row r="242" spans="1:27" s="474" customFormat="1" ht="15">
      <c r="A242" s="475" t="s">
        <v>576</v>
      </c>
      <c r="B242" s="494" t="s">
        <v>1077</v>
      </c>
      <c r="C242" s="491" t="s">
        <v>965</v>
      </c>
      <c r="D242" s="507"/>
      <c r="E242" s="517"/>
      <c r="F242" s="517"/>
      <c r="G242" s="517">
        <f t="shared" si="12"/>
        <v>0</v>
      </c>
      <c r="H242" s="517"/>
      <c r="I242" s="517"/>
      <c r="J242" s="517"/>
      <c r="K242" s="517"/>
      <c r="L242" s="517"/>
      <c r="M242" s="517"/>
      <c r="N242" s="517"/>
      <c r="O242" s="517"/>
      <c r="P242" s="517"/>
      <c r="Q242" s="517"/>
      <c r="R242" s="517"/>
      <c r="S242" s="517"/>
      <c r="T242" s="517"/>
      <c r="U242" s="517"/>
      <c r="V242" s="517"/>
      <c r="W242" s="517"/>
      <c r="X242" s="659"/>
      <c r="Y242" s="517">
        <f t="shared" si="13"/>
        <v>0</v>
      </c>
      <c r="Z242" s="521">
        <f>AA225+AA216</f>
        <v>982918.53000000119</v>
      </c>
    </row>
    <row r="243" spans="1:27" s="474" customFormat="1" ht="15">
      <c r="A243" s="475" t="s">
        <v>668</v>
      </c>
      <c r="B243" s="494" t="s">
        <v>1078</v>
      </c>
      <c r="C243" s="491" t="s">
        <v>965</v>
      </c>
      <c r="D243" s="507"/>
      <c r="E243" s="517"/>
      <c r="F243" s="517"/>
      <c r="G243" s="517">
        <f t="shared" si="12"/>
        <v>0</v>
      </c>
      <c r="H243" s="517"/>
      <c r="I243" s="517"/>
      <c r="J243" s="517"/>
      <c r="K243" s="517"/>
      <c r="L243" s="517"/>
      <c r="M243" s="517"/>
      <c r="N243" s="517"/>
      <c r="O243" s="517"/>
      <c r="P243" s="517"/>
      <c r="Q243" s="517"/>
      <c r="R243" s="517"/>
      <c r="S243" s="517"/>
      <c r="T243" s="517"/>
      <c r="U243" s="517"/>
      <c r="V243" s="517"/>
      <c r="W243" s="517"/>
      <c r="X243" s="659"/>
      <c r="Y243" s="517">
        <f t="shared" si="13"/>
        <v>0</v>
      </c>
      <c r="Z243" s="521">
        <f>Z242+AA213+AA191</f>
        <v>4773191</v>
      </c>
    </row>
    <row r="244" spans="1:27" s="474" customFormat="1" ht="15">
      <c r="A244" s="470" t="s">
        <v>670</v>
      </c>
      <c r="B244" s="488" t="s">
        <v>1079</v>
      </c>
      <c r="C244" s="491" t="s">
        <v>965</v>
      </c>
      <c r="D244" s="507"/>
      <c r="E244" s="517"/>
      <c r="F244" s="524">
        <f>G79</f>
        <v>13284</v>
      </c>
      <c r="G244" s="517">
        <f t="shared" si="12"/>
        <v>0</v>
      </c>
      <c r="H244" s="517"/>
      <c r="I244" s="517"/>
      <c r="J244" s="517"/>
      <c r="K244" s="517"/>
      <c r="L244" s="517"/>
      <c r="M244" s="517"/>
      <c r="N244" s="517"/>
      <c r="O244" s="517"/>
      <c r="P244" s="517"/>
      <c r="Q244" s="517"/>
      <c r="R244" s="517"/>
      <c r="S244" s="517"/>
      <c r="T244" s="517"/>
      <c r="U244" s="517"/>
      <c r="V244" s="517"/>
      <c r="W244" s="517"/>
      <c r="X244" s="659"/>
      <c r="Y244" s="517">
        <f t="shared" si="13"/>
        <v>13284</v>
      </c>
      <c r="Z244" s="521">
        <f>Y244</f>
        <v>13284</v>
      </c>
    </row>
    <row r="245" spans="1:27" s="474" customFormat="1" ht="15">
      <c r="A245" s="470" t="s">
        <v>672</v>
      </c>
      <c r="B245" s="488" t="s">
        <v>1080</v>
      </c>
      <c r="C245" s="491" t="s">
        <v>965</v>
      </c>
      <c r="D245" s="507"/>
      <c r="E245" s="517"/>
      <c r="F245" s="517"/>
      <c r="G245" s="517">
        <f t="shared" si="12"/>
        <v>0</v>
      </c>
      <c r="H245" s="517"/>
      <c r="I245" s="517"/>
      <c r="J245" s="517"/>
      <c r="K245" s="517"/>
      <c r="L245" s="517"/>
      <c r="M245" s="517"/>
      <c r="N245" s="517"/>
      <c r="O245" s="517"/>
      <c r="P245" s="517"/>
      <c r="Q245" s="517"/>
      <c r="R245" s="517"/>
      <c r="S245" s="517"/>
      <c r="T245" s="517"/>
      <c r="U245" s="517"/>
      <c r="V245" s="517"/>
      <c r="W245" s="517"/>
      <c r="X245" s="659"/>
      <c r="Y245" s="517">
        <f t="shared" si="13"/>
        <v>0</v>
      </c>
      <c r="Z245" s="521">
        <f>Z247-Z246</f>
        <v>4786475</v>
      </c>
    </row>
    <row r="246" spans="1:27" s="474" customFormat="1" ht="15">
      <c r="A246" s="470" t="s">
        <v>674</v>
      </c>
      <c r="B246" s="494" t="s">
        <v>1081</v>
      </c>
      <c r="C246" s="491" t="s">
        <v>965</v>
      </c>
      <c r="D246" s="507"/>
      <c r="E246" s="517"/>
      <c r="F246" s="517"/>
      <c r="G246" s="517">
        <f t="shared" si="12"/>
        <v>0</v>
      </c>
      <c r="H246" s="517"/>
      <c r="I246" s="517"/>
      <c r="J246" s="517"/>
      <c r="K246" s="517"/>
      <c r="L246" s="517"/>
      <c r="M246" s="517">
        <f>-C336</f>
        <v>0</v>
      </c>
      <c r="N246" s="517"/>
      <c r="O246" s="517"/>
      <c r="P246" s="517"/>
      <c r="Q246" s="517"/>
      <c r="R246" s="517"/>
      <c r="S246" s="517"/>
      <c r="T246" s="517"/>
      <c r="U246" s="517"/>
      <c r="V246" s="517"/>
      <c r="W246" s="517"/>
      <c r="X246" s="659"/>
      <c r="Y246" s="517">
        <f t="shared" si="13"/>
        <v>0</v>
      </c>
      <c r="Z246" s="521">
        <f>Y246</f>
        <v>0</v>
      </c>
    </row>
    <row r="247" spans="1:27" s="474" customFormat="1" ht="15">
      <c r="A247" s="475" t="s">
        <v>677</v>
      </c>
      <c r="B247" s="494" t="s">
        <v>1470</v>
      </c>
      <c r="C247" s="491" t="s">
        <v>965</v>
      </c>
      <c r="D247" s="507"/>
      <c r="E247" s="517"/>
      <c r="F247" s="524">
        <f>F79</f>
        <v>4786475</v>
      </c>
      <c r="G247" s="517">
        <f t="shared" si="12"/>
        <v>0</v>
      </c>
      <c r="H247" s="517"/>
      <c r="I247" s="517"/>
      <c r="J247" s="517"/>
      <c r="K247" s="517"/>
      <c r="L247" s="517"/>
      <c r="M247" s="517"/>
      <c r="N247" s="517"/>
      <c r="O247" s="517"/>
      <c r="P247" s="517"/>
      <c r="Q247" s="517"/>
      <c r="R247" s="517"/>
      <c r="S247" s="517"/>
      <c r="T247" s="517"/>
      <c r="U247" s="517"/>
      <c r="V247" s="517"/>
      <c r="W247" s="517"/>
      <c r="X247" s="659"/>
      <c r="Y247" s="517">
        <f t="shared" si="13"/>
        <v>4786475</v>
      </c>
      <c r="Z247" s="521">
        <f>Y247</f>
        <v>4786475</v>
      </c>
    </row>
    <row r="248" spans="1:27" ht="13.5" thickBot="1">
      <c r="B248" s="44" t="s">
        <v>1258</v>
      </c>
      <c r="C248" s="491" t="s">
        <v>965</v>
      </c>
      <c r="D248" s="507"/>
      <c r="E248" s="517"/>
      <c r="F248" s="524">
        <f>H104+H101+H111+H114</f>
        <v>455748</v>
      </c>
      <c r="G248" s="517">
        <f>SUM(H248:W248)-1</f>
        <v>-455748</v>
      </c>
      <c r="H248" s="517">
        <f>C256+C267</f>
        <v>149201</v>
      </c>
      <c r="I248" s="517"/>
      <c r="J248" s="517"/>
      <c r="K248" s="517"/>
      <c r="L248" s="517"/>
      <c r="M248" s="517"/>
      <c r="N248" s="517"/>
      <c r="O248" s="517"/>
      <c r="P248" s="517"/>
      <c r="Q248" s="517"/>
      <c r="R248" s="517"/>
      <c r="S248" s="517">
        <f>C416+C417+C420+C421+C422</f>
        <v>0</v>
      </c>
      <c r="T248" s="517"/>
      <c r="U248" s="517">
        <f>C451</f>
        <v>0</v>
      </c>
      <c r="V248" s="517"/>
      <c r="W248" s="517">
        <f>-W164</f>
        <v>-604948</v>
      </c>
      <c r="X248" s="659"/>
      <c r="Y248" s="517"/>
      <c r="Z248" s="517"/>
      <c r="AA248" s="39" t="s">
        <v>1259</v>
      </c>
    </row>
    <row r="249" spans="1:27" ht="13.5" thickBot="1">
      <c r="B249" s="46" t="s">
        <v>1224</v>
      </c>
      <c r="C249" s="42"/>
      <c r="D249" s="42"/>
      <c r="E249" s="42"/>
      <c r="F249" s="42">
        <f>SUM(F164:F241,F248)+F244-F247</f>
        <v>0</v>
      </c>
      <c r="G249" s="42">
        <f t="shared" ref="G249:W249" si="17">SUM(G164:G248)</f>
        <v>0</v>
      </c>
      <c r="H249" s="42">
        <f t="shared" si="17"/>
        <v>0</v>
      </c>
      <c r="I249" s="42">
        <f t="shared" si="17"/>
        <v>0</v>
      </c>
      <c r="J249" s="42">
        <f t="shared" si="17"/>
        <v>0</v>
      </c>
      <c r="K249" s="42">
        <f t="shared" si="17"/>
        <v>0</v>
      </c>
      <c r="L249" s="42">
        <f t="shared" si="17"/>
        <v>0</v>
      </c>
      <c r="M249" s="42">
        <f t="shared" si="17"/>
        <v>1</v>
      </c>
      <c r="N249" s="42">
        <f t="shared" si="17"/>
        <v>0</v>
      </c>
      <c r="O249" s="42">
        <f t="shared" si="17"/>
        <v>0</v>
      </c>
      <c r="P249" s="42">
        <f t="shared" si="17"/>
        <v>0</v>
      </c>
      <c r="Q249" s="42">
        <f t="shared" si="17"/>
        <v>0</v>
      </c>
      <c r="R249" s="42">
        <f t="shared" si="17"/>
        <v>0</v>
      </c>
      <c r="S249" s="42">
        <f t="shared" si="17"/>
        <v>0</v>
      </c>
      <c r="T249" s="42">
        <f t="shared" si="17"/>
        <v>0</v>
      </c>
      <c r="U249" s="42">
        <f t="shared" si="17"/>
        <v>0</v>
      </c>
      <c r="V249" s="42">
        <f t="shared" si="17"/>
        <v>0</v>
      </c>
      <c r="W249" s="42">
        <f t="shared" si="17"/>
        <v>0</v>
      </c>
      <c r="X249" s="660">
        <f>SUM(X164:X241,X248)+X244-X247</f>
        <v>0</v>
      </c>
      <c r="Y249" s="520">
        <f>SUM(Y164:Y241,Y248)+Y244-Y247</f>
        <v>0</v>
      </c>
      <c r="Z249" s="42">
        <f>SUM(Z164:Z241,Z248)+Z244-Z247</f>
        <v>0</v>
      </c>
    </row>
    <row r="250" spans="1:27">
      <c r="B250" s="70"/>
      <c r="G250" s="67"/>
      <c r="H250" s="67"/>
      <c r="I250" s="67"/>
      <c r="J250" s="67"/>
      <c r="K250" s="67"/>
      <c r="L250" s="67"/>
      <c r="M250" s="67"/>
      <c r="N250" s="67"/>
      <c r="O250" s="67"/>
      <c r="P250" s="67"/>
      <c r="Q250" s="67"/>
      <c r="R250" s="67"/>
      <c r="S250" s="67"/>
      <c r="T250" s="67"/>
      <c r="U250" s="67"/>
      <c r="V250" s="67"/>
      <c r="W250" s="67"/>
      <c r="X250" s="643"/>
      <c r="Y250" s="70"/>
      <c r="Z250" s="70"/>
    </row>
    <row r="251" spans="1:27">
      <c r="B251" s="47" t="s">
        <v>1260</v>
      </c>
      <c r="C251" s="67" t="s">
        <v>1261</v>
      </c>
      <c r="G251" s="67"/>
      <c r="H251" s="67"/>
      <c r="I251" s="67"/>
      <c r="J251" s="67"/>
      <c r="K251" s="67"/>
      <c r="L251" s="67"/>
      <c r="M251" s="67"/>
      <c r="N251" s="67"/>
      <c r="O251" s="67"/>
      <c r="P251" s="67"/>
      <c r="Q251" s="67"/>
      <c r="R251" s="67"/>
      <c r="S251" s="67"/>
      <c r="T251" s="67"/>
      <c r="U251" s="67"/>
      <c r="V251" s="67"/>
      <c r="W251" s="67"/>
      <c r="X251" s="643"/>
      <c r="Y251" s="70"/>
      <c r="Z251" s="70"/>
    </row>
    <row r="252" spans="1:27">
      <c r="B252" s="80" t="s">
        <v>1262</v>
      </c>
      <c r="C252" s="80"/>
      <c r="D252" s="80"/>
      <c r="E252" s="80"/>
    </row>
    <row r="254" spans="1:27">
      <c r="A254" s="67">
        <v>1</v>
      </c>
      <c r="B254" s="48" t="s">
        <v>1263</v>
      </c>
      <c r="C254" s="39"/>
      <c r="D254" s="39" t="s">
        <v>1264</v>
      </c>
      <c r="E254" s="39" t="s">
        <v>1265</v>
      </c>
    </row>
    <row r="255" spans="1:27">
      <c r="B255" s="39" t="s">
        <v>1266</v>
      </c>
      <c r="C255" s="598">
        <f>ROUND('GL @ 31.12.2022'!D306,0)</f>
        <v>-331282</v>
      </c>
      <c r="D255" s="39">
        <f>IF(C255&gt;0,C255,0)</f>
        <v>0</v>
      </c>
      <c r="E255" s="39">
        <f>IF(C255&lt;0,C255,0)</f>
        <v>-331282</v>
      </c>
    </row>
    <row r="256" spans="1:27">
      <c r="B256" s="39" t="s">
        <v>2787</v>
      </c>
      <c r="C256" s="39">
        <f>ROUND(GL!H362,0)</f>
        <v>1043213</v>
      </c>
      <c r="D256" s="39"/>
      <c r="E256" s="39"/>
      <c r="F256" s="70"/>
      <c r="G256" s="67"/>
      <c r="H256" s="67"/>
      <c r="I256" s="67"/>
      <c r="J256" s="67"/>
      <c r="K256" s="67"/>
      <c r="L256" s="67"/>
      <c r="M256" s="67"/>
      <c r="N256" s="67"/>
      <c r="O256" s="67"/>
      <c r="P256" s="67"/>
      <c r="Q256" s="67"/>
      <c r="R256" s="67"/>
      <c r="S256" s="67"/>
      <c r="T256" s="67"/>
      <c r="U256" s="67"/>
      <c r="V256" s="67"/>
      <c r="W256" s="67"/>
      <c r="X256" s="643"/>
    </row>
    <row r="257" spans="1:28">
      <c r="B257" s="39" t="s">
        <v>1267</v>
      </c>
      <c r="C257" s="84">
        <v>544341</v>
      </c>
      <c r="D257" s="39"/>
      <c r="E257" s="39"/>
      <c r="F257" s="583" t="s">
        <v>3103</v>
      </c>
    </row>
    <row r="258" spans="1:28">
      <c r="B258" s="39" t="s">
        <v>1268</v>
      </c>
      <c r="C258" s="84">
        <v>331282</v>
      </c>
      <c r="D258" s="39"/>
      <c r="E258" s="39"/>
      <c r="F258" s="583" t="s">
        <v>3093</v>
      </c>
    </row>
    <row r="259" spans="1:28">
      <c r="B259" s="39" t="s">
        <v>1269</v>
      </c>
      <c r="C259" s="84"/>
      <c r="D259" s="39"/>
      <c r="E259" s="39"/>
    </row>
    <row r="260" spans="1:28" ht="13.5" thickBot="1">
      <c r="B260" s="39" t="s">
        <v>1270</v>
      </c>
      <c r="C260" s="49">
        <f>C255-C256+C257+C258+C259</f>
        <v>-498872</v>
      </c>
      <c r="D260" s="39">
        <f>IF(C260&gt;0,C260,0)</f>
        <v>0</v>
      </c>
      <c r="E260" s="39">
        <f>IF(C260&lt;0,C260,0)</f>
        <v>-498872</v>
      </c>
      <c r="F260" s="67" t="s">
        <v>1229</v>
      </c>
      <c r="G260"/>
    </row>
    <row r="261" spans="1:28" ht="14.25" thickTop="1" thickBot="1">
      <c r="B261" s="39"/>
      <c r="C261" s="39"/>
      <c r="D261" s="39"/>
      <c r="E261" s="39"/>
      <c r="F261" s="77" t="s">
        <v>1271</v>
      </c>
      <c r="G261" s="78">
        <f>SUM(GL!H179:H180)-C260</f>
        <v>0</v>
      </c>
    </row>
    <row r="262" spans="1:28" ht="13.5" thickTop="1">
      <c r="B262" s="39" t="s">
        <v>1272</v>
      </c>
      <c r="C262" s="39"/>
      <c r="D262" s="39">
        <f>D260-D255</f>
        <v>0</v>
      </c>
      <c r="E262" s="39">
        <f>E260-E255</f>
        <v>-167590</v>
      </c>
    </row>
    <row r="265" spans="1:28">
      <c r="A265" s="67">
        <v>2</v>
      </c>
      <c r="B265" s="48" t="s">
        <v>1273</v>
      </c>
      <c r="C265" s="39"/>
      <c r="D265" s="39"/>
      <c r="E265" s="39"/>
    </row>
    <row r="266" spans="1:28">
      <c r="B266" s="39" t="s">
        <v>1274</v>
      </c>
      <c r="C266" s="39">
        <v>-1577649</v>
      </c>
      <c r="D266" s="39">
        <f>IF(C266&gt;0,C266,0)</f>
        <v>0</v>
      </c>
      <c r="E266" s="39">
        <f>IF(C266&lt;0,C266,0)</f>
        <v>-1577649</v>
      </c>
    </row>
    <row r="267" spans="1:28">
      <c r="B267" s="39" t="s">
        <v>1275</v>
      </c>
      <c r="C267" s="39">
        <f>ROUND(GL!H363,0)</f>
        <v>-894012</v>
      </c>
      <c r="D267" s="39"/>
      <c r="E267" s="39"/>
    </row>
    <row r="268" spans="1:28">
      <c r="B268" s="39" t="s">
        <v>3080</v>
      </c>
      <c r="C268" s="572"/>
      <c r="D268" s="39"/>
      <c r="E268" s="39"/>
      <c r="H268" s="75" t="s">
        <v>3081</v>
      </c>
    </row>
    <row r="269" spans="1:28" ht="13.5" thickBot="1">
      <c r="B269" s="39" t="s">
        <v>1276</v>
      </c>
      <c r="C269" s="49">
        <f>C266-C267-C268</f>
        <v>-683637</v>
      </c>
      <c r="D269" s="39">
        <f>IF(C269&gt;0,C269,0)</f>
        <v>0</v>
      </c>
      <c r="E269" s="39">
        <f>IF(C269&lt;0,C269,0)</f>
        <v>-683637</v>
      </c>
      <c r="F269" s="67" t="s">
        <v>1229</v>
      </c>
      <c r="G269" s="67"/>
    </row>
    <row r="270" spans="1:28" ht="14.25" thickTop="1" thickBot="1">
      <c r="B270" s="39"/>
      <c r="C270" s="39"/>
      <c r="D270" s="39"/>
      <c r="E270" s="39"/>
      <c r="F270" s="77" t="s">
        <v>1271</v>
      </c>
      <c r="G270" s="78">
        <f>SUM(D269:E269)-C269</f>
        <v>0</v>
      </c>
    </row>
    <row r="271" spans="1:28" ht="13.5" thickTop="1">
      <c r="B271" s="39" t="s">
        <v>1277</v>
      </c>
      <c r="C271" s="39"/>
      <c r="D271" s="39">
        <f>D269-D266</f>
        <v>0</v>
      </c>
      <c r="E271" s="39">
        <f>E269-E266</f>
        <v>894012</v>
      </c>
    </row>
    <row r="272" spans="1:28" s="70" customFormat="1">
      <c r="A272" s="67"/>
      <c r="B272" s="67"/>
      <c r="C272" s="67"/>
      <c r="D272" s="67"/>
      <c r="E272" s="67"/>
      <c r="F272" s="67"/>
      <c r="X272" s="642"/>
      <c r="Y272" s="67"/>
      <c r="Z272" s="67"/>
      <c r="AA272" s="67"/>
      <c r="AB272" s="67"/>
    </row>
    <row r="274" spans="1:28" s="70" customFormat="1">
      <c r="A274" s="67">
        <v>3</v>
      </c>
      <c r="B274" s="48" t="s">
        <v>1278</v>
      </c>
      <c r="C274" s="39"/>
      <c r="D274" s="67"/>
      <c r="E274" s="67"/>
      <c r="F274" s="67"/>
      <c r="X274" s="642"/>
      <c r="Y274" s="67"/>
      <c r="Z274" s="67"/>
      <c r="AA274" s="67"/>
      <c r="AB274" s="67"/>
    </row>
    <row r="275" spans="1:28" s="70" customFormat="1">
      <c r="A275" s="67"/>
      <c r="B275" s="39" t="s">
        <v>1279</v>
      </c>
      <c r="C275" s="39">
        <f>GL!H348</f>
        <v>9551</v>
      </c>
      <c r="D275" s="67"/>
      <c r="E275" s="67"/>
      <c r="F275" s="67"/>
      <c r="X275" s="642"/>
      <c r="Y275" s="67"/>
      <c r="Z275" s="67"/>
      <c r="AA275" s="67"/>
      <c r="AB275" s="67"/>
    </row>
    <row r="276" spans="1:28" s="70" customFormat="1">
      <c r="A276" s="67"/>
      <c r="B276" s="67"/>
      <c r="C276" s="67"/>
      <c r="D276" s="67"/>
      <c r="E276" s="67"/>
      <c r="F276" s="67"/>
      <c r="X276" s="642"/>
      <c r="Y276" s="67"/>
      <c r="Z276" s="67"/>
      <c r="AA276" s="67"/>
      <c r="AB276" s="67"/>
    </row>
    <row r="277" spans="1:28" s="70" customFormat="1">
      <c r="A277" s="67"/>
      <c r="B277" s="67"/>
      <c r="C277" s="67"/>
      <c r="D277" s="67"/>
      <c r="E277" s="67"/>
      <c r="F277" s="67"/>
      <c r="X277" s="642"/>
      <c r="Y277" s="67"/>
      <c r="Z277" s="67"/>
      <c r="AA277" s="67"/>
      <c r="AB277" s="67"/>
    </row>
    <row r="279" spans="1:28" s="70" customFormat="1">
      <c r="A279" s="67">
        <v>4</v>
      </c>
      <c r="B279" s="48" t="s">
        <v>1280</v>
      </c>
      <c r="C279" s="39" t="s">
        <v>1281</v>
      </c>
      <c r="D279" s="39" t="s">
        <v>1282</v>
      </c>
      <c r="E279" s="39" t="s">
        <v>1283</v>
      </c>
      <c r="F279" s="67"/>
      <c r="X279" s="642"/>
      <c r="Y279" s="67"/>
      <c r="Z279" s="67"/>
      <c r="AA279" s="67"/>
      <c r="AB279" s="67"/>
    </row>
    <row r="280" spans="1:28" s="70" customFormat="1" ht="25.5">
      <c r="A280" s="67"/>
      <c r="B280" s="39"/>
      <c r="C280" s="541" t="s">
        <v>2785</v>
      </c>
      <c r="D280" s="541" t="s">
        <v>2786</v>
      </c>
      <c r="E280" s="39"/>
      <c r="F280" s="67"/>
      <c r="X280" s="642"/>
      <c r="Y280" s="67"/>
      <c r="Z280" s="67"/>
      <c r="AA280" s="67"/>
      <c r="AB280" s="67"/>
    </row>
    <row r="281" spans="1:28" s="70" customFormat="1">
      <c r="A281" s="67"/>
      <c r="B281" s="39" t="s">
        <v>1284</v>
      </c>
      <c r="C281" s="84"/>
      <c r="D281" s="84"/>
      <c r="E281" s="39">
        <f>SUM(C281:D281)</f>
        <v>0</v>
      </c>
      <c r="F281" s="67"/>
      <c r="X281" s="642"/>
      <c r="Y281" s="67"/>
      <c r="Z281" s="67"/>
      <c r="AA281" s="67"/>
      <c r="AB281" s="67"/>
    </row>
    <row r="282" spans="1:28" s="70" customFormat="1">
      <c r="A282" s="67"/>
      <c r="B282" s="39" t="s">
        <v>1285</v>
      </c>
      <c r="C282" s="84">
        <f>C283</f>
        <v>288671</v>
      </c>
      <c r="D282" s="84"/>
      <c r="E282" s="39">
        <f>SUM(C282:D282)</f>
        <v>288671</v>
      </c>
      <c r="F282" s="583" t="s">
        <v>3094</v>
      </c>
      <c r="X282" s="642"/>
      <c r="Y282" s="67"/>
      <c r="Z282" s="67"/>
      <c r="AA282" s="67"/>
      <c r="AB282" s="67"/>
    </row>
    <row r="283" spans="1:28" s="70" customFormat="1">
      <c r="A283" s="67"/>
      <c r="B283" s="39" t="s">
        <v>1286</v>
      </c>
      <c r="C283" s="84">
        <f>ROUND(SUM(GL!H353:H354),0)</f>
        <v>288671</v>
      </c>
      <c r="D283" s="84"/>
      <c r="E283" s="39">
        <f>SUM(C283:D283)</f>
        <v>288671</v>
      </c>
      <c r="F283" s="583" t="s">
        <v>3094</v>
      </c>
      <c r="X283" s="642"/>
      <c r="Y283" s="67"/>
      <c r="Z283" s="67"/>
      <c r="AA283" s="67"/>
      <c r="AB283" s="67"/>
    </row>
    <row r="284" spans="1:28" s="70" customFormat="1" ht="13.5" thickBot="1">
      <c r="A284" s="67"/>
      <c r="B284" s="39" t="s">
        <v>1287</v>
      </c>
      <c r="C284" s="49">
        <f>C281-C282+C283</f>
        <v>0</v>
      </c>
      <c r="D284" s="49">
        <f>D281-D282+D283</f>
        <v>0</v>
      </c>
      <c r="E284" s="49">
        <f>E281-E282+E283</f>
        <v>0</v>
      </c>
      <c r="F284" s="67"/>
      <c r="X284" s="642"/>
      <c r="Y284" s="67"/>
      <c r="Z284" s="67"/>
      <c r="AA284" s="67"/>
      <c r="AB284" s="67"/>
    </row>
    <row r="285" spans="1:28" s="70" customFormat="1" ht="13.5" thickTop="1">
      <c r="A285" s="67"/>
      <c r="B285" s="50" t="s">
        <v>1288</v>
      </c>
      <c r="C285" s="39"/>
      <c r="D285" s="39"/>
      <c r="E285" s="39">
        <f>E284-E281</f>
        <v>0</v>
      </c>
      <c r="F285" s="67"/>
      <c r="X285" s="642"/>
      <c r="Y285" s="67"/>
      <c r="Z285" s="67"/>
      <c r="AA285" s="67"/>
      <c r="AB285" s="67"/>
    </row>
    <row r="286" spans="1:28" s="70" customFormat="1">
      <c r="A286" s="67"/>
      <c r="B286" s="50"/>
      <c r="C286" s="39"/>
      <c r="D286" s="39"/>
      <c r="E286" s="39"/>
      <c r="F286" s="67"/>
      <c r="X286" s="642"/>
      <c r="Y286" s="67"/>
      <c r="Z286" s="67"/>
      <c r="AA286" s="67"/>
      <c r="AB286" s="67"/>
    </row>
    <row r="287" spans="1:28" s="70" customFormat="1">
      <c r="A287" s="67"/>
      <c r="B287" s="39" t="s">
        <v>2765</v>
      </c>
      <c r="C287" s="39"/>
      <c r="D287" s="39" t="s">
        <v>965</v>
      </c>
      <c r="E287" s="84"/>
      <c r="F287" s="67"/>
      <c r="H287" s="20"/>
      <c r="I287" s="20"/>
      <c r="X287" s="642"/>
      <c r="Y287" s="67"/>
      <c r="Z287" s="67"/>
      <c r="AA287" s="67"/>
      <c r="AB287" s="67"/>
    </row>
    <row r="288" spans="1:28" s="70" customFormat="1">
      <c r="A288" s="67"/>
      <c r="B288" s="39" t="s">
        <v>2766</v>
      </c>
      <c r="C288" s="39"/>
      <c r="D288" s="39" t="s">
        <v>965</v>
      </c>
      <c r="E288" s="84"/>
      <c r="F288" s="67"/>
      <c r="G288" s="67"/>
      <c r="H288" s="20"/>
      <c r="I288" s="20"/>
      <c r="X288" s="642"/>
      <c r="Y288" s="67"/>
      <c r="Z288" s="67"/>
      <c r="AA288" s="67"/>
      <c r="AB288" s="67"/>
    </row>
    <row r="289" spans="1:28" s="70" customFormat="1">
      <c r="A289" s="67"/>
      <c r="B289" s="39" t="s">
        <v>2767</v>
      </c>
      <c r="C289" s="39"/>
      <c r="D289" s="39" t="s">
        <v>965</v>
      </c>
      <c r="E289" s="84"/>
      <c r="F289" s="67"/>
      <c r="G289" s="67"/>
      <c r="H289" s="20"/>
      <c r="I289" s="20"/>
      <c r="X289" s="642"/>
      <c r="Y289" s="67"/>
      <c r="Z289" s="67"/>
      <c r="AA289" s="67"/>
      <c r="AB289" s="67"/>
    </row>
    <row r="290" spans="1:28" s="70" customFormat="1" ht="13.5" thickBot="1">
      <c r="A290" s="67"/>
      <c r="B290" s="39" t="s">
        <v>2768</v>
      </c>
      <c r="C290" s="39"/>
      <c r="D290" s="39"/>
      <c r="E290" s="84"/>
      <c r="F290" s="67"/>
      <c r="G290" s="67"/>
      <c r="H290" s="20"/>
      <c r="I290" s="20"/>
      <c r="X290" s="642"/>
      <c r="Y290" s="67"/>
      <c r="Z290" s="67"/>
      <c r="AA290" s="67"/>
      <c r="AB290" s="67"/>
    </row>
    <row r="291" spans="1:28" s="70" customFormat="1" ht="13.5" thickBot="1">
      <c r="A291" s="67"/>
      <c r="B291" s="41" t="s">
        <v>1289</v>
      </c>
      <c r="C291" s="42"/>
      <c r="D291" s="42"/>
      <c r="E291" s="43">
        <f>SUM(E287:E290)-E285</f>
        <v>0</v>
      </c>
      <c r="F291" s="67"/>
      <c r="H291" s="20"/>
      <c r="I291" s="20"/>
      <c r="X291" s="642"/>
      <c r="Y291" s="67"/>
      <c r="Z291" s="67"/>
      <c r="AA291" s="67"/>
      <c r="AB291" s="67"/>
    </row>
    <row r="292" spans="1:28" s="70" customFormat="1">
      <c r="A292" s="67"/>
      <c r="B292" s="67"/>
      <c r="C292" s="67"/>
      <c r="D292" s="67"/>
      <c r="E292" s="67"/>
      <c r="F292" s="67"/>
      <c r="G292" s="67"/>
      <c r="H292" s="20"/>
      <c r="I292" s="20"/>
      <c r="X292" s="642"/>
      <c r="Y292" s="67"/>
      <c r="Z292" s="67"/>
      <c r="AA292" s="67"/>
      <c r="AB292" s="67"/>
    </row>
    <row r="293" spans="1:28" s="70" customFormat="1">
      <c r="A293" s="67"/>
      <c r="B293" s="67"/>
      <c r="C293" s="67"/>
      <c r="D293" s="67"/>
      <c r="E293" s="67"/>
      <c r="F293" s="67"/>
      <c r="G293" s="67"/>
      <c r="H293" s="20"/>
      <c r="I293" s="20"/>
      <c r="X293" s="642"/>
      <c r="Y293" s="67"/>
      <c r="Z293" s="67"/>
      <c r="AA293" s="67"/>
      <c r="AB293" s="67"/>
    </row>
    <row r="294" spans="1:28" s="70" customFormat="1">
      <c r="A294" s="67">
        <v>5</v>
      </c>
      <c r="B294" s="48" t="s">
        <v>1290</v>
      </c>
      <c r="C294" s="39"/>
      <c r="D294" s="39"/>
      <c r="E294" s="39"/>
      <c r="F294" s="67"/>
      <c r="G294" s="67"/>
      <c r="H294" s="20"/>
      <c r="I294" s="20"/>
      <c r="X294" s="642"/>
      <c r="Y294" s="67"/>
      <c r="Z294" s="67"/>
      <c r="AA294" s="67"/>
      <c r="AB294" s="67"/>
    </row>
    <row r="295" spans="1:28" s="70" customFormat="1">
      <c r="A295" s="67"/>
      <c r="B295" s="51" t="s">
        <v>1291</v>
      </c>
      <c r="C295" s="39"/>
      <c r="D295" s="39"/>
      <c r="E295" s="39"/>
      <c r="F295" s="67"/>
      <c r="X295" s="642"/>
      <c r="Y295" s="67"/>
      <c r="Z295" s="67"/>
      <c r="AA295" s="67"/>
      <c r="AB295" s="67"/>
    </row>
    <row r="296" spans="1:28" s="70" customFormat="1" ht="38.25">
      <c r="A296" s="67"/>
      <c r="B296" s="39"/>
      <c r="C296" s="40" t="s">
        <v>1292</v>
      </c>
      <c r="D296" s="40" t="s">
        <v>1293</v>
      </c>
      <c r="E296" s="39" t="s">
        <v>1283</v>
      </c>
      <c r="F296" s="67"/>
      <c r="X296" s="642"/>
      <c r="Y296" s="67"/>
      <c r="Z296" s="67"/>
      <c r="AA296" s="67"/>
      <c r="AB296" s="67"/>
    </row>
    <row r="297" spans="1:28" s="70" customFormat="1">
      <c r="A297" s="67"/>
      <c r="B297" s="39" t="s">
        <v>1294</v>
      </c>
      <c r="C297" s="84"/>
      <c r="D297" s="84"/>
      <c r="E297" s="39">
        <f>SUM(C297:D297)</f>
        <v>0</v>
      </c>
      <c r="F297" s="67"/>
      <c r="X297" s="642"/>
      <c r="Y297" s="67"/>
      <c r="Z297" s="67"/>
      <c r="AA297" s="67"/>
      <c r="AB297" s="67"/>
    </row>
    <row r="298" spans="1:28" s="70" customFormat="1">
      <c r="A298" s="67"/>
      <c r="B298" s="39" t="s">
        <v>1295</v>
      </c>
      <c r="C298" s="84">
        <v>655176</v>
      </c>
      <c r="D298" s="84"/>
      <c r="E298" s="39">
        <f>SUM(C298:D298)</f>
        <v>655176</v>
      </c>
      <c r="F298" s="583" t="s">
        <v>3095</v>
      </c>
      <c r="X298" s="642"/>
      <c r="Y298" s="67"/>
      <c r="Z298" s="67"/>
      <c r="AA298" s="67"/>
      <c r="AB298" s="67"/>
    </row>
    <row r="299" spans="1:28" s="70" customFormat="1">
      <c r="A299" s="67"/>
      <c r="B299" s="39" t="s">
        <v>1296</v>
      </c>
      <c r="C299" s="84">
        <v>655176</v>
      </c>
      <c r="D299" s="84"/>
      <c r="E299" s="39">
        <f>SUM(C299:D299)</f>
        <v>655176</v>
      </c>
      <c r="F299" s="583" t="s">
        <v>3095</v>
      </c>
      <c r="X299" s="642"/>
      <c r="Y299" s="67"/>
      <c r="Z299" s="67"/>
      <c r="AA299" s="67"/>
      <c r="AB299" s="67"/>
    </row>
    <row r="300" spans="1:28" s="70" customFormat="1" ht="13.5" thickBot="1">
      <c r="A300" s="67"/>
      <c r="B300" s="39" t="s">
        <v>1297</v>
      </c>
      <c r="C300" s="49">
        <f>C297-C298+C299</f>
        <v>0</v>
      </c>
      <c r="D300" s="49">
        <f>D297-D298+D299</f>
        <v>0</v>
      </c>
      <c r="E300" s="49">
        <f>E297-E298+E299</f>
        <v>0</v>
      </c>
      <c r="F300" s="79"/>
      <c r="X300" s="642"/>
      <c r="Y300" s="67"/>
      <c r="Z300" s="67"/>
      <c r="AA300" s="67"/>
      <c r="AB300" s="67"/>
    </row>
    <row r="301" spans="1:28" s="70" customFormat="1" ht="13.5" thickTop="1">
      <c r="A301" s="67"/>
      <c r="B301" s="50" t="s">
        <v>1298</v>
      </c>
      <c r="C301" s="39">
        <f>C300-C297</f>
        <v>0</v>
      </c>
      <c r="D301" s="39">
        <f>D300-D297</f>
        <v>0</v>
      </c>
      <c r="E301" s="39">
        <f>E300-E297</f>
        <v>0</v>
      </c>
      <c r="F301" s="67"/>
      <c r="X301" s="642"/>
      <c r="Y301" s="67"/>
      <c r="Z301" s="67"/>
      <c r="AA301" s="67"/>
      <c r="AB301" s="67"/>
    </row>
    <row r="302" spans="1:28" s="70" customFormat="1">
      <c r="A302" s="67"/>
      <c r="B302" s="39"/>
      <c r="C302" s="39"/>
      <c r="D302" s="39"/>
      <c r="E302"/>
      <c r="F302" s="67"/>
      <c r="G302" s="20"/>
      <c r="H302" s="20"/>
      <c r="I302" s="20"/>
      <c r="J302" s="20"/>
      <c r="K302" s="20"/>
      <c r="L302" s="20"/>
      <c r="M302" s="20"/>
      <c r="X302" s="642"/>
      <c r="Y302" s="67"/>
      <c r="Z302" s="67"/>
      <c r="AA302" s="67"/>
      <c r="AB302" s="67"/>
    </row>
    <row r="303" spans="1:28" s="70" customFormat="1">
      <c r="A303" s="67"/>
      <c r="B303" s="39" t="s">
        <v>2769</v>
      </c>
      <c r="C303" s="52" t="s">
        <v>1299</v>
      </c>
      <c r="D303" s="84"/>
      <c r="E303" s="39">
        <f>SUM(C303:D303)</f>
        <v>0</v>
      </c>
      <c r="F303" s="67"/>
      <c r="G303" s="20"/>
      <c r="H303" s="20"/>
      <c r="I303" s="20"/>
      <c r="J303" s="20"/>
      <c r="K303" s="20"/>
      <c r="L303" s="20"/>
      <c r="M303" s="20"/>
      <c r="X303" s="642"/>
      <c r="Y303" s="67"/>
      <c r="Z303" s="67"/>
      <c r="AA303" s="67"/>
      <c r="AB303" s="67"/>
    </row>
    <row r="304" spans="1:28" s="70" customFormat="1">
      <c r="A304" s="67"/>
      <c r="B304" s="39" t="s">
        <v>2770</v>
      </c>
      <c r="C304" s="84"/>
      <c r="D304" s="52" t="s">
        <v>1299</v>
      </c>
      <c r="E304" s="39">
        <f>SUM(C304:D304)</f>
        <v>0</v>
      </c>
      <c r="F304" s="67"/>
      <c r="G304" s="20"/>
      <c r="H304" s="20"/>
      <c r="I304" s="20"/>
      <c r="J304" s="20"/>
      <c r="K304" s="20"/>
      <c r="L304" s="20"/>
      <c r="M304" s="20"/>
      <c r="X304" s="642"/>
      <c r="Y304" s="67"/>
      <c r="Z304" s="67"/>
      <c r="AA304" s="67"/>
      <c r="AB304" s="67"/>
    </row>
    <row r="305" spans="1:28" s="70" customFormat="1" ht="13.5" thickBot="1">
      <c r="A305" s="67"/>
      <c r="B305" s="39" t="s">
        <v>2768</v>
      </c>
      <c r="C305" s="84"/>
      <c r="D305" s="52" t="s">
        <v>1299</v>
      </c>
      <c r="E305" s="39">
        <f>SUM(C305:D305)</f>
        <v>0</v>
      </c>
      <c r="F305" s="67"/>
      <c r="G305" s="20"/>
      <c r="H305" s="20"/>
      <c r="I305" s="20"/>
      <c r="J305" s="20"/>
      <c r="K305" s="20"/>
      <c r="L305" s="20"/>
      <c r="M305" s="20"/>
      <c r="X305" s="642"/>
      <c r="Y305" s="67"/>
      <c r="Z305" s="67"/>
      <c r="AA305" s="67"/>
      <c r="AB305" s="67"/>
    </row>
    <row r="306" spans="1:28" s="70" customFormat="1" ht="13.5" thickBot="1">
      <c r="A306" s="67"/>
      <c r="B306" s="41" t="s">
        <v>1289</v>
      </c>
      <c r="C306" s="42">
        <f>SUM(C302:C305)-C300</f>
        <v>0</v>
      </c>
      <c r="D306" s="42">
        <f>SUM(D302:D305)-D300</f>
        <v>0</v>
      </c>
      <c r="E306" s="43">
        <f>SUM(E302:E305)-E300</f>
        <v>0</v>
      </c>
      <c r="F306" s="67"/>
      <c r="G306" s="20"/>
      <c r="H306" s="20"/>
      <c r="I306" s="20"/>
      <c r="J306" s="20"/>
      <c r="K306" s="20"/>
      <c r="L306" s="20"/>
      <c r="M306" s="20"/>
      <c r="X306" s="642"/>
      <c r="Y306" s="67"/>
      <c r="Z306" s="67"/>
      <c r="AA306" s="67"/>
      <c r="AB306" s="67"/>
    </row>
    <row r="307" spans="1:28" s="70" customFormat="1">
      <c r="A307" s="67"/>
      <c r="B307" s="39"/>
      <c r="C307" s="39"/>
      <c r="D307" s="39"/>
      <c r="E307" s="39"/>
      <c r="F307" s="67"/>
      <c r="G307" s="20"/>
      <c r="H307" s="20"/>
      <c r="I307" s="20"/>
      <c r="J307" s="20"/>
      <c r="K307" s="20"/>
      <c r="L307" s="20"/>
      <c r="M307" s="20"/>
      <c r="N307" s="20"/>
      <c r="X307" s="642"/>
      <c r="Y307" s="67"/>
      <c r="Z307" s="67"/>
      <c r="AA307" s="67"/>
      <c r="AB307" s="67"/>
    </row>
    <row r="308" spans="1:28" s="70" customFormat="1">
      <c r="A308" s="67"/>
      <c r="B308" s="51" t="s">
        <v>1300</v>
      </c>
      <c r="C308" s="39"/>
      <c r="D308" s="39"/>
      <c r="E308" s="39"/>
      <c r="F308" s="67"/>
      <c r="G308" s="20"/>
      <c r="H308" s="20"/>
      <c r="I308" s="20"/>
      <c r="J308" s="20"/>
      <c r="K308" s="20"/>
      <c r="L308" s="20"/>
      <c r="M308" s="20"/>
      <c r="X308" s="642"/>
      <c r="Y308" s="67"/>
      <c r="Z308" s="67"/>
      <c r="AA308" s="67"/>
      <c r="AB308" s="67"/>
    </row>
    <row r="309" spans="1:28" s="70" customFormat="1" ht="38.25">
      <c r="A309" s="67"/>
      <c r="B309" s="39"/>
      <c r="C309" s="40" t="s">
        <v>1292</v>
      </c>
      <c r="D309" s="40" t="s">
        <v>1293</v>
      </c>
      <c r="E309" s="39" t="s">
        <v>1283</v>
      </c>
      <c r="F309" s="67"/>
      <c r="G309" s="20"/>
      <c r="H309" s="20"/>
      <c r="I309" s="20"/>
      <c r="J309" s="20"/>
      <c r="K309" s="20"/>
      <c r="L309" s="20"/>
      <c r="M309" s="20"/>
      <c r="X309" s="642"/>
      <c r="Y309" s="67"/>
      <c r="Z309" s="67"/>
      <c r="AA309" s="67"/>
      <c r="AB309" s="67"/>
    </row>
    <row r="310" spans="1:28" s="70" customFormat="1">
      <c r="A310" s="67"/>
      <c r="B310" s="39" t="s">
        <v>1294</v>
      </c>
      <c r="C310" s="84"/>
      <c r="D310" s="84"/>
      <c r="E310" s="39">
        <f>SUM(C310:D310)</f>
        <v>0</v>
      </c>
      <c r="F310" s="67"/>
      <c r="G310" s="20"/>
      <c r="H310" s="20"/>
      <c r="I310" s="20"/>
      <c r="J310" s="20"/>
      <c r="K310" s="20"/>
      <c r="L310" s="20"/>
      <c r="M310" s="20"/>
      <c r="X310" s="642"/>
      <c r="Y310" s="67"/>
      <c r="Z310" s="67"/>
      <c r="AA310" s="67"/>
      <c r="AB310" s="67"/>
    </row>
    <row r="311" spans="1:28" s="70" customFormat="1">
      <c r="A311" s="67"/>
      <c r="B311" s="39" t="s">
        <v>1295</v>
      </c>
      <c r="C311" s="84"/>
      <c r="D311" s="84"/>
      <c r="E311" s="39">
        <f>SUM(C311:D311)</f>
        <v>0</v>
      </c>
      <c r="F311" s="67"/>
      <c r="G311" s="20"/>
      <c r="H311" s="20"/>
      <c r="I311" s="20"/>
      <c r="J311" s="20"/>
      <c r="K311" s="20"/>
      <c r="L311" s="20"/>
      <c r="M311" s="20"/>
      <c r="X311" s="642"/>
      <c r="Y311" s="67"/>
      <c r="Z311" s="67"/>
      <c r="AA311" s="67"/>
      <c r="AB311" s="67"/>
    </row>
    <row r="312" spans="1:28" s="70" customFormat="1">
      <c r="A312" s="67"/>
      <c r="B312" s="39" t="s">
        <v>1296</v>
      </c>
      <c r="C312" s="84"/>
      <c r="D312" s="84"/>
      <c r="E312" s="39">
        <f>SUM(C312:D312)</f>
        <v>0</v>
      </c>
      <c r="F312" s="67"/>
      <c r="X312" s="642"/>
      <c r="Y312" s="67"/>
      <c r="Z312" s="67"/>
      <c r="AA312" s="67"/>
      <c r="AB312" s="67"/>
    </row>
    <row r="313" spans="1:28" s="70" customFormat="1" ht="13.5" thickBot="1">
      <c r="A313" s="67"/>
      <c r="B313" s="40" t="s">
        <v>1301</v>
      </c>
      <c r="C313" s="49">
        <f>C310-C311+C312</f>
        <v>0</v>
      </c>
      <c r="D313" s="49">
        <f>D310-D311+D312</f>
        <v>0</v>
      </c>
      <c r="E313" s="49">
        <f>E310-E311+E312</f>
        <v>0</v>
      </c>
      <c r="F313" s="67"/>
      <c r="X313" s="642"/>
      <c r="Y313" s="67"/>
      <c r="Z313" s="67"/>
      <c r="AA313" s="67"/>
      <c r="AB313" s="67"/>
    </row>
    <row r="314" spans="1:28" s="70" customFormat="1" ht="13.5" thickTop="1">
      <c r="A314" s="67"/>
      <c r="B314" s="39"/>
      <c r="C314" s="39"/>
      <c r="D314" s="39"/>
      <c r="E314" s="39"/>
      <c r="F314" s="67"/>
      <c r="X314" s="642"/>
      <c r="Y314" s="67"/>
      <c r="Z314" s="67"/>
      <c r="AA314" s="67"/>
      <c r="AB314" s="67"/>
    </row>
    <row r="315" spans="1:28" s="70" customFormat="1">
      <c r="A315" s="67"/>
      <c r="B315" s="39" t="s">
        <v>1302</v>
      </c>
      <c r="C315" s="39">
        <f>C313-C310</f>
        <v>0</v>
      </c>
      <c r="D315" s="39">
        <f>D313-D310</f>
        <v>0</v>
      </c>
      <c r="E315" s="39">
        <f>E313-E310</f>
        <v>0</v>
      </c>
      <c r="F315" s="67"/>
      <c r="X315" s="642"/>
      <c r="Y315" s="67"/>
      <c r="Z315" s="67"/>
      <c r="AA315" s="67"/>
      <c r="AB315" s="67"/>
    </row>
    <row r="318" spans="1:28" s="70" customFormat="1">
      <c r="A318" s="67">
        <v>6</v>
      </c>
      <c r="B318" s="48" t="s">
        <v>1303</v>
      </c>
      <c r="C318" s="39"/>
      <c r="D318" s="67"/>
      <c r="E318" s="67"/>
      <c r="F318" s="67"/>
      <c r="X318" s="642"/>
      <c r="Y318" s="67"/>
      <c r="Z318" s="67"/>
      <c r="AA318" s="67"/>
      <c r="AB318" s="67"/>
    </row>
    <row r="319" spans="1:28">
      <c r="B319" s="39"/>
      <c r="C319" s="39"/>
    </row>
    <row r="320" spans="1:28" s="70" customFormat="1">
      <c r="A320" s="67"/>
      <c r="B320" s="39" t="s">
        <v>1304</v>
      </c>
      <c r="C320" s="39">
        <f>-GL!H391</f>
        <v>0</v>
      </c>
      <c r="D320" s="67"/>
      <c r="E320" s="67"/>
      <c r="F320" s="67"/>
      <c r="X320" s="642"/>
      <c r="Y320" s="67"/>
      <c r="Z320" s="67"/>
      <c r="AA320" s="67"/>
      <c r="AB320" s="67"/>
    </row>
    <row r="321" spans="1:28" s="70" customFormat="1">
      <c r="A321" s="67"/>
      <c r="B321" s="39" t="s">
        <v>1305</v>
      </c>
      <c r="C321" s="39">
        <f>GL!H339</f>
        <v>0</v>
      </c>
      <c r="D321" s="67"/>
      <c r="E321" s="67"/>
      <c r="F321" s="67"/>
      <c r="X321" s="642"/>
      <c r="Y321" s="67"/>
      <c r="Z321" s="67"/>
      <c r="AA321" s="67"/>
      <c r="AB321" s="67"/>
    </row>
    <row r="322" spans="1:28" s="70" customFormat="1">
      <c r="A322" s="67"/>
      <c r="B322" s="40" t="s">
        <v>2771</v>
      </c>
      <c r="C322" s="84">
        <f>-GL!H399</f>
        <v>0</v>
      </c>
      <c r="D322" s="75" t="s">
        <v>1306</v>
      </c>
      <c r="E322" s="67"/>
      <c r="F322" s="67"/>
      <c r="X322" s="642"/>
      <c r="Y322" s="67"/>
      <c r="Z322" s="67"/>
      <c r="AA322" s="67"/>
      <c r="AB322" s="67"/>
    </row>
    <row r="323" spans="1:28" s="70" customFormat="1">
      <c r="A323" s="67"/>
      <c r="B323" s="40" t="s">
        <v>2772</v>
      </c>
      <c r="C323" s="84">
        <f>GL!H352</f>
        <v>0</v>
      </c>
      <c r="D323" s="75" t="s">
        <v>1306</v>
      </c>
      <c r="E323" s="67"/>
      <c r="F323" s="67"/>
      <c r="X323" s="642"/>
      <c r="Y323" s="67"/>
      <c r="Z323" s="67"/>
      <c r="AA323" s="67"/>
      <c r="AB323" s="67"/>
    </row>
    <row r="324" spans="1:28" s="70" customFormat="1" ht="13.5" thickBot="1">
      <c r="A324" s="67"/>
      <c r="B324" s="39" t="s">
        <v>1307</v>
      </c>
      <c r="C324" s="49">
        <f>C320-C321+C322-C323</f>
        <v>0</v>
      </c>
      <c r="D324" s="67"/>
      <c r="E324" s="67"/>
      <c r="F324" s="67"/>
      <c r="X324" s="642"/>
      <c r="Y324" s="67"/>
      <c r="Z324" s="67"/>
      <c r="AA324" s="67"/>
      <c r="AB324" s="67"/>
    </row>
    <row r="325" spans="1:28" s="70" customFormat="1" ht="13.5" thickTop="1">
      <c r="A325" s="67"/>
      <c r="B325" s="67"/>
      <c r="C325" s="67"/>
      <c r="D325" s="67"/>
      <c r="E325" s="67"/>
      <c r="F325" s="67"/>
      <c r="X325" s="642"/>
      <c r="Y325" s="67"/>
      <c r="Z325" s="67"/>
      <c r="AA325" s="67"/>
      <c r="AB325" s="67"/>
    </row>
    <row r="327" spans="1:28" s="70" customFormat="1">
      <c r="A327" s="67">
        <v>7</v>
      </c>
      <c r="B327" s="48" t="s">
        <v>1308</v>
      </c>
      <c r="C327" s="39"/>
      <c r="D327" s="67"/>
      <c r="E327" s="67"/>
      <c r="F327" s="67"/>
      <c r="X327" s="642"/>
      <c r="Y327" s="67"/>
      <c r="Z327" s="67"/>
      <c r="AA327" s="67"/>
      <c r="AB327" s="67"/>
    </row>
    <row r="328" spans="1:28" s="70" customFormat="1">
      <c r="A328" s="67"/>
      <c r="B328" s="39"/>
      <c r="C328" s="39" t="s">
        <v>1220</v>
      </c>
      <c r="D328" s="67"/>
      <c r="E328" s="67"/>
      <c r="F328" s="67"/>
      <c r="X328" s="642"/>
      <c r="Y328" s="67"/>
      <c r="Z328" s="67"/>
      <c r="AA328" s="67"/>
      <c r="AB328" s="67"/>
    </row>
    <row r="329" spans="1:28" s="70" customFormat="1">
      <c r="A329" s="73" t="s">
        <v>496</v>
      </c>
      <c r="B329" s="54" t="s">
        <v>2776</v>
      </c>
      <c r="C329" s="84"/>
      <c r="D329" s="67"/>
      <c r="E329" s="67"/>
      <c r="F329" s="67"/>
      <c r="G329" s="20"/>
      <c r="H329" s="20"/>
      <c r="X329" s="642"/>
      <c r="Y329" s="67"/>
      <c r="Z329" s="67"/>
      <c r="AA329" s="67"/>
      <c r="AB329" s="67"/>
    </row>
    <row r="330" spans="1:28" s="70" customFormat="1">
      <c r="A330" s="73" t="s">
        <v>509</v>
      </c>
      <c r="B330" s="39" t="s">
        <v>819</v>
      </c>
      <c r="C330" s="84"/>
      <c r="D330" s="67"/>
      <c r="E330" s="67"/>
      <c r="F330" s="67"/>
      <c r="G330" s="20"/>
      <c r="H330" s="20"/>
      <c r="X330" s="642"/>
      <c r="Y330" s="67"/>
      <c r="Z330" s="67"/>
      <c r="AA330" s="67"/>
      <c r="AB330" s="67"/>
    </row>
    <row r="331" spans="1:28" s="70" customFormat="1">
      <c r="A331" s="73" t="s">
        <v>527</v>
      </c>
      <c r="B331" s="39" t="s">
        <v>1232</v>
      </c>
      <c r="C331" s="84"/>
      <c r="D331" s="67"/>
      <c r="E331" s="67"/>
      <c r="F331" s="67"/>
      <c r="G331" s="20"/>
      <c r="H331" s="20"/>
      <c r="X331" s="642"/>
      <c r="Y331" s="67"/>
      <c r="Z331" s="67"/>
      <c r="AA331" s="67"/>
      <c r="AB331" s="67"/>
    </row>
    <row r="332" spans="1:28" s="70" customFormat="1">
      <c r="A332" s="73" t="s">
        <v>527</v>
      </c>
      <c r="B332" s="39" t="s">
        <v>1233</v>
      </c>
      <c r="C332" s="84"/>
      <c r="D332" s="67"/>
      <c r="E332" s="67"/>
      <c r="F332" s="67"/>
      <c r="G332" s="20"/>
      <c r="H332" s="20"/>
      <c r="X332" s="642"/>
      <c r="Y332" s="67"/>
      <c r="Z332" s="67"/>
      <c r="AA332" s="67"/>
      <c r="AB332" s="67"/>
    </row>
    <row r="333" spans="1:28" s="70" customFormat="1">
      <c r="A333" s="73" t="s">
        <v>537</v>
      </c>
      <c r="B333" s="39" t="s">
        <v>1257</v>
      </c>
      <c r="C333" s="84"/>
      <c r="D333" s="67"/>
      <c r="E333" s="67"/>
      <c r="F333" s="67"/>
      <c r="G333" s="20"/>
      <c r="H333" s="20"/>
      <c r="X333" s="642"/>
      <c r="Y333" s="67"/>
      <c r="Z333" s="67"/>
      <c r="AA333" s="67"/>
      <c r="AB333" s="67"/>
    </row>
    <row r="334" spans="1:28" s="70" customFormat="1">
      <c r="A334" s="73" t="s">
        <v>549</v>
      </c>
      <c r="B334" s="39" t="s">
        <v>827</v>
      </c>
      <c r="C334" s="84"/>
      <c r="D334" s="67"/>
      <c r="E334" s="67"/>
      <c r="F334" s="67"/>
      <c r="G334" s="20"/>
      <c r="H334" s="20"/>
      <c r="X334" s="642"/>
      <c r="Y334" s="67"/>
      <c r="Z334" s="67"/>
      <c r="AA334" s="67"/>
      <c r="AB334" s="67"/>
    </row>
    <row r="335" spans="1:28" s="70" customFormat="1">
      <c r="A335" s="73" t="s">
        <v>559</v>
      </c>
      <c r="B335" s="39" t="s">
        <v>828</v>
      </c>
      <c r="C335" s="84">
        <f>ROUND('GL @ 31.12.2022'!G602+'GL @ 31.12.2022'!G646,0)-1</f>
        <v>67702</v>
      </c>
      <c r="D335" s="583" t="s">
        <v>3104</v>
      </c>
      <c r="E335" s="67"/>
      <c r="F335" s="67"/>
      <c r="G335" s="20"/>
      <c r="H335" s="20"/>
      <c r="X335" s="642"/>
      <c r="Y335" s="67"/>
      <c r="Z335" s="67"/>
      <c r="AA335" s="67"/>
      <c r="AB335" s="67"/>
    </row>
    <row r="336" spans="1:28" s="70" customFormat="1">
      <c r="A336" s="73" t="s">
        <v>568</v>
      </c>
      <c r="B336" s="39" t="s">
        <v>2775</v>
      </c>
      <c r="C336" s="84"/>
      <c r="D336" s="583"/>
      <c r="E336" s="67"/>
      <c r="F336" s="67"/>
      <c r="G336" s="20"/>
      <c r="H336" s="20"/>
      <c r="X336" s="642"/>
      <c r="Y336" s="67"/>
      <c r="Z336" s="67"/>
      <c r="AA336" s="67"/>
      <c r="AB336" s="67"/>
    </row>
    <row r="337" spans="1:28" s="74" customFormat="1">
      <c r="A337" s="73" t="s">
        <v>568</v>
      </c>
      <c r="B337" s="39" t="s">
        <v>2773</v>
      </c>
      <c r="C337" s="83"/>
      <c r="E337" s="67"/>
      <c r="G337" s="20"/>
      <c r="H337" s="20"/>
      <c r="X337" s="661"/>
    </row>
    <row r="338" spans="1:28" s="70" customFormat="1">
      <c r="A338" s="73" t="s">
        <v>1234</v>
      </c>
      <c r="B338" s="39" t="s">
        <v>2782</v>
      </c>
      <c r="C338" s="84"/>
      <c r="D338" s="67"/>
      <c r="E338" s="67"/>
      <c r="F338" s="67"/>
      <c r="G338" s="20"/>
      <c r="H338" s="20"/>
      <c r="X338" s="642"/>
      <c r="Y338" s="67"/>
      <c r="Z338" s="67"/>
      <c r="AA338" s="67"/>
      <c r="AB338" s="67"/>
    </row>
    <row r="339" spans="1:28" s="70" customFormat="1">
      <c r="A339" s="73" t="s">
        <v>537</v>
      </c>
      <c r="B339" s="39" t="s">
        <v>854</v>
      </c>
      <c r="C339" s="84"/>
      <c r="D339" s="67"/>
      <c r="E339" s="67"/>
      <c r="F339" s="67"/>
      <c r="G339" s="20"/>
      <c r="H339" s="20"/>
      <c r="X339" s="642"/>
      <c r="Y339" s="67"/>
      <c r="Z339" s="67"/>
      <c r="AA339" s="67"/>
      <c r="AB339" s="67"/>
    </row>
    <row r="340" spans="1:28" s="70" customFormat="1">
      <c r="A340" s="73" t="s">
        <v>537</v>
      </c>
      <c r="B340" s="39" t="s">
        <v>2774</v>
      </c>
      <c r="C340" s="84"/>
      <c r="D340" s="583"/>
      <c r="E340" s="67"/>
      <c r="F340" s="67"/>
      <c r="G340" s="20"/>
      <c r="H340" s="20"/>
      <c r="X340" s="642"/>
      <c r="Y340" s="67"/>
      <c r="Z340" s="67"/>
      <c r="AA340" s="67"/>
      <c r="AB340" s="67"/>
    </row>
    <row r="341" spans="1:28" s="70" customFormat="1">
      <c r="A341" s="73" t="s">
        <v>549</v>
      </c>
      <c r="B341" s="39" t="s">
        <v>1235</v>
      </c>
      <c r="C341" s="84"/>
      <c r="D341" s="67"/>
      <c r="E341" s="67"/>
      <c r="F341" s="67"/>
      <c r="G341" s="20"/>
      <c r="H341" s="20"/>
      <c r="X341" s="642"/>
      <c r="Y341" s="67"/>
      <c r="Z341" s="67"/>
      <c r="AA341" s="67"/>
      <c r="AB341" s="67"/>
    </row>
    <row r="342" spans="1:28" s="70" customFormat="1">
      <c r="A342" s="73" t="s">
        <v>549</v>
      </c>
      <c r="B342" s="39" t="s">
        <v>1236</v>
      </c>
      <c r="C342" s="84"/>
      <c r="D342" s="67"/>
      <c r="E342" s="67"/>
      <c r="F342" s="67"/>
      <c r="G342" s="20"/>
      <c r="H342" s="20"/>
      <c r="X342" s="642"/>
      <c r="Y342" s="67"/>
      <c r="Z342" s="67"/>
      <c r="AA342" s="67"/>
      <c r="AB342" s="67"/>
    </row>
    <row r="343" spans="1:28" s="70" customFormat="1">
      <c r="A343" s="73" t="s">
        <v>549</v>
      </c>
      <c r="B343" s="39" t="s">
        <v>2777</v>
      </c>
      <c r="C343" s="84"/>
      <c r="D343" s="67"/>
      <c r="E343" s="67"/>
      <c r="F343" s="67"/>
      <c r="G343" s="20"/>
      <c r="H343" s="20"/>
      <c r="X343" s="642"/>
      <c r="Y343" s="67"/>
      <c r="Z343" s="67"/>
      <c r="AA343" s="67"/>
      <c r="AB343" s="67"/>
    </row>
    <row r="344" spans="1:28" s="70" customFormat="1">
      <c r="A344" s="73" t="s">
        <v>549</v>
      </c>
      <c r="B344" s="39" t="s">
        <v>2778</v>
      </c>
      <c r="C344" s="84"/>
      <c r="D344" s="67"/>
      <c r="E344" s="67"/>
      <c r="F344" s="67"/>
      <c r="G344" s="20"/>
      <c r="H344" s="20"/>
      <c r="X344" s="642"/>
      <c r="Y344" s="67"/>
      <c r="Z344" s="67"/>
      <c r="AA344" s="67"/>
      <c r="AB344" s="67"/>
    </row>
    <row r="345" spans="1:28" s="70" customFormat="1">
      <c r="A345" s="73" t="s">
        <v>559</v>
      </c>
      <c r="B345" s="39" t="s">
        <v>2779</v>
      </c>
      <c r="C345" s="84"/>
      <c r="D345" s="583"/>
      <c r="E345" s="67"/>
      <c r="F345" s="67"/>
      <c r="G345" s="20"/>
      <c r="H345" s="20"/>
      <c r="X345" s="642"/>
      <c r="Y345" s="67"/>
      <c r="Z345" s="67"/>
      <c r="AA345" s="67"/>
      <c r="AB345" s="67"/>
    </row>
    <row r="346" spans="1:28" s="70" customFormat="1">
      <c r="A346" s="73" t="s">
        <v>1237</v>
      </c>
      <c r="B346" s="39" t="s">
        <v>2780</v>
      </c>
      <c r="C346" s="84"/>
      <c r="D346" s="67"/>
      <c r="E346" s="67"/>
      <c r="F346" s="67"/>
      <c r="G346" s="20"/>
      <c r="H346" s="20"/>
      <c r="X346" s="642"/>
      <c r="Y346" s="67"/>
      <c r="Z346" s="67"/>
      <c r="AA346" s="67"/>
      <c r="AB346" s="67"/>
    </row>
    <row r="347" spans="1:28" s="70" customFormat="1">
      <c r="A347" s="73" t="s">
        <v>1234</v>
      </c>
      <c r="B347" s="39" t="s">
        <v>2781</v>
      </c>
      <c r="C347" s="84"/>
      <c r="D347" s="67"/>
      <c r="E347" s="67"/>
      <c r="F347" s="67"/>
      <c r="G347" s="20"/>
      <c r="H347" s="20"/>
      <c r="X347" s="642"/>
      <c r="Y347" s="67"/>
      <c r="Z347" s="67"/>
      <c r="AA347" s="67"/>
      <c r="AB347" s="67"/>
    </row>
    <row r="348" spans="1:28" s="70" customFormat="1" ht="13.5" thickBot="1">
      <c r="A348" s="67"/>
      <c r="B348" s="39" t="s">
        <v>813</v>
      </c>
      <c r="C348" s="49">
        <f>SUM(C329:C347)</f>
        <v>67702</v>
      </c>
      <c r="D348" s="67"/>
      <c r="E348" s="67"/>
      <c r="F348" s="67"/>
      <c r="G348" s="67"/>
      <c r="H348" s="67"/>
      <c r="X348" s="642"/>
      <c r="Y348" s="67"/>
      <c r="Z348" s="67"/>
      <c r="AA348" s="67"/>
      <c r="AB348" s="67"/>
    </row>
    <row r="349" spans="1:28" s="70" customFormat="1" ht="13.5" thickTop="1">
      <c r="A349" s="67"/>
      <c r="B349" s="39"/>
      <c r="C349" s="39"/>
      <c r="D349" s="67"/>
      <c r="E349" s="67"/>
      <c r="F349" s="67"/>
      <c r="X349" s="642"/>
      <c r="Y349" s="67"/>
      <c r="Z349" s="67"/>
      <c r="AA349" s="67"/>
      <c r="AB349" s="67"/>
    </row>
    <row r="350" spans="1:28" s="70" customFormat="1">
      <c r="A350" s="67"/>
      <c r="B350" s="56" t="s">
        <v>1309</v>
      </c>
      <c r="C350" s="598">
        <f>ROUND('GL @ 31.12.2022'!G602,0)-1</f>
        <v>249567</v>
      </c>
      <c r="D350" s="583" t="s">
        <v>3942</v>
      </c>
      <c r="E350" s="67"/>
      <c r="F350" s="67"/>
      <c r="X350" s="642"/>
      <c r="Y350" s="67"/>
      <c r="Z350" s="67"/>
      <c r="AA350" s="67"/>
      <c r="AB350" s="67"/>
    </row>
    <row r="351" spans="1:28" s="70" customFormat="1">
      <c r="A351" s="67"/>
      <c r="B351" s="56" t="s">
        <v>1310</v>
      </c>
      <c r="C351" s="598">
        <f>-ROUND('GL @ 31.12.2022'!G646,0)</f>
        <v>181865</v>
      </c>
      <c r="D351" s="583" t="s">
        <v>3943</v>
      </c>
      <c r="E351" s="67"/>
      <c r="F351" s="67"/>
      <c r="X351" s="642"/>
      <c r="Y351" s="67"/>
      <c r="Z351" s="67"/>
      <c r="AA351" s="67"/>
      <c r="AB351" s="67"/>
    </row>
    <row r="352" spans="1:28" ht="13.5" thickBot="1">
      <c r="B352" s="39"/>
      <c r="C352" s="39"/>
    </row>
    <row r="353" spans="1:26" ht="13.5" thickBot="1">
      <c r="B353" s="41" t="s">
        <v>1311</v>
      </c>
      <c r="C353" s="43">
        <f>C350-C348-C351</f>
        <v>0</v>
      </c>
    </row>
    <row r="356" spans="1:26" ht="38.25">
      <c r="A356" s="67">
        <v>8</v>
      </c>
      <c r="B356" s="48" t="s">
        <v>1246</v>
      </c>
      <c r="C356" s="39" t="s">
        <v>1219</v>
      </c>
      <c r="D356" s="57" t="s">
        <v>1312</v>
      </c>
      <c r="E356" s="39" t="s">
        <v>1220</v>
      </c>
      <c r="F356" s="57" t="s">
        <v>1313</v>
      </c>
      <c r="G356" s="67"/>
      <c r="Y356" s="70"/>
      <c r="Z356" s="70"/>
    </row>
    <row r="357" spans="1:26">
      <c r="B357" s="39" t="s">
        <v>1314</v>
      </c>
      <c r="C357" s="39">
        <v>0</v>
      </c>
      <c r="D357" s="84"/>
      <c r="E357" s="39">
        <f>-SUM(GL!H51:H56,GL!H58,GL!H59)</f>
        <v>0</v>
      </c>
      <c r="F357" s="39">
        <f>E357-C357</f>
        <v>0</v>
      </c>
      <c r="G357" s="67"/>
      <c r="Y357" s="70"/>
      <c r="Z357" s="70"/>
    </row>
    <row r="358" spans="1:26">
      <c r="B358" s="39" t="s">
        <v>1315</v>
      </c>
      <c r="C358" s="39">
        <v>0</v>
      </c>
      <c r="D358" s="84"/>
      <c r="E358" s="39">
        <f>-SUM(GL!H46:H50,GL!H57,GL!H60)</f>
        <v>0</v>
      </c>
      <c r="F358" s="39">
        <f t="shared" ref="F358:F364" si="18">E358-C358</f>
        <v>0</v>
      </c>
      <c r="G358" s="67"/>
      <c r="Y358" s="70"/>
      <c r="Z358" s="70"/>
    </row>
    <row r="359" spans="1:26">
      <c r="B359" s="39" t="s">
        <v>1316</v>
      </c>
      <c r="C359" s="39">
        <v>0</v>
      </c>
      <c r="D359" s="84"/>
      <c r="E359" s="39">
        <f>-SUM(GL!H61,GL!H62,GL!H63,GL!H64,GL!H68,GL!H69,GL!H70)</f>
        <v>0</v>
      </c>
      <c r="F359" s="39">
        <f t="shared" si="18"/>
        <v>0</v>
      </c>
      <c r="G359" s="67"/>
      <c r="Y359" s="70"/>
      <c r="Z359" s="70"/>
    </row>
    <row r="360" spans="1:26">
      <c r="B360" s="39" t="s">
        <v>1317</v>
      </c>
      <c r="C360" s="39">
        <v>0</v>
      </c>
      <c r="D360" s="84"/>
      <c r="E360" s="39">
        <f>-SUM(GL!H65,GL!H66,GL!H67)</f>
        <v>0</v>
      </c>
      <c r="F360" s="39">
        <f t="shared" si="18"/>
        <v>0</v>
      </c>
      <c r="G360" s="67"/>
      <c r="Y360" s="70"/>
      <c r="Z360" s="70"/>
    </row>
    <row r="361" spans="1:26">
      <c r="B361" s="39" t="s">
        <v>1318</v>
      </c>
      <c r="C361" s="84"/>
      <c r="D361" s="84"/>
      <c r="E361" s="84"/>
      <c r="F361" s="39">
        <f t="shared" si="18"/>
        <v>0</v>
      </c>
      <c r="G361" s="67"/>
      <c r="Y361" s="70"/>
      <c r="Z361" s="70"/>
    </row>
    <row r="362" spans="1:26">
      <c r="B362" s="39" t="s">
        <v>862</v>
      </c>
      <c r="C362" s="39">
        <f>-ROUND('GL @ 31.12.2022'!D402,0)</f>
        <v>69482</v>
      </c>
      <c r="D362" s="84"/>
      <c r="E362" s="39">
        <f>-ROUND(SUM(GL!H238:H254),0)</f>
        <v>1968038</v>
      </c>
      <c r="F362" s="39">
        <f>E362-D362-C362</f>
        <v>1898556</v>
      </c>
      <c r="G362" s="583" t="s">
        <v>3096</v>
      </c>
      <c r="Y362" s="70"/>
      <c r="Z362" s="70"/>
    </row>
    <row r="363" spans="1:26">
      <c r="B363" s="39" t="s">
        <v>1319</v>
      </c>
      <c r="C363" s="39"/>
      <c r="D363" s="84"/>
      <c r="E363" s="39">
        <f>-SUM(GL!H84:H89)</f>
        <v>0</v>
      </c>
      <c r="F363" s="39">
        <f>E363-C363-D363</f>
        <v>0</v>
      </c>
      <c r="G363" s="583" t="s">
        <v>3097</v>
      </c>
      <c r="Y363" s="70"/>
      <c r="Z363" s="70"/>
    </row>
    <row r="364" spans="1:26">
      <c r="B364" s="39" t="s">
        <v>1320</v>
      </c>
      <c r="C364" s="84"/>
      <c r="D364" s="84"/>
      <c r="E364" s="84"/>
      <c r="F364" s="39">
        <f t="shared" si="18"/>
        <v>0</v>
      </c>
      <c r="G364" s="67"/>
      <c r="Y364" s="70"/>
      <c r="Z364" s="70"/>
    </row>
    <row r="365" spans="1:26" ht="13.5" thickBot="1">
      <c r="B365" s="39" t="s">
        <v>813</v>
      </c>
      <c r="C365" s="49">
        <f>SUM(C357:C364)</f>
        <v>69482</v>
      </c>
      <c r="D365" s="49"/>
      <c r="E365" s="49">
        <f>SUM(E357:E364)</f>
        <v>1968038</v>
      </c>
      <c r="F365" s="49">
        <f>SUM(F357:F364)</f>
        <v>1898556</v>
      </c>
      <c r="G365" s="67"/>
      <c r="Y365" s="70"/>
      <c r="Z365" s="70"/>
    </row>
    <row r="366" spans="1:26" ht="13.5" thickTop="1">
      <c r="B366" s="39"/>
      <c r="C366" s="39"/>
      <c r="D366" s="39"/>
      <c r="E366" s="39"/>
      <c r="F366" s="39"/>
      <c r="G366" s="67"/>
      <c r="Y366" s="70"/>
      <c r="Z366" s="70"/>
    </row>
    <row r="367" spans="1:26">
      <c r="B367" s="58" t="s">
        <v>1321</v>
      </c>
      <c r="C367" s="39"/>
      <c r="D367" s="39"/>
      <c r="E367" s="39"/>
      <c r="F367" s="39"/>
      <c r="G367" s="67"/>
      <c r="Y367" s="70"/>
      <c r="Z367" s="70"/>
    </row>
    <row r="368" spans="1:26">
      <c r="B368" s="58" t="s">
        <v>1226</v>
      </c>
      <c r="C368" s="39"/>
      <c r="D368" s="39"/>
      <c r="E368" s="39"/>
      <c r="F368" s="39"/>
      <c r="G368" s="67"/>
      <c r="Y368" s="70"/>
      <c r="Z368" s="70"/>
    </row>
    <row r="369" spans="1:28">
      <c r="B369" s="58" t="s">
        <v>1322</v>
      </c>
      <c r="C369" s="58">
        <f>GL!H320</f>
        <v>0</v>
      </c>
      <c r="D369" s="53">
        <f>F363-C369</f>
        <v>0</v>
      </c>
      <c r="E369" s="39"/>
      <c r="F369" s="59"/>
      <c r="G369" s="67"/>
      <c r="Y369" s="70"/>
      <c r="Z369" s="70"/>
    </row>
    <row r="370" spans="1:28">
      <c r="B370" s="58" t="s">
        <v>1323</v>
      </c>
      <c r="C370" s="58">
        <f>ROUND(GL!H345,0)</f>
        <v>1898556</v>
      </c>
      <c r="D370" s="53">
        <f>F362+F364-C370</f>
        <v>0</v>
      </c>
      <c r="E370" s="39"/>
      <c r="F370" s="39"/>
    </row>
    <row r="371" spans="1:28">
      <c r="B371" s="58" t="s">
        <v>1324</v>
      </c>
      <c r="C371" s="58">
        <f>GL!H349</f>
        <v>0</v>
      </c>
      <c r="D371" s="53">
        <f>F357+F358-C371</f>
        <v>0</v>
      </c>
      <c r="E371" s="39"/>
      <c r="F371" s="39"/>
    </row>
    <row r="372" spans="1:28">
      <c r="B372" s="58" t="s">
        <v>1325</v>
      </c>
      <c r="C372" s="58">
        <f>GL!H3567</f>
        <v>0</v>
      </c>
      <c r="D372" s="53">
        <f>F359+F360+F361-C372</f>
        <v>0</v>
      </c>
      <c r="E372" s="39"/>
      <c r="F372" s="39"/>
    </row>
    <row r="374" spans="1:28">
      <c r="A374" s="67">
        <v>9</v>
      </c>
      <c r="B374" s="48" t="s">
        <v>871</v>
      </c>
      <c r="C374" s="39"/>
    </row>
    <row r="375" spans="1:28">
      <c r="B375" s="39" t="s">
        <v>1326</v>
      </c>
      <c r="C375" s="84"/>
    </row>
    <row r="376" spans="1:28">
      <c r="B376" s="39" t="s">
        <v>1327</v>
      </c>
      <c r="C376" s="84"/>
    </row>
    <row r="377" spans="1:28">
      <c r="B377" s="39" t="s">
        <v>1316</v>
      </c>
      <c r="C377" s="84"/>
    </row>
    <row r="378" spans="1:28">
      <c r="B378" s="39" t="s">
        <v>1317</v>
      </c>
      <c r="C378" s="84"/>
    </row>
    <row r="379" spans="1:28">
      <c r="B379" s="39" t="s">
        <v>1318</v>
      </c>
      <c r="C379" s="84"/>
      <c r="D379" s="583"/>
    </row>
    <row r="380" spans="1:28">
      <c r="B380" s="39" t="s">
        <v>1319</v>
      </c>
      <c r="C380" s="84">
        <f>GL!H341</f>
        <v>0</v>
      </c>
      <c r="D380" s="583" t="s">
        <v>3098</v>
      </c>
    </row>
    <row r="381" spans="1:28">
      <c r="B381" s="39" t="s">
        <v>862</v>
      </c>
      <c r="C381" s="84"/>
    </row>
    <row r="382" spans="1:28" ht="13.5" thickBot="1">
      <c r="B382" s="39" t="s">
        <v>1328</v>
      </c>
      <c r="C382" s="49">
        <f>SUM(C375:C381)</f>
        <v>0</v>
      </c>
      <c r="D382" s="67" t="s">
        <v>1229</v>
      </c>
      <c r="E382" s="67">
        <f>GL!H341</f>
        <v>0</v>
      </c>
    </row>
    <row r="383" spans="1:28" ht="14.25" thickTop="1" thickBot="1">
      <c r="B383" s="39"/>
      <c r="C383" s="39"/>
      <c r="D383" s="77" t="s">
        <v>1271</v>
      </c>
      <c r="E383" s="78">
        <f>E382-C382</f>
        <v>0</v>
      </c>
    </row>
    <row r="384" spans="1:28" s="70" customFormat="1" ht="13.5" thickTop="1">
      <c r="A384" s="67"/>
      <c r="B384" s="39" t="s">
        <v>1329</v>
      </c>
      <c r="C384" s="39">
        <f>SUM(C376:C381)</f>
        <v>0</v>
      </c>
      <c r="D384" s="67"/>
      <c r="E384" s="67"/>
      <c r="F384" s="67"/>
      <c r="X384" s="642"/>
      <c r="Y384" s="67"/>
      <c r="Z384" s="67"/>
      <c r="AA384" s="67"/>
      <c r="AB384" s="67"/>
    </row>
    <row r="387" spans="1:24" s="74" customFormat="1">
      <c r="A387" s="74">
        <v>10</v>
      </c>
      <c r="B387" s="60" t="s">
        <v>1330</v>
      </c>
      <c r="C387" s="573">
        <f>GL!H344</f>
        <v>0</v>
      </c>
      <c r="G387" s="76"/>
      <c r="X387" s="661"/>
    </row>
    <row r="388" spans="1:24" s="74" customFormat="1">
      <c r="B388" s="81"/>
      <c r="G388" s="76"/>
      <c r="X388" s="661"/>
    </row>
    <row r="390" spans="1:24" s="74" customFormat="1">
      <c r="A390" s="74">
        <v>11</v>
      </c>
      <c r="B390" s="60" t="s">
        <v>1248</v>
      </c>
      <c r="C390" s="55"/>
      <c r="G390" s="76"/>
      <c r="X390" s="661"/>
    </row>
    <row r="391" spans="1:24" s="74" customFormat="1">
      <c r="B391" s="39" t="s">
        <v>1326</v>
      </c>
      <c r="C391" s="83"/>
      <c r="G391" s="76"/>
      <c r="X391" s="661"/>
    </row>
    <row r="392" spans="1:24" s="74" customFormat="1">
      <c r="B392" s="39" t="s">
        <v>1327</v>
      </c>
      <c r="C392" s="83"/>
      <c r="G392" s="76"/>
      <c r="X392" s="661"/>
    </row>
    <row r="393" spans="1:24" s="74" customFormat="1">
      <c r="B393" s="39" t="s">
        <v>1331</v>
      </c>
      <c r="C393" s="83"/>
      <c r="G393" s="76"/>
      <c r="X393" s="661"/>
    </row>
    <row r="394" spans="1:24" s="74" customFormat="1">
      <c r="B394" s="39" t="s">
        <v>1318</v>
      </c>
      <c r="C394" s="83"/>
      <c r="G394" s="76"/>
      <c r="X394" s="661"/>
    </row>
    <row r="395" spans="1:24" s="74" customFormat="1">
      <c r="B395" s="39" t="s">
        <v>1319</v>
      </c>
      <c r="C395" s="83">
        <f>GL!H347</f>
        <v>0</v>
      </c>
      <c r="D395" s="584" t="s">
        <v>3099</v>
      </c>
      <c r="G395" s="76"/>
      <c r="X395" s="661"/>
    </row>
    <row r="396" spans="1:24" s="74" customFormat="1">
      <c r="B396" s="39" t="s">
        <v>862</v>
      </c>
      <c r="C396" s="83"/>
      <c r="G396" s="76"/>
      <c r="X396" s="661"/>
    </row>
    <row r="397" spans="1:24" s="74" customFormat="1" ht="13.5" thickBot="1">
      <c r="B397" s="55" t="s">
        <v>2783</v>
      </c>
      <c r="C397" s="61">
        <f>SUM(C391:C396)</f>
        <v>0</v>
      </c>
      <c r="D397" s="67" t="s">
        <v>1229</v>
      </c>
      <c r="E397" s="67">
        <f>GL!H347+GL!H361</f>
        <v>0</v>
      </c>
      <c r="G397" s="76"/>
      <c r="X397" s="661"/>
    </row>
    <row r="398" spans="1:24" s="74" customFormat="1" ht="14.25" thickTop="1" thickBot="1">
      <c r="B398" s="55"/>
      <c r="C398" s="55"/>
      <c r="D398" s="77" t="s">
        <v>1271</v>
      </c>
      <c r="E398" s="78">
        <f>E397-C397</f>
        <v>0</v>
      </c>
      <c r="G398" s="76"/>
      <c r="X398" s="661"/>
    </row>
    <row r="399" spans="1:24" s="74" customFormat="1" ht="13.5" thickTop="1">
      <c r="B399" s="55" t="s">
        <v>1329</v>
      </c>
      <c r="C399" s="55">
        <f>SUM(C392:C396)</f>
        <v>0</v>
      </c>
      <c r="G399" s="76"/>
      <c r="X399" s="661"/>
    </row>
    <row r="400" spans="1:24" s="74" customFormat="1">
      <c r="G400" s="76"/>
      <c r="X400" s="661"/>
    </row>
    <row r="401" spans="1:24" s="74" customFormat="1">
      <c r="G401" s="76"/>
      <c r="X401" s="661"/>
    </row>
    <row r="402" spans="1:24">
      <c r="A402" s="67">
        <v>12</v>
      </c>
      <c r="B402" s="48" t="s">
        <v>1332</v>
      </c>
      <c r="C402" s="39"/>
    </row>
    <row r="403" spans="1:24">
      <c r="B403" s="39"/>
      <c r="C403" s="39"/>
    </row>
    <row r="404" spans="1:24">
      <c r="B404" s="39" t="s">
        <v>1333</v>
      </c>
      <c r="C404" s="84"/>
    </row>
    <row r="405" spans="1:24">
      <c r="B405" s="39" t="s">
        <v>1334</v>
      </c>
      <c r="C405" s="84"/>
    </row>
    <row r="406" spans="1:24">
      <c r="B406" s="39" t="s">
        <v>1335</v>
      </c>
      <c r="C406" s="84"/>
    </row>
    <row r="407" spans="1:24" ht="13.5" thickBot="1">
      <c r="B407" s="39" t="s">
        <v>1336</v>
      </c>
      <c r="C407" s="49">
        <f>C404+C405-C406</f>
        <v>0</v>
      </c>
    </row>
    <row r="408" spans="1:24" ht="13.5" thickTop="1">
      <c r="B408" s="39"/>
      <c r="C408" s="39"/>
    </row>
    <row r="409" spans="1:24">
      <c r="B409" s="39" t="s">
        <v>1337</v>
      </c>
      <c r="C409" s="39">
        <f>C407-C404</f>
        <v>0</v>
      </c>
    </row>
    <row r="410" spans="1:24">
      <c r="B410" s="45" t="s">
        <v>1338</v>
      </c>
      <c r="C410" s="39"/>
    </row>
    <row r="411" spans="1:24">
      <c r="B411" s="39" t="s">
        <v>1339</v>
      </c>
      <c r="C411" s="39"/>
    </row>
    <row r="414" spans="1:24">
      <c r="A414" s="67">
        <v>13</v>
      </c>
      <c r="B414" s="48" t="s">
        <v>1340</v>
      </c>
      <c r="C414" s="39" t="s">
        <v>1341</v>
      </c>
    </row>
    <row r="415" spans="1:24">
      <c r="B415" s="39" t="s">
        <v>1342</v>
      </c>
      <c r="C415" s="39">
        <f>F114</f>
        <v>1099197</v>
      </c>
    </row>
    <row r="416" spans="1:24">
      <c r="B416" s="39" t="s">
        <v>1343</v>
      </c>
      <c r="C416" s="84"/>
    </row>
    <row r="417" spans="1:4">
      <c r="B417" s="39" t="s">
        <v>1344</v>
      </c>
      <c r="C417" s="84"/>
    </row>
    <row r="418" spans="1:4">
      <c r="B418" s="39" t="s">
        <v>1345</v>
      </c>
      <c r="C418" s="84"/>
    </row>
    <row r="419" spans="1:4">
      <c r="B419" s="39" t="s">
        <v>1346</v>
      </c>
      <c r="C419" s="84">
        <v>1099197</v>
      </c>
      <c r="D419" s="585" t="s">
        <v>3944</v>
      </c>
    </row>
    <row r="420" spans="1:4">
      <c r="B420" s="39" t="s">
        <v>852</v>
      </c>
      <c r="C420" s="84"/>
    </row>
    <row r="421" spans="1:4">
      <c r="B421" s="39" t="s">
        <v>1347</v>
      </c>
      <c r="C421" s="84"/>
    </row>
    <row r="422" spans="1:4">
      <c r="B422" s="39" t="s">
        <v>1348</v>
      </c>
      <c r="C422" s="84"/>
    </row>
    <row r="423" spans="1:4" ht="13.5" thickBot="1">
      <c r="B423" s="39"/>
      <c r="C423" s="39"/>
    </row>
    <row r="424" spans="1:4" ht="13.5" thickBot="1">
      <c r="B424" s="41" t="s">
        <v>1289</v>
      </c>
      <c r="C424" s="43">
        <f>C415-SUM(C416:C422)</f>
        <v>0</v>
      </c>
    </row>
    <row r="427" spans="1:4">
      <c r="A427" s="67">
        <v>14</v>
      </c>
      <c r="B427" s="48" t="s">
        <v>1349</v>
      </c>
      <c r="C427" s="39"/>
    </row>
    <row r="428" spans="1:4">
      <c r="B428" s="62"/>
      <c r="C428" s="39"/>
    </row>
    <row r="429" spans="1:4">
      <c r="B429" s="39" t="s">
        <v>1350</v>
      </c>
      <c r="C429" s="39"/>
    </row>
    <row r="430" spans="1:4">
      <c r="B430" s="39" t="s">
        <v>1326</v>
      </c>
      <c r="C430" s="84"/>
    </row>
    <row r="431" spans="1:4">
      <c r="B431" s="39" t="s">
        <v>1327</v>
      </c>
      <c r="C431" s="84"/>
    </row>
    <row r="432" spans="1:4">
      <c r="B432" s="39" t="s">
        <v>1316</v>
      </c>
      <c r="C432" s="84"/>
    </row>
    <row r="433" spans="1:24">
      <c r="B433" s="39" t="s">
        <v>1317</v>
      </c>
      <c r="C433" s="84"/>
    </row>
    <row r="434" spans="1:24">
      <c r="B434" s="39" t="s">
        <v>1318</v>
      </c>
      <c r="C434" s="84"/>
    </row>
    <row r="435" spans="1:24">
      <c r="B435" s="39" t="s">
        <v>1319</v>
      </c>
      <c r="C435" s="84"/>
    </row>
    <row r="436" spans="1:24">
      <c r="B436" s="39" t="s">
        <v>862</v>
      </c>
      <c r="C436" s="84"/>
    </row>
    <row r="437" spans="1:24" s="74" customFormat="1" ht="13.5" thickBot="1">
      <c r="B437" s="55" t="s">
        <v>813</v>
      </c>
      <c r="C437" s="61">
        <f>SUM(C430:C436)</f>
        <v>0</v>
      </c>
      <c r="D437" s="74" t="s">
        <v>1229</v>
      </c>
      <c r="E437" s="74">
        <f>(H100+H101+H104)</f>
        <v>0</v>
      </c>
      <c r="G437" s="76"/>
      <c r="X437" s="661"/>
    </row>
    <row r="438" spans="1:24" s="74" customFormat="1" ht="14.25" thickTop="1" thickBot="1">
      <c r="B438" s="55"/>
      <c r="C438" s="55"/>
      <c r="D438" s="77" t="s">
        <v>1271</v>
      </c>
      <c r="E438" s="78">
        <f>E437-C437</f>
        <v>0</v>
      </c>
      <c r="G438" s="76"/>
      <c r="X438" s="661"/>
    </row>
    <row r="439" spans="1:24" s="74" customFormat="1" ht="13.5" thickTop="1">
      <c r="B439" s="55" t="s">
        <v>1329</v>
      </c>
      <c r="C439" s="55">
        <f>SUM(C431:C436)</f>
        <v>0</v>
      </c>
      <c r="G439" s="76"/>
      <c r="X439" s="661"/>
    </row>
    <row r="440" spans="1:24" s="74" customFormat="1">
      <c r="B440" s="55"/>
      <c r="C440" s="55"/>
      <c r="G440" s="76"/>
      <c r="X440" s="661"/>
    </row>
    <row r="442" spans="1:24">
      <c r="A442" s="75"/>
    </row>
    <row r="443" spans="1:24">
      <c r="A443" s="67">
        <v>15</v>
      </c>
      <c r="B443" s="48" t="s">
        <v>1351</v>
      </c>
      <c r="C443" s="39"/>
    </row>
    <row r="444" spans="1:24">
      <c r="A444" s="75"/>
      <c r="B444" s="39"/>
      <c r="C444" s="39"/>
    </row>
    <row r="445" spans="1:24">
      <c r="A445" s="75"/>
      <c r="B445" s="50" t="s">
        <v>1352</v>
      </c>
      <c r="C445" s="39"/>
    </row>
    <row r="446" spans="1:24">
      <c r="A446" s="75"/>
      <c r="B446" s="39" t="s">
        <v>1353</v>
      </c>
      <c r="C446" s="84"/>
    </row>
    <row r="447" spans="1:24">
      <c r="A447" s="75"/>
      <c r="B447" s="39" t="s">
        <v>1354</v>
      </c>
      <c r="C447" s="84"/>
    </row>
    <row r="448" spans="1:24">
      <c r="A448" s="75"/>
      <c r="B448" s="39" t="s">
        <v>1355</v>
      </c>
      <c r="C448" s="84"/>
    </row>
    <row r="449" spans="1:8">
      <c r="A449" s="75"/>
      <c r="B449" s="39" t="s">
        <v>1356</v>
      </c>
      <c r="C449" s="84"/>
    </row>
    <row r="450" spans="1:8">
      <c r="A450" s="75"/>
      <c r="B450" s="84" t="s">
        <v>1357</v>
      </c>
      <c r="C450" s="84"/>
    </row>
    <row r="451" spans="1:8" ht="13.5" thickBot="1">
      <c r="A451" s="75"/>
      <c r="B451" s="55" t="s">
        <v>1358</v>
      </c>
      <c r="C451" s="61">
        <f>SUM(C446:C450)</f>
        <v>0</v>
      </c>
    </row>
    <row r="452" spans="1:8" ht="13.5" thickTop="1">
      <c r="A452" s="75"/>
      <c r="B452" s="55"/>
      <c r="C452" s="55"/>
    </row>
    <row r="453" spans="1:8">
      <c r="A453" s="75"/>
      <c r="B453" s="45" t="s">
        <v>1359</v>
      </c>
      <c r="C453" s="39"/>
    </row>
    <row r="454" spans="1:8">
      <c r="A454" s="75"/>
      <c r="B454" s="39" t="s">
        <v>1360</v>
      </c>
      <c r="C454" s="39"/>
    </row>
    <row r="455" spans="1:8">
      <c r="A455" s="75"/>
    </row>
    <row r="456" spans="1:8">
      <c r="A456" s="75"/>
    </row>
    <row r="457" spans="1:8">
      <c r="A457" s="67">
        <v>16</v>
      </c>
      <c r="B457" s="48" t="s">
        <v>1253</v>
      </c>
      <c r="C457" s="39"/>
      <c r="D457" s="39"/>
      <c r="E457" s="39"/>
    </row>
    <row r="458" spans="1:8">
      <c r="A458" s="20"/>
      <c r="B458" s="63"/>
      <c r="C458" s="59"/>
      <c r="D458" s="59"/>
      <c r="E458" s="39"/>
      <c r="G458" s="20"/>
      <c r="H458" s="20"/>
    </row>
    <row r="459" spans="1:8">
      <c r="A459" s="20"/>
      <c r="B459" s="64"/>
      <c r="C459" s="39" t="s">
        <v>1219</v>
      </c>
      <c r="D459" s="39" t="s">
        <v>1220</v>
      </c>
      <c r="E459" s="39" t="s">
        <v>1221</v>
      </c>
      <c r="G459" s="20"/>
      <c r="H459" s="20"/>
    </row>
    <row r="460" spans="1:8">
      <c r="A460" s="20"/>
      <c r="B460" s="65" t="s">
        <v>1361</v>
      </c>
      <c r="C460" s="55">
        <v>0</v>
      </c>
      <c r="D460" s="55">
        <v>0</v>
      </c>
      <c r="E460" s="39">
        <f>C460-D460</f>
        <v>0</v>
      </c>
      <c r="F460" s="82" t="s">
        <v>1362</v>
      </c>
      <c r="G460" s="20"/>
      <c r="H460" s="20"/>
    </row>
    <row r="461" spans="1:8">
      <c r="A461" s="20"/>
      <c r="B461" s="39" t="s">
        <v>1363</v>
      </c>
      <c r="C461" s="39">
        <v>0</v>
      </c>
      <c r="D461" s="39">
        <v>0</v>
      </c>
      <c r="E461" s="39">
        <f>C461-D461</f>
        <v>0</v>
      </c>
      <c r="F461" s="82"/>
      <c r="G461" s="20"/>
      <c r="H461" s="20"/>
    </row>
    <row r="462" spans="1:8">
      <c r="A462" s="20"/>
      <c r="B462" s="39" t="s">
        <v>1364</v>
      </c>
      <c r="C462" s="39">
        <f>C460-C461</f>
        <v>0</v>
      </c>
      <c r="D462" s="39">
        <v>0</v>
      </c>
      <c r="E462" s="39">
        <f>C462-D462</f>
        <v>0</v>
      </c>
      <c r="F462" s="82"/>
      <c r="G462" s="20"/>
      <c r="H462" s="20"/>
    </row>
    <row r="463" spans="1:8">
      <c r="A463" s="20"/>
      <c r="B463" s="66" t="s">
        <v>1365</v>
      </c>
      <c r="C463" s="39"/>
      <c r="D463" s="39"/>
      <c r="E463" s="39"/>
      <c r="G463" s="20"/>
      <c r="H463" s="20"/>
    </row>
    <row r="464" spans="1:8">
      <c r="A464" s="20"/>
      <c r="B464" s="39" t="s">
        <v>1366</v>
      </c>
      <c r="C464" s="39"/>
      <c r="D464" s="84">
        <v>0</v>
      </c>
      <c r="E464" s="39"/>
      <c r="F464" s="82" t="s">
        <v>1367</v>
      </c>
      <c r="G464" s="20"/>
      <c r="H464" s="20"/>
    </row>
    <row r="465" spans="1:28" s="70" customFormat="1" ht="13.5" thickBot="1">
      <c r="A465" s="20"/>
      <c r="B465" s="53"/>
      <c r="C465" s="39"/>
      <c r="D465" s="53">
        <f>Z232+E460+D464</f>
        <v>0</v>
      </c>
      <c r="E465" s="39"/>
      <c r="F465" s="77" t="s">
        <v>1271</v>
      </c>
      <c r="G465" s="20"/>
      <c r="H465" s="20"/>
      <c r="X465" s="642"/>
      <c r="Y465" s="67"/>
      <c r="Z465" s="67"/>
      <c r="AA465" s="67"/>
      <c r="AB465" s="67"/>
    </row>
    <row r="466" spans="1:28" s="70" customFormat="1" ht="13.5" thickTop="1">
      <c r="A466" s="20"/>
      <c r="B466" s="20"/>
      <c r="C466" s="20"/>
      <c r="D466" s="20"/>
      <c r="E466" s="20"/>
      <c r="F466" s="20"/>
      <c r="G466" s="20"/>
      <c r="H466" s="20"/>
      <c r="X466" s="642"/>
      <c r="Y466" s="67"/>
      <c r="Z466" s="67"/>
      <c r="AA466" s="67"/>
      <c r="AB466" s="67"/>
    </row>
    <row r="468" spans="1:28" s="70" customFormat="1">
      <c r="A468" s="67">
        <v>17</v>
      </c>
      <c r="B468" s="48" t="s">
        <v>1368</v>
      </c>
      <c r="C468" s="39"/>
      <c r="D468" s="39"/>
      <c r="E468" s="67"/>
      <c r="F468" s="67"/>
      <c r="X468" s="642"/>
      <c r="Y468" s="67"/>
      <c r="Z468" s="67"/>
      <c r="AA468" s="67"/>
      <c r="AB468" s="67"/>
    </row>
    <row r="469" spans="1:28" s="70" customFormat="1">
      <c r="A469" s="67"/>
      <c r="B469" s="39" t="s">
        <v>1369</v>
      </c>
      <c r="C469" s="39"/>
      <c r="D469" s="39"/>
      <c r="E469" s="67"/>
      <c r="F469" s="67"/>
      <c r="X469" s="642"/>
      <c r="Y469" s="67"/>
      <c r="Z469" s="67"/>
      <c r="AA469" s="67"/>
      <c r="AB469" s="67"/>
    </row>
    <row r="470" spans="1:28" s="74" customFormat="1">
      <c r="B470" s="55" t="s">
        <v>1370</v>
      </c>
      <c r="C470" s="55"/>
      <c r="D470" s="55"/>
      <c r="G470" s="76"/>
      <c r="X470" s="661"/>
    </row>
    <row r="471" spans="1:28" s="74" customFormat="1">
      <c r="B471" s="55" t="s">
        <v>1371</v>
      </c>
      <c r="C471" s="83"/>
      <c r="D471" s="55"/>
      <c r="G471" s="76"/>
      <c r="X471" s="661"/>
    </row>
    <row r="472" spans="1:28" s="74" customFormat="1">
      <c r="B472" s="55" t="s">
        <v>1372</v>
      </c>
      <c r="C472" s="83"/>
      <c r="D472" s="55"/>
      <c r="G472" s="76"/>
      <c r="X472" s="661"/>
    </row>
    <row r="473" spans="1:28" s="74" customFormat="1">
      <c r="B473" s="55" t="s">
        <v>1373</v>
      </c>
      <c r="C473" s="83"/>
      <c r="D473" s="55"/>
      <c r="G473" s="76"/>
      <c r="X473" s="661"/>
    </row>
    <row r="474" spans="1:28" s="74" customFormat="1">
      <c r="B474" s="55" t="s">
        <v>1374</v>
      </c>
      <c r="C474" s="55"/>
      <c r="D474" s="55"/>
      <c r="G474" s="76"/>
      <c r="X474" s="661"/>
    </row>
    <row r="475" spans="1:28" s="74" customFormat="1">
      <c r="B475" s="55" t="s">
        <v>1375</v>
      </c>
      <c r="C475" s="83"/>
      <c r="D475" s="55"/>
      <c r="G475" s="76"/>
      <c r="X475" s="661"/>
    </row>
    <row r="476" spans="1:28" s="74" customFormat="1">
      <c r="B476" s="55" t="s">
        <v>1376</v>
      </c>
      <c r="C476" s="83"/>
      <c r="D476" s="55"/>
      <c r="G476" s="76"/>
      <c r="X476" s="661"/>
    </row>
    <row r="477" spans="1:28" s="74" customFormat="1">
      <c r="B477" s="55" t="s">
        <v>1377</v>
      </c>
      <c r="C477" s="83"/>
      <c r="D477" s="55"/>
      <c r="G477" s="76"/>
      <c r="X477" s="661"/>
    </row>
    <row r="478" spans="1:28" s="74" customFormat="1">
      <c r="B478" s="55" t="s">
        <v>1378</v>
      </c>
      <c r="C478" s="83"/>
      <c r="D478" s="55"/>
      <c r="G478" s="76"/>
      <c r="X478" s="661"/>
    </row>
    <row r="479" spans="1:28" s="74" customFormat="1">
      <c r="B479" s="55" t="s">
        <v>1379</v>
      </c>
      <c r="C479" s="55"/>
      <c r="D479" s="55"/>
      <c r="G479" s="76"/>
      <c r="X479" s="661"/>
    </row>
    <row r="481" spans="1:28" s="70" customFormat="1">
      <c r="A481" s="67"/>
      <c r="B481" s="39" t="s">
        <v>1380</v>
      </c>
      <c r="C481" s="39"/>
      <c r="D481" s="39"/>
      <c r="E481" s="67"/>
      <c r="F481" s="67"/>
      <c r="X481" s="642"/>
      <c r="Y481" s="67"/>
      <c r="Z481" s="67"/>
      <c r="AA481" s="67"/>
      <c r="AB481" s="67"/>
    </row>
    <row r="482" spans="1:28" s="70" customFormat="1">
      <c r="A482" s="67"/>
      <c r="B482" s="39" t="s">
        <v>1381</v>
      </c>
      <c r="C482" s="39"/>
      <c r="D482" s="39"/>
      <c r="E482" s="67"/>
      <c r="F482" s="67"/>
      <c r="X482" s="642"/>
      <c r="Y482" s="67"/>
      <c r="Z482" s="67"/>
      <c r="AA482" s="67"/>
      <c r="AB482" s="67"/>
    </row>
    <row r="484" spans="1:28">
      <c r="A484" s="526"/>
    </row>
  </sheetData>
  <mergeCells count="145">
    <mergeCell ref="A4:A6"/>
    <mergeCell ref="B4:B6"/>
    <mergeCell ref="C4:C6"/>
    <mergeCell ref="D93:E93"/>
    <mergeCell ref="F93:G93"/>
    <mergeCell ref="D94:E94"/>
    <mergeCell ref="F94:G94"/>
    <mergeCell ref="D95:E95"/>
    <mergeCell ref="F95:G95"/>
    <mergeCell ref="D4:F5"/>
    <mergeCell ref="G4:G5"/>
    <mergeCell ref="A89:A90"/>
    <mergeCell ref="B89:B90"/>
    <mergeCell ref="C89:C90"/>
    <mergeCell ref="D89:E90"/>
    <mergeCell ref="F89:G90"/>
    <mergeCell ref="D99:E99"/>
    <mergeCell ref="F99:G99"/>
    <mergeCell ref="D100:E100"/>
    <mergeCell ref="F100:G100"/>
    <mergeCell ref="D101:E101"/>
    <mergeCell ref="F101:G101"/>
    <mergeCell ref="D96:E96"/>
    <mergeCell ref="F96:G96"/>
    <mergeCell ref="D97:E97"/>
    <mergeCell ref="F97:G97"/>
    <mergeCell ref="D98:E98"/>
    <mergeCell ref="F98:G98"/>
    <mergeCell ref="D105:E105"/>
    <mergeCell ref="F105:G105"/>
    <mergeCell ref="D106:E106"/>
    <mergeCell ref="F106:G106"/>
    <mergeCell ref="D107:E107"/>
    <mergeCell ref="F107:G107"/>
    <mergeCell ref="D102:E102"/>
    <mergeCell ref="F102:G102"/>
    <mergeCell ref="D103:E103"/>
    <mergeCell ref="F103:G103"/>
    <mergeCell ref="D104:E104"/>
    <mergeCell ref="F104:G104"/>
    <mergeCell ref="D111:E111"/>
    <mergeCell ref="F111:G111"/>
    <mergeCell ref="D112:E112"/>
    <mergeCell ref="F112:G112"/>
    <mergeCell ref="D113:E113"/>
    <mergeCell ref="F113:G113"/>
    <mergeCell ref="D108:E108"/>
    <mergeCell ref="F108:G108"/>
    <mergeCell ref="D109:E109"/>
    <mergeCell ref="F109:G109"/>
    <mergeCell ref="D110:E110"/>
    <mergeCell ref="F110:G110"/>
    <mergeCell ref="D117:E117"/>
    <mergeCell ref="F117:G117"/>
    <mergeCell ref="D118:E118"/>
    <mergeCell ref="F118:G118"/>
    <mergeCell ref="D119:E119"/>
    <mergeCell ref="F119:G119"/>
    <mergeCell ref="D114:E114"/>
    <mergeCell ref="F114:G114"/>
    <mergeCell ref="D115:E115"/>
    <mergeCell ref="F115:G115"/>
    <mergeCell ref="D116:E116"/>
    <mergeCell ref="F116:G116"/>
    <mergeCell ref="D123:E123"/>
    <mergeCell ref="F123:G123"/>
    <mergeCell ref="D124:E124"/>
    <mergeCell ref="F124:G124"/>
    <mergeCell ref="D125:E125"/>
    <mergeCell ref="F125:G125"/>
    <mergeCell ref="D120:E120"/>
    <mergeCell ref="F120:G120"/>
    <mergeCell ref="D121:E121"/>
    <mergeCell ref="F121:G121"/>
    <mergeCell ref="D122:E122"/>
    <mergeCell ref="F122:G122"/>
    <mergeCell ref="D129:E129"/>
    <mergeCell ref="F129:G129"/>
    <mergeCell ref="D130:E130"/>
    <mergeCell ref="F130:G130"/>
    <mergeCell ref="D131:E131"/>
    <mergeCell ref="F131:G131"/>
    <mergeCell ref="D126:E126"/>
    <mergeCell ref="F126:G126"/>
    <mergeCell ref="D127:E127"/>
    <mergeCell ref="F127:G127"/>
    <mergeCell ref="D128:E128"/>
    <mergeCell ref="F128:G128"/>
    <mergeCell ref="D135:E135"/>
    <mergeCell ref="F135:G135"/>
    <mergeCell ref="D136:E136"/>
    <mergeCell ref="F136:G136"/>
    <mergeCell ref="D137:E137"/>
    <mergeCell ref="F137:G137"/>
    <mergeCell ref="D132:E132"/>
    <mergeCell ref="F132:G132"/>
    <mergeCell ref="D133:E133"/>
    <mergeCell ref="F133:G133"/>
    <mergeCell ref="D134:E134"/>
    <mergeCell ref="F134:G134"/>
    <mergeCell ref="D141:E141"/>
    <mergeCell ref="F141:G141"/>
    <mergeCell ref="D142:E142"/>
    <mergeCell ref="F142:G142"/>
    <mergeCell ref="D143:E143"/>
    <mergeCell ref="F143:G143"/>
    <mergeCell ref="D138:E138"/>
    <mergeCell ref="F138:G138"/>
    <mergeCell ref="D139:E139"/>
    <mergeCell ref="F139:G139"/>
    <mergeCell ref="D140:E140"/>
    <mergeCell ref="F140:G140"/>
    <mergeCell ref="F148:G148"/>
    <mergeCell ref="D149:E149"/>
    <mergeCell ref="F149:G149"/>
    <mergeCell ref="D144:E144"/>
    <mergeCell ref="F144:G144"/>
    <mergeCell ref="D145:E145"/>
    <mergeCell ref="F145:G145"/>
    <mergeCell ref="D146:E146"/>
    <mergeCell ref="F146:G146"/>
    <mergeCell ref="D159:E159"/>
    <mergeCell ref="F159:G159"/>
    <mergeCell ref="H6:H8"/>
    <mergeCell ref="D156:E156"/>
    <mergeCell ref="F156:G156"/>
    <mergeCell ref="D157:E157"/>
    <mergeCell ref="F157:G157"/>
    <mergeCell ref="D158:E158"/>
    <mergeCell ref="F158:G158"/>
    <mergeCell ref="D153:E153"/>
    <mergeCell ref="F153:G153"/>
    <mergeCell ref="D154:E154"/>
    <mergeCell ref="F154:G154"/>
    <mergeCell ref="D155:E155"/>
    <mergeCell ref="F155:G155"/>
    <mergeCell ref="D150:E150"/>
    <mergeCell ref="F150:G150"/>
    <mergeCell ref="D151:E151"/>
    <mergeCell ref="F151:G151"/>
    <mergeCell ref="D152:E152"/>
    <mergeCell ref="F152:G152"/>
    <mergeCell ref="D147:E147"/>
    <mergeCell ref="F147:G147"/>
    <mergeCell ref="D148:E148"/>
  </mergeCells>
  <pageMargins left="0.47" right="0.3" top="0.64" bottom="0.78740157480314965" header="0.39370078740157483" footer="0.39370078740157483"/>
  <pageSetup paperSize="9" scale="8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5"/>
  </sheetPr>
  <dimension ref="A2:M430"/>
  <sheetViews>
    <sheetView zoomScale="80" zoomScaleNormal="80" workbookViewId="0">
      <pane ySplit="4" topLeftCell="A258" activePane="bottomLeft" state="frozen"/>
      <selection activeCell="F79" sqref="F79"/>
      <selection pane="bottomLeft" activeCell="H260" sqref="H260"/>
    </sheetView>
  </sheetViews>
  <sheetFormatPr defaultColWidth="9.140625" defaultRowHeight="12.75"/>
  <cols>
    <col min="1" max="1" width="7.5703125" style="20" customWidth="1"/>
    <col min="2" max="2" width="11" style="20" customWidth="1"/>
    <col min="3" max="3" width="84.85546875" style="20" customWidth="1"/>
    <col min="4" max="4" width="11.140625" style="20" customWidth="1"/>
    <col min="5" max="5" width="15.5703125" style="20" customWidth="1"/>
    <col min="6" max="6" width="12.140625" style="20" customWidth="1"/>
    <col min="7" max="7" width="17.28515625" style="20" customWidth="1"/>
    <col min="8" max="8" width="18.140625" style="25" customWidth="1"/>
    <col min="9" max="9" width="4.28515625" style="20" customWidth="1"/>
    <col min="10" max="10" width="93.5703125" style="26" customWidth="1"/>
    <col min="11" max="16384" width="9.140625" style="20"/>
  </cols>
  <sheetData>
    <row r="2" spans="1:13">
      <c r="B2" s="24" t="s">
        <v>482</v>
      </c>
      <c r="E2" s="92" t="s">
        <v>1229</v>
      </c>
      <c r="F2" s="92"/>
      <c r="G2" s="92"/>
      <c r="H2" s="608">
        <f>SUM(H5:H428)</f>
        <v>0</v>
      </c>
    </row>
    <row r="3" spans="1:13">
      <c r="B3" s="27" t="s">
        <v>483</v>
      </c>
      <c r="G3" s="751" t="s">
        <v>3071</v>
      </c>
      <c r="H3" s="751"/>
      <c r="J3" s="462"/>
    </row>
    <row r="4" spans="1:13" ht="25.5">
      <c r="B4" s="437" t="s">
        <v>480</v>
      </c>
      <c r="C4" s="437" t="s">
        <v>481</v>
      </c>
      <c r="D4" s="438" t="s">
        <v>2148</v>
      </c>
      <c r="E4" s="438" t="s">
        <v>2149</v>
      </c>
      <c r="F4" s="438" t="s">
        <v>2150</v>
      </c>
      <c r="G4" s="438" t="s">
        <v>2190</v>
      </c>
      <c r="H4" s="562" t="s">
        <v>711</v>
      </c>
      <c r="J4" s="438" t="s">
        <v>2191</v>
      </c>
    </row>
    <row r="5" spans="1:13" ht="12.75" customHeight="1">
      <c r="A5" s="461"/>
      <c r="B5" s="20" t="s">
        <v>0</v>
      </c>
      <c r="C5" s="20" t="s">
        <v>1</v>
      </c>
      <c r="D5" s="564" t="s">
        <v>713</v>
      </c>
      <c r="E5" s="564"/>
      <c r="F5" s="564" t="s">
        <v>713</v>
      </c>
      <c r="G5" s="564"/>
      <c r="H5" s="618">
        <v>0</v>
      </c>
      <c r="J5" t="s">
        <v>2803</v>
      </c>
      <c r="L5" s="20" t="s">
        <v>0</v>
      </c>
      <c r="M5" s="20" t="b">
        <f t="shared" ref="M5:M68" si="0">L5=B5</f>
        <v>1</v>
      </c>
    </row>
    <row r="6" spans="1:13">
      <c r="A6" s="461"/>
      <c r="B6" s="20" t="s">
        <v>2</v>
      </c>
      <c r="C6" s="20" t="s">
        <v>3</v>
      </c>
      <c r="D6" s="564" t="s">
        <v>714</v>
      </c>
      <c r="E6" s="564"/>
      <c r="F6" s="564" t="s">
        <v>714</v>
      </c>
      <c r="G6" s="564"/>
      <c r="H6" s="618">
        <v>24947</v>
      </c>
      <c r="J6" t="s">
        <v>2804</v>
      </c>
      <c r="L6" s="20" t="s">
        <v>2</v>
      </c>
      <c r="M6" s="20" t="b">
        <f t="shared" si="0"/>
        <v>1</v>
      </c>
    </row>
    <row r="7" spans="1:13" ht="12.75" customHeight="1">
      <c r="A7" s="461"/>
      <c r="B7" s="20" t="s">
        <v>4</v>
      </c>
      <c r="C7" s="20" t="s">
        <v>5</v>
      </c>
      <c r="D7" s="564" t="s">
        <v>715</v>
      </c>
      <c r="E7" s="564"/>
      <c r="F7" s="564" t="s">
        <v>715</v>
      </c>
      <c r="G7" s="564"/>
      <c r="H7" s="618">
        <v>2500</v>
      </c>
      <c r="J7" t="s">
        <v>2805</v>
      </c>
      <c r="L7" s="20" t="s">
        <v>4</v>
      </c>
      <c r="M7" s="20" t="b">
        <f t="shared" si="0"/>
        <v>1</v>
      </c>
    </row>
    <row r="8" spans="1:13">
      <c r="A8" s="461"/>
      <c r="B8" s="20" t="s">
        <v>6</v>
      </c>
      <c r="C8" s="20" t="s">
        <v>7</v>
      </c>
      <c r="D8" s="564" t="s">
        <v>716</v>
      </c>
      <c r="E8" s="564"/>
      <c r="F8" s="564" t="s">
        <v>716</v>
      </c>
      <c r="G8" s="564"/>
      <c r="H8" s="618">
        <v>0</v>
      </c>
      <c r="J8" t="s">
        <v>2806</v>
      </c>
      <c r="L8" s="20" t="s">
        <v>6</v>
      </c>
      <c r="M8" s="20" t="b">
        <f t="shared" si="0"/>
        <v>1</v>
      </c>
    </row>
    <row r="9" spans="1:13">
      <c r="A9" s="461"/>
      <c r="B9" s="20" t="s">
        <v>8</v>
      </c>
      <c r="C9" s="20" t="s">
        <v>2192</v>
      </c>
      <c r="D9" s="564" t="s">
        <v>717</v>
      </c>
      <c r="E9" s="564"/>
      <c r="F9" s="564" t="s">
        <v>717</v>
      </c>
      <c r="G9" s="564"/>
      <c r="H9" s="618">
        <v>0</v>
      </c>
      <c r="J9" t="s">
        <v>2807</v>
      </c>
      <c r="L9" s="20" t="s">
        <v>8</v>
      </c>
      <c r="M9" s="20" t="b">
        <f t="shared" si="0"/>
        <v>1</v>
      </c>
    </row>
    <row r="10" spans="1:13">
      <c r="A10" s="461"/>
      <c r="B10" s="20" t="s">
        <v>9</v>
      </c>
      <c r="C10" s="20" t="s">
        <v>10</v>
      </c>
      <c r="D10" s="564" t="s">
        <v>718</v>
      </c>
      <c r="E10" s="564"/>
      <c r="F10" s="564" t="s">
        <v>718</v>
      </c>
      <c r="G10" s="564"/>
      <c r="H10" s="618">
        <v>0</v>
      </c>
      <c r="J10" t="s">
        <v>2808</v>
      </c>
      <c r="L10" s="20" t="s">
        <v>9</v>
      </c>
      <c r="M10" s="20" t="b">
        <f t="shared" si="0"/>
        <v>1</v>
      </c>
    </row>
    <row r="11" spans="1:13">
      <c r="A11" s="461"/>
      <c r="B11" s="20" t="s">
        <v>11</v>
      </c>
      <c r="C11" s="20" t="s">
        <v>12</v>
      </c>
      <c r="D11" s="564" t="s">
        <v>719</v>
      </c>
      <c r="E11" s="564"/>
      <c r="F11" s="564" t="s">
        <v>719</v>
      </c>
      <c r="G11" s="564"/>
      <c r="H11" s="618">
        <v>106757</v>
      </c>
      <c r="J11" t="s">
        <v>2809</v>
      </c>
      <c r="L11" s="20" t="s">
        <v>11</v>
      </c>
      <c r="M11" s="20" t="b">
        <f t="shared" si="0"/>
        <v>1</v>
      </c>
    </row>
    <row r="12" spans="1:13">
      <c r="A12" s="461"/>
      <c r="B12" s="20" t="s">
        <v>13</v>
      </c>
      <c r="C12" s="20" t="s">
        <v>14</v>
      </c>
      <c r="D12" s="564" t="s">
        <v>720</v>
      </c>
      <c r="E12" s="564"/>
      <c r="F12" s="564" t="s">
        <v>720</v>
      </c>
      <c r="G12" s="564"/>
      <c r="H12" s="618">
        <v>0</v>
      </c>
      <c r="J12" t="s">
        <v>2810</v>
      </c>
      <c r="L12" s="20" t="s">
        <v>13</v>
      </c>
      <c r="M12" s="20" t="b">
        <f t="shared" si="0"/>
        <v>1</v>
      </c>
    </row>
    <row r="13" spans="1:13">
      <c r="A13" s="461"/>
      <c r="B13" s="20" t="s">
        <v>15</v>
      </c>
      <c r="C13" s="20" t="s">
        <v>16</v>
      </c>
      <c r="D13" s="564" t="s">
        <v>721</v>
      </c>
      <c r="E13" s="564"/>
      <c r="F13" s="564" t="s">
        <v>721</v>
      </c>
      <c r="G13" s="564"/>
      <c r="H13" s="618">
        <v>0</v>
      </c>
      <c r="J13" t="s">
        <v>2811</v>
      </c>
      <c r="L13" s="20" t="s">
        <v>15</v>
      </c>
      <c r="M13" s="20" t="b">
        <f t="shared" si="0"/>
        <v>1</v>
      </c>
    </row>
    <row r="14" spans="1:13">
      <c r="A14" s="461"/>
      <c r="B14" s="20" t="s">
        <v>17</v>
      </c>
      <c r="C14" s="20" t="s">
        <v>2193</v>
      </c>
      <c r="D14" s="564" t="s">
        <v>722</v>
      </c>
      <c r="E14" s="564"/>
      <c r="F14" s="564" t="s">
        <v>722</v>
      </c>
      <c r="G14" s="564"/>
      <c r="H14" s="618">
        <v>0</v>
      </c>
      <c r="J14" t="s">
        <v>2812</v>
      </c>
      <c r="L14" s="20" t="s">
        <v>17</v>
      </c>
      <c r="M14" s="20" t="b">
        <f t="shared" si="0"/>
        <v>1</v>
      </c>
    </row>
    <row r="15" spans="1:13">
      <c r="A15" s="461"/>
      <c r="B15" s="20" t="s">
        <v>18</v>
      </c>
      <c r="C15" s="20" t="s">
        <v>19</v>
      </c>
      <c r="D15" s="564" t="s">
        <v>723</v>
      </c>
      <c r="E15" s="564"/>
      <c r="F15" s="564" t="s">
        <v>723</v>
      </c>
      <c r="G15" s="564"/>
      <c r="H15" s="618">
        <v>0</v>
      </c>
      <c r="J15" t="s">
        <v>2813</v>
      </c>
      <c r="L15" s="20" t="s">
        <v>18</v>
      </c>
      <c r="M15" s="20" t="b">
        <f t="shared" si="0"/>
        <v>1</v>
      </c>
    </row>
    <row r="16" spans="1:13">
      <c r="A16" s="461"/>
      <c r="B16" s="20" t="s">
        <v>20</v>
      </c>
      <c r="C16" s="20" t="s">
        <v>21</v>
      </c>
      <c r="D16" s="564" t="s">
        <v>722</v>
      </c>
      <c r="E16" s="564"/>
      <c r="F16" s="564" t="s">
        <v>722</v>
      </c>
      <c r="G16" s="564"/>
      <c r="H16" s="618">
        <v>0</v>
      </c>
      <c r="J16" t="s">
        <v>2812</v>
      </c>
      <c r="L16" s="20" t="s">
        <v>20</v>
      </c>
      <c r="M16" s="20" t="b">
        <f t="shared" si="0"/>
        <v>1</v>
      </c>
    </row>
    <row r="17" spans="1:13">
      <c r="A17" s="461"/>
      <c r="B17" s="20" t="s">
        <v>22</v>
      </c>
      <c r="C17" s="20" t="s">
        <v>23</v>
      </c>
      <c r="D17" s="564" t="s">
        <v>724</v>
      </c>
      <c r="E17" s="564"/>
      <c r="F17" s="564" t="s">
        <v>724</v>
      </c>
      <c r="G17" s="564"/>
      <c r="H17" s="618">
        <v>937792</v>
      </c>
      <c r="J17" t="s">
        <v>2814</v>
      </c>
      <c r="L17" s="20" t="s">
        <v>22</v>
      </c>
      <c r="M17" s="20" t="b">
        <f t="shared" si="0"/>
        <v>1</v>
      </c>
    </row>
    <row r="18" spans="1:13">
      <c r="A18" s="461"/>
      <c r="B18" s="20" t="s">
        <v>24</v>
      </c>
      <c r="C18" s="20" t="s">
        <v>25</v>
      </c>
      <c r="D18" s="564" t="s">
        <v>725</v>
      </c>
      <c r="E18" s="564"/>
      <c r="F18" s="564" t="s">
        <v>725</v>
      </c>
      <c r="G18" s="564"/>
      <c r="H18" s="618">
        <v>0</v>
      </c>
      <c r="J18" t="s">
        <v>2815</v>
      </c>
      <c r="L18" s="20" t="s">
        <v>24</v>
      </c>
      <c r="M18" s="20" t="b">
        <f t="shared" si="0"/>
        <v>1</v>
      </c>
    </row>
    <row r="19" spans="1:13">
      <c r="A19" s="461"/>
      <c r="B19" s="20" t="s">
        <v>26</v>
      </c>
      <c r="C19" s="20" t="s">
        <v>2194</v>
      </c>
      <c r="D19" s="564" t="s">
        <v>1856</v>
      </c>
      <c r="E19" s="564"/>
      <c r="F19" s="564" t="s">
        <v>1856</v>
      </c>
      <c r="G19" s="564"/>
      <c r="H19" s="618">
        <v>0</v>
      </c>
      <c r="J19" t="s">
        <v>2816</v>
      </c>
      <c r="L19" s="20" t="s">
        <v>26</v>
      </c>
      <c r="M19" s="20" t="b">
        <f t="shared" si="0"/>
        <v>1</v>
      </c>
    </row>
    <row r="20" spans="1:13">
      <c r="A20" s="461"/>
      <c r="B20" s="20" t="s">
        <v>27</v>
      </c>
      <c r="C20" s="20" t="s">
        <v>2195</v>
      </c>
      <c r="D20" s="564" t="s">
        <v>727</v>
      </c>
      <c r="E20" s="564"/>
      <c r="F20" s="564" t="s">
        <v>727</v>
      </c>
      <c r="G20" s="564"/>
      <c r="H20" s="618">
        <v>0</v>
      </c>
      <c r="J20" t="s">
        <v>2815</v>
      </c>
      <c r="L20" s="20" t="s">
        <v>27</v>
      </c>
      <c r="M20" s="20" t="b">
        <f t="shared" si="0"/>
        <v>1</v>
      </c>
    </row>
    <row r="21" spans="1:13">
      <c r="A21" s="461"/>
      <c r="B21" s="20" t="s">
        <v>28</v>
      </c>
      <c r="C21" s="20" t="s">
        <v>2196</v>
      </c>
      <c r="D21" s="564" t="s">
        <v>728</v>
      </c>
      <c r="E21" s="564"/>
      <c r="F21" s="564" t="s">
        <v>728</v>
      </c>
      <c r="G21" s="564"/>
      <c r="H21" s="618">
        <v>0</v>
      </c>
      <c r="J21" t="s">
        <v>2817</v>
      </c>
      <c r="L21" s="20" t="s">
        <v>28</v>
      </c>
      <c r="M21" s="20" t="b">
        <f t="shared" si="0"/>
        <v>1</v>
      </c>
    </row>
    <row r="22" spans="1:13">
      <c r="A22" s="461"/>
      <c r="B22" s="20" t="s">
        <v>29</v>
      </c>
      <c r="C22" s="20" t="s">
        <v>2197</v>
      </c>
      <c r="D22" s="564" t="s">
        <v>736</v>
      </c>
      <c r="E22" s="564"/>
      <c r="F22" s="564" t="s">
        <v>736</v>
      </c>
      <c r="G22" s="564"/>
      <c r="H22" s="618">
        <v>0</v>
      </c>
      <c r="J22" t="s">
        <v>2818</v>
      </c>
      <c r="L22" s="20" t="s">
        <v>29</v>
      </c>
      <c r="M22" s="20" t="b">
        <f t="shared" si="0"/>
        <v>1</v>
      </c>
    </row>
    <row r="23" spans="1:13" ht="15">
      <c r="A23" s="461"/>
      <c r="B23" s="20" t="s">
        <v>30</v>
      </c>
      <c r="C23" s="20" t="s">
        <v>31</v>
      </c>
      <c r="D23" s="564" t="s">
        <v>730</v>
      </c>
      <c r="E23" s="564"/>
      <c r="F23" s="564" t="s">
        <v>730</v>
      </c>
      <c r="G23" s="564"/>
      <c r="H23" s="663">
        <v>40676241.530000001</v>
      </c>
      <c r="J23" t="s">
        <v>2819</v>
      </c>
      <c r="L23" s="20" t="s">
        <v>30</v>
      </c>
      <c r="M23" s="20" t="b">
        <f t="shared" si="0"/>
        <v>1</v>
      </c>
    </row>
    <row r="24" spans="1:13">
      <c r="A24" s="461"/>
      <c r="B24" s="20" t="s">
        <v>2198</v>
      </c>
      <c r="C24" s="20" t="s">
        <v>2199</v>
      </c>
      <c r="D24" s="565" t="s">
        <v>730</v>
      </c>
      <c r="E24" s="565"/>
      <c r="F24" s="565" t="s">
        <v>730</v>
      </c>
      <c r="G24"/>
      <c r="H24" s="618">
        <v>0</v>
      </c>
      <c r="J24" t="s">
        <v>2819</v>
      </c>
      <c r="L24" s="20" t="s">
        <v>2198</v>
      </c>
      <c r="M24" s="20" t="b">
        <f t="shared" si="0"/>
        <v>1</v>
      </c>
    </row>
    <row r="25" spans="1:13">
      <c r="A25" s="461"/>
      <c r="B25" s="20" t="s">
        <v>2200</v>
      </c>
      <c r="C25" s="20" t="s">
        <v>2201</v>
      </c>
      <c r="D25" s="564" t="s">
        <v>731</v>
      </c>
      <c r="E25" s="564"/>
      <c r="F25" s="564" t="s">
        <v>731</v>
      </c>
      <c r="G25" s="564"/>
      <c r="H25" s="618">
        <v>0</v>
      </c>
      <c r="J25" t="s">
        <v>2820</v>
      </c>
      <c r="L25" s="20" t="s">
        <v>2200</v>
      </c>
      <c r="M25" s="20" t="b">
        <f t="shared" si="0"/>
        <v>1</v>
      </c>
    </row>
    <row r="26" spans="1:13">
      <c r="A26" s="461"/>
      <c r="B26" s="20" t="s">
        <v>2202</v>
      </c>
      <c r="C26" s="20" t="s">
        <v>2203</v>
      </c>
      <c r="D26" s="565" t="s">
        <v>730</v>
      </c>
      <c r="E26" s="565"/>
      <c r="F26" s="565" t="s">
        <v>730</v>
      </c>
      <c r="G26" s="564"/>
      <c r="H26" s="618">
        <v>0</v>
      </c>
      <c r="J26" t="s">
        <v>2819</v>
      </c>
      <c r="L26" s="20" t="s">
        <v>2202</v>
      </c>
      <c r="M26" s="20" t="b">
        <f t="shared" si="0"/>
        <v>1</v>
      </c>
    </row>
    <row r="27" spans="1:13">
      <c r="A27" s="461"/>
      <c r="B27" s="20" t="s">
        <v>2204</v>
      </c>
      <c r="C27" s="20" t="s">
        <v>2205</v>
      </c>
      <c r="D27" s="566" t="s">
        <v>732</v>
      </c>
      <c r="E27" s="566"/>
      <c r="F27" s="566" t="s">
        <v>732</v>
      </c>
      <c r="G27" s="564"/>
      <c r="H27" s="618">
        <v>0</v>
      </c>
      <c r="J27" t="s">
        <v>2821</v>
      </c>
      <c r="L27" s="20" t="s">
        <v>2204</v>
      </c>
      <c r="M27" s="20" t="b">
        <f t="shared" si="0"/>
        <v>1</v>
      </c>
    </row>
    <row r="28" spans="1:13">
      <c r="A28" s="461"/>
      <c r="B28" s="20" t="s">
        <v>32</v>
      </c>
      <c r="C28" s="20" t="s">
        <v>33</v>
      </c>
      <c r="D28" s="564" t="s">
        <v>726</v>
      </c>
      <c r="E28" s="564"/>
      <c r="F28" s="564" t="s">
        <v>726</v>
      </c>
      <c r="G28" s="564"/>
      <c r="H28" s="618">
        <v>0</v>
      </c>
      <c r="J28" t="s">
        <v>2822</v>
      </c>
      <c r="L28" s="20" t="s">
        <v>32</v>
      </c>
      <c r="M28" s="20" t="b">
        <f t="shared" si="0"/>
        <v>1</v>
      </c>
    </row>
    <row r="29" spans="1:13">
      <c r="A29" s="461"/>
      <c r="B29" s="20" t="s">
        <v>2206</v>
      </c>
      <c r="C29" s="20" t="s">
        <v>2207</v>
      </c>
      <c r="D29" s="565" t="s">
        <v>2789</v>
      </c>
      <c r="E29" s="565"/>
      <c r="F29" s="565" t="s">
        <v>2789</v>
      </c>
      <c r="G29" s="564"/>
      <c r="H29" s="618">
        <v>0</v>
      </c>
      <c r="J29" t="s">
        <v>2823</v>
      </c>
      <c r="L29" s="20" t="s">
        <v>2206</v>
      </c>
      <c r="M29" s="20" t="b">
        <f t="shared" si="0"/>
        <v>1</v>
      </c>
    </row>
    <row r="30" spans="1:13">
      <c r="A30" s="461"/>
      <c r="B30" s="20" t="s">
        <v>2208</v>
      </c>
      <c r="C30" s="20" t="s">
        <v>2209</v>
      </c>
      <c r="D30" s="566" t="s">
        <v>734</v>
      </c>
      <c r="E30" s="566"/>
      <c r="F30" s="566" t="s">
        <v>734</v>
      </c>
      <c r="G30" s="566"/>
      <c r="H30" s="618">
        <v>0</v>
      </c>
      <c r="J30" t="s">
        <v>2824</v>
      </c>
      <c r="L30" s="20" t="s">
        <v>2208</v>
      </c>
      <c r="M30" s="20" t="b">
        <f t="shared" si="0"/>
        <v>1</v>
      </c>
    </row>
    <row r="31" spans="1:13">
      <c r="A31" s="461"/>
      <c r="B31" s="20" t="s">
        <v>2210</v>
      </c>
      <c r="C31" s="20" t="s">
        <v>2211</v>
      </c>
      <c r="D31" s="565" t="s">
        <v>729</v>
      </c>
      <c r="E31" s="565"/>
      <c r="F31" s="565" t="s">
        <v>729</v>
      </c>
      <c r="G31" s="564"/>
      <c r="H31" s="618">
        <v>0</v>
      </c>
      <c r="J31" t="s">
        <v>2825</v>
      </c>
      <c r="L31" s="20" t="s">
        <v>2210</v>
      </c>
      <c r="M31" s="20" t="b">
        <f t="shared" si="0"/>
        <v>1</v>
      </c>
    </row>
    <row r="32" spans="1:13">
      <c r="A32" s="461"/>
      <c r="B32" s="20" t="s">
        <v>34</v>
      </c>
      <c r="C32" s="20" t="s">
        <v>35</v>
      </c>
      <c r="D32" s="564" t="s">
        <v>733</v>
      </c>
      <c r="E32" s="564"/>
      <c r="F32" s="564" t="s">
        <v>733</v>
      </c>
      <c r="G32" s="564"/>
      <c r="H32" s="618">
        <v>0</v>
      </c>
      <c r="J32" t="s">
        <v>2826</v>
      </c>
      <c r="L32" s="20" t="s">
        <v>34</v>
      </c>
      <c r="M32" s="20" t="b">
        <f t="shared" si="0"/>
        <v>1</v>
      </c>
    </row>
    <row r="33" spans="1:13">
      <c r="A33" s="461"/>
      <c r="B33" s="20" t="s">
        <v>36</v>
      </c>
      <c r="C33" s="20" t="s">
        <v>37</v>
      </c>
      <c r="D33" s="564" t="s">
        <v>729</v>
      </c>
      <c r="E33" s="564"/>
      <c r="F33" s="564" t="s">
        <v>729</v>
      </c>
      <c r="G33" s="564"/>
      <c r="H33" s="618">
        <v>0</v>
      </c>
      <c r="J33" t="s">
        <v>2827</v>
      </c>
      <c r="L33" s="20" t="s">
        <v>36</v>
      </c>
      <c r="M33" s="20" t="b">
        <f t="shared" si="0"/>
        <v>1</v>
      </c>
    </row>
    <row r="34" spans="1:13">
      <c r="A34" s="461"/>
      <c r="B34" s="20" t="s">
        <v>38</v>
      </c>
      <c r="C34" s="20" t="s">
        <v>2212</v>
      </c>
      <c r="D34" s="564" t="s">
        <v>726</v>
      </c>
      <c r="E34" s="564"/>
      <c r="F34" s="564" t="s">
        <v>726</v>
      </c>
      <c r="G34" s="564"/>
      <c r="H34" s="618">
        <v>0</v>
      </c>
      <c r="J34" t="s">
        <v>2822</v>
      </c>
      <c r="L34" s="20" t="s">
        <v>38</v>
      </c>
      <c r="M34" s="20" t="b">
        <f t="shared" si="0"/>
        <v>1</v>
      </c>
    </row>
    <row r="35" spans="1:13">
      <c r="A35" s="461"/>
      <c r="B35" s="20" t="s">
        <v>39</v>
      </c>
      <c r="C35" s="20" t="s">
        <v>2213</v>
      </c>
      <c r="D35" s="564" t="s">
        <v>729</v>
      </c>
      <c r="E35" s="564"/>
      <c r="F35" s="564" t="s">
        <v>729</v>
      </c>
      <c r="G35" s="564"/>
      <c r="H35" s="618">
        <v>0</v>
      </c>
      <c r="J35" t="s">
        <v>2827</v>
      </c>
      <c r="L35" s="20" t="s">
        <v>39</v>
      </c>
      <c r="M35" s="20" t="b">
        <f t="shared" si="0"/>
        <v>1</v>
      </c>
    </row>
    <row r="36" spans="1:13">
      <c r="A36" s="461"/>
      <c r="B36" s="20" t="s">
        <v>40</v>
      </c>
      <c r="C36" s="20" t="s">
        <v>41</v>
      </c>
      <c r="D36" s="564"/>
      <c r="E36" s="564" t="s">
        <v>713</v>
      </c>
      <c r="F36" s="564"/>
      <c r="G36" s="564" t="s">
        <v>713</v>
      </c>
      <c r="H36" s="618">
        <v>0</v>
      </c>
      <c r="J36" t="s">
        <v>2828</v>
      </c>
      <c r="L36" s="20" t="s">
        <v>40</v>
      </c>
      <c r="M36" s="20" t="b">
        <f t="shared" si="0"/>
        <v>1</v>
      </c>
    </row>
    <row r="37" spans="1:13">
      <c r="A37" s="461"/>
      <c r="B37" s="20" t="s">
        <v>42</v>
      </c>
      <c r="C37" s="20" t="s">
        <v>43</v>
      </c>
      <c r="D37" s="564"/>
      <c r="E37" s="564" t="s">
        <v>714</v>
      </c>
      <c r="F37" s="564"/>
      <c r="G37" s="564" t="s">
        <v>714</v>
      </c>
      <c r="H37" s="618">
        <v>-9533</v>
      </c>
      <c r="J37" t="s">
        <v>2829</v>
      </c>
      <c r="L37" s="20" t="s">
        <v>42</v>
      </c>
      <c r="M37" s="20" t="b">
        <f t="shared" si="0"/>
        <v>1</v>
      </c>
    </row>
    <row r="38" spans="1:13">
      <c r="A38" s="461"/>
      <c r="B38" s="20" t="s">
        <v>44</v>
      </c>
      <c r="C38" s="20" t="s">
        <v>45</v>
      </c>
      <c r="D38" s="564"/>
      <c r="E38" s="564" t="s">
        <v>715</v>
      </c>
      <c r="F38" s="564"/>
      <c r="G38" s="564" t="s">
        <v>715</v>
      </c>
      <c r="H38" s="618">
        <v>-764</v>
      </c>
      <c r="J38" t="s">
        <v>2830</v>
      </c>
      <c r="L38" s="20" t="s">
        <v>44</v>
      </c>
      <c r="M38" s="20" t="b">
        <f t="shared" si="0"/>
        <v>1</v>
      </c>
    </row>
    <row r="39" spans="1:13">
      <c r="A39" s="461"/>
      <c r="B39" s="20" t="s">
        <v>46</v>
      </c>
      <c r="C39" s="20" t="s">
        <v>47</v>
      </c>
      <c r="D39" s="564"/>
      <c r="E39" s="564" t="s">
        <v>716</v>
      </c>
      <c r="F39" s="564"/>
      <c r="G39" s="564" t="s">
        <v>716</v>
      </c>
      <c r="H39" s="618">
        <v>0</v>
      </c>
      <c r="J39" t="s">
        <v>2831</v>
      </c>
      <c r="L39" s="20" t="s">
        <v>46</v>
      </c>
      <c r="M39" s="20" t="b">
        <f t="shared" si="0"/>
        <v>1</v>
      </c>
    </row>
    <row r="40" spans="1:13">
      <c r="A40" s="461"/>
      <c r="B40" s="20" t="s">
        <v>48</v>
      </c>
      <c r="C40" s="20" t="s">
        <v>49</v>
      </c>
      <c r="D40" s="564"/>
      <c r="E40" s="564" t="s">
        <v>717</v>
      </c>
      <c r="F40" s="564"/>
      <c r="G40" s="564" t="s">
        <v>717</v>
      </c>
      <c r="H40" s="618">
        <v>0</v>
      </c>
      <c r="J40" t="s">
        <v>2832</v>
      </c>
      <c r="L40" s="20" t="s">
        <v>48</v>
      </c>
      <c r="M40" s="20" t="b">
        <f t="shared" si="0"/>
        <v>1</v>
      </c>
    </row>
    <row r="41" spans="1:13">
      <c r="A41" s="461"/>
      <c r="B41" s="20" t="s">
        <v>50</v>
      </c>
      <c r="C41" s="20" t="s">
        <v>51</v>
      </c>
      <c r="D41" s="564"/>
      <c r="E41" s="564" t="s">
        <v>718</v>
      </c>
      <c r="F41" s="564"/>
      <c r="G41" s="564" t="s">
        <v>718</v>
      </c>
      <c r="H41" s="618">
        <v>0</v>
      </c>
      <c r="J41" t="s">
        <v>2833</v>
      </c>
      <c r="L41" s="20" t="s">
        <v>50</v>
      </c>
      <c r="M41" s="20" t="b">
        <f t="shared" si="0"/>
        <v>1</v>
      </c>
    </row>
    <row r="42" spans="1:13">
      <c r="A42" s="461"/>
      <c r="B42" s="20" t="s">
        <v>52</v>
      </c>
      <c r="C42" s="20" t="s">
        <v>53</v>
      </c>
      <c r="D42" s="564"/>
      <c r="E42" s="564" t="s">
        <v>719</v>
      </c>
      <c r="F42" s="564"/>
      <c r="G42" s="564" t="s">
        <v>719</v>
      </c>
      <c r="H42" s="618">
        <v>-4104</v>
      </c>
      <c r="J42" t="s">
        <v>2834</v>
      </c>
      <c r="L42" s="20" t="s">
        <v>52</v>
      </c>
      <c r="M42" s="20" t="b">
        <f t="shared" si="0"/>
        <v>1</v>
      </c>
    </row>
    <row r="43" spans="1:13">
      <c r="A43" s="461"/>
      <c r="B43" s="20" t="s">
        <v>54</v>
      </c>
      <c r="C43" s="20" t="s">
        <v>55</v>
      </c>
      <c r="D43" s="564"/>
      <c r="E43" s="564" t="s">
        <v>720</v>
      </c>
      <c r="F43" s="564"/>
      <c r="G43" s="564" t="s">
        <v>720</v>
      </c>
      <c r="H43" s="618">
        <v>0</v>
      </c>
      <c r="J43" t="s">
        <v>2835</v>
      </c>
      <c r="L43" s="20" t="s">
        <v>54</v>
      </c>
      <c r="M43" s="20" t="b">
        <f t="shared" si="0"/>
        <v>1</v>
      </c>
    </row>
    <row r="44" spans="1:13">
      <c r="A44" s="461"/>
      <c r="B44" s="20" t="s">
        <v>56</v>
      </c>
      <c r="C44" s="20" t="s">
        <v>57</v>
      </c>
      <c r="D44" s="564"/>
      <c r="E44" s="564" t="s">
        <v>721</v>
      </c>
      <c r="F44" s="564"/>
      <c r="G44" s="564" t="s">
        <v>721</v>
      </c>
      <c r="H44" s="618">
        <v>0</v>
      </c>
      <c r="J44" t="s">
        <v>2836</v>
      </c>
      <c r="L44" s="20" t="s">
        <v>56</v>
      </c>
      <c r="M44" s="20" t="b">
        <f t="shared" si="0"/>
        <v>1</v>
      </c>
    </row>
    <row r="45" spans="1:13">
      <c r="A45" s="461"/>
      <c r="B45" s="20" t="s">
        <v>58</v>
      </c>
      <c r="C45" s="20" t="s">
        <v>2214</v>
      </c>
      <c r="D45" s="564"/>
      <c r="E45" s="564" t="s">
        <v>722</v>
      </c>
      <c r="F45" s="564"/>
      <c r="G45" s="564" t="s">
        <v>722</v>
      </c>
      <c r="H45" s="618">
        <v>0</v>
      </c>
      <c r="J45" t="s">
        <v>2837</v>
      </c>
      <c r="L45" s="20" t="s">
        <v>58</v>
      </c>
      <c r="M45" s="20" t="b">
        <f t="shared" si="0"/>
        <v>1</v>
      </c>
    </row>
    <row r="46" spans="1:13">
      <c r="A46" s="461"/>
      <c r="B46" s="20" t="s">
        <v>59</v>
      </c>
      <c r="C46" s="20" t="s">
        <v>2215</v>
      </c>
      <c r="D46" s="564"/>
      <c r="E46" s="564" t="s">
        <v>713</v>
      </c>
      <c r="F46" s="564"/>
      <c r="G46" s="564" t="s">
        <v>713</v>
      </c>
      <c r="H46" s="618">
        <v>0</v>
      </c>
      <c r="J46" t="s">
        <v>2828</v>
      </c>
      <c r="L46" s="20" t="s">
        <v>59</v>
      </c>
      <c r="M46" s="20" t="b">
        <f t="shared" si="0"/>
        <v>1</v>
      </c>
    </row>
    <row r="47" spans="1:13">
      <c r="A47" s="461"/>
      <c r="B47" s="20" t="s">
        <v>60</v>
      </c>
      <c r="C47" s="20" t="s">
        <v>2216</v>
      </c>
      <c r="D47" s="564"/>
      <c r="E47" s="564" t="s">
        <v>714</v>
      </c>
      <c r="F47" s="564"/>
      <c r="G47" s="564" t="s">
        <v>714</v>
      </c>
      <c r="H47" s="618">
        <v>0</v>
      </c>
      <c r="J47" t="s">
        <v>2829</v>
      </c>
      <c r="L47" s="20" t="s">
        <v>60</v>
      </c>
      <c r="M47" s="20" t="b">
        <f t="shared" si="0"/>
        <v>1</v>
      </c>
    </row>
    <row r="48" spans="1:13">
      <c r="A48" s="461"/>
      <c r="B48" s="20" t="s">
        <v>61</v>
      </c>
      <c r="C48" s="20" t="s">
        <v>2217</v>
      </c>
      <c r="D48" s="564"/>
      <c r="E48" s="564" t="s">
        <v>715</v>
      </c>
      <c r="F48" s="564"/>
      <c r="G48" s="564" t="s">
        <v>715</v>
      </c>
      <c r="H48" s="618">
        <v>0</v>
      </c>
      <c r="J48" t="s">
        <v>2830</v>
      </c>
      <c r="L48" s="20" t="s">
        <v>61</v>
      </c>
      <c r="M48" s="20" t="b">
        <f t="shared" si="0"/>
        <v>1</v>
      </c>
    </row>
    <row r="49" spans="1:13">
      <c r="A49" s="461"/>
      <c r="B49" s="20" t="s">
        <v>62</v>
      </c>
      <c r="C49" s="20" t="s">
        <v>2218</v>
      </c>
      <c r="D49" s="564"/>
      <c r="E49" s="564" t="s">
        <v>716</v>
      </c>
      <c r="F49" s="564"/>
      <c r="G49" s="564" t="s">
        <v>716</v>
      </c>
      <c r="H49" s="618">
        <v>0</v>
      </c>
      <c r="J49" t="s">
        <v>2831</v>
      </c>
      <c r="L49" s="20" t="s">
        <v>62</v>
      </c>
      <c r="M49" s="20" t="b">
        <f t="shared" si="0"/>
        <v>1</v>
      </c>
    </row>
    <row r="50" spans="1:13">
      <c r="A50" s="461"/>
      <c r="B50" s="20" t="s">
        <v>63</v>
      </c>
      <c r="C50" s="20" t="s">
        <v>2219</v>
      </c>
      <c r="D50" s="564"/>
      <c r="E50" s="564" t="s">
        <v>717</v>
      </c>
      <c r="F50" s="564"/>
      <c r="G50" s="564" t="s">
        <v>717</v>
      </c>
      <c r="H50" s="618">
        <v>0</v>
      </c>
      <c r="J50" t="s">
        <v>2832</v>
      </c>
      <c r="L50" s="20" t="s">
        <v>63</v>
      </c>
      <c r="M50" s="20" t="b">
        <f t="shared" si="0"/>
        <v>1</v>
      </c>
    </row>
    <row r="51" spans="1:13">
      <c r="A51" s="461"/>
      <c r="B51" s="20" t="s">
        <v>64</v>
      </c>
      <c r="C51" s="20" t="s">
        <v>2220</v>
      </c>
      <c r="D51" s="564"/>
      <c r="E51" s="564" t="s">
        <v>723</v>
      </c>
      <c r="F51" s="564"/>
      <c r="G51" s="564" t="s">
        <v>723</v>
      </c>
      <c r="H51" s="618">
        <v>0</v>
      </c>
      <c r="J51" t="s">
        <v>2838</v>
      </c>
      <c r="L51" s="20" t="s">
        <v>64</v>
      </c>
      <c r="M51" s="20" t="b">
        <f t="shared" si="0"/>
        <v>1</v>
      </c>
    </row>
    <row r="52" spans="1:13">
      <c r="A52" s="461"/>
      <c r="B52" s="20" t="s">
        <v>65</v>
      </c>
      <c r="C52" s="20" t="s">
        <v>2221</v>
      </c>
      <c r="D52" s="564"/>
      <c r="E52" s="564" t="s">
        <v>718</v>
      </c>
      <c r="F52" s="564"/>
      <c r="G52" s="564" t="s">
        <v>718</v>
      </c>
      <c r="H52" s="618">
        <v>0</v>
      </c>
      <c r="J52" t="s">
        <v>2833</v>
      </c>
      <c r="L52" s="20" t="s">
        <v>65</v>
      </c>
      <c r="M52" s="20" t="b">
        <f t="shared" si="0"/>
        <v>1</v>
      </c>
    </row>
    <row r="53" spans="1:13">
      <c r="A53" s="461"/>
      <c r="B53" s="20" t="s">
        <v>66</v>
      </c>
      <c r="C53" s="20" t="s">
        <v>2222</v>
      </c>
      <c r="D53" s="564"/>
      <c r="E53" s="564" t="s">
        <v>719</v>
      </c>
      <c r="F53" s="564"/>
      <c r="G53" s="564" t="s">
        <v>719</v>
      </c>
      <c r="H53" s="618">
        <v>0</v>
      </c>
      <c r="J53" t="s">
        <v>2834</v>
      </c>
      <c r="L53" s="20" t="s">
        <v>66</v>
      </c>
      <c r="M53" s="20" t="b">
        <f t="shared" si="0"/>
        <v>1</v>
      </c>
    </row>
    <row r="54" spans="1:13">
      <c r="A54" s="461"/>
      <c r="B54" s="20" t="s">
        <v>67</v>
      </c>
      <c r="C54" s="20" t="s">
        <v>2223</v>
      </c>
      <c r="D54" s="564"/>
      <c r="E54" s="564" t="s">
        <v>720</v>
      </c>
      <c r="F54" s="564"/>
      <c r="G54" s="564" t="s">
        <v>720</v>
      </c>
      <c r="H54" s="618">
        <v>0</v>
      </c>
      <c r="J54" t="s">
        <v>2835</v>
      </c>
      <c r="L54" s="20" t="s">
        <v>67</v>
      </c>
      <c r="M54" s="20" t="b">
        <f t="shared" si="0"/>
        <v>1</v>
      </c>
    </row>
    <row r="55" spans="1:13">
      <c r="A55" s="461"/>
      <c r="B55" s="20" t="s">
        <v>68</v>
      </c>
      <c r="C55" s="20" t="s">
        <v>2224</v>
      </c>
      <c r="D55" s="564"/>
      <c r="E55" s="564" t="s">
        <v>721</v>
      </c>
      <c r="F55" s="564"/>
      <c r="G55" s="564" t="s">
        <v>721</v>
      </c>
      <c r="H55" s="618">
        <v>0</v>
      </c>
      <c r="J55" t="s">
        <v>2836</v>
      </c>
      <c r="L55" s="20" t="s">
        <v>68</v>
      </c>
      <c r="M55" s="20" t="b">
        <f t="shared" si="0"/>
        <v>1</v>
      </c>
    </row>
    <row r="56" spans="1:13">
      <c r="A56" s="461"/>
      <c r="B56" s="20" t="s">
        <v>69</v>
      </c>
      <c r="C56" s="20" t="s">
        <v>2225</v>
      </c>
      <c r="D56" s="564"/>
      <c r="E56" s="564" t="s">
        <v>722</v>
      </c>
      <c r="F56" s="564"/>
      <c r="G56" s="564" t="s">
        <v>722</v>
      </c>
      <c r="H56" s="618">
        <v>0</v>
      </c>
      <c r="J56" t="s">
        <v>2837</v>
      </c>
      <c r="L56" s="20" t="s">
        <v>69</v>
      </c>
      <c r="M56" s="20" t="b">
        <f t="shared" si="0"/>
        <v>1</v>
      </c>
    </row>
    <row r="57" spans="1:13">
      <c r="A57" s="461"/>
      <c r="B57" s="20" t="s">
        <v>70</v>
      </c>
      <c r="C57" s="20" t="s">
        <v>71</v>
      </c>
      <c r="D57" s="564"/>
      <c r="E57" s="564" t="s">
        <v>724</v>
      </c>
      <c r="F57" s="564"/>
      <c r="G57" s="564" t="s">
        <v>724</v>
      </c>
      <c r="H57" s="618">
        <v>0</v>
      </c>
      <c r="J57" t="s">
        <v>2839</v>
      </c>
      <c r="L57" s="20" t="s">
        <v>70</v>
      </c>
      <c r="M57" s="20" t="b">
        <f t="shared" si="0"/>
        <v>1</v>
      </c>
    </row>
    <row r="58" spans="1:13">
      <c r="A58" s="461"/>
      <c r="B58" s="20" t="s">
        <v>72</v>
      </c>
      <c r="C58" s="20" t="s">
        <v>73</v>
      </c>
      <c r="D58" s="564"/>
      <c r="E58" s="564" t="s">
        <v>725</v>
      </c>
      <c r="F58" s="564"/>
      <c r="G58" s="564" t="s">
        <v>725</v>
      </c>
      <c r="H58" s="618">
        <v>0</v>
      </c>
      <c r="J58" t="s">
        <v>2840</v>
      </c>
      <c r="L58" s="20" t="s">
        <v>72</v>
      </c>
      <c r="M58" s="20" t="b">
        <f t="shared" si="0"/>
        <v>1</v>
      </c>
    </row>
    <row r="59" spans="1:13">
      <c r="A59" s="461"/>
      <c r="B59" s="20" t="s">
        <v>74</v>
      </c>
      <c r="C59" s="20" t="s">
        <v>75</v>
      </c>
      <c r="D59" s="564"/>
      <c r="E59" s="564" t="s">
        <v>728</v>
      </c>
      <c r="F59" s="564"/>
      <c r="G59" s="564" t="s">
        <v>728</v>
      </c>
      <c r="H59" s="618">
        <v>0</v>
      </c>
      <c r="J59" t="s">
        <v>2841</v>
      </c>
      <c r="L59" s="20" t="s">
        <v>74</v>
      </c>
      <c r="M59" s="20" t="b">
        <f t="shared" si="0"/>
        <v>1</v>
      </c>
    </row>
    <row r="60" spans="1:13">
      <c r="A60" s="461"/>
      <c r="B60" s="20" t="s">
        <v>76</v>
      </c>
      <c r="C60" s="20" t="s">
        <v>77</v>
      </c>
      <c r="D60" s="564"/>
      <c r="E60" s="564" t="s">
        <v>727</v>
      </c>
      <c r="F60" s="564"/>
      <c r="G60" s="564" t="s">
        <v>727</v>
      </c>
      <c r="H60" s="618">
        <v>0</v>
      </c>
      <c r="J60" t="s">
        <v>2842</v>
      </c>
      <c r="L60" s="20" t="s">
        <v>76</v>
      </c>
      <c r="M60" s="20" t="b">
        <f t="shared" si="0"/>
        <v>1</v>
      </c>
    </row>
    <row r="61" spans="1:13">
      <c r="A61" s="461"/>
      <c r="B61" s="20" t="s">
        <v>78</v>
      </c>
      <c r="C61" s="20" t="s">
        <v>79</v>
      </c>
      <c r="D61" s="564"/>
      <c r="E61" s="564" t="s">
        <v>736</v>
      </c>
      <c r="F61" s="564"/>
      <c r="G61" s="564" t="s">
        <v>736</v>
      </c>
      <c r="H61" s="618">
        <v>0</v>
      </c>
      <c r="J61" t="s">
        <v>2843</v>
      </c>
      <c r="L61" s="20" t="s">
        <v>78</v>
      </c>
      <c r="M61" s="20" t="b">
        <f t="shared" si="0"/>
        <v>1</v>
      </c>
    </row>
    <row r="62" spans="1:13">
      <c r="A62" s="461"/>
      <c r="B62" s="20" t="s">
        <v>80</v>
      </c>
      <c r="C62" s="20" t="s">
        <v>2226</v>
      </c>
      <c r="D62" s="564"/>
      <c r="E62" s="564" t="s">
        <v>730</v>
      </c>
      <c r="F62" s="564"/>
      <c r="G62" s="564" t="s">
        <v>730</v>
      </c>
      <c r="H62" s="618">
        <v>0</v>
      </c>
      <c r="J62" t="s">
        <v>2844</v>
      </c>
      <c r="L62" s="20" t="s">
        <v>80</v>
      </c>
      <c r="M62" s="20" t="b">
        <f t="shared" si="0"/>
        <v>1</v>
      </c>
    </row>
    <row r="63" spans="1:13">
      <c r="A63" s="461"/>
      <c r="B63" s="20" t="s">
        <v>81</v>
      </c>
      <c r="C63" s="20" t="s">
        <v>2227</v>
      </c>
      <c r="D63" s="564"/>
      <c r="E63" s="564" t="s">
        <v>731</v>
      </c>
      <c r="F63" s="564"/>
      <c r="G63" s="564" t="s">
        <v>731</v>
      </c>
      <c r="H63" s="618">
        <v>0</v>
      </c>
      <c r="J63" t="s">
        <v>2845</v>
      </c>
      <c r="L63" s="20" t="s">
        <v>81</v>
      </c>
      <c r="M63" s="20" t="b">
        <f t="shared" si="0"/>
        <v>1</v>
      </c>
    </row>
    <row r="64" spans="1:13">
      <c r="A64" s="461"/>
      <c r="B64" s="20" t="s">
        <v>82</v>
      </c>
      <c r="C64" s="20" t="s">
        <v>2228</v>
      </c>
      <c r="D64" s="564"/>
      <c r="E64" s="564" t="s">
        <v>732</v>
      </c>
      <c r="F64" s="564"/>
      <c r="G64" s="564" t="s">
        <v>732</v>
      </c>
      <c r="H64" s="618">
        <v>0</v>
      </c>
      <c r="J64" t="s">
        <v>2846</v>
      </c>
      <c r="L64" s="20" t="s">
        <v>82</v>
      </c>
      <c r="M64" s="20" t="b">
        <f t="shared" si="0"/>
        <v>1</v>
      </c>
    </row>
    <row r="65" spans="1:13">
      <c r="A65" s="461"/>
      <c r="B65" s="20" t="s">
        <v>83</v>
      </c>
      <c r="C65" s="20" t="s">
        <v>2229</v>
      </c>
      <c r="D65" s="564"/>
      <c r="E65" s="565" t="s">
        <v>2789</v>
      </c>
      <c r="F65" s="565"/>
      <c r="G65" s="565" t="s">
        <v>2789</v>
      </c>
      <c r="H65" s="618">
        <v>0</v>
      </c>
      <c r="J65" t="s">
        <v>2847</v>
      </c>
      <c r="L65" s="20" t="s">
        <v>83</v>
      </c>
      <c r="M65" s="20" t="b">
        <f t="shared" si="0"/>
        <v>1</v>
      </c>
    </row>
    <row r="66" spans="1:13">
      <c r="A66" s="461"/>
      <c r="B66" s="20" t="s">
        <v>84</v>
      </c>
      <c r="C66" s="20" t="s">
        <v>2230</v>
      </c>
      <c r="D66" s="564"/>
      <c r="E66" s="564" t="s">
        <v>734</v>
      </c>
      <c r="F66" s="564"/>
      <c r="G66" s="564" t="s">
        <v>734</v>
      </c>
      <c r="H66" s="618">
        <v>0</v>
      </c>
      <c r="J66" t="s">
        <v>2848</v>
      </c>
      <c r="L66" s="20" t="s">
        <v>84</v>
      </c>
      <c r="M66" s="20" t="b">
        <f t="shared" si="0"/>
        <v>1</v>
      </c>
    </row>
    <row r="67" spans="1:13">
      <c r="A67" s="461"/>
      <c r="B67" s="20" t="s">
        <v>85</v>
      </c>
      <c r="C67" s="20" t="s">
        <v>2231</v>
      </c>
      <c r="D67" s="564"/>
      <c r="E67" s="564" t="s">
        <v>733</v>
      </c>
      <c r="F67" s="564"/>
      <c r="G67" s="564" t="s">
        <v>733</v>
      </c>
      <c r="H67" s="618">
        <v>0</v>
      </c>
      <c r="J67" t="s">
        <v>2849</v>
      </c>
      <c r="L67" s="20" t="s">
        <v>85</v>
      </c>
      <c r="M67" s="20" t="b">
        <f t="shared" si="0"/>
        <v>1</v>
      </c>
    </row>
    <row r="68" spans="1:13">
      <c r="A68" s="461"/>
      <c r="B68" s="20" t="s">
        <v>940</v>
      </c>
      <c r="C68" s="20" t="s">
        <v>2232</v>
      </c>
      <c r="D68" s="564"/>
      <c r="E68" s="564" t="s">
        <v>726</v>
      </c>
      <c r="F68" s="564"/>
      <c r="G68" s="564" t="s">
        <v>726</v>
      </c>
      <c r="H68" s="618">
        <v>0</v>
      </c>
      <c r="J68" t="s">
        <v>2850</v>
      </c>
      <c r="L68" s="20" t="s">
        <v>940</v>
      </c>
      <c r="M68" s="20" t="b">
        <f t="shared" si="0"/>
        <v>1</v>
      </c>
    </row>
    <row r="69" spans="1:13">
      <c r="A69" s="461"/>
      <c r="B69" s="20" t="s">
        <v>1917</v>
      </c>
      <c r="C69" s="20" t="s">
        <v>2233</v>
      </c>
      <c r="D69" s="564"/>
      <c r="E69" s="564" t="s">
        <v>729</v>
      </c>
      <c r="F69" s="564"/>
      <c r="G69" s="564" t="s">
        <v>729</v>
      </c>
      <c r="H69" s="618">
        <v>0</v>
      </c>
      <c r="J69" t="s">
        <v>2825</v>
      </c>
      <c r="L69" s="20" t="s">
        <v>1917</v>
      </c>
      <c r="M69" s="20" t="b">
        <f t="shared" ref="M69:M132" si="1">L69=B69</f>
        <v>1</v>
      </c>
    </row>
    <row r="70" spans="1:13">
      <c r="A70" s="461"/>
      <c r="B70" s="20" t="s">
        <v>1918</v>
      </c>
      <c r="C70" s="20" t="s">
        <v>2234</v>
      </c>
      <c r="D70" s="564"/>
      <c r="E70" s="564" t="s">
        <v>1856</v>
      </c>
      <c r="F70" s="564"/>
      <c r="G70" s="564" t="s">
        <v>1856</v>
      </c>
      <c r="H70" s="618">
        <v>0</v>
      </c>
      <c r="J70" t="s">
        <v>2851</v>
      </c>
      <c r="L70" s="20" t="s">
        <v>1918</v>
      </c>
      <c r="M70" s="20" t="b">
        <f t="shared" si="1"/>
        <v>1</v>
      </c>
    </row>
    <row r="71" spans="1:13">
      <c r="A71" s="461"/>
      <c r="B71" s="20" t="s">
        <v>86</v>
      </c>
      <c r="C71" s="20" t="s">
        <v>87</v>
      </c>
      <c r="D71" s="564" t="s">
        <v>735</v>
      </c>
      <c r="E71" s="564"/>
      <c r="F71" s="564" t="s">
        <v>735</v>
      </c>
      <c r="G71" s="564"/>
      <c r="H71" s="618">
        <v>0</v>
      </c>
      <c r="J71" t="s">
        <v>2852</v>
      </c>
      <c r="L71" s="20" t="s">
        <v>86</v>
      </c>
      <c r="M71" s="20" t="b">
        <f t="shared" si="1"/>
        <v>1</v>
      </c>
    </row>
    <row r="72" spans="1:13">
      <c r="A72" s="461"/>
      <c r="B72" s="20" t="s">
        <v>88</v>
      </c>
      <c r="C72" s="20" t="s">
        <v>89</v>
      </c>
      <c r="D72" s="564"/>
      <c r="E72" s="564" t="s">
        <v>735</v>
      </c>
      <c r="F72" s="564"/>
      <c r="G72" s="564" t="s">
        <v>735</v>
      </c>
      <c r="H72" s="618">
        <v>0</v>
      </c>
      <c r="J72" t="s">
        <v>2853</v>
      </c>
      <c r="L72" s="20" t="s">
        <v>88</v>
      </c>
      <c r="M72" s="20" t="b">
        <f t="shared" si="1"/>
        <v>1</v>
      </c>
    </row>
    <row r="73" spans="1:13">
      <c r="A73" s="461"/>
      <c r="B73" s="20" t="s">
        <v>90</v>
      </c>
      <c r="C73" s="20" t="s">
        <v>91</v>
      </c>
      <c r="D73" s="564" t="s">
        <v>737</v>
      </c>
      <c r="E73" s="564"/>
      <c r="F73" s="564" t="s">
        <v>737</v>
      </c>
      <c r="G73" s="564"/>
      <c r="H73" s="618">
        <v>0</v>
      </c>
      <c r="J73" t="s">
        <v>2854</v>
      </c>
      <c r="L73" s="20" t="s">
        <v>90</v>
      </c>
      <c r="M73" s="20" t="b">
        <f t="shared" si="1"/>
        <v>1</v>
      </c>
    </row>
    <row r="74" spans="1:13">
      <c r="A74" s="461"/>
      <c r="B74" s="20" t="s">
        <v>92</v>
      </c>
      <c r="C74" s="20" t="s">
        <v>93</v>
      </c>
      <c r="D74" s="564" t="s">
        <v>737</v>
      </c>
      <c r="E74" s="564"/>
      <c r="F74" s="564" t="s">
        <v>737</v>
      </c>
      <c r="G74" s="564"/>
      <c r="H74" s="618">
        <v>1018840</v>
      </c>
      <c r="J74" t="s">
        <v>2854</v>
      </c>
      <c r="L74" s="20" t="s">
        <v>92</v>
      </c>
      <c r="M74" s="20" t="b">
        <f t="shared" si="1"/>
        <v>1</v>
      </c>
    </row>
    <row r="75" spans="1:13">
      <c r="A75" s="461"/>
      <c r="B75" s="20" t="s">
        <v>94</v>
      </c>
      <c r="C75" s="20" t="s">
        <v>95</v>
      </c>
      <c r="D75" s="564" t="s">
        <v>737</v>
      </c>
      <c r="E75" s="564"/>
      <c r="F75" s="564" t="s">
        <v>737</v>
      </c>
      <c r="G75" s="564"/>
      <c r="H75" s="618">
        <v>0</v>
      </c>
      <c r="J75" t="s">
        <v>2854</v>
      </c>
      <c r="L75" s="20" t="s">
        <v>94</v>
      </c>
      <c r="M75" s="20" t="b">
        <f t="shared" si="1"/>
        <v>1</v>
      </c>
    </row>
    <row r="76" spans="1:13">
      <c r="A76" s="461"/>
      <c r="B76" s="20" t="s">
        <v>96</v>
      </c>
      <c r="C76" s="20" t="s">
        <v>97</v>
      </c>
      <c r="D76" s="564" t="s">
        <v>738</v>
      </c>
      <c r="E76" s="564"/>
      <c r="F76" s="564" t="s">
        <v>738</v>
      </c>
      <c r="G76" s="564"/>
      <c r="H76" s="618">
        <v>0</v>
      </c>
      <c r="J76" t="s">
        <v>2855</v>
      </c>
      <c r="L76" s="20" t="s">
        <v>96</v>
      </c>
      <c r="M76" s="20" t="b">
        <f t="shared" si="1"/>
        <v>1</v>
      </c>
    </row>
    <row r="77" spans="1:13">
      <c r="A77" s="461"/>
      <c r="B77" s="20" t="s">
        <v>98</v>
      </c>
      <c r="C77" s="20" t="s">
        <v>99</v>
      </c>
      <c r="D77" s="564" t="s">
        <v>738</v>
      </c>
      <c r="E77" s="564"/>
      <c r="F77" s="564" t="s">
        <v>738</v>
      </c>
      <c r="G77" s="564"/>
      <c r="H77" s="618">
        <v>0</v>
      </c>
      <c r="J77" t="s">
        <v>2855</v>
      </c>
      <c r="L77" s="20" t="s">
        <v>98</v>
      </c>
      <c r="M77" s="20" t="b">
        <f t="shared" si="1"/>
        <v>1</v>
      </c>
    </row>
    <row r="78" spans="1:13">
      <c r="A78" s="461"/>
      <c r="B78" s="20" t="s">
        <v>100</v>
      </c>
      <c r="C78" s="20" t="s">
        <v>101</v>
      </c>
      <c r="D78" s="564" t="s">
        <v>745</v>
      </c>
      <c r="E78" s="564"/>
      <c r="F78" s="564" t="s">
        <v>745</v>
      </c>
      <c r="G78" s="564"/>
      <c r="H78" s="618">
        <v>0</v>
      </c>
      <c r="J78" t="s">
        <v>2856</v>
      </c>
      <c r="L78" s="20" t="s">
        <v>100</v>
      </c>
      <c r="M78" s="20" t="b">
        <f t="shared" si="1"/>
        <v>1</v>
      </c>
    </row>
    <row r="79" spans="1:13">
      <c r="A79" s="461"/>
      <c r="B79" s="20" t="s">
        <v>102</v>
      </c>
      <c r="C79" s="20" t="s">
        <v>103</v>
      </c>
      <c r="D79" s="564" t="s">
        <v>1857</v>
      </c>
      <c r="E79" s="564"/>
      <c r="F79" s="564" t="s">
        <v>1857</v>
      </c>
      <c r="G79" s="564"/>
      <c r="H79" s="618">
        <v>0</v>
      </c>
      <c r="J79" t="s">
        <v>2857</v>
      </c>
      <c r="L79" s="20" t="s">
        <v>102</v>
      </c>
      <c r="M79" s="20" t="b">
        <f t="shared" si="1"/>
        <v>1</v>
      </c>
    </row>
    <row r="80" spans="1:13">
      <c r="A80" s="461"/>
      <c r="B80" s="20" t="s">
        <v>104</v>
      </c>
      <c r="C80" s="20" t="s">
        <v>105</v>
      </c>
      <c r="D80" s="564" t="s">
        <v>744</v>
      </c>
      <c r="E80" s="564"/>
      <c r="F80" s="564" t="s">
        <v>744</v>
      </c>
      <c r="G80" s="564"/>
      <c r="H80" s="618">
        <v>0</v>
      </c>
      <c r="J80" t="s">
        <v>2858</v>
      </c>
      <c r="L80" s="20" t="s">
        <v>104</v>
      </c>
      <c r="M80" s="20" t="b">
        <f t="shared" si="1"/>
        <v>1</v>
      </c>
    </row>
    <row r="81" spans="1:13">
      <c r="A81" s="461"/>
      <c r="B81" s="20" t="s">
        <v>106</v>
      </c>
      <c r="C81" s="20" t="s">
        <v>107</v>
      </c>
      <c r="D81" s="564" t="s">
        <v>744</v>
      </c>
      <c r="E81" s="564"/>
      <c r="F81" s="564" t="s">
        <v>744</v>
      </c>
      <c r="G81" s="564"/>
      <c r="H81" s="618">
        <v>176880</v>
      </c>
      <c r="J81" t="s">
        <v>2858</v>
      </c>
      <c r="L81" s="20" t="s">
        <v>106</v>
      </c>
      <c r="M81" s="20" t="b">
        <f t="shared" si="1"/>
        <v>1</v>
      </c>
    </row>
    <row r="82" spans="1:13">
      <c r="A82" s="461"/>
      <c r="B82" s="20" t="s">
        <v>108</v>
      </c>
      <c r="C82" s="20" t="s">
        <v>109</v>
      </c>
      <c r="D82" s="564" t="s">
        <v>744</v>
      </c>
      <c r="E82" s="564"/>
      <c r="F82" s="564" t="s">
        <v>744</v>
      </c>
      <c r="G82" s="564"/>
      <c r="H82" s="618">
        <v>0</v>
      </c>
      <c r="J82" t="s">
        <v>2858</v>
      </c>
      <c r="L82" s="20" t="s">
        <v>108</v>
      </c>
      <c r="M82" s="20" t="b">
        <f t="shared" si="1"/>
        <v>1</v>
      </c>
    </row>
    <row r="83" spans="1:13">
      <c r="A83" s="461"/>
      <c r="B83" s="20" t="s">
        <v>110</v>
      </c>
      <c r="C83" s="20" t="s">
        <v>111</v>
      </c>
      <c r="D83" s="564" t="s">
        <v>744</v>
      </c>
      <c r="E83" s="564"/>
      <c r="F83" s="564" t="s">
        <v>744</v>
      </c>
      <c r="G83" s="564"/>
      <c r="H83" s="618">
        <v>0</v>
      </c>
      <c r="J83" t="s">
        <v>2858</v>
      </c>
      <c r="L83" s="20" t="s">
        <v>110</v>
      </c>
      <c r="M83" s="20" t="b">
        <f t="shared" si="1"/>
        <v>1</v>
      </c>
    </row>
    <row r="84" spans="1:13">
      <c r="A84" s="461"/>
      <c r="B84" s="20" t="s">
        <v>112</v>
      </c>
      <c r="C84" s="20" t="s">
        <v>113</v>
      </c>
      <c r="D84" s="564"/>
      <c r="E84" s="564" t="s">
        <v>737</v>
      </c>
      <c r="F84" s="564"/>
      <c r="G84" s="564" t="s">
        <v>737</v>
      </c>
      <c r="H84" s="618">
        <v>0</v>
      </c>
      <c r="J84" t="s">
        <v>2859</v>
      </c>
      <c r="L84" s="20" t="s">
        <v>112</v>
      </c>
      <c r="M84" s="20" t="b">
        <f t="shared" si="1"/>
        <v>1</v>
      </c>
    </row>
    <row r="85" spans="1:13">
      <c r="A85" s="461"/>
      <c r="B85" s="20" t="s">
        <v>114</v>
      </c>
      <c r="C85" s="20" t="s">
        <v>115</v>
      </c>
      <c r="D85" s="564"/>
      <c r="E85" s="564" t="s">
        <v>738</v>
      </c>
      <c r="F85" s="564"/>
      <c r="G85" s="564" t="s">
        <v>738</v>
      </c>
      <c r="H85" s="618">
        <v>0</v>
      </c>
      <c r="J85" t="s">
        <v>2860</v>
      </c>
      <c r="L85" s="20" t="s">
        <v>114</v>
      </c>
      <c r="M85" s="20" t="b">
        <f t="shared" si="1"/>
        <v>1</v>
      </c>
    </row>
    <row r="86" spans="1:13">
      <c r="A86" s="461"/>
      <c r="B86" s="20" t="s">
        <v>116</v>
      </c>
      <c r="C86" s="20" t="s">
        <v>117</v>
      </c>
      <c r="D86" s="564"/>
      <c r="E86" s="564" t="s">
        <v>738</v>
      </c>
      <c r="F86" s="564"/>
      <c r="G86" s="564" t="s">
        <v>738</v>
      </c>
      <c r="H86" s="618">
        <v>0</v>
      </c>
      <c r="J86" t="s">
        <v>2860</v>
      </c>
      <c r="L86" s="20" t="s">
        <v>116</v>
      </c>
      <c r="M86" s="20" t="b">
        <f t="shared" si="1"/>
        <v>1</v>
      </c>
    </row>
    <row r="87" spans="1:13">
      <c r="A87" s="461"/>
      <c r="B87" s="20" t="s">
        <v>118</v>
      </c>
      <c r="C87" s="20" t="s">
        <v>119</v>
      </c>
      <c r="D87" s="564"/>
      <c r="E87" s="564" t="s">
        <v>745</v>
      </c>
      <c r="F87" s="564"/>
      <c r="G87" s="564" t="s">
        <v>745</v>
      </c>
      <c r="H87" s="618">
        <v>0</v>
      </c>
      <c r="J87" t="s">
        <v>2861</v>
      </c>
      <c r="L87" s="20" t="s">
        <v>118</v>
      </c>
      <c r="M87" s="20" t="b">
        <f t="shared" si="1"/>
        <v>1</v>
      </c>
    </row>
    <row r="88" spans="1:13">
      <c r="A88" s="461"/>
      <c r="B88" s="20" t="s">
        <v>120</v>
      </c>
      <c r="C88" s="20" t="s">
        <v>121</v>
      </c>
      <c r="D88" s="564"/>
      <c r="E88" s="564" t="s">
        <v>1857</v>
      </c>
      <c r="F88" s="564"/>
      <c r="G88" s="564" t="s">
        <v>1857</v>
      </c>
      <c r="H88" s="618">
        <v>0</v>
      </c>
      <c r="J88" t="s">
        <v>2862</v>
      </c>
      <c r="L88" s="20" t="s">
        <v>120</v>
      </c>
      <c r="M88" s="20" t="b">
        <f t="shared" si="1"/>
        <v>1</v>
      </c>
    </row>
    <row r="89" spans="1:13">
      <c r="A89" s="461"/>
      <c r="B89" s="20" t="s">
        <v>122</v>
      </c>
      <c r="C89" s="20" t="s">
        <v>123</v>
      </c>
      <c r="D89" s="564"/>
      <c r="E89" s="564" t="s">
        <v>744</v>
      </c>
      <c r="F89" s="564"/>
      <c r="G89" s="564" t="s">
        <v>744</v>
      </c>
      <c r="H89" s="618">
        <v>0</v>
      </c>
      <c r="J89" t="s">
        <v>2863</v>
      </c>
      <c r="L89" s="20" t="s">
        <v>122</v>
      </c>
      <c r="M89" s="20" t="b">
        <f t="shared" si="1"/>
        <v>1</v>
      </c>
    </row>
    <row r="90" spans="1:13">
      <c r="A90" s="461"/>
      <c r="B90" s="20" t="s">
        <v>124</v>
      </c>
      <c r="C90" s="20" t="s">
        <v>125</v>
      </c>
      <c r="D90" s="564" t="s">
        <v>758</v>
      </c>
      <c r="E90" s="564"/>
      <c r="F90" s="564" t="s">
        <v>758</v>
      </c>
      <c r="G90" s="564"/>
      <c r="H90" s="618">
        <v>594</v>
      </c>
      <c r="J90" t="s">
        <v>2864</v>
      </c>
      <c r="L90" s="20" t="s">
        <v>124</v>
      </c>
      <c r="M90" s="20" t="b">
        <f t="shared" si="1"/>
        <v>1</v>
      </c>
    </row>
    <row r="91" spans="1:13">
      <c r="A91" s="461"/>
      <c r="B91" s="20" t="s">
        <v>126</v>
      </c>
      <c r="C91" s="20" t="s">
        <v>127</v>
      </c>
      <c r="D91" s="564" t="s">
        <v>758</v>
      </c>
      <c r="E91" s="564"/>
      <c r="F91" s="564" t="s">
        <v>758</v>
      </c>
      <c r="G91" s="564"/>
      <c r="H91" s="618">
        <v>216</v>
      </c>
      <c r="J91" t="s">
        <v>2864</v>
      </c>
      <c r="L91" s="20" t="s">
        <v>126</v>
      </c>
      <c r="M91" s="20" t="b">
        <f t="shared" si="1"/>
        <v>1</v>
      </c>
    </row>
    <row r="92" spans="1:13">
      <c r="A92" s="461"/>
      <c r="B92" s="20" t="s">
        <v>128</v>
      </c>
      <c r="C92" s="20" t="s">
        <v>1936</v>
      </c>
      <c r="D92" s="564" t="s">
        <v>1916</v>
      </c>
      <c r="E92" s="564"/>
      <c r="F92" s="564" t="s">
        <v>1916</v>
      </c>
      <c r="G92" s="564"/>
      <c r="H92" s="618">
        <v>0</v>
      </c>
      <c r="J92" t="s">
        <v>2865</v>
      </c>
      <c r="L92" s="20" t="s">
        <v>128</v>
      </c>
      <c r="M92" s="20" t="b">
        <f t="shared" si="1"/>
        <v>1</v>
      </c>
    </row>
    <row r="93" spans="1:13">
      <c r="A93" s="461"/>
      <c r="B93" s="20" t="s">
        <v>129</v>
      </c>
      <c r="C93" s="20" t="s">
        <v>1937</v>
      </c>
      <c r="D93" s="564" t="s">
        <v>1855</v>
      </c>
      <c r="E93" s="564"/>
      <c r="F93" s="564" t="s">
        <v>1855</v>
      </c>
      <c r="G93" s="564"/>
      <c r="H93" s="618">
        <v>0</v>
      </c>
      <c r="J93" t="s">
        <v>2866</v>
      </c>
      <c r="L93" s="20" t="s">
        <v>129</v>
      </c>
      <c r="M93" s="20" t="b">
        <f t="shared" si="1"/>
        <v>1</v>
      </c>
    </row>
    <row r="94" spans="1:13">
      <c r="A94" s="461"/>
      <c r="B94" s="20" t="s">
        <v>130</v>
      </c>
      <c r="C94" s="20" t="s">
        <v>131</v>
      </c>
      <c r="D94" s="564" t="s">
        <v>1871</v>
      </c>
      <c r="E94" s="564"/>
      <c r="F94" s="564" t="s">
        <v>1871</v>
      </c>
      <c r="G94" s="564"/>
      <c r="H94" s="618">
        <v>-1213317</v>
      </c>
      <c r="J94" t="s">
        <v>2867</v>
      </c>
      <c r="L94" s="20" t="s">
        <v>130</v>
      </c>
      <c r="M94" s="20" t="b">
        <f t="shared" si="1"/>
        <v>1</v>
      </c>
    </row>
    <row r="95" spans="1:13">
      <c r="A95" s="461"/>
      <c r="B95" s="20" t="s">
        <v>132</v>
      </c>
      <c r="C95" s="20" t="s">
        <v>133</v>
      </c>
      <c r="D95" s="564" t="s">
        <v>1871</v>
      </c>
      <c r="E95" s="564"/>
      <c r="F95" s="564" t="s">
        <v>1871</v>
      </c>
      <c r="G95" s="564"/>
      <c r="H95" s="618">
        <v>0</v>
      </c>
      <c r="J95" t="s">
        <v>2867</v>
      </c>
      <c r="L95" s="20" t="s">
        <v>132</v>
      </c>
      <c r="M95" s="20" t="b">
        <f t="shared" si="1"/>
        <v>1</v>
      </c>
    </row>
    <row r="96" spans="1:13">
      <c r="A96" s="461"/>
      <c r="B96" s="20" t="s">
        <v>134</v>
      </c>
      <c r="C96" s="20" t="s">
        <v>135</v>
      </c>
      <c r="D96" s="564" t="s">
        <v>1871</v>
      </c>
      <c r="E96" s="564"/>
      <c r="F96" s="564" t="s">
        <v>1871</v>
      </c>
      <c r="G96" s="564"/>
      <c r="H96" s="618">
        <v>0</v>
      </c>
      <c r="J96" t="s">
        <v>2867</v>
      </c>
      <c r="L96" s="20" t="s">
        <v>134</v>
      </c>
      <c r="M96" s="20" t="b">
        <f t="shared" si="1"/>
        <v>1</v>
      </c>
    </row>
    <row r="97" spans="1:13">
      <c r="A97" s="461"/>
      <c r="B97" s="20" t="s">
        <v>136</v>
      </c>
      <c r="C97" s="20" t="s">
        <v>137</v>
      </c>
      <c r="D97" s="564" t="s">
        <v>1872</v>
      </c>
      <c r="E97" s="564"/>
      <c r="F97" s="564" t="s">
        <v>1872</v>
      </c>
      <c r="G97" s="564"/>
      <c r="H97" s="618">
        <v>0</v>
      </c>
      <c r="J97" t="s">
        <v>2868</v>
      </c>
      <c r="L97" s="20" t="s">
        <v>136</v>
      </c>
      <c r="M97" s="20" t="b">
        <f t="shared" si="1"/>
        <v>1</v>
      </c>
    </row>
    <row r="98" spans="1:13">
      <c r="A98" s="461"/>
      <c r="B98" s="20" t="s">
        <v>138</v>
      </c>
      <c r="C98" s="20" t="s">
        <v>139</v>
      </c>
      <c r="D98" s="564" t="s">
        <v>1872</v>
      </c>
      <c r="E98" s="564"/>
      <c r="F98" s="564" t="s">
        <v>1872</v>
      </c>
      <c r="G98" s="564"/>
      <c r="H98" s="618">
        <v>0</v>
      </c>
      <c r="J98" t="s">
        <v>2868</v>
      </c>
      <c r="L98" s="20" t="s">
        <v>138</v>
      </c>
      <c r="M98" s="20" t="b">
        <f t="shared" si="1"/>
        <v>1</v>
      </c>
    </row>
    <row r="99" spans="1:13">
      <c r="A99" s="461"/>
      <c r="B99" s="20" t="s">
        <v>2151</v>
      </c>
      <c r="C99" s="20" t="s">
        <v>2235</v>
      </c>
      <c r="D99" s="565" t="s">
        <v>2790</v>
      </c>
      <c r="E99" s="565"/>
      <c r="F99" s="565" t="s">
        <v>2790</v>
      </c>
      <c r="G99" s="565"/>
      <c r="H99" s="618">
        <v>0</v>
      </c>
      <c r="J99" t="s">
        <v>2869</v>
      </c>
      <c r="L99" s="20" t="s">
        <v>2151</v>
      </c>
      <c r="M99" s="20" t="b">
        <f t="shared" si="1"/>
        <v>1</v>
      </c>
    </row>
    <row r="100" spans="1:13">
      <c r="A100" s="461"/>
      <c r="B100" s="20" t="s">
        <v>2152</v>
      </c>
      <c r="C100" s="20" t="s">
        <v>2236</v>
      </c>
      <c r="D100" s="564" t="s">
        <v>1935</v>
      </c>
      <c r="E100" s="564"/>
      <c r="F100" s="564" t="s">
        <v>1935</v>
      </c>
      <c r="G100" s="564"/>
      <c r="H100" s="618">
        <v>0</v>
      </c>
      <c r="J100" t="s">
        <v>2870</v>
      </c>
      <c r="L100" s="20" t="s">
        <v>2152</v>
      </c>
      <c r="M100" s="20" t="b">
        <f t="shared" si="1"/>
        <v>1</v>
      </c>
    </row>
    <row r="101" spans="1:13">
      <c r="A101" s="461"/>
      <c r="B101" s="20" t="s">
        <v>140</v>
      </c>
      <c r="C101" s="20" t="s">
        <v>141</v>
      </c>
      <c r="D101" s="564" t="s">
        <v>768</v>
      </c>
      <c r="E101" s="564"/>
      <c r="F101" s="564" t="s">
        <v>768</v>
      </c>
      <c r="G101" s="564"/>
      <c r="H101" s="618">
        <v>0</v>
      </c>
      <c r="J101" t="s">
        <v>2871</v>
      </c>
      <c r="L101" s="20" t="s">
        <v>140</v>
      </c>
      <c r="M101" s="20" t="b">
        <f t="shared" si="1"/>
        <v>1</v>
      </c>
    </row>
    <row r="102" spans="1:13">
      <c r="A102" s="461"/>
      <c r="B102" s="20" t="s">
        <v>2153</v>
      </c>
      <c r="C102" s="20" t="s">
        <v>2237</v>
      </c>
      <c r="D102" s="565" t="s">
        <v>2790</v>
      </c>
      <c r="E102" s="565"/>
      <c r="F102" s="565" t="s">
        <v>2790</v>
      </c>
      <c r="G102" s="564"/>
      <c r="H102" s="618">
        <v>0</v>
      </c>
      <c r="J102" t="s">
        <v>2869</v>
      </c>
      <c r="L102" s="20" t="s">
        <v>2153</v>
      </c>
      <c r="M102" s="20" t="b">
        <f t="shared" si="1"/>
        <v>1</v>
      </c>
    </row>
    <row r="103" spans="1:13">
      <c r="A103" s="461"/>
      <c r="B103" s="20" t="s">
        <v>2154</v>
      </c>
      <c r="C103" s="20" t="s">
        <v>2238</v>
      </c>
      <c r="D103" s="564" t="s">
        <v>1935</v>
      </c>
      <c r="E103" s="564"/>
      <c r="F103" s="564" t="s">
        <v>1935</v>
      </c>
      <c r="G103" s="564"/>
      <c r="H103" s="618">
        <v>0</v>
      </c>
      <c r="J103" t="s">
        <v>2870</v>
      </c>
      <c r="L103" s="20" t="s">
        <v>2154</v>
      </c>
      <c r="M103" s="20" t="b">
        <f t="shared" si="1"/>
        <v>1</v>
      </c>
    </row>
    <row r="104" spans="1:13">
      <c r="A104" s="461"/>
      <c r="B104" s="20" t="s">
        <v>142</v>
      </c>
      <c r="C104" s="20" t="s">
        <v>143</v>
      </c>
      <c r="D104" s="564" t="s">
        <v>1872</v>
      </c>
      <c r="E104" s="564"/>
      <c r="F104" s="564" t="s">
        <v>1872</v>
      </c>
      <c r="G104" s="564"/>
      <c r="H104" s="618">
        <v>0</v>
      </c>
      <c r="J104" t="s">
        <v>2868</v>
      </c>
      <c r="L104" s="20" t="s">
        <v>142</v>
      </c>
      <c r="M104" s="20" t="b">
        <f t="shared" si="1"/>
        <v>1</v>
      </c>
    </row>
    <row r="105" spans="1:13">
      <c r="A105" s="461"/>
      <c r="B105" s="20" t="s">
        <v>144</v>
      </c>
      <c r="C105" s="20" t="s">
        <v>145</v>
      </c>
      <c r="D105" s="564" t="s">
        <v>752</v>
      </c>
      <c r="E105" s="564"/>
      <c r="F105" s="564" t="s">
        <v>752</v>
      </c>
      <c r="G105" s="564"/>
      <c r="H105" s="618">
        <v>0</v>
      </c>
      <c r="J105" t="s">
        <v>2872</v>
      </c>
      <c r="L105" s="20" t="s">
        <v>144</v>
      </c>
      <c r="M105" s="20" t="b">
        <f t="shared" si="1"/>
        <v>1</v>
      </c>
    </row>
    <row r="106" spans="1:13">
      <c r="A106" s="461"/>
      <c r="B106" s="20" t="s">
        <v>2155</v>
      </c>
      <c r="C106" s="20" t="s">
        <v>2239</v>
      </c>
      <c r="D106" s="565" t="s">
        <v>2790</v>
      </c>
      <c r="E106" s="565"/>
      <c r="F106" s="565" t="s">
        <v>2790</v>
      </c>
      <c r="G106" s="564"/>
      <c r="H106" s="618">
        <v>0</v>
      </c>
      <c r="J106" t="s">
        <v>2869</v>
      </c>
      <c r="L106" s="20" t="s">
        <v>2155</v>
      </c>
      <c r="M106" s="20" t="b">
        <f t="shared" si="1"/>
        <v>1</v>
      </c>
    </row>
    <row r="107" spans="1:13">
      <c r="A107" s="461"/>
      <c r="B107" s="20" t="s">
        <v>2156</v>
      </c>
      <c r="C107" s="20" t="s">
        <v>2240</v>
      </c>
      <c r="D107" s="564" t="s">
        <v>1935</v>
      </c>
      <c r="E107" s="564"/>
      <c r="F107" s="564" t="s">
        <v>1935</v>
      </c>
      <c r="G107" s="564"/>
      <c r="H107" s="618">
        <v>0</v>
      </c>
      <c r="J107" t="s">
        <v>2870</v>
      </c>
      <c r="L107" s="20" t="s">
        <v>2156</v>
      </c>
      <c r="M107" s="20" t="b">
        <f t="shared" si="1"/>
        <v>1</v>
      </c>
    </row>
    <row r="108" spans="1:13">
      <c r="A108" s="461"/>
      <c r="B108" s="20" t="s">
        <v>2157</v>
      </c>
      <c r="C108" s="20" t="s">
        <v>2241</v>
      </c>
      <c r="D108" s="565" t="s">
        <v>2790</v>
      </c>
      <c r="E108" s="565"/>
      <c r="F108" s="565" t="s">
        <v>2790</v>
      </c>
      <c r="G108" s="564"/>
      <c r="H108" s="618">
        <v>0</v>
      </c>
      <c r="J108" t="s">
        <v>2869</v>
      </c>
      <c r="L108" s="20" t="s">
        <v>2157</v>
      </c>
      <c r="M108" s="20" t="b">
        <f t="shared" si="1"/>
        <v>1</v>
      </c>
    </row>
    <row r="109" spans="1:13">
      <c r="A109" s="461"/>
      <c r="B109" s="20" t="s">
        <v>2158</v>
      </c>
      <c r="C109" s="20" t="s">
        <v>2242</v>
      </c>
      <c r="D109" s="564" t="s">
        <v>1935</v>
      </c>
      <c r="E109" s="564"/>
      <c r="F109" s="564" t="s">
        <v>1935</v>
      </c>
      <c r="G109" s="564"/>
      <c r="H109" s="618">
        <v>0</v>
      </c>
      <c r="J109" t="s">
        <v>2870</v>
      </c>
      <c r="L109" s="20" t="s">
        <v>2158</v>
      </c>
      <c r="M109" s="20" t="b">
        <f t="shared" si="1"/>
        <v>1</v>
      </c>
    </row>
    <row r="110" spans="1:13">
      <c r="A110" s="461"/>
      <c r="B110" s="20" t="s">
        <v>146</v>
      </c>
      <c r="C110" s="20" t="s">
        <v>147</v>
      </c>
      <c r="D110" s="564" t="s">
        <v>742</v>
      </c>
      <c r="E110" s="564"/>
      <c r="F110" s="564" t="s">
        <v>742</v>
      </c>
      <c r="G110" s="564"/>
      <c r="H110" s="618">
        <v>0</v>
      </c>
      <c r="J110" t="s">
        <v>2873</v>
      </c>
      <c r="L110" s="20" t="s">
        <v>146</v>
      </c>
      <c r="M110" s="20" t="b">
        <f t="shared" si="1"/>
        <v>1</v>
      </c>
    </row>
    <row r="111" spans="1:13">
      <c r="A111" s="461"/>
      <c r="B111" s="20" t="s">
        <v>148</v>
      </c>
      <c r="C111" s="20" t="s">
        <v>149</v>
      </c>
      <c r="D111" s="564" t="s">
        <v>1916</v>
      </c>
      <c r="E111" s="564"/>
      <c r="F111" s="564" t="s">
        <v>1916</v>
      </c>
      <c r="G111" s="564"/>
      <c r="H111" s="618">
        <v>0</v>
      </c>
      <c r="J111" t="s">
        <v>2865</v>
      </c>
      <c r="L111" s="20" t="s">
        <v>148</v>
      </c>
      <c r="M111" s="20" t="b">
        <f t="shared" si="1"/>
        <v>1</v>
      </c>
    </row>
    <row r="112" spans="1:13">
      <c r="A112" s="461"/>
      <c r="B112" s="20" t="s">
        <v>150</v>
      </c>
      <c r="C112" s="20" t="s">
        <v>2243</v>
      </c>
      <c r="D112" s="564"/>
      <c r="E112" s="565" t="s">
        <v>2790</v>
      </c>
      <c r="F112" s="565"/>
      <c r="G112" s="565" t="s">
        <v>2790</v>
      </c>
      <c r="H112" s="618">
        <v>0</v>
      </c>
      <c r="J112" t="s">
        <v>2874</v>
      </c>
      <c r="L112" s="20" t="s">
        <v>150</v>
      </c>
      <c r="M112" s="20" t="b">
        <f t="shared" si="1"/>
        <v>1</v>
      </c>
    </row>
    <row r="113" spans="1:13">
      <c r="A113" s="461"/>
      <c r="B113" s="20" t="s">
        <v>151</v>
      </c>
      <c r="C113" s="20" t="s">
        <v>2244</v>
      </c>
      <c r="D113" s="564"/>
      <c r="E113" s="564" t="s">
        <v>1935</v>
      </c>
      <c r="F113" s="564"/>
      <c r="G113" s="564" t="s">
        <v>1935</v>
      </c>
      <c r="H113" s="618">
        <v>0</v>
      </c>
      <c r="J113" t="s">
        <v>2875</v>
      </c>
      <c r="L113" s="20" t="s">
        <v>151</v>
      </c>
      <c r="M113" s="20" t="b">
        <f t="shared" si="1"/>
        <v>1</v>
      </c>
    </row>
    <row r="114" spans="1:13">
      <c r="A114" s="461"/>
      <c r="B114" s="20" t="s">
        <v>2245</v>
      </c>
      <c r="C114" s="20" t="s">
        <v>2246</v>
      </c>
      <c r="D114" s="564"/>
      <c r="E114" s="564" t="s">
        <v>742</v>
      </c>
      <c r="F114" s="564"/>
      <c r="G114" s="564" t="s">
        <v>742</v>
      </c>
      <c r="H114" s="618">
        <v>0</v>
      </c>
      <c r="J114" t="s">
        <v>2876</v>
      </c>
      <c r="L114" s="20" t="s">
        <v>2245</v>
      </c>
      <c r="M114" s="20" t="b">
        <f t="shared" si="1"/>
        <v>1</v>
      </c>
    </row>
    <row r="115" spans="1:13">
      <c r="A115" s="461"/>
      <c r="B115" s="20" t="s">
        <v>152</v>
      </c>
      <c r="C115" s="20" t="s">
        <v>2247</v>
      </c>
      <c r="D115" s="565" t="s">
        <v>2791</v>
      </c>
      <c r="E115" s="565"/>
      <c r="F115" s="565" t="s">
        <v>2791</v>
      </c>
      <c r="G115" s="564"/>
      <c r="H115" s="618">
        <v>0</v>
      </c>
      <c r="J115" t="s">
        <v>2877</v>
      </c>
      <c r="L115" s="20" t="s">
        <v>152</v>
      </c>
      <c r="M115" s="20" t="b">
        <f t="shared" si="1"/>
        <v>1</v>
      </c>
    </row>
    <row r="116" spans="1:13">
      <c r="A116" s="461"/>
      <c r="B116" s="20" t="s">
        <v>153</v>
      </c>
      <c r="C116" s="20" t="s">
        <v>2248</v>
      </c>
      <c r="D116" s="565" t="s">
        <v>2792</v>
      </c>
      <c r="E116" s="565"/>
      <c r="F116" s="565" t="s">
        <v>2792</v>
      </c>
      <c r="G116" s="564"/>
      <c r="H116" s="618">
        <v>0</v>
      </c>
      <c r="J116" t="s">
        <v>2878</v>
      </c>
      <c r="L116" s="20" t="s">
        <v>153</v>
      </c>
      <c r="M116" s="20" t="b">
        <f t="shared" si="1"/>
        <v>1</v>
      </c>
    </row>
    <row r="117" spans="1:13">
      <c r="A117" s="461"/>
      <c r="B117" s="20" t="s">
        <v>1929</v>
      </c>
      <c r="C117" s="20" t="s">
        <v>2249</v>
      </c>
      <c r="D117" s="564" t="s">
        <v>782</v>
      </c>
      <c r="E117" s="564"/>
      <c r="F117" s="564" t="s">
        <v>782</v>
      </c>
      <c r="G117" s="564"/>
      <c r="H117" s="618">
        <v>0</v>
      </c>
      <c r="J117" t="s">
        <v>2879</v>
      </c>
      <c r="L117" s="20" t="s">
        <v>1929</v>
      </c>
      <c r="M117" s="20" t="b">
        <f t="shared" si="1"/>
        <v>1</v>
      </c>
    </row>
    <row r="118" spans="1:13">
      <c r="A118" s="461"/>
      <c r="B118" s="20" t="s">
        <v>2159</v>
      </c>
      <c r="C118" s="20" t="s">
        <v>2250</v>
      </c>
      <c r="D118" s="564" t="s">
        <v>1914</v>
      </c>
      <c r="E118" s="564"/>
      <c r="F118" s="564" t="s">
        <v>1914</v>
      </c>
      <c r="G118" s="564"/>
      <c r="H118" s="618">
        <v>91202</v>
      </c>
      <c r="J118" t="s">
        <v>2880</v>
      </c>
      <c r="L118" s="20" t="s">
        <v>2159</v>
      </c>
      <c r="M118" s="20" t="b">
        <f t="shared" si="1"/>
        <v>1</v>
      </c>
    </row>
    <row r="119" spans="1:13">
      <c r="A119" s="461"/>
      <c r="B119" s="20" t="s">
        <v>2160</v>
      </c>
      <c r="C119" s="20" t="s">
        <v>2251</v>
      </c>
      <c r="D119" s="564" t="s">
        <v>1933</v>
      </c>
      <c r="E119" s="564"/>
      <c r="F119" s="564" t="s">
        <v>1933</v>
      </c>
      <c r="G119" s="564"/>
      <c r="H119" s="618">
        <v>0</v>
      </c>
      <c r="J119" t="s">
        <v>2881</v>
      </c>
      <c r="L119" s="20" t="s">
        <v>2160</v>
      </c>
      <c r="M119" s="20" t="b">
        <f t="shared" si="1"/>
        <v>1</v>
      </c>
    </row>
    <row r="120" spans="1:13">
      <c r="A120" s="461"/>
      <c r="B120" s="20" t="s">
        <v>2161</v>
      </c>
      <c r="C120" s="20" t="s">
        <v>2252</v>
      </c>
      <c r="D120" s="564" t="s">
        <v>1934</v>
      </c>
      <c r="E120" s="564"/>
      <c r="F120" s="564" t="s">
        <v>1934</v>
      </c>
      <c r="G120" s="564"/>
      <c r="H120" s="618">
        <v>1921615</v>
      </c>
      <c r="J120" t="s">
        <v>2882</v>
      </c>
      <c r="L120" s="20" t="s">
        <v>2161</v>
      </c>
      <c r="M120" s="20" t="b">
        <f t="shared" si="1"/>
        <v>1</v>
      </c>
    </row>
    <row r="121" spans="1:13">
      <c r="A121" s="461"/>
      <c r="B121" s="20" t="s">
        <v>154</v>
      </c>
      <c r="C121" s="20" t="s">
        <v>2253</v>
      </c>
      <c r="D121" s="565" t="s">
        <v>2791</v>
      </c>
      <c r="E121" s="565"/>
      <c r="F121" s="565" t="s">
        <v>2791</v>
      </c>
      <c r="G121" s="564"/>
      <c r="H121" s="618">
        <v>0</v>
      </c>
      <c r="J121" t="s">
        <v>2877</v>
      </c>
      <c r="L121" s="20" t="s">
        <v>154</v>
      </c>
      <c r="M121" s="20" t="b">
        <f t="shared" si="1"/>
        <v>1</v>
      </c>
    </row>
    <row r="122" spans="1:13">
      <c r="A122" s="461"/>
      <c r="B122" s="20" t="s">
        <v>155</v>
      </c>
      <c r="C122" s="20" t="s">
        <v>2254</v>
      </c>
      <c r="D122" s="565" t="s">
        <v>2792</v>
      </c>
      <c r="E122" s="565"/>
      <c r="F122" s="565" t="s">
        <v>2792</v>
      </c>
      <c r="G122" s="564"/>
      <c r="H122" s="618">
        <v>0</v>
      </c>
      <c r="J122" t="s">
        <v>2878</v>
      </c>
      <c r="L122" s="20" t="s">
        <v>155</v>
      </c>
      <c r="M122" s="20" t="b">
        <f t="shared" si="1"/>
        <v>1</v>
      </c>
    </row>
    <row r="123" spans="1:13">
      <c r="A123" s="461"/>
      <c r="B123" s="20" t="s">
        <v>1930</v>
      </c>
      <c r="C123" s="20" t="s">
        <v>2255</v>
      </c>
      <c r="D123" s="564" t="s">
        <v>782</v>
      </c>
      <c r="E123" s="564"/>
      <c r="F123" s="564" t="s">
        <v>782</v>
      </c>
      <c r="G123" s="564"/>
      <c r="H123" s="618">
        <v>0</v>
      </c>
      <c r="J123" t="s">
        <v>2879</v>
      </c>
      <c r="L123" s="20" t="s">
        <v>1930</v>
      </c>
      <c r="M123" s="20" t="b">
        <f t="shared" si="1"/>
        <v>1</v>
      </c>
    </row>
    <row r="124" spans="1:13">
      <c r="A124" s="461"/>
      <c r="B124" s="20" t="s">
        <v>2162</v>
      </c>
      <c r="C124" s="20" t="s">
        <v>2256</v>
      </c>
      <c r="D124" s="565" t="s">
        <v>1914</v>
      </c>
      <c r="E124" s="565"/>
      <c r="F124" s="565" t="s">
        <v>1914</v>
      </c>
      <c r="G124" s="564"/>
      <c r="H124" s="618">
        <v>0</v>
      </c>
      <c r="J124" t="s">
        <v>2880</v>
      </c>
      <c r="L124" s="20" t="s">
        <v>2162</v>
      </c>
      <c r="M124" s="20" t="b">
        <f t="shared" si="1"/>
        <v>1</v>
      </c>
    </row>
    <row r="125" spans="1:13">
      <c r="A125" s="461"/>
      <c r="B125" s="20" t="s">
        <v>2163</v>
      </c>
      <c r="C125" s="20" t="s">
        <v>2257</v>
      </c>
      <c r="D125" s="565" t="s">
        <v>1933</v>
      </c>
      <c r="E125" s="565"/>
      <c r="F125" s="565" t="s">
        <v>1933</v>
      </c>
      <c r="G125" s="564"/>
      <c r="H125" s="618">
        <v>0</v>
      </c>
      <c r="J125" t="s">
        <v>2881</v>
      </c>
      <c r="L125" s="20" t="s">
        <v>2163</v>
      </c>
      <c r="M125" s="20" t="b">
        <f t="shared" si="1"/>
        <v>1</v>
      </c>
    </row>
    <row r="126" spans="1:13">
      <c r="A126" s="461"/>
      <c r="B126" s="20" t="s">
        <v>2164</v>
      </c>
      <c r="C126" s="20" t="s">
        <v>2258</v>
      </c>
      <c r="D126" s="564" t="s">
        <v>1934</v>
      </c>
      <c r="E126" s="564"/>
      <c r="F126" s="564" t="s">
        <v>1934</v>
      </c>
      <c r="G126" s="564"/>
      <c r="H126" s="618">
        <v>0</v>
      </c>
      <c r="J126" t="s">
        <v>2882</v>
      </c>
      <c r="L126" s="20" t="s">
        <v>2164</v>
      </c>
      <c r="M126" s="20" t="b">
        <f t="shared" si="1"/>
        <v>1</v>
      </c>
    </row>
    <row r="127" spans="1:13">
      <c r="A127" s="461"/>
      <c r="B127" s="20" t="s">
        <v>156</v>
      </c>
      <c r="C127" s="20" t="s">
        <v>2259</v>
      </c>
      <c r="D127" s="565" t="s">
        <v>2791</v>
      </c>
      <c r="E127" s="565"/>
      <c r="F127" s="565" t="s">
        <v>2791</v>
      </c>
      <c r="G127" s="564"/>
      <c r="H127" s="618">
        <v>0</v>
      </c>
      <c r="J127" t="s">
        <v>2877</v>
      </c>
      <c r="L127" s="20" t="s">
        <v>156</v>
      </c>
      <c r="M127" s="20" t="b">
        <f t="shared" si="1"/>
        <v>1</v>
      </c>
    </row>
    <row r="128" spans="1:13">
      <c r="A128" s="461"/>
      <c r="B128" s="20" t="s">
        <v>157</v>
      </c>
      <c r="C128" s="20" t="s">
        <v>2260</v>
      </c>
      <c r="D128" s="565" t="s">
        <v>2792</v>
      </c>
      <c r="E128" s="565"/>
      <c r="F128" s="565" t="s">
        <v>2792</v>
      </c>
      <c r="G128" s="564"/>
      <c r="H128" s="618">
        <v>0</v>
      </c>
      <c r="J128" t="s">
        <v>2878</v>
      </c>
      <c r="L128" s="20" t="s">
        <v>157</v>
      </c>
      <c r="M128" s="20" t="b">
        <f t="shared" si="1"/>
        <v>1</v>
      </c>
    </row>
    <row r="129" spans="1:13">
      <c r="A129" s="461"/>
      <c r="B129" s="20" t="s">
        <v>1931</v>
      </c>
      <c r="C129" s="20" t="s">
        <v>2261</v>
      </c>
      <c r="D129" s="564" t="s">
        <v>782</v>
      </c>
      <c r="E129" s="564"/>
      <c r="F129" s="564" t="s">
        <v>782</v>
      </c>
      <c r="G129" s="564"/>
      <c r="H129" s="618">
        <v>0</v>
      </c>
      <c r="J129" t="s">
        <v>2879</v>
      </c>
      <c r="L129" s="20" t="s">
        <v>1931</v>
      </c>
      <c r="M129" s="20" t="b">
        <f t="shared" si="1"/>
        <v>1</v>
      </c>
    </row>
    <row r="130" spans="1:13">
      <c r="A130" s="461"/>
      <c r="B130" s="20" t="s">
        <v>2165</v>
      </c>
      <c r="C130" s="20" t="s">
        <v>2262</v>
      </c>
      <c r="D130" s="565" t="s">
        <v>1914</v>
      </c>
      <c r="E130" s="565"/>
      <c r="F130" s="565" t="s">
        <v>1914</v>
      </c>
      <c r="G130" s="564"/>
      <c r="H130" s="618">
        <v>0</v>
      </c>
      <c r="J130" t="s">
        <v>2880</v>
      </c>
      <c r="L130" s="20" t="s">
        <v>2165</v>
      </c>
      <c r="M130" s="20" t="b">
        <f t="shared" si="1"/>
        <v>1</v>
      </c>
    </row>
    <row r="131" spans="1:13">
      <c r="A131" s="461"/>
      <c r="B131" s="20" t="s">
        <v>2166</v>
      </c>
      <c r="C131" s="20" t="s">
        <v>2263</v>
      </c>
      <c r="D131" s="565" t="s">
        <v>1933</v>
      </c>
      <c r="E131" s="565"/>
      <c r="F131" s="565" t="s">
        <v>1933</v>
      </c>
      <c r="G131" s="564"/>
      <c r="H131" s="618">
        <v>0</v>
      </c>
      <c r="J131" t="s">
        <v>2881</v>
      </c>
      <c r="L131" s="20" t="s">
        <v>2166</v>
      </c>
      <c r="M131" s="20" t="b">
        <f t="shared" si="1"/>
        <v>1</v>
      </c>
    </row>
    <row r="132" spans="1:13">
      <c r="A132" s="461"/>
      <c r="B132" s="20" t="s">
        <v>2167</v>
      </c>
      <c r="C132" s="20" t="s">
        <v>2264</v>
      </c>
      <c r="D132" s="564" t="s">
        <v>1934</v>
      </c>
      <c r="E132" s="564"/>
      <c r="F132" s="564" t="s">
        <v>1934</v>
      </c>
      <c r="G132" s="564"/>
      <c r="H132" s="618">
        <v>0</v>
      </c>
      <c r="J132" t="s">
        <v>2882</v>
      </c>
      <c r="L132" s="20" t="s">
        <v>2167</v>
      </c>
      <c r="M132" s="20" t="b">
        <f t="shared" si="1"/>
        <v>1</v>
      </c>
    </row>
    <row r="133" spans="1:13">
      <c r="A133" s="461"/>
      <c r="B133" s="20" t="s">
        <v>158</v>
      </c>
      <c r="C133" s="20" t="s">
        <v>159</v>
      </c>
      <c r="D133" s="564" t="s">
        <v>746</v>
      </c>
      <c r="E133" s="564"/>
      <c r="F133" s="564" t="s">
        <v>746</v>
      </c>
      <c r="G133" s="564"/>
      <c r="H133" s="618">
        <v>212362</v>
      </c>
      <c r="J133" t="s">
        <v>2883</v>
      </c>
      <c r="L133" s="20" t="s">
        <v>158</v>
      </c>
      <c r="M133" s="20" t="b">
        <f t="shared" ref="M133:M196" si="2">L133=B133</f>
        <v>1</v>
      </c>
    </row>
    <row r="134" spans="1:13">
      <c r="A134" s="461"/>
      <c r="B134" s="20" t="s">
        <v>160</v>
      </c>
      <c r="C134" s="20" t="s">
        <v>2265</v>
      </c>
      <c r="D134" s="565" t="s">
        <v>2791</v>
      </c>
      <c r="E134" s="565"/>
      <c r="F134" s="565" t="s">
        <v>2791</v>
      </c>
      <c r="G134" s="564"/>
      <c r="H134" s="618">
        <v>0</v>
      </c>
      <c r="J134" t="s">
        <v>2877</v>
      </c>
      <c r="L134" s="20" t="s">
        <v>160</v>
      </c>
      <c r="M134" s="20" t="b">
        <f t="shared" si="2"/>
        <v>1</v>
      </c>
    </row>
    <row r="135" spans="1:13">
      <c r="A135" s="461"/>
      <c r="B135" s="20" t="s">
        <v>161</v>
      </c>
      <c r="C135" s="20" t="s">
        <v>2266</v>
      </c>
      <c r="D135" s="565" t="s">
        <v>2792</v>
      </c>
      <c r="E135" s="565"/>
      <c r="F135" s="565" t="s">
        <v>2792</v>
      </c>
      <c r="G135" s="564"/>
      <c r="H135" s="618">
        <v>0</v>
      </c>
      <c r="J135" t="s">
        <v>2878</v>
      </c>
      <c r="L135" s="20" t="s">
        <v>161</v>
      </c>
      <c r="M135" s="20" t="b">
        <f t="shared" si="2"/>
        <v>1</v>
      </c>
    </row>
    <row r="136" spans="1:13">
      <c r="A136" s="461"/>
      <c r="B136" s="20" t="s">
        <v>2168</v>
      </c>
      <c r="C136" s="20" t="s">
        <v>2267</v>
      </c>
      <c r="D136" s="564" t="s">
        <v>782</v>
      </c>
      <c r="E136" s="564"/>
      <c r="F136" s="564" t="s">
        <v>782</v>
      </c>
      <c r="G136" s="564"/>
      <c r="H136" s="618">
        <v>0</v>
      </c>
      <c r="J136" t="s">
        <v>2879</v>
      </c>
      <c r="L136" s="20" t="s">
        <v>2168</v>
      </c>
      <c r="M136" s="20" t="b">
        <f t="shared" si="2"/>
        <v>1</v>
      </c>
    </row>
    <row r="137" spans="1:13">
      <c r="A137" s="461"/>
      <c r="B137" s="20" t="s">
        <v>2169</v>
      </c>
      <c r="C137" s="20" t="s">
        <v>2268</v>
      </c>
      <c r="D137" s="565" t="s">
        <v>1914</v>
      </c>
      <c r="E137" s="565"/>
      <c r="F137" s="565" t="s">
        <v>1914</v>
      </c>
      <c r="G137" s="564"/>
      <c r="H137" s="618">
        <v>0</v>
      </c>
      <c r="J137" t="s">
        <v>2880</v>
      </c>
      <c r="L137" s="20" t="s">
        <v>2169</v>
      </c>
      <c r="M137" s="20" t="b">
        <f t="shared" si="2"/>
        <v>1</v>
      </c>
    </row>
    <row r="138" spans="1:13">
      <c r="A138" s="461"/>
      <c r="B138" s="20" t="s">
        <v>2170</v>
      </c>
      <c r="C138" s="20" t="s">
        <v>2269</v>
      </c>
      <c r="D138" s="565" t="s">
        <v>1933</v>
      </c>
      <c r="E138" s="565"/>
      <c r="F138" s="565" t="s">
        <v>1933</v>
      </c>
      <c r="G138" s="564"/>
      <c r="H138" s="618">
        <v>0</v>
      </c>
      <c r="J138" t="s">
        <v>2881</v>
      </c>
      <c r="L138" s="20" t="s">
        <v>2170</v>
      </c>
      <c r="M138" s="20" t="b">
        <f t="shared" si="2"/>
        <v>1</v>
      </c>
    </row>
    <row r="139" spans="1:13">
      <c r="A139" s="461"/>
      <c r="B139" s="20" t="s">
        <v>2171</v>
      </c>
      <c r="C139" s="20" t="s">
        <v>2270</v>
      </c>
      <c r="D139" s="564" t="s">
        <v>1934</v>
      </c>
      <c r="E139" s="564"/>
      <c r="F139" s="564" t="s">
        <v>1934</v>
      </c>
      <c r="G139" s="564"/>
      <c r="H139" s="618">
        <v>7156</v>
      </c>
      <c r="J139" t="s">
        <v>2882</v>
      </c>
      <c r="L139" s="20" t="s">
        <v>2171</v>
      </c>
      <c r="M139" s="20" t="b">
        <f t="shared" si="2"/>
        <v>1</v>
      </c>
    </row>
    <row r="140" spans="1:13">
      <c r="A140" s="461"/>
      <c r="B140" s="20" t="s">
        <v>2172</v>
      </c>
      <c r="C140" s="20" t="s">
        <v>2271</v>
      </c>
      <c r="D140" s="564" t="s">
        <v>742</v>
      </c>
      <c r="E140" s="564"/>
      <c r="F140" s="564" t="s">
        <v>742</v>
      </c>
      <c r="G140" s="564"/>
      <c r="H140" s="618">
        <v>0</v>
      </c>
      <c r="J140" t="s">
        <v>2873</v>
      </c>
      <c r="L140" s="20" t="s">
        <v>2172</v>
      </c>
      <c r="M140" s="20" t="b">
        <f t="shared" si="2"/>
        <v>1</v>
      </c>
    </row>
    <row r="141" spans="1:13">
      <c r="A141" s="461"/>
      <c r="B141" s="20" t="s">
        <v>162</v>
      </c>
      <c r="C141" s="20" t="s">
        <v>2272</v>
      </c>
      <c r="D141" s="565" t="s">
        <v>2791</v>
      </c>
      <c r="E141" s="565"/>
      <c r="F141" s="565" t="s">
        <v>2791</v>
      </c>
      <c r="G141" s="564"/>
      <c r="H141" s="618">
        <v>0</v>
      </c>
      <c r="J141" t="s">
        <v>2877</v>
      </c>
      <c r="L141" s="20" t="s">
        <v>162</v>
      </c>
      <c r="M141" s="20" t="b">
        <f t="shared" si="2"/>
        <v>1</v>
      </c>
    </row>
    <row r="142" spans="1:13">
      <c r="A142" s="461"/>
      <c r="B142" s="20" t="s">
        <v>164</v>
      </c>
      <c r="C142" s="20" t="s">
        <v>2273</v>
      </c>
      <c r="D142" s="565" t="s">
        <v>2792</v>
      </c>
      <c r="E142" s="565"/>
      <c r="F142" s="565" t="s">
        <v>2792</v>
      </c>
      <c r="G142" s="564"/>
      <c r="H142" s="618">
        <v>0</v>
      </c>
      <c r="J142" t="s">
        <v>2878</v>
      </c>
      <c r="L142" s="20" t="s">
        <v>164</v>
      </c>
      <c r="M142" s="20" t="b">
        <f t="shared" si="2"/>
        <v>1</v>
      </c>
    </row>
    <row r="143" spans="1:13">
      <c r="A143" s="461"/>
      <c r="B143" s="20" t="s">
        <v>2173</v>
      </c>
      <c r="C143" s="20" t="s">
        <v>2274</v>
      </c>
      <c r="D143" s="564" t="s">
        <v>782</v>
      </c>
      <c r="E143" s="564"/>
      <c r="F143" s="564" t="s">
        <v>782</v>
      </c>
      <c r="G143" s="564"/>
      <c r="H143" s="618">
        <v>35660</v>
      </c>
      <c r="J143" t="s">
        <v>2879</v>
      </c>
      <c r="L143" s="20" t="s">
        <v>2173</v>
      </c>
      <c r="M143" s="20" t="b">
        <f t="shared" si="2"/>
        <v>1</v>
      </c>
    </row>
    <row r="144" spans="1:13">
      <c r="A144" s="461"/>
      <c r="B144" s="20" t="s">
        <v>2174</v>
      </c>
      <c r="C144" s="20" t="s">
        <v>2275</v>
      </c>
      <c r="D144" s="565" t="s">
        <v>1914</v>
      </c>
      <c r="E144" s="565"/>
      <c r="F144" s="565" t="s">
        <v>1914</v>
      </c>
      <c r="G144" s="564"/>
      <c r="H144" s="618">
        <v>1959693</v>
      </c>
      <c r="J144" t="s">
        <v>2880</v>
      </c>
      <c r="L144" s="20" t="s">
        <v>2174</v>
      </c>
      <c r="M144" s="20" t="b">
        <f t="shared" si="2"/>
        <v>1</v>
      </c>
    </row>
    <row r="145" spans="1:13">
      <c r="A145" s="461"/>
      <c r="B145" s="20" t="s">
        <v>2175</v>
      </c>
      <c r="C145" s="20" t="s">
        <v>2276</v>
      </c>
      <c r="D145" s="565" t="s">
        <v>1933</v>
      </c>
      <c r="E145" s="565"/>
      <c r="F145" s="565" t="s">
        <v>1933</v>
      </c>
      <c r="G145" s="564"/>
      <c r="H145" s="618">
        <v>0</v>
      </c>
      <c r="J145" t="s">
        <v>2881</v>
      </c>
      <c r="L145" s="20" t="s">
        <v>2175</v>
      </c>
      <c r="M145" s="20" t="b">
        <f t="shared" si="2"/>
        <v>1</v>
      </c>
    </row>
    <row r="146" spans="1:13">
      <c r="A146" s="461"/>
      <c r="B146" s="20" t="s">
        <v>2176</v>
      </c>
      <c r="C146" s="20" t="s">
        <v>2277</v>
      </c>
      <c r="D146" s="564" t="s">
        <v>1934</v>
      </c>
      <c r="E146" s="564"/>
      <c r="F146" s="564" t="s">
        <v>1934</v>
      </c>
      <c r="G146" s="564"/>
      <c r="H146" s="618">
        <v>0</v>
      </c>
      <c r="J146" t="s">
        <v>2882</v>
      </c>
      <c r="L146" s="20" t="s">
        <v>2176</v>
      </c>
      <c r="M146" s="20" t="b">
        <f t="shared" si="2"/>
        <v>1</v>
      </c>
    </row>
    <row r="147" spans="1:13">
      <c r="A147" s="461"/>
      <c r="B147" s="20" t="s">
        <v>165</v>
      </c>
      <c r="C147" s="20" t="s">
        <v>166</v>
      </c>
      <c r="D147" s="564" t="s">
        <v>739</v>
      </c>
      <c r="E147" s="564"/>
      <c r="F147" s="564" t="s">
        <v>739</v>
      </c>
      <c r="G147" s="564"/>
      <c r="H147" s="618">
        <v>0</v>
      </c>
      <c r="J147" t="s">
        <v>2884</v>
      </c>
      <c r="L147" s="20" t="s">
        <v>165</v>
      </c>
      <c r="M147" s="20" t="b">
        <f t="shared" si="2"/>
        <v>1</v>
      </c>
    </row>
    <row r="148" spans="1:13">
      <c r="A148" s="461"/>
      <c r="B148" s="20" t="s">
        <v>167</v>
      </c>
      <c r="C148" s="20" t="s">
        <v>168</v>
      </c>
      <c r="D148" s="564" t="s">
        <v>1858</v>
      </c>
      <c r="E148" s="564"/>
      <c r="F148" s="564" t="s">
        <v>1858</v>
      </c>
      <c r="G148" s="564"/>
      <c r="H148" s="618">
        <v>0</v>
      </c>
      <c r="J148" t="s">
        <v>2885</v>
      </c>
      <c r="L148" s="20" t="s">
        <v>167</v>
      </c>
      <c r="M148" s="20" t="b">
        <f t="shared" si="2"/>
        <v>1</v>
      </c>
    </row>
    <row r="149" spans="1:13">
      <c r="A149" s="461"/>
      <c r="B149" s="20" t="s">
        <v>169</v>
      </c>
      <c r="C149" s="20" t="s">
        <v>170</v>
      </c>
      <c r="D149" s="564" t="s">
        <v>1862</v>
      </c>
      <c r="E149" s="564"/>
      <c r="F149" s="564" t="s">
        <v>1862</v>
      </c>
      <c r="G149" s="564"/>
      <c r="H149" s="618">
        <v>0</v>
      </c>
      <c r="J149" t="s">
        <v>2886</v>
      </c>
      <c r="L149" s="20" t="s">
        <v>169</v>
      </c>
      <c r="M149" s="20" t="b">
        <f t="shared" si="2"/>
        <v>1</v>
      </c>
    </row>
    <row r="150" spans="1:13">
      <c r="A150" s="461"/>
      <c r="B150" s="20" t="s">
        <v>171</v>
      </c>
      <c r="C150" s="20" t="s">
        <v>2278</v>
      </c>
      <c r="D150" s="564" t="s">
        <v>748</v>
      </c>
      <c r="E150" s="564"/>
      <c r="F150" s="564" t="s">
        <v>748</v>
      </c>
      <c r="G150" s="564"/>
      <c r="H150" s="618">
        <v>0</v>
      </c>
      <c r="J150" t="s">
        <v>2887</v>
      </c>
      <c r="L150" s="20" t="s">
        <v>171</v>
      </c>
      <c r="M150" s="20" t="b">
        <f t="shared" si="2"/>
        <v>1</v>
      </c>
    </row>
    <row r="151" spans="1:13">
      <c r="A151" s="461"/>
      <c r="B151" s="20" t="s">
        <v>172</v>
      </c>
      <c r="C151" s="20" t="s">
        <v>2279</v>
      </c>
      <c r="D151" s="565" t="s">
        <v>762</v>
      </c>
      <c r="E151" s="565"/>
      <c r="F151" s="565" t="s">
        <v>762</v>
      </c>
      <c r="G151" s="564"/>
      <c r="H151" s="618">
        <v>0</v>
      </c>
      <c r="J151" t="s">
        <v>2888</v>
      </c>
      <c r="L151" s="20" t="s">
        <v>172</v>
      </c>
      <c r="M151" s="20" t="b">
        <f t="shared" si="2"/>
        <v>1</v>
      </c>
    </row>
    <row r="152" spans="1:13">
      <c r="A152" s="461"/>
      <c r="B152" s="20" t="s">
        <v>173</v>
      </c>
      <c r="C152" s="20" t="s">
        <v>2280</v>
      </c>
      <c r="D152" s="565" t="s">
        <v>781</v>
      </c>
      <c r="E152" s="565"/>
      <c r="F152" s="565" t="s">
        <v>781</v>
      </c>
      <c r="G152" s="564"/>
      <c r="H152" s="618">
        <v>0</v>
      </c>
      <c r="J152" t="s">
        <v>2889</v>
      </c>
      <c r="L152" s="20" t="s">
        <v>173</v>
      </c>
      <c r="M152" s="20" t="b">
        <f t="shared" si="2"/>
        <v>1</v>
      </c>
    </row>
    <row r="153" spans="1:13">
      <c r="A153" s="461"/>
      <c r="B153" s="20" t="s">
        <v>1878</v>
      </c>
      <c r="C153" s="20" t="s">
        <v>2281</v>
      </c>
      <c r="D153" s="564" t="s">
        <v>1884</v>
      </c>
      <c r="E153" s="564"/>
      <c r="F153" s="564" t="s">
        <v>1884</v>
      </c>
      <c r="G153" s="564"/>
      <c r="H153" s="618">
        <v>0</v>
      </c>
      <c r="J153" t="s">
        <v>2890</v>
      </c>
      <c r="L153" s="20" t="s">
        <v>1878</v>
      </c>
      <c r="M153" s="20" t="b">
        <f t="shared" si="2"/>
        <v>1</v>
      </c>
    </row>
    <row r="154" spans="1:13">
      <c r="A154" s="461"/>
      <c r="B154" s="20" t="s">
        <v>1887</v>
      </c>
      <c r="C154" s="20" t="s">
        <v>2282</v>
      </c>
      <c r="D154" s="565" t="s">
        <v>807</v>
      </c>
      <c r="E154" s="565"/>
      <c r="F154" s="565" t="s">
        <v>807</v>
      </c>
      <c r="G154" s="564"/>
      <c r="H154" s="618">
        <v>-1011781</v>
      </c>
      <c r="J154" t="s">
        <v>2891</v>
      </c>
      <c r="L154" s="20" t="s">
        <v>1887</v>
      </c>
      <c r="M154" s="20" t="b">
        <f t="shared" si="2"/>
        <v>1</v>
      </c>
    </row>
    <row r="155" spans="1:13">
      <c r="A155" s="461"/>
      <c r="B155" s="20" t="s">
        <v>1888</v>
      </c>
      <c r="C155" s="20" t="s">
        <v>2283</v>
      </c>
      <c r="D155" s="565" t="s">
        <v>808</v>
      </c>
      <c r="E155" s="565"/>
      <c r="F155" s="565" t="s">
        <v>808</v>
      </c>
      <c r="G155" s="564"/>
      <c r="H155" s="618">
        <v>0</v>
      </c>
      <c r="J155" t="s">
        <v>2892</v>
      </c>
      <c r="L155" s="20" t="s">
        <v>1888</v>
      </c>
      <c r="M155" s="20" t="b">
        <f t="shared" si="2"/>
        <v>1</v>
      </c>
    </row>
    <row r="156" spans="1:13">
      <c r="A156" s="461"/>
      <c r="B156" s="20" t="s">
        <v>1891</v>
      </c>
      <c r="C156" s="20" t="s">
        <v>2284</v>
      </c>
      <c r="D156" s="564" t="s">
        <v>1892</v>
      </c>
      <c r="E156" s="564"/>
      <c r="F156" s="564" t="s">
        <v>1892</v>
      </c>
      <c r="G156" s="564"/>
      <c r="H156" s="618">
        <v>-238044</v>
      </c>
      <c r="J156" t="s">
        <v>2893</v>
      </c>
      <c r="L156" s="20" t="s">
        <v>1891</v>
      </c>
      <c r="M156" s="20" t="b">
        <f t="shared" si="2"/>
        <v>1</v>
      </c>
    </row>
    <row r="157" spans="1:13">
      <c r="A157" s="461"/>
      <c r="B157" s="20" t="s">
        <v>1893</v>
      </c>
      <c r="C157" s="20" t="s">
        <v>2285</v>
      </c>
      <c r="D157" s="565" t="s">
        <v>807</v>
      </c>
      <c r="E157" s="565"/>
      <c r="F157" s="565" t="s">
        <v>807</v>
      </c>
      <c r="G157" s="564"/>
      <c r="H157" s="618">
        <v>0</v>
      </c>
      <c r="J157" t="s">
        <v>2891</v>
      </c>
      <c r="L157" s="20" t="s">
        <v>1893</v>
      </c>
      <c r="M157" s="20" t="b">
        <f t="shared" si="2"/>
        <v>1</v>
      </c>
    </row>
    <row r="158" spans="1:13">
      <c r="A158" s="461"/>
      <c r="B158" s="20" t="s">
        <v>1894</v>
      </c>
      <c r="C158" s="20" t="s">
        <v>2286</v>
      </c>
      <c r="D158" s="565" t="s">
        <v>808</v>
      </c>
      <c r="E158" s="565"/>
      <c r="F158" s="565" t="s">
        <v>808</v>
      </c>
      <c r="G158" s="564"/>
      <c r="H158" s="618">
        <v>0</v>
      </c>
      <c r="J158" t="s">
        <v>2892</v>
      </c>
      <c r="L158" s="20" t="s">
        <v>1894</v>
      </c>
      <c r="M158" s="20" t="b">
        <f t="shared" si="2"/>
        <v>1</v>
      </c>
    </row>
    <row r="159" spans="1:13">
      <c r="A159" s="461"/>
      <c r="B159" s="20" t="s">
        <v>1895</v>
      </c>
      <c r="C159" s="20" t="s">
        <v>2287</v>
      </c>
      <c r="D159" s="564" t="s">
        <v>1892</v>
      </c>
      <c r="E159" s="564"/>
      <c r="F159" s="564" t="s">
        <v>1892</v>
      </c>
      <c r="G159" s="564"/>
      <c r="H159" s="618">
        <v>0</v>
      </c>
      <c r="J159" t="s">
        <v>2893</v>
      </c>
      <c r="L159" s="20" t="s">
        <v>1895</v>
      </c>
      <c r="M159" s="20" t="b">
        <f t="shared" si="2"/>
        <v>1</v>
      </c>
    </row>
    <row r="160" spans="1:13">
      <c r="A160" s="461"/>
      <c r="B160" s="20" t="s">
        <v>174</v>
      </c>
      <c r="C160" s="20" t="s">
        <v>2288</v>
      </c>
      <c r="D160" s="564" t="s">
        <v>1869</v>
      </c>
      <c r="E160" s="564"/>
      <c r="F160" s="564" t="s">
        <v>1869</v>
      </c>
      <c r="G160" s="564"/>
      <c r="H160" s="618">
        <v>0</v>
      </c>
      <c r="J160" t="s">
        <v>2894</v>
      </c>
      <c r="L160" s="20" t="s">
        <v>174</v>
      </c>
      <c r="M160" s="20" t="b">
        <f t="shared" si="2"/>
        <v>1</v>
      </c>
    </row>
    <row r="161" spans="1:13">
      <c r="A161" s="461"/>
      <c r="B161" s="20" t="s">
        <v>175</v>
      </c>
      <c r="C161" s="20" t="s">
        <v>2289</v>
      </c>
      <c r="D161" s="564" t="s">
        <v>1870</v>
      </c>
      <c r="E161" s="564"/>
      <c r="F161" s="564" t="s">
        <v>1870</v>
      </c>
      <c r="G161" s="564"/>
      <c r="H161" s="618">
        <v>-238441</v>
      </c>
      <c r="J161" t="s">
        <v>2895</v>
      </c>
      <c r="L161" s="20" t="s">
        <v>175</v>
      </c>
      <c r="M161" s="20" t="b">
        <f t="shared" si="2"/>
        <v>1</v>
      </c>
    </row>
    <row r="162" spans="1:13">
      <c r="A162" s="461"/>
      <c r="B162" s="20" t="s">
        <v>1896</v>
      </c>
      <c r="C162" s="20" t="s">
        <v>2290</v>
      </c>
      <c r="D162" s="565" t="s">
        <v>807</v>
      </c>
      <c r="E162" s="565"/>
      <c r="F162" s="565" t="s">
        <v>807</v>
      </c>
      <c r="G162" s="564"/>
      <c r="H162" s="618">
        <v>0</v>
      </c>
      <c r="J162" t="s">
        <v>2891</v>
      </c>
      <c r="L162" s="20" t="s">
        <v>1896</v>
      </c>
      <c r="M162" s="20" t="b">
        <f t="shared" si="2"/>
        <v>1</v>
      </c>
    </row>
    <row r="163" spans="1:13">
      <c r="A163" s="461"/>
      <c r="B163" s="20" t="s">
        <v>1897</v>
      </c>
      <c r="C163" s="20" t="s">
        <v>2291</v>
      </c>
      <c r="D163" s="565" t="s">
        <v>808</v>
      </c>
      <c r="E163" s="565"/>
      <c r="F163" s="565" t="s">
        <v>808</v>
      </c>
      <c r="G163" s="564"/>
      <c r="H163" s="618">
        <v>0</v>
      </c>
      <c r="J163" t="s">
        <v>2892</v>
      </c>
      <c r="L163" s="20" t="s">
        <v>1897</v>
      </c>
      <c r="M163" s="20" t="b">
        <f t="shared" si="2"/>
        <v>1</v>
      </c>
    </row>
    <row r="164" spans="1:13">
      <c r="A164" s="461"/>
      <c r="B164" s="20" t="s">
        <v>1899</v>
      </c>
      <c r="C164" s="20" t="s">
        <v>2292</v>
      </c>
      <c r="D164" s="564" t="s">
        <v>1892</v>
      </c>
      <c r="E164" s="564"/>
      <c r="F164" s="564" t="s">
        <v>1892</v>
      </c>
      <c r="G164" s="564"/>
      <c r="H164" s="618">
        <v>-80813</v>
      </c>
      <c r="J164" t="s">
        <v>2893</v>
      </c>
      <c r="L164" s="20" t="s">
        <v>1899</v>
      </c>
      <c r="M164" s="20" t="b">
        <f t="shared" si="2"/>
        <v>1</v>
      </c>
    </row>
    <row r="165" spans="1:13">
      <c r="A165" s="461"/>
      <c r="B165" s="20" t="s">
        <v>1900</v>
      </c>
      <c r="C165" s="20" t="s">
        <v>2293</v>
      </c>
      <c r="D165" s="565" t="s">
        <v>807</v>
      </c>
      <c r="E165" s="565"/>
      <c r="F165" s="565" t="s">
        <v>807</v>
      </c>
      <c r="G165" s="564"/>
      <c r="H165" s="618">
        <v>0</v>
      </c>
      <c r="J165" t="s">
        <v>2891</v>
      </c>
      <c r="L165" s="20" t="s">
        <v>1900</v>
      </c>
      <c r="M165" s="20" t="b">
        <f t="shared" si="2"/>
        <v>1</v>
      </c>
    </row>
    <row r="166" spans="1:13">
      <c r="A166" s="461"/>
      <c r="B166" s="20" t="s">
        <v>1901</v>
      </c>
      <c r="C166" s="20" t="s">
        <v>2294</v>
      </c>
      <c r="D166" s="565" t="s">
        <v>808</v>
      </c>
      <c r="E166" s="565"/>
      <c r="F166" s="565" t="s">
        <v>808</v>
      </c>
      <c r="G166" s="564"/>
      <c r="H166" s="618">
        <v>0</v>
      </c>
      <c r="J166" t="s">
        <v>2892</v>
      </c>
      <c r="L166" s="20" t="s">
        <v>1901</v>
      </c>
      <c r="M166" s="20" t="b">
        <f t="shared" si="2"/>
        <v>1</v>
      </c>
    </row>
    <row r="167" spans="1:13">
      <c r="A167" s="461"/>
      <c r="B167" s="20" t="s">
        <v>1898</v>
      </c>
      <c r="C167" s="20" t="s">
        <v>1902</v>
      </c>
      <c r="D167" s="564" t="s">
        <v>1892</v>
      </c>
      <c r="E167" s="564"/>
      <c r="F167" s="564" t="s">
        <v>1892</v>
      </c>
      <c r="G167" s="564"/>
      <c r="H167" s="618">
        <v>0</v>
      </c>
      <c r="J167" t="s">
        <v>2893</v>
      </c>
      <c r="L167" s="20" t="s">
        <v>1898</v>
      </c>
      <c r="M167" s="20" t="b">
        <f t="shared" si="2"/>
        <v>1</v>
      </c>
    </row>
    <row r="168" spans="1:13">
      <c r="A168" s="461"/>
      <c r="B168" s="20" t="s">
        <v>1903</v>
      </c>
      <c r="C168" s="20" t="s">
        <v>2295</v>
      </c>
      <c r="D168" s="565" t="s">
        <v>807</v>
      </c>
      <c r="E168" s="565"/>
      <c r="F168" s="565" t="s">
        <v>807</v>
      </c>
      <c r="G168" s="564"/>
      <c r="H168" s="618">
        <v>0</v>
      </c>
      <c r="J168" t="s">
        <v>2891</v>
      </c>
      <c r="L168" s="20" t="s">
        <v>1903</v>
      </c>
      <c r="M168" s="20" t="b">
        <f t="shared" si="2"/>
        <v>1</v>
      </c>
    </row>
    <row r="169" spans="1:13">
      <c r="A169" s="461"/>
      <c r="B169" s="20" t="s">
        <v>1904</v>
      </c>
      <c r="C169" s="20" t="s">
        <v>2296</v>
      </c>
      <c r="D169" s="565" t="s">
        <v>808</v>
      </c>
      <c r="E169" s="565"/>
      <c r="F169" s="565" t="s">
        <v>808</v>
      </c>
      <c r="G169" s="564"/>
      <c r="H169" s="618">
        <v>0</v>
      </c>
      <c r="J169" t="s">
        <v>2892</v>
      </c>
      <c r="L169" s="20" t="s">
        <v>1904</v>
      </c>
      <c r="M169" s="20" t="b">
        <f t="shared" si="2"/>
        <v>1</v>
      </c>
    </row>
    <row r="170" spans="1:13">
      <c r="A170" s="461"/>
      <c r="B170" s="20" t="s">
        <v>1905</v>
      </c>
      <c r="C170" s="20" t="s">
        <v>2297</v>
      </c>
      <c r="D170" s="564" t="s">
        <v>1892</v>
      </c>
      <c r="E170" s="564"/>
      <c r="F170" s="564" t="s">
        <v>1892</v>
      </c>
      <c r="G170" s="564"/>
      <c r="H170" s="618">
        <v>0</v>
      </c>
      <c r="J170" t="s">
        <v>2893</v>
      </c>
      <c r="L170" s="20" t="s">
        <v>1905</v>
      </c>
      <c r="M170" s="20" t="b">
        <f t="shared" si="2"/>
        <v>1</v>
      </c>
    </row>
    <row r="171" spans="1:13">
      <c r="A171" s="461"/>
      <c r="B171" s="20" t="s">
        <v>176</v>
      </c>
      <c r="C171" s="20" t="s">
        <v>177</v>
      </c>
      <c r="D171" s="564" t="s">
        <v>1865</v>
      </c>
      <c r="E171" s="564"/>
      <c r="F171" s="564" t="s">
        <v>1865</v>
      </c>
      <c r="G171" s="564"/>
      <c r="H171" s="618">
        <v>-11681</v>
      </c>
      <c r="J171" t="s">
        <v>2896</v>
      </c>
      <c r="L171" s="20" t="s">
        <v>176</v>
      </c>
      <c r="M171" s="20" t="b">
        <f t="shared" si="2"/>
        <v>1</v>
      </c>
    </row>
    <row r="172" spans="1:13">
      <c r="A172" s="461"/>
      <c r="B172" s="20" t="s">
        <v>178</v>
      </c>
      <c r="C172" s="20" t="s">
        <v>179</v>
      </c>
      <c r="D172" s="564" t="s">
        <v>1865</v>
      </c>
      <c r="E172" s="564"/>
      <c r="F172" s="564" t="s">
        <v>1865</v>
      </c>
      <c r="G172" s="564"/>
      <c r="H172" s="618">
        <v>-348</v>
      </c>
      <c r="J172" t="s">
        <v>2896</v>
      </c>
      <c r="L172" s="20" t="s">
        <v>178</v>
      </c>
      <c r="M172" s="20" t="b">
        <f t="shared" si="2"/>
        <v>1</v>
      </c>
    </row>
    <row r="173" spans="1:13">
      <c r="A173" s="461"/>
      <c r="B173" s="20" t="s">
        <v>180</v>
      </c>
      <c r="C173" s="20" t="s">
        <v>181</v>
      </c>
      <c r="D173" s="564" t="s">
        <v>759</v>
      </c>
      <c r="E173" s="564"/>
      <c r="F173" s="564" t="s">
        <v>759</v>
      </c>
      <c r="G173" s="564"/>
      <c r="H173" s="618">
        <v>0</v>
      </c>
      <c r="J173" t="s">
        <v>2897</v>
      </c>
      <c r="L173" s="20" t="s">
        <v>180</v>
      </c>
      <c r="M173" s="20" t="b">
        <f t="shared" si="2"/>
        <v>1</v>
      </c>
    </row>
    <row r="174" spans="1:13">
      <c r="A174" s="461"/>
      <c r="B174" s="20" t="s">
        <v>182</v>
      </c>
      <c r="C174" s="20" t="s">
        <v>183</v>
      </c>
      <c r="D174" s="564" t="s">
        <v>767</v>
      </c>
      <c r="E174" s="564"/>
      <c r="F174" s="564" t="s">
        <v>767</v>
      </c>
      <c r="G174" s="564"/>
      <c r="H174" s="618">
        <v>-135</v>
      </c>
      <c r="J174" t="s">
        <v>2898</v>
      </c>
      <c r="L174" s="20" t="s">
        <v>182</v>
      </c>
      <c r="M174" s="20" t="b">
        <f t="shared" si="2"/>
        <v>1</v>
      </c>
    </row>
    <row r="175" spans="1:13">
      <c r="A175" s="461"/>
      <c r="B175" s="20" t="s">
        <v>184</v>
      </c>
      <c r="C175" s="20" t="s">
        <v>2298</v>
      </c>
      <c r="D175" s="564" t="s">
        <v>764</v>
      </c>
      <c r="E175" s="564"/>
      <c r="F175" s="564" t="s">
        <v>764</v>
      </c>
      <c r="G175" s="564"/>
      <c r="H175" s="618">
        <v>0</v>
      </c>
      <c r="J175" t="s">
        <v>2899</v>
      </c>
      <c r="L175" s="20" t="s">
        <v>184</v>
      </c>
      <c r="M175" s="20" t="b">
        <f t="shared" si="2"/>
        <v>1</v>
      </c>
    </row>
    <row r="176" spans="1:13">
      <c r="A176" s="461"/>
      <c r="B176" s="20" t="s">
        <v>185</v>
      </c>
      <c r="C176" s="20" t="s">
        <v>2299</v>
      </c>
      <c r="D176" s="564" t="s">
        <v>755</v>
      </c>
      <c r="E176" s="564"/>
      <c r="F176" s="564" t="s">
        <v>755</v>
      </c>
      <c r="G176" s="564"/>
      <c r="H176" s="618">
        <v>0</v>
      </c>
      <c r="J176" t="s">
        <v>2900</v>
      </c>
      <c r="L176" s="20" t="s">
        <v>185</v>
      </c>
      <c r="M176" s="20" t="b">
        <f t="shared" si="2"/>
        <v>1</v>
      </c>
    </row>
    <row r="177" spans="1:13">
      <c r="A177" s="461"/>
      <c r="B177" s="20" t="s">
        <v>2177</v>
      </c>
      <c r="C177" s="20" t="s">
        <v>2300</v>
      </c>
      <c r="D177" s="564" t="s">
        <v>1940</v>
      </c>
      <c r="E177" s="564"/>
      <c r="F177" s="564" t="s">
        <v>1940</v>
      </c>
      <c r="G177" s="564"/>
      <c r="H177" s="618">
        <v>-32382</v>
      </c>
      <c r="J177" t="s">
        <v>2901</v>
      </c>
      <c r="L177" s="20" t="s">
        <v>2177</v>
      </c>
      <c r="M177" s="20" t="b">
        <f t="shared" si="2"/>
        <v>1</v>
      </c>
    </row>
    <row r="178" spans="1:13">
      <c r="A178" s="461"/>
      <c r="B178" s="20" t="s">
        <v>2301</v>
      </c>
      <c r="C178" s="20" t="s">
        <v>2302</v>
      </c>
      <c r="D178" s="564" t="s">
        <v>759</v>
      </c>
      <c r="E178" s="564"/>
      <c r="F178" s="564" t="s">
        <v>759</v>
      </c>
      <c r="G178" s="564"/>
      <c r="H178" s="618">
        <v>0</v>
      </c>
      <c r="J178" t="s">
        <v>2897</v>
      </c>
      <c r="L178" s="20" t="s">
        <v>2301</v>
      </c>
      <c r="M178" s="20" t="b">
        <f t="shared" si="2"/>
        <v>1</v>
      </c>
    </row>
    <row r="179" spans="1:13">
      <c r="A179" s="461"/>
      <c r="B179" s="20" t="s">
        <v>186</v>
      </c>
      <c r="C179" s="20" t="s">
        <v>187</v>
      </c>
      <c r="D179" s="564" t="s">
        <v>1866</v>
      </c>
      <c r="E179" s="564"/>
      <c r="F179" s="564" t="s">
        <v>1866</v>
      </c>
      <c r="G179" s="564"/>
      <c r="H179" s="618">
        <v>-498872</v>
      </c>
      <c r="J179" t="s">
        <v>2902</v>
      </c>
      <c r="L179" s="20" t="s">
        <v>186</v>
      </c>
      <c r="M179" s="20" t="b">
        <f t="shared" si="2"/>
        <v>1</v>
      </c>
    </row>
    <row r="180" spans="1:13">
      <c r="A180" s="461"/>
      <c r="B180" s="20" t="s">
        <v>188</v>
      </c>
      <c r="C180" s="20" t="s">
        <v>189</v>
      </c>
      <c r="D180" s="564" t="s">
        <v>765</v>
      </c>
      <c r="E180" s="564"/>
      <c r="F180" s="564" t="s">
        <v>765</v>
      </c>
      <c r="G180" s="564"/>
      <c r="H180" s="618">
        <v>0</v>
      </c>
      <c r="J180" t="s">
        <v>2903</v>
      </c>
      <c r="L180" s="20" t="s">
        <v>188</v>
      </c>
      <c r="M180" s="20" t="b">
        <f t="shared" si="2"/>
        <v>1</v>
      </c>
    </row>
    <row r="181" spans="1:13">
      <c r="A181" s="461"/>
      <c r="B181" s="20" t="s">
        <v>190</v>
      </c>
      <c r="C181" s="20" t="s">
        <v>191</v>
      </c>
      <c r="D181" s="564" t="s">
        <v>1866</v>
      </c>
      <c r="E181" s="564"/>
      <c r="F181" s="564" t="s">
        <v>1866</v>
      </c>
      <c r="G181" s="564"/>
      <c r="H181" s="618">
        <v>-2661</v>
      </c>
      <c r="J181" t="s">
        <v>2904</v>
      </c>
      <c r="L181" s="20" t="s">
        <v>190</v>
      </c>
      <c r="M181" s="20" t="b">
        <f t="shared" si="2"/>
        <v>1</v>
      </c>
    </row>
    <row r="182" spans="1:13">
      <c r="A182" s="461"/>
      <c r="B182" s="20" t="s">
        <v>192</v>
      </c>
      <c r="C182" s="20" t="s">
        <v>193</v>
      </c>
      <c r="D182" s="564" t="s">
        <v>765</v>
      </c>
      <c r="E182" s="564"/>
      <c r="F182" s="564" t="s">
        <v>765</v>
      </c>
      <c r="G182" s="564"/>
      <c r="H182" s="618">
        <v>0</v>
      </c>
      <c r="J182" t="s">
        <v>2905</v>
      </c>
      <c r="L182" s="20" t="s">
        <v>192</v>
      </c>
      <c r="M182" s="20" t="b">
        <f t="shared" si="2"/>
        <v>1</v>
      </c>
    </row>
    <row r="183" spans="1:13">
      <c r="A183" s="461"/>
      <c r="B183" s="20" t="s">
        <v>194</v>
      </c>
      <c r="C183" s="20" t="s">
        <v>195</v>
      </c>
      <c r="D183" s="564" t="s">
        <v>1866</v>
      </c>
      <c r="E183" s="564"/>
      <c r="F183" s="564" t="s">
        <v>1866</v>
      </c>
      <c r="G183" s="564"/>
      <c r="H183" s="618">
        <v>0</v>
      </c>
      <c r="J183" t="s">
        <v>2906</v>
      </c>
      <c r="L183" s="20" t="s">
        <v>194</v>
      </c>
      <c r="M183" s="20" t="b">
        <f t="shared" si="2"/>
        <v>1</v>
      </c>
    </row>
    <row r="184" spans="1:13">
      <c r="A184" s="461"/>
      <c r="B184" s="20" t="s">
        <v>196</v>
      </c>
      <c r="C184" s="20" t="s">
        <v>197</v>
      </c>
      <c r="D184" s="564" t="s">
        <v>765</v>
      </c>
      <c r="E184" s="564"/>
      <c r="F184" s="564" t="s">
        <v>765</v>
      </c>
      <c r="G184" s="564"/>
      <c r="H184" s="618">
        <v>475</v>
      </c>
      <c r="J184" t="s">
        <v>2907</v>
      </c>
      <c r="L184" s="20" t="s">
        <v>196</v>
      </c>
      <c r="M184" s="20" t="b">
        <f t="shared" si="2"/>
        <v>1</v>
      </c>
    </row>
    <row r="185" spans="1:13">
      <c r="A185" s="461"/>
      <c r="B185" s="20" t="s">
        <v>198</v>
      </c>
      <c r="C185" s="20" t="s">
        <v>199</v>
      </c>
      <c r="D185" s="564" t="s">
        <v>1866</v>
      </c>
      <c r="E185" s="564"/>
      <c r="F185" s="564" t="s">
        <v>1866</v>
      </c>
      <c r="G185" s="564"/>
      <c r="H185" s="618">
        <v>0</v>
      </c>
      <c r="J185" t="s">
        <v>2904</v>
      </c>
      <c r="L185" s="20" t="s">
        <v>198</v>
      </c>
      <c r="M185" s="20" t="b">
        <f t="shared" si="2"/>
        <v>1</v>
      </c>
    </row>
    <row r="186" spans="1:13">
      <c r="A186" s="461"/>
      <c r="B186" s="20" t="s">
        <v>200</v>
      </c>
      <c r="C186" s="20" t="s">
        <v>201</v>
      </c>
      <c r="D186" s="564" t="s">
        <v>765</v>
      </c>
      <c r="E186" s="564"/>
      <c r="F186" s="564" t="s">
        <v>765</v>
      </c>
      <c r="G186" s="564"/>
      <c r="H186" s="618">
        <v>7</v>
      </c>
      <c r="J186" t="s">
        <v>2905</v>
      </c>
      <c r="L186" s="20" t="s">
        <v>200</v>
      </c>
      <c r="M186" s="20" t="b">
        <f t="shared" si="2"/>
        <v>1</v>
      </c>
    </row>
    <row r="187" spans="1:13">
      <c r="A187" s="461"/>
      <c r="B187" s="20" t="s">
        <v>809</v>
      </c>
      <c r="C187" s="20" t="s">
        <v>811</v>
      </c>
      <c r="D187" s="564" t="s">
        <v>1866</v>
      </c>
      <c r="E187" s="564"/>
      <c r="F187" s="564" t="s">
        <v>1866</v>
      </c>
      <c r="G187" s="564"/>
      <c r="H187" s="618">
        <v>0</v>
      </c>
      <c r="J187" t="s">
        <v>2904</v>
      </c>
      <c r="L187" s="20" t="s">
        <v>809</v>
      </c>
      <c r="M187" s="20" t="b">
        <f t="shared" si="2"/>
        <v>1</v>
      </c>
    </row>
    <row r="188" spans="1:13">
      <c r="A188" s="461"/>
      <c r="B188" s="20" t="s">
        <v>810</v>
      </c>
      <c r="C188" s="20" t="s">
        <v>812</v>
      </c>
      <c r="D188" s="564" t="s">
        <v>765</v>
      </c>
      <c r="E188" s="564"/>
      <c r="F188" s="564" t="s">
        <v>765</v>
      </c>
      <c r="G188" s="564"/>
      <c r="H188" s="618">
        <v>0</v>
      </c>
      <c r="J188" t="s">
        <v>2905</v>
      </c>
      <c r="L188" s="20" t="s">
        <v>810</v>
      </c>
      <c r="M188" s="20" t="b">
        <f t="shared" si="2"/>
        <v>1</v>
      </c>
    </row>
    <row r="189" spans="1:13">
      <c r="A189" s="461"/>
      <c r="B189" s="20" t="s">
        <v>1911</v>
      </c>
      <c r="C189" s="20" t="s">
        <v>2303</v>
      </c>
      <c r="D189" s="564" t="s">
        <v>765</v>
      </c>
      <c r="E189" s="564"/>
      <c r="F189" s="564" t="s">
        <v>765</v>
      </c>
      <c r="G189" s="564"/>
      <c r="H189" s="618">
        <v>0</v>
      </c>
      <c r="J189" t="s">
        <v>2905</v>
      </c>
      <c r="L189" s="20" t="s">
        <v>1911</v>
      </c>
      <c r="M189" s="20" t="b">
        <f t="shared" si="2"/>
        <v>1</v>
      </c>
    </row>
    <row r="190" spans="1:13">
      <c r="A190" s="461"/>
      <c r="B190" s="20" t="s">
        <v>1912</v>
      </c>
      <c r="C190" s="20" t="s">
        <v>2304</v>
      </c>
      <c r="D190" s="564" t="s">
        <v>1866</v>
      </c>
      <c r="E190" s="564"/>
      <c r="F190" s="564" t="s">
        <v>1866</v>
      </c>
      <c r="G190" s="564"/>
      <c r="H190" s="618">
        <v>0</v>
      </c>
      <c r="J190" t="s">
        <v>2904</v>
      </c>
      <c r="L190" s="20" t="s">
        <v>1912</v>
      </c>
      <c r="M190" s="20" t="b">
        <f t="shared" si="2"/>
        <v>1</v>
      </c>
    </row>
    <row r="191" spans="1:13">
      <c r="A191" s="461"/>
      <c r="B191" s="20" t="s">
        <v>202</v>
      </c>
      <c r="C191" s="20" t="s">
        <v>2305</v>
      </c>
      <c r="D191" s="565" t="s">
        <v>2793</v>
      </c>
      <c r="E191" s="565"/>
      <c r="F191" s="565" t="s">
        <v>2793</v>
      </c>
      <c r="G191" s="564"/>
      <c r="H191" s="618">
        <v>0</v>
      </c>
      <c r="J191" t="s">
        <v>2908</v>
      </c>
      <c r="L191" s="20" t="s">
        <v>202</v>
      </c>
      <c r="M191" s="20" t="b">
        <f t="shared" si="2"/>
        <v>1</v>
      </c>
    </row>
    <row r="192" spans="1:13">
      <c r="A192" s="461"/>
      <c r="B192" s="20" t="s">
        <v>203</v>
      </c>
      <c r="C192" s="20" t="s">
        <v>2306</v>
      </c>
      <c r="D192" s="564" t="s">
        <v>1932</v>
      </c>
      <c r="E192" s="564"/>
      <c r="F192" s="564" t="s">
        <v>1932</v>
      </c>
      <c r="G192" s="564"/>
      <c r="H192" s="618">
        <v>0</v>
      </c>
      <c r="J192" t="s">
        <v>2909</v>
      </c>
      <c r="L192" s="20" t="s">
        <v>203</v>
      </c>
      <c r="M192" s="20" t="b">
        <f t="shared" si="2"/>
        <v>1</v>
      </c>
    </row>
    <row r="193" spans="1:13">
      <c r="A193" s="461"/>
      <c r="B193" s="20" t="s">
        <v>204</v>
      </c>
      <c r="C193" s="20" t="s">
        <v>2307</v>
      </c>
      <c r="D193" s="565" t="s">
        <v>2794</v>
      </c>
      <c r="E193" s="565"/>
      <c r="F193" s="565" t="s">
        <v>2794</v>
      </c>
      <c r="G193" s="564"/>
      <c r="H193" s="618">
        <v>14142528</v>
      </c>
      <c r="J193" t="s">
        <v>2910</v>
      </c>
      <c r="L193" s="20" t="s">
        <v>204</v>
      </c>
      <c r="M193" s="20" t="b">
        <f t="shared" si="2"/>
        <v>1</v>
      </c>
    </row>
    <row r="194" spans="1:13">
      <c r="A194" s="461"/>
      <c r="B194" s="20" t="s">
        <v>2308</v>
      </c>
      <c r="C194" s="20" t="s">
        <v>2309</v>
      </c>
      <c r="D194" s="564" t="s">
        <v>743</v>
      </c>
      <c r="E194" s="564"/>
      <c r="F194" s="564" t="s">
        <v>743</v>
      </c>
      <c r="G194" s="564"/>
      <c r="H194" s="618">
        <v>0</v>
      </c>
      <c r="J194" t="s">
        <v>2911</v>
      </c>
      <c r="L194" s="20" t="s">
        <v>2308</v>
      </c>
      <c r="M194" s="20" t="b">
        <f t="shared" si="2"/>
        <v>1</v>
      </c>
    </row>
    <row r="195" spans="1:13">
      <c r="A195" s="461"/>
      <c r="B195" s="20" t="s">
        <v>205</v>
      </c>
      <c r="C195" s="20" t="s">
        <v>2310</v>
      </c>
      <c r="D195" s="564" t="s">
        <v>1859</v>
      </c>
      <c r="E195" s="564"/>
      <c r="F195" s="564" t="s">
        <v>1859</v>
      </c>
      <c r="G195" s="564"/>
      <c r="H195" s="618">
        <v>0</v>
      </c>
      <c r="J195" t="s">
        <v>2912</v>
      </c>
      <c r="L195" s="20" t="s">
        <v>205</v>
      </c>
      <c r="M195" s="20" t="b">
        <f t="shared" si="2"/>
        <v>1</v>
      </c>
    </row>
    <row r="196" spans="1:13">
      <c r="A196" s="461"/>
      <c r="B196" s="20" t="s">
        <v>206</v>
      </c>
      <c r="C196" s="20" t="s">
        <v>2311</v>
      </c>
      <c r="D196" s="564" t="s">
        <v>756</v>
      </c>
      <c r="E196" s="564"/>
      <c r="F196" s="564" t="s">
        <v>756</v>
      </c>
      <c r="G196" s="564"/>
      <c r="H196" s="618">
        <v>0</v>
      </c>
      <c r="J196" t="s">
        <v>2913</v>
      </c>
      <c r="L196" s="20" t="s">
        <v>206</v>
      </c>
      <c r="M196" s="20" t="b">
        <f t="shared" si="2"/>
        <v>1</v>
      </c>
    </row>
    <row r="197" spans="1:13">
      <c r="A197" s="461"/>
      <c r="B197" s="20" t="s">
        <v>207</v>
      </c>
      <c r="C197" s="20" t="s">
        <v>208</v>
      </c>
      <c r="D197" s="564" t="s">
        <v>1915</v>
      </c>
      <c r="E197" s="564"/>
      <c r="F197" s="564" t="s">
        <v>1915</v>
      </c>
      <c r="G197" s="564"/>
      <c r="H197" s="618">
        <v>0</v>
      </c>
      <c r="J197" t="s">
        <v>2914</v>
      </c>
      <c r="L197" s="20" t="s">
        <v>207</v>
      </c>
      <c r="M197" s="20" t="b">
        <f t="shared" ref="M197:M260" si="3">L197=B197</f>
        <v>1</v>
      </c>
    </row>
    <row r="198" spans="1:13">
      <c r="A198" s="461"/>
      <c r="B198" s="20" t="s">
        <v>209</v>
      </c>
      <c r="C198" s="20" t="s">
        <v>210</v>
      </c>
      <c r="D198" s="564" t="s">
        <v>756</v>
      </c>
      <c r="E198" s="564"/>
      <c r="F198" s="564" t="s">
        <v>756</v>
      </c>
      <c r="G198" s="564"/>
      <c r="H198" s="618">
        <v>0</v>
      </c>
      <c r="J198" t="s">
        <v>2913</v>
      </c>
      <c r="L198" s="20" t="s">
        <v>209</v>
      </c>
      <c r="M198" s="20" t="b">
        <f t="shared" si="3"/>
        <v>1</v>
      </c>
    </row>
    <row r="199" spans="1:13">
      <c r="A199" s="461"/>
      <c r="B199" s="20" t="s">
        <v>211</v>
      </c>
      <c r="C199" s="20" t="s">
        <v>212</v>
      </c>
      <c r="D199" s="564" t="s">
        <v>1915</v>
      </c>
      <c r="E199" s="564"/>
      <c r="F199" s="564" t="s">
        <v>1915</v>
      </c>
      <c r="G199" s="564"/>
      <c r="H199" s="618">
        <v>0</v>
      </c>
      <c r="J199" t="s">
        <v>2914</v>
      </c>
      <c r="L199" s="20" t="s">
        <v>211</v>
      </c>
      <c r="M199" s="20" t="b">
        <f t="shared" si="3"/>
        <v>1</v>
      </c>
    </row>
    <row r="200" spans="1:13">
      <c r="A200" s="461"/>
      <c r="B200" s="20" t="s">
        <v>213</v>
      </c>
      <c r="C200" s="20" t="s">
        <v>214</v>
      </c>
      <c r="D200" s="564" t="s">
        <v>756</v>
      </c>
      <c r="E200" s="564"/>
      <c r="F200" s="564" t="s">
        <v>756</v>
      </c>
      <c r="G200" s="564"/>
      <c r="H200" s="618">
        <v>0</v>
      </c>
      <c r="J200" t="s">
        <v>2913</v>
      </c>
      <c r="L200" s="20" t="s">
        <v>213</v>
      </c>
      <c r="M200" s="20" t="b">
        <f t="shared" si="3"/>
        <v>1</v>
      </c>
    </row>
    <row r="201" spans="1:13">
      <c r="A201" s="461"/>
      <c r="B201" s="20" t="s">
        <v>215</v>
      </c>
      <c r="C201" s="20" t="s">
        <v>216</v>
      </c>
      <c r="D201" s="564" t="s">
        <v>1915</v>
      </c>
      <c r="E201" s="564"/>
      <c r="F201" s="564" t="s">
        <v>1915</v>
      </c>
      <c r="G201" s="564"/>
      <c r="H201" s="618">
        <v>0</v>
      </c>
      <c r="J201" t="s">
        <v>2914</v>
      </c>
      <c r="L201" s="20" t="s">
        <v>215</v>
      </c>
      <c r="M201" s="20" t="b">
        <f t="shared" si="3"/>
        <v>1</v>
      </c>
    </row>
    <row r="202" spans="1:13">
      <c r="A202" s="461"/>
      <c r="B202" s="20" t="s">
        <v>2312</v>
      </c>
      <c r="C202" s="20" t="s">
        <v>2313</v>
      </c>
      <c r="D202" s="565" t="s">
        <v>2795</v>
      </c>
      <c r="E202" s="565"/>
      <c r="F202" s="565" t="s">
        <v>2795</v>
      </c>
      <c r="G202" s="564"/>
      <c r="H202" s="618">
        <v>-6584501</v>
      </c>
      <c r="J202" t="s">
        <v>2915</v>
      </c>
      <c r="L202" s="20" t="s">
        <v>2312</v>
      </c>
      <c r="M202" s="20" t="b">
        <f t="shared" si="3"/>
        <v>1</v>
      </c>
    </row>
    <row r="203" spans="1:13">
      <c r="A203" s="461"/>
      <c r="B203" s="20" t="s">
        <v>2314</v>
      </c>
      <c r="C203" s="20" t="s">
        <v>2315</v>
      </c>
      <c r="D203" s="564" t="s">
        <v>1863</v>
      </c>
      <c r="E203" s="564"/>
      <c r="F203" s="564" t="s">
        <v>1863</v>
      </c>
      <c r="G203" s="564"/>
      <c r="H203" s="618">
        <v>0</v>
      </c>
      <c r="J203" t="s">
        <v>2916</v>
      </c>
      <c r="L203" s="20" t="s">
        <v>2314</v>
      </c>
      <c r="M203" s="20" t="b">
        <f t="shared" si="3"/>
        <v>1</v>
      </c>
    </row>
    <row r="204" spans="1:13">
      <c r="A204" s="461"/>
      <c r="B204" s="20" t="s">
        <v>217</v>
      </c>
      <c r="C204" s="20" t="s">
        <v>2316</v>
      </c>
      <c r="D204" s="564" t="s">
        <v>1864</v>
      </c>
      <c r="E204" s="564"/>
      <c r="F204" s="564" t="s">
        <v>1864</v>
      </c>
      <c r="G204" s="564"/>
      <c r="H204" s="618">
        <v>0</v>
      </c>
      <c r="J204" t="s">
        <v>2917</v>
      </c>
      <c r="L204" s="20" t="s">
        <v>217</v>
      </c>
      <c r="M204" s="20" t="b">
        <f t="shared" si="3"/>
        <v>1</v>
      </c>
    </row>
    <row r="205" spans="1:13">
      <c r="A205" s="461"/>
      <c r="B205" s="20" t="s">
        <v>218</v>
      </c>
      <c r="C205" s="20" t="s">
        <v>219</v>
      </c>
      <c r="D205" s="564" t="s">
        <v>1864</v>
      </c>
      <c r="E205" s="564"/>
      <c r="F205" s="564" t="s">
        <v>1864</v>
      </c>
      <c r="G205" s="564"/>
      <c r="H205" s="618">
        <v>0</v>
      </c>
      <c r="J205" t="s">
        <v>2917</v>
      </c>
      <c r="L205" s="20" t="s">
        <v>218</v>
      </c>
      <c r="M205" s="20" t="b">
        <f t="shared" si="3"/>
        <v>1</v>
      </c>
    </row>
    <row r="206" spans="1:13">
      <c r="A206" s="461"/>
      <c r="B206" s="20" t="s">
        <v>220</v>
      </c>
      <c r="C206" s="20" t="s">
        <v>221</v>
      </c>
      <c r="D206" s="564" t="s">
        <v>1864</v>
      </c>
      <c r="E206" s="564"/>
      <c r="F206" s="564" t="s">
        <v>1864</v>
      </c>
      <c r="G206" s="564"/>
      <c r="H206" s="618">
        <v>0</v>
      </c>
      <c r="J206" t="s">
        <v>2917</v>
      </c>
      <c r="L206" s="20" t="s">
        <v>220</v>
      </c>
      <c r="M206" s="20" t="b">
        <f t="shared" si="3"/>
        <v>1</v>
      </c>
    </row>
    <row r="207" spans="1:13">
      <c r="A207" s="461"/>
      <c r="B207" s="20" t="s">
        <v>222</v>
      </c>
      <c r="C207" s="20" t="s">
        <v>223</v>
      </c>
      <c r="D207" s="564" t="s">
        <v>1864</v>
      </c>
      <c r="E207" s="564"/>
      <c r="F207" s="564" t="s">
        <v>1864</v>
      </c>
      <c r="G207" s="564"/>
      <c r="H207" s="618">
        <v>0</v>
      </c>
      <c r="J207" t="s">
        <v>2917</v>
      </c>
      <c r="L207" s="20" t="s">
        <v>222</v>
      </c>
      <c r="M207" s="20" t="b">
        <f t="shared" si="3"/>
        <v>1</v>
      </c>
    </row>
    <row r="208" spans="1:13">
      <c r="A208" s="461"/>
      <c r="B208" s="20" t="s">
        <v>224</v>
      </c>
      <c r="C208" s="20" t="s">
        <v>2317</v>
      </c>
      <c r="D208" s="564" t="s">
        <v>1864</v>
      </c>
      <c r="E208" s="564"/>
      <c r="F208" s="564" t="s">
        <v>1864</v>
      </c>
      <c r="G208" s="564"/>
      <c r="H208" s="618">
        <v>0</v>
      </c>
      <c r="J208" t="s">
        <v>2917</v>
      </c>
      <c r="L208" s="20" t="s">
        <v>224</v>
      </c>
      <c r="M208" s="20" t="b">
        <f t="shared" si="3"/>
        <v>1</v>
      </c>
    </row>
    <row r="209" spans="1:13">
      <c r="A209" s="461"/>
      <c r="B209" s="20" t="s">
        <v>225</v>
      </c>
      <c r="C209" s="20" t="s">
        <v>226</v>
      </c>
      <c r="D209" s="564" t="s">
        <v>759</v>
      </c>
      <c r="E209" s="564"/>
      <c r="F209" s="564" t="s">
        <v>759</v>
      </c>
      <c r="G209" s="564"/>
      <c r="H209" s="618">
        <v>0</v>
      </c>
      <c r="J209" t="s">
        <v>2897</v>
      </c>
      <c r="L209" s="20" t="s">
        <v>225</v>
      </c>
      <c r="M209" s="20" t="b">
        <f t="shared" si="3"/>
        <v>1</v>
      </c>
    </row>
    <row r="210" spans="1:13">
      <c r="A210" s="461"/>
      <c r="B210" s="20" t="s">
        <v>227</v>
      </c>
      <c r="C210" s="20" t="s">
        <v>228</v>
      </c>
      <c r="D210" s="564" t="s">
        <v>767</v>
      </c>
      <c r="E210" s="564"/>
      <c r="F210" s="564" t="s">
        <v>767</v>
      </c>
      <c r="G210" s="564"/>
      <c r="H210" s="618">
        <v>0</v>
      </c>
      <c r="J210" t="s">
        <v>2898</v>
      </c>
      <c r="L210" s="20" t="s">
        <v>227</v>
      </c>
      <c r="M210" s="20" t="b">
        <f t="shared" si="3"/>
        <v>1</v>
      </c>
    </row>
    <row r="211" spans="1:13">
      <c r="A211" s="461"/>
      <c r="B211" s="20" t="s">
        <v>229</v>
      </c>
      <c r="C211" s="20" t="s">
        <v>2318</v>
      </c>
      <c r="D211" s="564" t="s">
        <v>755</v>
      </c>
      <c r="E211" s="564"/>
      <c r="F211" s="564" t="s">
        <v>755</v>
      </c>
      <c r="G211" s="564"/>
      <c r="H211" s="618">
        <v>0</v>
      </c>
      <c r="J211" t="s">
        <v>2900</v>
      </c>
      <c r="L211" s="20" t="s">
        <v>229</v>
      </c>
      <c r="M211" s="20" t="b">
        <f t="shared" si="3"/>
        <v>1</v>
      </c>
    </row>
    <row r="212" spans="1:13">
      <c r="A212" s="461"/>
      <c r="B212" s="20" t="s">
        <v>230</v>
      </c>
      <c r="C212" s="20" t="s">
        <v>231</v>
      </c>
      <c r="D212" s="564" t="s">
        <v>1868</v>
      </c>
      <c r="E212" s="564"/>
      <c r="F212" s="564" t="s">
        <v>1868</v>
      </c>
      <c r="G212" s="564"/>
      <c r="H212" s="618">
        <v>0</v>
      </c>
      <c r="J212" t="s">
        <v>2918</v>
      </c>
      <c r="L212" s="20" t="s">
        <v>230</v>
      </c>
      <c r="M212" s="20" t="b">
        <f t="shared" si="3"/>
        <v>1</v>
      </c>
    </row>
    <row r="213" spans="1:13">
      <c r="A213" s="461"/>
      <c r="B213" s="20" t="s">
        <v>232</v>
      </c>
      <c r="C213" s="20" t="s">
        <v>233</v>
      </c>
      <c r="D213" s="564" t="s">
        <v>763</v>
      </c>
      <c r="E213" s="564"/>
      <c r="F213" s="564" t="s">
        <v>763</v>
      </c>
      <c r="G213" s="564"/>
      <c r="H213" s="618">
        <v>0</v>
      </c>
      <c r="J213" t="s">
        <v>2919</v>
      </c>
      <c r="L213" s="20" t="s">
        <v>232</v>
      </c>
      <c r="M213" s="20" t="b">
        <f t="shared" si="3"/>
        <v>1</v>
      </c>
    </row>
    <row r="214" spans="1:13">
      <c r="A214" s="461"/>
      <c r="B214" s="20" t="s">
        <v>234</v>
      </c>
      <c r="C214" s="20" t="s">
        <v>235</v>
      </c>
      <c r="D214" s="564" t="s">
        <v>1867</v>
      </c>
      <c r="E214" s="564"/>
      <c r="F214" s="564" t="s">
        <v>1867</v>
      </c>
      <c r="G214" s="564"/>
      <c r="H214" s="618">
        <v>0</v>
      </c>
      <c r="J214" t="s">
        <v>2920</v>
      </c>
      <c r="L214" s="20" t="s">
        <v>234</v>
      </c>
      <c r="M214" s="20" t="b">
        <f t="shared" si="3"/>
        <v>1</v>
      </c>
    </row>
    <row r="215" spans="1:13">
      <c r="A215" s="461"/>
      <c r="B215" s="20" t="s">
        <v>236</v>
      </c>
      <c r="C215" s="20" t="s">
        <v>237</v>
      </c>
      <c r="D215" s="564" t="s">
        <v>757</v>
      </c>
      <c r="E215" s="564"/>
      <c r="F215" s="564" t="s">
        <v>757</v>
      </c>
      <c r="G215" s="564"/>
      <c r="H215" s="618">
        <v>0</v>
      </c>
      <c r="J215" t="s">
        <v>2921</v>
      </c>
      <c r="L215" s="20" t="s">
        <v>236</v>
      </c>
      <c r="M215" s="20" t="b">
        <f t="shared" si="3"/>
        <v>1</v>
      </c>
    </row>
    <row r="216" spans="1:13">
      <c r="A216" s="461"/>
      <c r="B216" s="20" t="s">
        <v>238</v>
      </c>
      <c r="C216" s="20" t="s">
        <v>239</v>
      </c>
      <c r="D216" s="564" t="s">
        <v>766</v>
      </c>
      <c r="E216" s="564"/>
      <c r="F216" s="564" t="s">
        <v>766</v>
      </c>
      <c r="G216" s="564"/>
      <c r="H216" s="618">
        <v>0</v>
      </c>
      <c r="J216" t="s">
        <v>2922</v>
      </c>
      <c r="L216" s="20" t="s">
        <v>238</v>
      </c>
      <c r="M216" s="20" t="b">
        <f t="shared" si="3"/>
        <v>1</v>
      </c>
    </row>
    <row r="217" spans="1:13">
      <c r="A217" s="461"/>
      <c r="B217" s="20" t="s">
        <v>240</v>
      </c>
      <c r="C217" s="20" t="s">
        <v>2185</v>
      </c>
      <c r="D217" s="564" t="s">
        <v>759</v>
      </c>
      <c r="E217" s="564"/>
      <c r="F217" s="564" t="s">
        <v>759</v>
      </c>
      <c r="G217" s="564"/>
      <c r="H217" s="618">
        <v>0</v>
      </c>
      <c r="J217" t="s">
        <v>2897</v>
      </c>
      <c r="L217" s="20" t="s">
        <v>240</v>
      </c>
      <c r="M217" s="20" t="b">
        <f t="shared" si="3"/>
        <v>1</v>
      </c>
    </row>
    <row r="218" spans="1:13">
      <c r="A218" s="461"/>
      <c r="B218" s="20" t="s">
        <v>241</v>
      </c>
      <c r="C218" s="20" t="s">
        <v>242</v>
      </c>
      <c r="D218" s="564" t="s">
        <v>767</v>
      </c>
      <c r="E218" s="564"/>
      <c r="F218" s="564" t="s">
        <v>767</v>
      </c>
      <c r="G218" s="564"/>
      <c r="H218" s="618">
        <v>0</v>
      </c>
      <c r="J218" t="s">
        <v>2898</v>
      </c>
      <c r="L218" s="20" t="s">
        <v>241</v>
      </c>
      <c r="M218" s="20" t="b">
        <f t="shared" si="3"/>
        <v>1</v>
      </c>
    </row>
    <row r="219" spans="1:13">
      <c r="A219" s="461"/>
      <c r="B219" s="20" t="s">
        <v>243</v>
      </c>
      <c r="C219" s="20" t="s">
        <v>2319</v>
      </c>
      <c r="D219" s="564" t="s">
        <v>759</v>
      </c>
      <c r="E219" s="564"/>
      <c r="F219" s="564" t="s">
        <v>759</v>
      </c>
      <c r="G219" s="564"/>
      <c r="H219" s="618">
        <v>0</v>
      </c>
      <c r="J219" t="s">
        <v>2897</v>
      </c>
      <c r="L219" s="20" t="s">
        <v>243</v>
      </c>
      <c r="M219" s="20" t="b">
        <f t="shared" si="3"/>
        <v>1</v>
      </c>
    </row>
    <row r="220" spans="1:13">
      <c r="A220" s="461"/>
      <c r="B220" s="20" t="s">
        <v>244</v>
      </c>
      <c r="C220" s="20" t="s">
        <v>2320</v>
      </c>
      <c r="D220" s="564" t="s">
        <v>767</v>
      </c>
      <c r="E220" s="564"/>
      <c r="F220" s="564" t="s">
        <v>767</v>
      </c>
      <c r="G220" s="564"/>
      <c r="H220" s="618">
        <v>0</v>
      </c>
      <c r="J220" t="s">
        <v>2898</v>
      </c>
      <c r="L220" s="20" t="s">
        <v>244</v>
      </c>
      <c r="M220" s="20" t="b">
        <f t="shared" si="3"/>
        <v>1</v>
      </c>
    </row>
    <row r="221" spans="1:13">
      <c r="A221" s="461"/>
      <c r="B221" s="20" t="s">
        <v>245</v>
      </c>
      <c r="C221" s="20" t="s">
        <v>246</v>
      </c>
      <c r="D221" s="564" t="s">
        <v>757</v>
      </c>
      <c r="E221" s="564"/>
      <c r="F221" s="564" t="s">
        <v>757</v>
      </c>
      <c r="G221" s="564"/>
      <c r="H221" s="618">
        <v>0</v>
      </c>
      <c r="J221" t="s">
        <v>2921</v>
      </c>
      <c r="L221" s="20" t="s">
        <v>245</v>
      </c>
      <c r="M221" s="20" t="b">
        <f t="shared" si="3"/>
        <v>1</v>
      </c>
    </row>
    <row r="222" spans="1:13">
      <c r="A222" s="461"/>
      <c r="B222" s="20" t="s">
        <v>247</v>
      </c>
      <c r="C222" s="20" t="s">
        <v>248</v>
      </c>
      <c r="D222" s="564" t="s">
        <v>766</v>
      </c>
      <c r="E222" s="564"/>
      <c r="F222" s="564" t="s">
        <v>766</v>
      </c>
      <c r="G222" s="564"/>
      <c r="H222" s="618">
        <v>0</v>
      </c>
      <c r="J222" t="s">
        <v>2922</v>
      </c>
      <c r="L222" s="20" t="s">
        <v>247</v>
      </c>
      <c r="M222" s="20" t="b">
        <f t="shared" si="3"/>
        <v>1</v>
      </c>
    </row>
    <row r="223" spans="1:13">
      <c r="A223" s="461"/>
      <c r="B223" s="20" t="s">
        <v>249</v>
      </c>
      <c r="C223" s="20" t="s">
        <v>250</v>
      </c>
      <c r="D223" s="564" t="s">
        <v>763</v>
      </c>
      <c r="E223" s="564"/>
      <c r="F223" s="564" t="s">
        <v>763</v>
      </c>
      <c r="G223" s="564"/>
      <c r="H223" s="618">
        <v>0</v>
      </c>
      <c r="J223" t="s">
        <v>2919</v>
      </c>
      <c r="L223" s="20" t="s">
        <v>249</v>
      </c>
      <c r="M223" s="20" t="b">
        <f t="shared" si="3"/>
        <v>1</v>
      </c>
    </row>
    <row r="224" spans="1:13">
      <c r="A224" s="461"/>
      <c r="B224" s="20" t="s">
        <v>251</v>
      </c>
      <c r="C224" s="20" t="s">
        <v>252</v>
      </c>
      <c r="D224" s="564" t="s">
        <v>1867</v>
      </c>
      <c r="E224" s="564"/>
      <c r="F224" s="564" t="s">
        <v>1867</v>
      </c>
      <c r="G224" s="564"/>
      <c r="H224" s="618">
        <v>0</v>
      </c>
      <c r="J224" t="s">
        <v>2920</v>
      </c>
      <c r="L224" s="20" t="s">
        <v>251</v>
      </c>
      <c r="M224" s="20" t="b">
        <f t="shared" si="3"/>
        <v>1</v>
      </c>
    </row>
    <row r="225" spans="1:13">
      <c r="A225" s="461"/>
      <c r="B225" s="20" t="s">
        <v>253</v>
      </c>
      <c r="C225" s="20" t="s">
        <v>163</v>
      </c>
      <c r="D225" s="564" t="s">
        <v>759</v>
      </c>
      <c r="E225" s="564"/>
      <c r="F225" s="564" t="s">
        <v>759</v>
      </c>
      <c r="G225" s="564"/>
      <c r="H225" s="618">
        <v>0</v>
      </c>
      <c r="J225" t="s">
        <v>2897</v>
      </c>
      <c r="L225" s="20" t="s">
        <v>253</v>
      </c>
      <c r="M225" s="20" t="b">
        <f t="shared" si="3"/>
        <v>1</v>
      </c>
    </row>
    <row r="226" spans="1:13">
      <c r="A226" s="461"/>
      <c r="B226" s="20" t="s">
        <v>254</v>
      </c>
      <c r="C226" s="20" t="s">
        <v>2321</v>
      </c>
      <c r="D226" s="564" t="s">
        <v>767</v>
      </c>
      <c r="E226" s="564"/>
      <c r="F226" s="564" t="s">
        <v>767</v>
      </c>
      <c r="G226" s="564"/>
      <c r="H226" s="618">
        <v>39888</v>
      </c>
      <c r="J226" t="s">
        <v>2898</v>
      </c>
      <c r="L226" s="20" t="s">
        <v>254</v>
      </c>
      <c r="M226" s="20" t="b">
        <f t="shared" si="3"/>
        <v>1</v>
      </c>
    </row>
    <row r="227" spans="1:13">
      <c r="A227" s="461"/>
      <c r="B227" s="20" t="s">
        <v>255</v>
      </c>
      <c r="C227" s="20" t="s">
        <v>2322</v>
      </c>
      <c r="D227" s="564" t="s">
        <v>1868</v>
      </c>
      <c r="E227" s="564"/>
      <c r="F227" s="564" t="s">
        <v>1868</v>
      </c>
      <c r="G227" s="564"/>
      <c r="H227" s="618">
        <v>-180883</v>
      </c>
      <c r="J227" t="s">
        <v>2918</v>
      </c>
      <c r="L227" s="20" t="s">
        <v>255</v>
      </c>
      <c r="M227" s="20" t="b">
        <f t="shared" si="3"/>
        <v>1</v>
      </c>
    </row>
    <row r="228" spans="1:13">
      <c r="A228" s="461"/>
      <c r="B228" s="20" t="s">
        <v>256</v>
      </c>
      <c r="C228" s="20" t="s">
        <v>257</v>
      </c>
      <c r="D228" s="564" t="s">
        <v>769</v>
      </c>
      <c r="E228" s="564"/>
      <c r="F228" s="564" t="s">
        <v>769</v>
      </c>
      <c r="G228" s="564"/>
      <c r="H228" s="618">
        <v>0</v>
      </c>
      <c r="J228" t="s">
        <v>2923</v>
      </c>
      <c r="L228" s="20" t="s">
        <v>256</v>
      </c>
      <c r="M228" s="20" t="b">
        <f t="shared" si="3"/>
        <v>1</v>
      </c>
    </row>
    <row r="229" spans="1:13">
      <c r="A229" s="461"/>
      <c r="B229" s="20" t="s">
        <v>258</v>
      </c>
      <c r="C229" s="20" t="s">
        <v>259</v>
      </c>
      <c r="D229" s="564" t="s">
        <v>772</v>
      </c>
      <c r="E229" s="564"/>
      <c r="F229" s="564" t="s">
        <v>772</v>
      </c>
      <c r="G229" s="564"/>
      <c r="H229" s="618">
        <v>2181</v>
      </c>
      <c r="J229" t="s">
        <v>2924</v>
      </c>
      <c r="L229" s="20" t="s">
        <v>258</v>
      </c>
      <c r="M229" s="20" t="b">
        <f t="shared" si="3"/>
        <v>1</v>
      </c>
    </row>
    <row r="230" spans="1:13">
      <c r="A230" s="461"/>
      <c r="B230" s="20" t="s">
        <v>260</v>
      </c>
      <c r="C230" s="20" t="s">
        <v>261</v>
      </c>
      <c r="D230" s="564" t="s">
        <v>769</v>
      </c>
      <c r="E230" s="564"/>
      <c r="F230" s="564" t="s">
        <v>769</v>
      </c>
      <c r="G230" s="564"/>
      <c r="H230" s="618">
        <v>0</v>
      </c>
      <c r="J230" t="s">
        <v>2923</v>
      </c>
      <c r="L230" s="20" t="s">
        <v>260</v>
      </c>
      <c r="M230" s="20" t="b">
        <f t="shared" si="3"/>
        <v>1</v>
      </c>
    </row>
    <row r="231" spans="1:13">
      <c r="A231" s="461"/>
      <c r="B231" s="20" t="s">
        <v>262</v>
      </c>
      <c r="C231" s="20" t="s">
        <v>2323</v>
      </c>
      <c r="D231" s="564" t="s">
        <v>772</v>
      </c>
      <c r="E231" s="564"/>
      <c r="F231" s="564" t="s">
        <v>772</v>
      </c>
      <c r="G231" s="564"/>
      <c r="H231" s="618">
        <v>0</v>
      </c>
      <c r="J231" t="s">
        <v>2924</v>
      </c>
      <c r="L231" s="20" t="s">
        <v>262</v>
      </c>
      <c r="M231" s="20" t="b">
        <f t="shared" si="3"/>
        <v>1</v>
      </c>
    </row>
    <row r="232" spans="1:13">
      <c r="A232" s="461"/>
      <c r="B232" s="20" t="s">
        <v>263</v>
      </c>
      <c r="C232" s="20" t="s">
        <v>264</v>
      </c>
      <c r="D232" s="564" t="s">
        <v>1873</v>
      </c>
      <c r="E232" s="564"/>
      <c r="F232" s="564" t="s">
        <v>1873</v>
      </c>
      <c r="G232" s="564"/>
      <c r="H232" s="618">
        <v>0</v>
      </c>
      <c r="J232" t="s">
        <v>2925</v>
      </c>
      <c r="L232" s="20" t="s">
        <v>263</v>
      </c>
      <c r="M232" s="20" t="b">
        <f t="shared" si="3"/>
        <v>1</v>
      </c>
    </row>
    <row r="233" spans="1:13">
      <c r="A233" s="461"/>
      <c r="B233" s="20" t="s">
        <v>265</v>
      </c>
      <c r="C233" s="20" t="s">
        <v>266</v>
      </c>
      <c r="D233" s="564" t="s">
        <v>1874</v>
      </c>
      <c r="E233" s="564"/>
      <c r="F233" s="564" t="s">
        <v>1874</v>
      </c>
      <c r="G233" s="564"/>
      <c r="H233" s="618">
        <v>-20832</v>
      </c>
      <c r="J233" t="s">
        <v>2926</v>
      </c>
      <c r="L233" s="20" t="s">
        <v>265</v>
      </c>
      <c r="M233" s="20" t="b">
        <f t="shared" si="3"/>
        <v>1</v>
      </c>
    </row>
    <row r="234" spans="1:13">
      <c r="A234" s="461"/>
      <c r="B234" s="20" t="s">
        <v>267</v>
      </c>
      <c r="C234" s="20" t="s">
        <v>268</v>
      </c>
      <c r="D234" s="564" t="s">
        <v>1875</v>
      </c>
      <c r="E234" s="564"/>
      <c r="F234" s="564" t="s">
        <v>1875</v>
      </c>
      <c r="G234" s="564"/>
      <c r="H234" s="618">
        <v>0</v>
      </c>
      <c r="J234" t="s">
        <v>2927</v>
      </c>
      <c r="L234" s="20" t="s">
        <v>267</v>
      </c>
      <c r="M234" s="20" t="b">
        <f t="shared" si="3"/>
        <v>1</v>
      </c>
    </row>
    <row r="235" spans="1:13">
      <c r="A235" s="461"/>
      <c r="B235" s="20" t="s">
        <v>269</v>
      </c>
      <c r="C235" s="20" t="s">
        <v>2324</v>
      </c>
      <c r="D235" s="564" t="s">
        <v>1876</v>
      </c>
      <c r="E235" s="564"/>
      <c r="F235" s="564" t="s">
        <v>1876</v>
      </c>
      <c r="G235" s="564"/>
      <c r="H235" s="618">
        <v>0</v>
      </c>
      <c r="J235" t="s">
        <v>2928</v>
      </c>
      <c r="L235" s="20" t="s">
        <v>269</v>
      </c>
      <c r="M235" s="20" t="b">
        <f t="shared" si="3"/>
        <v>1</v>
      </c>
    </row>
    <row r="236" spans="1:13">
      <c r="A236" s="461"/>
      <c r="B236" s="20" t="s">
        <v>270</v>
      </c>
      <c r="C236" s="20" t="s">
        <v>271</v>
      </c>
      <c r="D236" s="564" t="s">
        <v>770</v>
      </c>
      <c r="E236" s="564"/>
      <c r="F236" s="564" t="s">
        <v>770</v>
      </c>
      <c r="G236" s="564"/>
      <c r="H236" s="618">
        <v>0</v>
      </c>
      <c r="J236" t="s">
        <v>2929</v>
      </c>
      <c r="L236" s="20" t="s">
        <v>270</v>
      </c>
      <c r="M236" s="20" t="b">
        <f t="shared" si="3"/>
        <v>1</v>
      </c>
    </row>
    <row r="237" spans="1:13">
      <c r="A237" s="461"/>
      <c r="B237" s="20" t="s">
        <v>272</v>
      </c>
      <c r="C237" s="20" t="s">
        <v>273</v>
      </c>
      <c r="D237" s="564" t="s">
        <v>771</v>
      </c>
      <c r="E237" s="564"/>
      <c r="F237" s="564" t="s">
        <v>771</v>
      </c>
      <c r="G237" s="564"/>
      <c r="H237" s="618">
        <v>43883</v>
      </c>
      <c r="J237" t="s">
        <v>2930</v>
      </c>
      <c r="L237" s="20" t="s">
        <v>272</v>
      </c>
      <c r="M237" s="20" t="b">
        <f t="shared" si="3"/>
        <v>1</v>
      </c>
    </row>
    <row r="238" spans="1:13">
      <c r="A238" s="461"/>
      <c r="B238" s="20" t="s">
        <v>274</v>
      </c>
      <c r="C238" s="20" t="s">
        <v>2325</v>
      </c>
      <c r="D238" s="564"/>
      <c r="E238" s="564" t="s">
        <v>2791</v>
      </c>
      <c r="F238" s="564"/>
      <c r="G238" s="564" t="s">
        <v>2791</v>
      </c>
      <c r="H238" s="618">
        <v>0</v>
      </c>
      <c r="J238" t="s">
        <v>2931</v>
      </c>
      <c r="L238" s="20" t="s">
        <v>274</v>
      </c>
      <c r="M238" s="20" t="b">
        <f t="shared" si="3"/>
        <v>1</v>
      </c>
    </row>
    <row r="239" spans="1:13">
      <c r="A239" s="461"/>
      <c r="B239" s="20" t="s">
        <v>275</v>
      </c>
      <c r="C239" s="20" t="s">
        <v>2326</v>
      </c>
      <c r="D239" s="564"/>
      <c r="E239" s="565" t="s">
        <v>2793</v>
      </c>
      <c r="F239" s="565"/>
      <c r="G239" s="565" t="s">
        <v>2793</v>
      </c>
      <c r="H239" s="618">
        <v>0</v>
      </c>
      <c r="J239" t="s">
        <v>2932</v>
      </c>
      <c r="L239" s="20" t="s">
        <v>275</v>
      </c>
      <c r="M239" s="20" t="b">
        <f t="shared" si="3"/>
        <v>1</v>
      </c>
    </row>
    <row r="240" spans="1:13">
      <c r="A240" s="461"/>
      <c r="B240" s="20" t="s">
        <v>276</v>
      </c>
      <c r="C240" s="20" t="s">
        <v>2327</v>
      </c>
      <c r="D240" s="564"/>
      <c r="E240" s="565" t="s">
        <v>2792</v>
      </c>
      <c r="F240" s="565"/>
      <c r="G240" s="565" t="s">
        <v>2792</v>
      </c>
      <c r="H240" s="618">
        <v>0</v>
      </c>
      <c r="J240" t="s">
        <v>2933</v>
      </c>
      <c r="L240" s="20" t="s">
        <v>276</v>
      </c>
      <c r="M240" s="20" t="b">
        <f t="shared" si="3"/>
        <v>1</v>
      </c>
    </row>
    <row r="241" spans="1:13">
      <c r="A241" s="461"/>
      <c r="B241" s="20" t="s">
        <v>277</v>
      </c>
      <c r="C241" s="20" t="s">
        <v>2328</v>
      </c>
      <c r="D241" s="564"/>
      <c r="E241" s="564" t="s">
        <v>1932</v>
      </c>
      <c r="F241" s="564"/>
      <c r="G241" s="564" t="s">
        <v>1932</v>
      </c>
      <c r="H241" s="618">
        <v>0</v>
      </c>
      <c r="J241" t="s">
        <v>2934</v>
      </c>
      <c r="L241" s="20" t="s">
        <v>277</v>
      </c>
      <c r="M241" s="20" t="b">
        <f t="shared" si="3"/>
        <v>1</v>
      </c>
    </row>
    <row r="242" spans="1:13">
      <c r="A242" s="461"/>
      <c r="B242" s="20" t="s">
        <v>278</v>
      </c>
      <c r="C242" s="20" t="s">
        <v>2935</v>
      </c>
      <c r="D242" s="564"/>
      <c r="E242" s="564" t="s">
        <v>782</v>
      </c>
      <c r="F242" s="564"/>
      <c r="G242" s="564" t="s">
        <v>782</v>
      </c>
      <c r="H242" s="618">
        <v>0</v>
      </c>
      <c r="J242" t="s">
        <v>2936</v>
      </c>
      <c r="L242" s="20" t="s">
        <v>278</v>
      </c>
      <c r="M242" s="20" t="b">
        <f t="shared" si="3"/>
        <v>1</v>
      </c>
    </row>
    <row r="243" spans="1:13">
      <c r="A243" s="461"/>
      <c r="B243" s="20" t="s">
        <v>2178</v>
      </c>
      <c r="C243" s="20" t="s">
        <v>2329</v>
      </c>
      <c r="D243" s="564"/>
      <c r="E243" s="565" t="s">
        <v>1914</v>
      </c>
      <c r="F243" s="564"/>
      <c r="G243" s="565" t="s">
        <v>1914</v>
      </c>
      <c r="H243" s="618">
        <v>0</v>
      </c>
      <c r="J243" t="s">
        <v>2937</v>
      </c>
      <c r="L243" s="20" t="s">
        <v>2178</v>
      </c>
      <c r="M243" s="20" t="b">
        <f t="shared" si="3"/>
        <v>1</v>
      </c>
    </row>
    <row r="244" spans="1:13">
      <c r="A244" s="461"/>
      <c r="B244" s="20" t="s">
        <v>279</v>
      </c>
      <c r="C244" s="20" t="s">
        <v>2330</v>
      </c>
      <c r="D244" s="564"/>
      <c r="E244" s="565" t="s">
        <v>1933</v>
      </c>
      <c r="F244" s="564"/>
      <c r="G244" s="565" t="s">
        <v>1933</v>
      </c>
      <c r="H244" s="618">
        <v>0</v>
      </c>
      <c r="J244" t="s">
        <v>2938</v>
      </c>
      <c r="L244" s="20" t="s">
        <v>279</v>
      </c>
      <c r="M244" s="20" t="b">
        <f t="shared" si="3"/>
        <v>1</v>
      </c>
    </row>
    <row r="245" spans="1:13">
      <c r="A245" s="461"/>
      <c r="B245" s="20" t="s">
        <v>280</v>
      </c>
      <c r="C245" s="20" t="s">
        <v>2331</v>
      </c>
      <c r="D245" s="564"/>
      <c r="E245" s="564" t="s">
        <v>756</v>
      </c>
      <c r="F245" s="564"/>
      <c r="G245" s="564" t="s">
        <v>756</v>
      </c>
      <c r="H245" s="618">
        <v>0</v>
      </c>
      <c r="J245" t="s">
        <v>2939</v>
      </c>
      <c r="L245" s="20" t="s">
        <v>280</v>
      </c>
      <c r="M245" s="20" t="b">
        <f t="shared" si="3"/>
        <v>1</v>
      </c>
    </row>
    <row r="246" spans="1:13">
      <c r="A246" s="461"/>
      <c r="B246" s="20" t="s">
        <v>281</v>
      </c>
      <c r="C246" s="20" t="s">
        <v>2332</v>
      </c>
      <c r="D246" s="564"/>
      <c r="E246" s="564" t="s">
        <v>746</v>
      </c>
      <c r="F246" s="564"/>
      <c r="G246" s="564" t="s">
        <v>746</v>
      </c>
      <c r="H246" s="618">
        <v>0</v>
      </c>
      <c r="J246" t="s">
        <v>2940</v>
      </c>
      <c r="L246" s="20" t="s">
        <v>281</v>
      </c>
      <c r="M246" s="20" t="b">
        <f t="shared" si="3"/>
        <v>1</v>
      </c>
    </row>
    <row r="247" spans="1:13">
      <c r="A247" s="461"/>
      <c r="B247" s="20" t="s">
        <v>282</v>
      </c>
      <c r="C247" s="20" t="s">
        <v>2333</v>
      </c>
      <c r="D247" s="564"/>
      <c r="E247" s="564" t="s">
        <v>1934</v>
      </c>
      <c r="F247" s="564"/>
      <c r="G247" s="564" t="s">
        <v>1934</v>
      </c>
      <c r="H247" s="618">
        <v>-1968038</v>
      </c>
      <c r="J247" t="s">
        <v>2941</v>
      </c>
      <c r="L247" s="20" t="s">
        <v>282</v>
      </c>
      <c r="M247" s="20" t="b">
        <f t="shared" si="3"/>
        <v>1</v>
      </c>
    </row>
    <row r="248" spans="1:13">
      <c r="A248" s="461"/>
      <c r="B248" s="20" t="s">
        <v>283</v>
      </c>
      <c r="C248" s="20" t="s">
        <v>2334</v>
      </c>
      <c r="D248" s="564"/>
      <c r="E248" s="565" t="s">
        <v>2794</v>
      </c>
      <c r="F248" s="565"/>
      <c r="G248" s="565" t="s">
        <v>2794</v>
      </c>
      <c r="H248" s="618">
        <v>0</v>
      </c>
      <c r="J248" t="s">
        <v>2942</v>
      </c>
      <c r="L248" s="20" t="s">
        <v>283</v>
      </c>
      <c r="M248" s="20" t="b">
        <f t="shared" si="3"/>
        <v>1</v>
      </c>
    </row>
    <row r="249" spans="1:13">
      <c r="A249" s="461"/>
      <c r="B249" s="20" t="s">
        <v>2179</v>
      </c>
      <c r="C249" s="20" t="s">
        <v>2335</v>
      </c>
      <c r="D249" s="564"/>
      <c r="E249" s="564" t="s">
        <v>743</v>
      </c>
      <c r="F249" s="564"/>
      <c r="G249" s="564" t="s">
        <v>743</v>
      </c>
      <c r="H249" s="618">
        <v>0</v>
      </c>
      <c r="J249" t="s">
        <v>2943</v>
      </c>
      <c r="L249" s="20" t="s">
        <v>2179</v>
      </c>
      <c r="M249" s="20" t="b">
        <f t="shared" si="3"/>
        <v>1</v>
      </c>
    </row>
    <row r="250" spans="1:13">
      <c r="A250" s="461"/>
      <c r="B250" s="20" t="s">
        <v>284</v>
      </c>
      <c r="C250" s="20" t="s">
        <v>2336</v>
      </c>
      <c r="D250" s="564"/>
      <c r="E250" s="564" t="s">
        <v>1915</v>
      </c>
      <c r="F250" s="564"/>
      <c r="G250" s="564" t="s">
        <v>1915</v>
      </c>
      <c r="H250" s="618">
        <v>0</v>
      </c>
      <c r="J250" t="s">
        <v>2944</v>
      </c>
      <c r="L250" s="20" t="s">
        <v>284</v>
      </c>
      <c r="M250" s="20" t="b">
        <f t="shared" si="3"/>
        <v>1</v>
      </c>
    </row>
    <row r="251" spans="1:13">
      <c r="A251" s="461"/>
      <c r="B251" s="20" t="s">
        <v>2180</v>
      </c>
      <c r="C251" s="20" t="s">
        <v>2337</v>
      </c>
      <c r="D251" s="564"/>
      <c r="E251" s="564" t="s">
        <v>764</v>
      </c>
      <c r="F251" s="564"/>
      <c r="G251" s="564" t="s">
        <v>764</v>
      </c>
      <c r="H251" s="618">
        <v>0</v>
      </c>
      <c r="J251" t="s">
        <v>2945</v>
      </c>
      <c r="L251" s="20" t="s">
        <v>2180</v>
      </c>
      <c r="M251" s="20" t="b">
        <f t="shared" si="3"/>
        <v>1</v>
      </c>
    </row>
    <row r="252" spans="1:13">
      <c r="A252" s="461"/>
      <c r="B252" s="20" t="s">
        <v>2338</v>
      </c>
      <c r="C252" s="20" t="s">
        <v>2339</v>
      </c>
      <c r="D252" s="564"/>
      <c r="E252" s="564" t="s">
        <v>765</v>
      </c>
      <c r="F252" s="564"/>
      <c r="G252" s="564" t="s">
        <v>765</v>
      </c>
      <c r="H252" s="618">
        <v>0</v>
      </c>
      <c r="J252" t="s">
        <v>2946</v>
      </c>
      <c r="L252" s="20" t="s">
        <v>2338</v>
      </c>
      <c r="M252" s="20" t="b">
        <f t="shared" si="3"/>
        <v>1</v>
      </c>
    </row>
    <row r="253" spans="1:13">
      <c r="A253" s="461"/>
      <c r="B253" s="20" t="s">
        <v>2340</v>
      </c>
      <c r="C253" s="20" t="s">
        <v>2341</v>
      </c>
      <c r="D253" s="564"/>
      <c r="E253" s="564" t="s">
        <v>767</v>
      </c>
      <c r="F253" s="564"/>
      <c r="G253" s="564" t="s">
        <v>767</v>
      </c>
      <c r="H253" s="618">
        <v>0</v>
      </c>
      <c r="J253" t="s">
        <v>2947</v>
      </c>
      <c r="L253" s="20" t="s">
        <v>2340</v>
      </c>
      <c r="M253" s="20" t="b">
        <f t="shared" si="3"/>
        <v>1</v>
      </c>
    </row>
    <row r="254" spans="1:13">
      <c r="A254" s="461"/>
      <c r="B254" t="s">
        <v>2948</v>
      </c>
      <c r="C254" t="s">
        <v>2949</v>
      </c>
      <c r="D254" s="564"/>
      <c r="E254" s="564" t="s">
        <v>759</v>
      </c>
      <c r="F254" s="564"/>
      <c r="G254" s="564" t="s">
        <v>759</v>
      </c>
      <c r="H254" s="618">
        <v>0</v>
      </c>
      <c r="J254" t="s">
        <v>2950</v>
      </c>
      <c r="L254" s="20" t="s">
        <v>2948</v>
      </c>
      <c r="M254" s="20" t="b">
        <f t="shared" si="3"/>
        <v>1</v>
      </c>
    </row>
    <row r="255" spans="1:13">
      <c r="A255" s="461"/>
      <c r="B255" s="20" t="s">
        <v>285</v>
      </c>
      <c r="C255" s="20" t="s">
        <v>286</v>
      </c>
      <c r="D255" s="567" t="s">
        <v>1864</v>
      </c>
      <c r="E255" s="567"/>
      <c r="F255" s="567" t="s">
        <v>1864</v>
      </c>
      <c r="G255" s="564"/>
      <c r="H255" s="618">
        <v>0</v>
      </c>
      <c r="J255" t="s">
        <v>2917</v>
      </c>
      <c r="L255" s="20" t="s">
        <v>3092</v>
      </c>
      <c r="M255" s="20" t="b">
        <f t="shared" si="3"/>
        <v>0</v>
      </c>
    </row>
    <row r="256" spans="1:13">
      <c r="A256" s="461"/>
      <c r="B256" s="20" t="s">
        <v>287</v>
      </c>
      <c r="C256" s="20" t="s">
        <v>288</v>
      </c>
      <c r="D256" s="567" t="s">
        <v>1915</v>
      </c>
      <c r="E256" s="567"/>
      <c r="F256" s="567" t="s">
        <v>1915</v>
      </c>
      <c r="G256" s="568"/>
      <c r="H256" s="618">
        <v>0</v>
      </c>
      <c r="J256" t="s">
        <v>2914</v>
      </c>
      <c r="L256" s="20" t="s">
        <v>285</v>
      </c>
      <c r="M256" s="20" t="b">
        <f t="shared" si="3"/>
        <v>0</v>
      </c>
    </row>
    <row r="257" spans="1:13">
      <c r="A257" s="461"/>
      <c r="B257" s="20" t="s">
        <v>289</v>
      </c>
      <c r="C257" s="20" t="s">
        <v>290</v>
      </c>
      <c r="D257" s="564" t="s">
        <v>773</v>
      </c>
      <c r="E257" s="564"/>
      <c r="F257" s="564" t="s">
        <v>773</v>
      </c>
      <c r="G257" s="568"/>
      <c r="H257" s="618">
        <v>-179249</v>
      </c>
      <c r="J257" t="s">
        <v>2951</v>
      </c>
      <c r="L257" s="20" t="s">
        <v>287</v>
      </c>
      <c r="M257" s="20" t="b">
        <f t="shared" si="3"/>
        <v>0</v>
      </c>
    </row>
    <row r="258" spans="1:13">
      <c r="A258" s="461"/>
      <c r="B258" s="20" t="s">
        <v>291</v>
      </c>
      <c r="C258" s="20" t="s">
        <v>292</v>
      </c>
      <c r="D258" s="564" t="s">
        <v>775</v>
      </c>
      <c r="E258" s="564"/>
      <c r="F258" s="564" t="s">
        <v>775</v>
      </c>
      <c r="G258" s="564"/>
      <c r="H258" s="618">
        <v>0</v>
      </c>
      <c r="J258" t="s">
        <v>2952</v>
      </c>
      <c r="L258" s="20" t="s">
        <v>289</v>
      </c>
      <c r="M258" s="20" t="b">
        <f t="shared" si="3"/>
        <v>0</v>
      </c>
    </row>
    <row r="259" spans="1:13">
      <c r="A259" s="461"/>
      <c r="B259" s="20" t="s">
        <v>293</v>
      </c>
      <c r="C259" s="20" t="s">
        <v>294</v>
      </c>
      <c r="D259" s="564" t="s">
        <v>776</v>
      </c>
      <c r="E259" s="564"/>
      <c r="F259" s="564" t="s">
        <v>776</v>
      </c>
      <c r="G259" s="564"/>
      <c r="H259" s="618">
        <v>-1500000</v>
      </c>
      <c r="J259" t="s">
        <v>2953</v>
      </c>
      <c r="L259" s="20" t="s">
        <v>291</v>
      </c>
      <c r="M259" s="20" t="b">
        <f t="shared" si="3"/>
        <v>0</v>
      </c>
    </row>
    <row r="260" spans="1:13" ht="15">
      <c r="A260" s="461"/>
      <c r="B260" s="20" t="s">
        <v>295</v>
      </c>
      <c r="C260" s="20" t="s">
        <v>296</v>
      </c>
      <c r="D260" s="564" t="s">
        <v>1861</v>
      </c>
      <c r="E260" s="564"/>
      <c r="F260" s="564" t="s">
        <v>1861</v>
      </c>
      <c r="G260" s="564"/>
      <c r="H260" s="663">
        <v>-19660241.530000001</v>
      </c>
      <c r="J260" t="s">
        <v>2954</v>
      </c>
      <c r="L260" s="20" t="s">
        <v>293</v>
      </c>
      <c r="M260" s="20" t="b">
        <f t="shared" si="3"/>
        <v>0</v>
      </c>
    </row>
    <row r="261" spans="1:13">
      <c r="A261" s="461"/>
      <c r="B261" s="20" t="s">
        <v>297</v>
      </c>
      <c r="C261" s="20" t="s">
        <v>298</v>
      </c>
      <c r="D261" s="564" t="s">
        <v>749</v>
      </c>
      <c r="E261" s="564"/>
      <c r="F261" s="564" t="s">
        <v>749</v>
      </c>
      <c r="G261" s="564"/>
      <c r="H261" s="618">
        <v>0</v>
      </c>
      <c r="J261" t="s">
        <v>2955</v>
      </c>
      <c r="L261" s="20" t="s">
        <v>295</v>
      </c>
      <c r="M261" s="20" t="b">
        <f t="shared" ref="M261:M324" si="4">L261=B261</f>
        <v>0</v>
      </c>
    </row>
    <row r="262" spans="1:13">
      <c r="A262" s="461"/>
      <c r="B262" s="20" t="s">
        <v>299</v>
      </c>
      <c r="C262" s="20" t="s">
        <v>300</v>
      </c>
      <c r="D262" s="564" t="s">
        <v>747</v>
      </c>
      <c r="E262" s="564"/>
      <c r="F262" s="564" t="s">
        <v>747</v>
      </c>
      <c r="G262" s="564"/>
      <c r="H262" s="618">
        <v>0</v>
      </c>
      <c r="J262" t="s">
        <v>2956</v>
      </c>
      <c r="L262" s="20" t="s">
        <v>297</v>
      </c>
      <c r="M262" s="20" t="b">
        <f t="shared" si="4"/>
        <v>0</v>
      </c>
    </row>
    <row r="263" spans="1:13">
      <c r="A263" s="461"/>
      <c r="B263" s="20" t="s">
        <v>2181</v>
      </c>
      <c r="C263" s="20" t="s">
        <v>1938</v>
      </c>
      <c r="D263" s="564" t="s">
        <v>1860</v>
      </c>
      <c r="E263" s="564"/>
      <c r="F263" s="564" t="s">
        <v>1860</v>
      </c>
      <c r="G263" s="564"/>
      <c r="H263" s="618">
        <v>0</v>
      </c>
      <c r="J263" t="s">
        <v>2957</v>
      </c>
      <c r="L263" s="20" t="s">
        <v>299</v>
      </c>
      <c r="M263" s="20" t="b">
        <f t="shared" si="4"/>
        <v>0</v>
      </c>
    </row>
    <row r="264" spans="1:13">
      <c r="A264" s="461"/>
      <c r="B264" s="20" t="s">
        <v>2182</v>
      </c>
      <c r="C264" s="20" t="s">
        <v>1939</v>
      </c>
      <c r="D264" s="564" t="s">
        <v>1877</v>
      </c>
      <c r="E264" s="564"/>
      <c r="F264" s="564" t="s">
        <v>1877</v>
      </c>
      <c r="G264" s="564"/>
      <c r="H264" s="618">
        <v>0</v>
      </c>
      <c r="J264" t="s">
        <v>2958</v>
      </c>
      <c r="L264" s="20" t="s">
        <v>2181</v>
      </c>
      <c r="M264" s="20" t="b">
        <f t="shared" si="4"/>
        <v>0</v>
      </c>
    </row>
    <row r="265" spans="1:13">
      <c r="A265" s="461"/>
      <c r="B265" s="20" t="s">
        <v>301</v>
      </c>
      <c r="C265" s="20" t="s">
        <v>1938</v>
      </c>
      <c r="D265" s="564" t="s">
        <v>1860</v>
      </c>
      <c r="E265" s="564"/>
      <c r="F265" s="564" t="s">
        <v>1860</v>
      </c>
      <c r="G265" s="564"/>
      <c r="H265" s="618">
        <v>0</v>
      </c>
      <c r="J265" t="s">
        <v>2957</v>
      </c>
      <c r="L265" s="20" t="s">
        <v>2182</v>
      </c>
      <c r="M265" s="20" t="b">
        <f t="shared" si="4"/>
        <v>0</v>
      </c>
    </row>
    <row r="266" spans="1:13">
      <c r="A266" s="461"/>
      <c r="B266" s="20" t="s">
        <v>302</v>
      </c>
      <c r="C266" s="20" t="s">
        <v>2186</v>
      </c>
      <c r="D266" s="564" t="s">
        <v>774</v>
      </c>
      <c r="E266" s="564"/>
      <c r="F266" s="564" t="s">
        <v>774</v>
      </c>
      <c r="G266" s="564"/>
      <c r="H266" s="618">
        <v>0</v>
      </c>
      <c r="J266" t="s">
        <v>2959</v>
      </c>
      <c r="L266" s="20" t="s">
        <v>301</v>
      </c>
      <c r="M266" s="20" t="b">
        <f t="shared" si="4"/>
        <v>0</v>
      </c>
    </row>
    <row r="267" spans="1:13">
      <c r="A267" s="461"/>
      <c r="B267" s="20" t="s">
        <v>2183</v>
      </c>
      <c r="C267" s="20" t="s">
        <v>887</v>
      </c>
      <c r="D267" s="564" t="s">
        <v>1860</v>
      </c>
      <c r="E267" s="564"/>
      <c r="F267" s="564" t="s">
        <v>1860</v>
      </c>
      <c r="G267" s="564"/>
      <c r="H267" s="618">
        <v>-17930</v>
      </c>
      <c r="J267" t="s">
        <v>2957</v>
      </c>
      <c r="L267" s="20" t="s">
        <v>302</v>
      </c>
      <c r="M267" s="20" t="b">
        <f t="shared" si="4"/>
        <v>0</v>
      </c>
    </row>
    <row r="268" spans="1:13">
      <c r="A268" s="461"/>
      <c r="B268" s="20" t="s">
        <v>2184</v>
      </c>
      <c r="C268" s="20" t="s">
        <v>1939</v>
      </c>
      <c r="D268" s="564" t="s">
        <v>1877</v>
      </c>
      <c r="E268" s="564"/>
      <c r="F268" s="564" t="s">
        <v>1877</v>
      </c>
      <c r="G268" s="564"/>
      <c r="H268" s="618">
        <v>0</v>
      </c>
      <c r="J268" t="s">
        <v>2958</v>
      </c>
      <c r="L268" s="20" t="s">
        <v>2183</v>
      </c>
      <c r="M268" s="20" t="b">
        <f t="shared" si="4"/>
        <v>0</v>
      </c>
    </row>
    <row r="269" spans="1:13">
      <c r="A269" s="461"/>
      <c r="B269" s="20" t="s">
        <v>303</v>
      </c>
      <c r="C269" s="20" t="s">
        <v>304</v>
      </c>
      <c r="D269" s="564" t="s">
        <v>1860</v>
      </c>
      <c r="E269" s="564"/>
      <c r="F269" s="564" t="s">
        <v>1860</v>
      </c>
      <c r="G269" s="564"/>
      <c r="H269" s="618">
        <v>0</v>
      </c>
      <c r="J269" t="s">
        <v>2957</v>
      </c>
      <c r="L269" s="20" t="s">
        <v>2184</v>
      </c>
      <c r="M269" s="20" t="b">
        <f t="shared" si="4"/>
        <v>0</v>
      </c>
    </row>
    <row r="270" spans="1:13">
      <c r="A270" s="461"/>
      <c r="B270" s="20" t="s">
        <v>305</v>
      </c>
      <c r="C270" s="20" t="s">
        <v>306</v>
      </c>
      <c r="D270" s="564" t="s">
        <v>750</v>
      </c>
      <c r="E270" s="564"/>
      <c r="F270" s="564" t="s">
        <v>750</v>
      </c>
      <c r="G270" s="564"/>
      <c r="H270" s="618">
        <v>0</v>
      </c>
      <c r="J270" t="s">
        <v>2960</v>
      </c>
      <c r="L270" s="20" t="s">
        <v>303</v>
      </c>
      <c r="M270" s="20" t="b">
        <f t="shared" si="4"/>
        <v>0</v>
      </c>
    </row>
    <row r="271" spans="1:13">
      <c r="A271" s="461"/>
      <c r="B271" s="20" t="s">
        <v>307</v>
      </c>
      <c r="C271" s="20" t="s">
        <v>308</v>
      </c>
      <c r="D271" s="564" t="s">
        <v>777</v>
      </c>
      <c r="E271" s="564"/>
      <c r="F271" s="564" t="s">
        <v>777</v>
      </c>
      <c r="G271" s="564"/>
      <c r="H271" s="618">
        <v>0</v>
      </c>
      <c r="J271" t="s">
        <v>2961</v>
      </c>
      <c r="L271" s="20" t="s">
        <v>305</v>
      </c>
      <c r="M271" s="20" t="b">
        <f t="shared" si="4"/>
        <v>0</v>
      </c>
    </row>
    <row r="272" spans="1:13">
      <c r="A272" s="461"/>
      <c r="B272" s="20" t="s">
        <v>309</v>
      </c>
      <c r="C272" s="20" t="s">
        <v>310</v>
      </c>
      <c r="D272" s="564" t="s">
        <v>779</v>
      </c>
      <c r="E272" s="564"/>
      <c r="F272" s="564" t="s">
        <v>779</v>
      </c>
      <c r="G272" s="564"/>
      <c r="H272" s="618">
        <v>-26864596</v>
      </c>
      <c r="J272" t="s">
        <v>2962</v>
      </c>
      <c r="L272" s="20" t="s">
        <v>307</v>
      </c>
      <c r="M272" s="20" t="b">
        <f t="shared" si="4"/>
        <v>0</v>
      </c>
    </row>
    <row r="273" spans="1:13">
      <c r="A273" s="461"/>
      <c r="B273" s="20" t="s">
        <v>311</v>
      </c>
      <c r="C273" s="20" t="s">
        <v>312</v>
      </c>
      <c r="D273" s="564" t="s">
        <v>780</v>
      </c>
      <c r="E273" s="564"/>
      <c r="F273" s="564" t="s">
        <v>780</v>
      </c>
      <c r="G273" s="564"/>
      <c r="H273" s="618">
        <v>38338</v>
      </c>
      <c r="J273" t="s">
        <v>2963</v>
      </c>
      <c r="L273" s="20" t="s">
        <v>309</v>
      </c>
      <c r="M273" s="20" t="b">
        <f t="shared" si="4"/>
        <v>0</v>
      </c>
    </row>
    <row r="274" spans="1:13">
      <c r="A274" s="461"/>
      <c r="B274" s="20" t="s">
        <v>313</v>
      </c>
      <c r="C274" s="20" t="s">
        <v>314</v>
      </c>
      <c r="D274" s="564" t="s">
        <v>779</v>
      </c>
      <c r="E274" s="564"/>
      <c r="F274" s="564" t="s">
        <v>779</v>
      </c>
      <c r="G274" s="564"/>
      <c r="H274" s="618">
        <v>0</v>
      </c>
      <c r="J274" t="s">
        <v>2962</v>
      </c>
      <c r="L274" s="20" t="s">
        <v>311</v>
      </c>
      <c r="M274" s="20" t="b">
        <f t="shared" si="4"/>
        <v>0</v>
      </c>
    </row>
    <row r="275" spans="1:13">
      <c r="A275" s="461"/>
      <c r="B275" s="20" t="s">
        <v>315</v>
      </c>
      <c r="C275" s="20" t="s">
        <v>316</v>
      </c>
      <c r="D275" s="564" t="s">
        <v>778</v>
      </c>
      <c r="E275" s="564"/>
      <c r="F275" s="564" t="s">
        <v>778</v>
      </c>
      <c r="G275" s="564"/>
      <c r="H275" s="618">
        <v>0</v>
      </c>
      <c r="J275" t="s">
        <v>2964</v>
      </c>
      <c r="L275" s="20" t="s">
        <v>313</v>
      </c>
      <c r="M275" s="20" t="b">
        <f t="shared" si="4"/>
        <v>0</v>
      </c>
    </row>
    <row r="276" spans="1:13">
      <c r="A276" s="461"/>
      <c r="B276" s="20" t="s">
        <v>317</v>
      </c>
      <c r="C276" s="20" t="s">
        <v>318</v>
      </c>
      <c r="D276" s="564" t="s">
        <v>1869</v>
      </c>
      <c r="E276" s="564"/>
      <c r="F276" s="564" t="s">
        <v>1869</v>
      </c>
      <c r="G276" s="564"/>
      <c r="H276" s="618">
        <v>0</v>
      </c>
      <c r="J276" t="s">
        <v>2894</v>
      </c>
      <c r="L276" s="20" t="s">
        <v>315</v>
      </c>
      <c r="M276" s="20" t="b">
        <f t="shared" si="4"/>
        <v>0</v>
      </c>
    </row>
    <row r="277" spans="1:13">
      <c r="A277" s="461"/>
      <c r="B277" s="20" t="s">
        <v>319</v>
      </c>
      <c r="C277" s="20" t="s">
        <v>2342</v>
      </c>
      <c r="D277" s="564" t="s">
        <v>740</v>
      </c>
      <c r="E277" s="564"/>
      <c r="F277" s="564" t="s">
        <v>740</v>
      </c>
      <c r="G277" s="564"/>
      <c r="H277" s="618">
        <v>0</v>
      </c>
      <c r="J277" t="s">
        <v>2965</v>
      </c>
      <c r="L277" s="20" t="s">
        <v>317</v>
      </c>
      <c r="M277" s="20" t="b">
        <f t="shared" si="4"/>
        <v>0</v>
      </c>
    </row>
    <row r="278" spans="1:13">
      <c r="A278" s="461"/>
      <c r="B278" s="20" t="s">
        <v>320</v>
      </c>
      <c r="C278" s="20" t="s">
        <v>321</v>
      </c>
      <c r="D278" s="564" t="s">
        <v>1870</v>
      </c>
      <c r="E278" s="564"/>
      <c r="F278" s="564" t="s">
        <v>1870</v>
      </c>
      <c r="G278" s="564"/>
      <c r="H278" s="618">
        <v>0</v>
      </c>
      <c r="J278" t="s">
        <v>2895</v>
      </c>
      <c r="L278" s="20" t="s">
        <v>319</v>
      </c>
      <c r="M278" s="20" t="b">
        <f t="shared" si="4"/>
        <v>0</v>
      </c>
    </row>
    <row r="279" spans="1:13">
      <c r="A279" s="461"/>
      <c r="B279" s="20" t="s">
        <v>322</v>
      </c>
      <c r="C279" s="20" t="s">
        <v>323</v>
      </c>
      <c r="D279" s="564" t="s">
        <v>1890</v>
      </c>
      <c r="E279" s="564"/>
      <c r="F279" s="564" t="s">
        <v>1890</v>
      </c>
      <c r="G279" s="564"/>
      <c r="H279" s="618">
        <v>0</v>
      </c>
      <c r="J279" t="s">
        <v>2966</v>
      </c>
      <c r="L279" s="20" t="s">
        <v>320</v>
      </c>
      <c r="M279" s="20" t="b">
        <f t="shared" si="4"/>
        <v>0</v>
      </c>
    </row>
    <row r="280" spans="1:13">
      <c r="A280" s="461"/>
      <c r="B280" s="20" t="s">
        <v>324</v>
      </c>
      <c r="C280" s="20" t="s">
        <v>325</v>
      </c>
      <c r="D280" s="564" t="s">
        <v>1871</v>
      </c>
      <c r="E280" s="564"/>
      <c r="F280" s="564" t="s">
        <v>1871</v>
      </c>
      <c r="G280" s="564"/>
      <c r="H280" s="618">
        <v>0</v>
      </c>
      <c r="J280" t="s">
        <v>2867</v>
      </c>
      <c r="L280" s="20" t="s">
        <v>322</v>
      </c>
      <c r="M280" s="20" t="b">
        <f t="shared" si="4"/>
        <v>0</v>
      </c>
    </row>
    <row r="281" spans="1:13">
      <c r="A281" s="461"/>
      <c r="B281" s="20" t="s">
        <v>326</v>
      </c>
      <c r="C281" s="20" t="s">
        <v>2343</v>
      </c>
      <c r="D281" s="564" t="s">
        <v>1863</v>
      </c>
      <c r="E281" s="564"/>
      <c r="F281" s="564" t="s">
        <v>1863</v>
      </c>
      <c r="G281" s="564"/>
      <c r="H281" s="618">
        <v>0</v>
      </c>
      <c r="J281" t="s">
        <v>2916</v>
      </c>
      <c r="L281" s="20" t="s">
        <v>324</v>
      </c>
      <c r="M281" s="20" t="b">
        <f t="shared" si="4"/>
        <v>0</v>
      </c>
    </row>
    <row r="282" spans="1:13">
      <c r="A282" s="461"/>
      <c r="B282" s="20" t="s">
        <v>327</v>
      </c>
      <c r="C282" s="20" t="s">
        <v>2344</v>
      </c>
      <c r="D282" s="564" t="s">
        <v>751</v>
      </c>
      <c r="E282" s="564"/>
      <c r="F282" s="564" t="s">
        <v>751</v>
      </c>
      <c r="G282" s="564"/>
      <c r="H282" s="618">
        <v>0</v>
      </c>
      <c r="J282" t="s">
        <v>2967</v>
      </c>
      <c r="L282" s="20" t="s">
        <v>326</v>
      </c>
      <c r="M282" s="20" t="b">
        <f t="shared" si="4"/>
        <v>0</v>
      </c>
    </row>
    <row r="283" spans="1:13">
      <c r="A283" s="461"/>
      <c r="B283" s="20" t="s">
        <v>2345</v>
      </c>
      <c r="C283" s="20" t="s">
        <v>2346</v>
      </c>
      <c r="D283" s="565" t="s">
        <v>2796</v>
      </c>
      <c r="E283" s="565"/>
      <c r="F283" s="565" t="s">
        <v>2796</v>
      </c>
      <c r="G283" s="564"/>
      <c r="H283" s="618">
        <v>0</v>
      </c>
      <c r="J283" t="s">
        <v>2968</v>
      </c>
      <c r="L283" s="20" t="s">
        <v>327</v>
      </c>
      <c r="M283" s="20" t="b">
        <f t="shared" si="4"/>
        <v>0</v>
      </c>
    </row>
    <row r="284" spans="1:13">
      <c r="A284" s="461"/>
      <c r="B284" s="20" t="s">
        <v>2347</v>
      </c>
      <c r="C284" s="20" t="s">
        <v>2348</v>
      </c>
      <c r="D284" s="565" t="s">
        <v>2795</v>
      </c>
      <c r="E284" s="565"/>
      <c r="F284" s="565" t="s">
        <v>2795</v>
      </c>
      <c r="G284" s="564"/>
      <c r="H284" s="618">
        <v>0</v>
      </c>
      <c r="J284" t="s">
        <v>2915</v>
      </c>
      <c r="L284" s="20" t="s">
        <v>2345</v>
      </c>
      <c r="M284" s="20" t="b">
        <f t="shared" si="4"/>
        <v>0</v>
      </c>
    </row>
    <row r="285" spans="1:13">
      <c r="A285" s="461"/>
      <c r="B285" s="20" t="s">
        <v>328</v>
      </c>
      <c r="C285" s="20" t="s">
        <v>329</v>
      </c>
      <c r="D285" s="564" t="s">
        <v>754</v>
      </c>
      <c r="E285" s="564"/>
      <c r="F285" s="564" t="s">
        <v>754</v>
      </c>
      <c r="G285" s="564"/>
      <c r="H285" s="618">
        <v>-576</v>
      </c>
      <c r="J285" t="s">
        <v>2969</v>
      </c>
      <c r="L285" s="20" t="s">
        <v>2347</v>
      </c>
      <c r="M285" s="20" t="b">
        <f t="shared" si="4"/>
        <v>0</v>
      </c>
    </row>
    <row r="286" spans="1:13">
      <c r="A286" s="461"/>
      <c r="B286" s="20" t="s">
        <v>330</v>
      </c>
      <c r="C286" s="20" t="s">
        <v>331</v>
      </c>
      <c r="D286" s="564" t="s">
        <v>752</v>
      </c>
      <c r="E286" s="564"/>
      <c r="F286" s="564" t="s">
        <v>752</v>
      </c>
      <c r="G286" s="564"/>
      <c r="H286" s="618">
        <v>0</v>
      </c>
      <c r="J286" t="s">
        <v>2872</v>
      </c>
      <c r="L286" s="20" t="s">
        <v>328</v>
      </c>
      <c r="M286" s="20" t="b">
        <f t="shared" si="4"/>
        <v>0</v>
      </c>
    </row>
    <row r="287" spans="1:13">
      <c r="A287" s="461"/>
      <c r="B287" s="20" t="s">
        <v>332</v>
      </c>
      <c r="C287" s="20" t="s">
        <v>333</v>
      </c>
      <c r="D287" s="564" t="s">
        <v>1872</v>
      </c>
      <c r="E287" s="564"/>
      <c r="F287" s="564" t="s">
        <v>1872</v>
      </c>
      <c r="G287" s="564"/>
      <c r="H287" s="618">
        <v>0</v>
      </c>
      <c r="J287" t="s">
        <v>2868</v>
      </c>
      <c r="L287" s="20" t="s">
        <v>330</v>
      </c>
      <c r="M287" s="20" t="b">
        <f t="shared" si="4"/>
        <v>0</v>
      </c>
    </row>
    <row r="288" spans="1:13">
      <c r="A288" s="461"/>
      <c r="B288" s="20" t="s">
        <v>334</v>
      </c>
      <c r="C288" s="20" t="s">
        <v>2349</v>
      </c>
      <c r="D288" s="564" t="s">
        <v>755</v>
      </c>
      <c r="E288" s="568"/>
      <c r="F288" s="564" t="s">
        <v>755</v>
      </c>
      <c r="G288" s="564"/>
      <c r="H288" s="618">
        <v>0</v>
      </c>
      <c r="J288" t="s">
        <v>2900</v>
      </c>
      <c r="L288" s="20" t="s">
        <v>332</v>
      </c>
      <c r="M288" s="20" t="b">
        <f t="shared" si="4"/>
        <v>0</v>
      </c>
    </row>
    <row r="289" spans="1:13">
      <c r="A289" s="461"/>
      <c r="B289" s="20" t="s">
        <v>335</v>
      </c>
      <c r="C289" s="20" t="s">
        <v>336</v>
      </c>
      <c r="D289" s="564" t="s">
        <v>1868</v>
      </c>
      <c r="E289" s="568"/>
      <c r="F289" s="564" t="s">
        <v>1868</v>
      </c>
      <c r="G289" s="568"/>
      <c r="H289" s="618">
        <v>0</v>
      </c>
      <c r="J289" t="s">
        <v>2918</v>
      </c>
      <c r="L289" s="20" t="s">
        <v>334</v>
      </c>
      <c r="M289" s="20" t="b">
        <f t="shared" si="4"/>
        <v>0</v>
      </c>
    </row>
    <row r="290" spans="1:13">
      <c r="A290" s="461"/>
      <c r="B290" s="20" t="s">
        <v>337</v>
      </c>
      <c r="C290" s="20" t="s">
        <v>2350</v>
      </c>
      <c r="D290" s="564" t="s">
        <v>1868</v>
      </c>
      <c r="E290" s="568"/>
      <c r="F290" s="564" t="s">
        <v>1868</v>
      </c>
      <c r="G290" s="568"/>
      <c r="H290" s="618">
        <v>0</v>
      </c>
      <c r="J290" t="s">
        <v>2918</v>
      </c>
      <c r="L290" s="20" t="s">
        <v>335</v>
      </c>
      <c r="M290" s="20" t="b">
        <f t="shared" si="4"/>
        <v>0</v>
      </c>
    </row>
    <row r="291" spans="1:13">
      <c r="A291" s="461"/>
      <c r="B291" s="20" t="s">
        <v>338</v>
      </c>
      <c r="C291" s="20" t="s">
        <v>2351</v>
      </c>
      <c r="D291" s="564" t="s">
        <v>762</v>
      </c>
      <c r="E291" s="568"/>
      <c r="F291" s="564" t="s">
        <v>762</v>
      </c>
      <c r="G291" s="568"/>
      <c r="H291" s="618">
        <v>0</v>
      </c>
      <c r="J291" t="s">
        <v>2888</v>
      </c>
      <c r="L291" s="20" t="s">
        <v>337</v>
      </c>
      <c r="M291" s="20" t="b">
        <f t="shared" si="4"/>
        <v>0</v>
      </c>
    </row>
    <row r="292" spans="1:13">
      <c r="A292" s="461"/>
      <c r="B292" s="20" t="s">
        <v>1879</v>
      </c>
      <c r="C292" s="20" t="s">
        <v>2352</v>
      </c>
      <c r="D292" s="564" t="s">
        <v>781</v>
      </c>
      <c r="E292" s="568"/>
      <c r="F292" s="564" t="s">
        <v>781</v>
      </c>
      <c r="G292" s="568"/>
      <c r="H292" s="618">
        <v>0</v>
      </c>
      <c r="J292" t="s">
        <v>2889</v>
      </c>
      <c r="L292" s="20" t="s">
        <v>338</v>
      </c>
      <c r="M292" s="20" t="b">
        <f t="shared" si="4"/>
        <v>0</v>
      </c>
    </row>
    <row r="293" spans="1:13">
      <c r="A293" s="461"/>
      <c r="B293" s="20" t="s">
        <v>1885</v>
      </c>
      <c r="C293" s="20" t="s">
        <v>2353</v>
      </c>
      <c r="D293" s="564" t="s">
        <v>1884</v>
      </c>
      <c r="E293" s="568"/>
      <c r="F293" s="564" t="s">
        <v>1884</v>
      </c>
      <c r="G293" s="568"/>
      <c r="H293" s="618">
        <v>0</v>
      </c>
      <c r="J293" t="s">
        <v>2890</v>
      </c>
      <c r="L293" s="20" t="s">
        <v>1879</v>
      </c>
      <c r="M293" s="20" t="b">
        <f t="shared" si="4"/>
        <v>0</v>
      </c>
    </row>
    <row r="294" spans="1:13">
      <c r="A294" s="461"/>
      <c r="B294" s="20" t="s">
        <v>1886</v>
      </c>
      <c r="C294" s="20" t="s">
        <v>2187</v>
      </c>
      <c r="D294" s="564" t="s">
        <v>761</v>
      </c>
      <c r="E294" s="568"/>
      <c r="F294" s="564" t="s">
        <v>761</v>
      </c>
      <c r="G294" s="568"/>
      <c r="H294" s="618">
        <v>0</v>
      </c>
      <c r="J294" t="s">
        <v>2970</v>
      </c>
      <c r="L294" s="20" t="s">
        <v>1885</v>
      </c>
      <c r="M294" s="20" t="b">
        <f t="shared" si="4"/>
        <v>0</v>
      </c>
    </row>
    <row r="295" spans="1:13">
      <c r="A295" s="461"/>
      <c r="B295" s="20" t="s">
        <v>1889</v>
      </c>
      <c r="C295" s="20" t="s">
        <v>2354</v>
      </c>
      <c r="D295" s="564" t="s">
        <v>807</v>
      </c>
      <c r="E295" s="568"/>
      <c r="F295" s="564" t="s">
        <v>807</v>
      </c>
      <c r="G295" s="568"/>
      <c r="H295" s="618">
        <v>0</v>
      </c>
      <c r="J295" t="s">
        <v>2891</v>
      </c>
      <c r="L295" s="20" t="s">
        <v>1886</v>
      </c>
      <c r="M295" s="20" t="b">
        <f t="shared" si="4"/>
        <v>0</v>
      </c>
    </row>
    <row r="296" spans="1:13">
      <c r="A296" s="461"/>
      <c r="B296" s="20" t="s">
        <v>1906</v>
      </c>
      <c r="C296" s="20" t="s">
        <v>2355</v>
      </c>
      <c r="D296" s="564" t="s">
        <v>808</v>
      </c>
      <c r="E296" s="568"/>
      <c r="F296" s="564" t="s">
        <v>808</v>
      </c>
      <c r="G296" s="568"/>
      <c r="H296" s="618">
        <v>0</v>
      </c>
      <c r="J296" t="s">
        <v>2892</v>
      </c>
      <c r="L296" s="20" t="s">
        <v>1889</v>
      </c>
      <c r="M296" s="20" t="b">
        <f t="shared" si="4"/>
        <v>0</v>
      </c>
    </row>
    <row r="297" spans="1:13">
      <c r="A297" s="461"/>
      <c r="B297" s="20" t="s">
        <v>1907</v>
      </c>
      <c r="C297" s="20" t="s">
        <v>2350</v>
      </c>
      <c r="D297" s="564" t="s">
        <v>1892</v>
      </c>
      <c r="E297" s="568"/>
      <c r="F297" s="564" t="s">
        <v>1892</v>
      </c>
      <c r="G297" s="568"/>
      <c r="H297" s="618">
        <v>0</v>
      </c>
      <c r="J297" t="s">
        <v>2893</v>
      </c>
      <c r="L297" s="20" t="s">
        <v>1906</v>
      </c>
      <c r="M297" s="20" t="b">
        <f t="shared" si="4"/>
        <v>0</v>
      </c>
    </row>
    <row r="298" spans="1:13">
      <c r="A298" s="461"/>
      <c r="B298" s="20" t="s">
        <v>1880</v>
      </c>
      <c r="C298" s="20" t="s">
        <v>2356</v>
      </c>
      <c r="D298" s="564" t="s">
        <v>762</v>
      </c>
      <c r="E298" s="568"/>
      <c r="F298" s="564" t="s">
        <v>762</v>
      </c>
      <c r="G298" s="568"/>
      <c r="H298" s="618">
        <v>0</v>
      </c>
      <c r="J298" t="s">
        <v>2888</v>
      </c>
      <c r="L298" s="20" t="s">
        <v>1907</v>
      </c>
      <c r="M298" s="20" t="b">
        <f t="shared" si="4"/>
        <v>0</v>
      </c>
    </row>
    <row r="299" spans="1:13">
      <c r="A299" s="461"/>
      <c r="B299" s="20" t="s">
        <v>1881</v>
      </c>
      <c r="C299" s="20" t="s">
        <v>2357</v>
      </c>
      <c r="D299" s="564" t="s">
        <v>781</v>
      </c>
      <c r="E299" s="568"/>
      <c r="F299" s="564" t="s">
        <v>781</v>
      </c>
      <c r="G299" s="568"/>
      <c r="H299" s="618">
        <v>0</v>
      </c>
      <c r="J299" t="s">
        <v>2889</v>
      </c>
      <c r="L299" s="20" t="s">
        <v>1880</v>
      </c>
      <c r="M299" s="20" t="b">
        <f t="shared" si="4"/>
        <v>0</v>
      </c>
    </row>
    <row r="300" spans="1:13">
      <c r="A300" s="461"/>
      <c r="B300" s="20" t="s">
        <v>1882</v>
      </c>
      <c r="C300" s="20" t="s">
        <v>2358</v>
      </c>
      <c r="D300" s="564" t="s">
        <v>1884</v>
      </c>
      <c r="E300" s="568"/>
      <c r="F300" s="564" t="s">
        <v>1884</v>
      </c>
      <c r="G300" s="568"/>
      <c r="H300" s="618">
        <v>0</v>
      </c>
      <c r="J300" t="s">
        <v>2890</v>
      </c>
      <c r="L300" s="20" t="s">
        <v>1881</v>
      </c>
      <c r="M300" s="20" t="b">
        <f t="shared" si="4"/>
        <v>0</v>
      </c>
    </row>
    <row r="301" spans="1:13">
      <c r="A301" s="461"/>
      <c r="B301" s="20" t="s">
        <v>1883</v>
      </c>
      <c r="C301" s="20" t="s">
        <v>2359</v>
      </c>
      <c r="D301" s="564" t="s">
        <v>807</v>
      </c>
      <c r="E301" s="568"/>
      <c r="F301" s="564" t="s">
        <v>807</v>
      </c>
      <c r="G301" s="568"/>
      <c r="H301" s="618">
        <v>0</v>
      </c>
      <c r="J301" t="s">
        <v>2891</v>
      </c>
      <c r="L301" s="20" t="s">
        <v>1882</v>
      </c>
      <c r="M301" s="20" t="b">
        <f t="shared" si="4"/>
        <v>0</v>
      </c>
    </row>
    <row r="302" spans="1:13">
      <c r="A302" s="461"/>
      <c r="B302" s="20" t="s">
        <v>1908</v>
      </c>
      <c r="C302" s="20" t="s">
        <v>2360</v>
      </c>
      <c r="D302" s="564" t="s">
        <v>808</v>
      </c>
      <c r="E302" s="568"/>
      <c r="F302" s="564" t="s">
        <v>808</v>
      </c>
      <c r="G302" s="568"/>
      <c r="H302" s="618">
        <v>0</v>
      </c>
      <c r="J302" t="s">
        <v>2892</v>
      </c>
      <c r="L302" s="20" t="s">
        <v>1883</v>
      </c>
      <c r="M302" s="20" t="b">
        <f t="shared" si="4"/>
        <v>0</v>
      </c>
    </row>
    <row r="303" spans="1:13">
      <c r="A303" s="461"/>
      <c r="B303" s="20" t="s">
        <v>1909</v>
      </c>
      <c r="C303" s="20" t="s">
        <v>2361</v>
      </c>
      <c r="D303" s="564" t="s">
        <v>1892</v>
      </c>
      <c r="E303" s="568"/>
      <c r="F303" s="564" t="s">
        <v>1892</v>
      </c>
      <c r="G303" s="568"/>
      <c r="H303" s="618">
        <v>0</v>
      </c>
      <c r="J303" t="s">
        <v>2893</v>
      </c>
      <c r="L303" s="20" t="s">
        <v>1908</v>
      </c>
      <c r="M303" s="20" t="b">
        <f t="shared" si="4"/>
        <v>0</v>
      </c>
    </row>
    <row r="304" spans="1:13">
      <c r="A304" s="461"/>
      <c r="B304" s="20" t="s">
        <v>339</v>
      </c>
      <c r="C304" s="20" t="s">
        <v>2362</v>
      </c>
      <c r="D304" s="564" t="s">
        <v>2363</v>
      </c>
      <c r="E304" s="568"/>
      <c r="F304" s="564" t="s">
        <v>2363</v>
      </c>
      <c r="G304" s="568"/>
      <c r="H304" s="618">
        <v>0</v>
      </c>
      <c r="J304" t="s">
        <v>2971</v>
      </c>
      <c r="L304" s="20" t="s">
        <v>1909</v>
      </c>
      <c r="M304" s="20" t="b">
        <f t="shared" si="4"/>
        <v>0</v>
      </c>
    </row>
    <row r="305" spans="1:13">
      <c r="A305" s="461"/>
      <c r="B305" s="20" t="s">
        <v>340</v>
      </c>
      <c r="C305" s="20" t="s">
        <v>2364</v>
      </c>
      <c r="D305" s="564" t="s">
        <v>1864</v>
      </c>
      <c r="E305" s="568"/>
      <c r="F305" s="564" t="s">
        <v>1864</v>
      </c>
      <c r="G305" s="568"/>
      <c r="H305" s="618">
        <v>0</v>
      </c>
      <c r="J305" t="s">
        <v>2917</v>
      </c>
      <c r="L305" s="20" t="s">
        <v>339</v>
      </c>
      <c r="M305" s="20" t="b">
        <f t="shared" si="4"/>
        <v>0</v>
      </c>
    </row>
    <row r="306" spans="1:13">
      <c r="A306" s="461"/>
      <c r="B306" s="20" t="s">
        <v>341</v>
      </c>
      <c r="C306" s="20" t="s">
        <v>2285</v>
      </c>
      <c r="D306" s="565" t="s">
        <v>807</v>
      </c>
      <c r="E306" s="569"/>
      <c r="F306" s="565" t="s">
        <v>807</v>
      </c>
      <c r="G306" s="568"/>
      <c r="H306" s="618">
        <v>0</v>
      </c>
      <c r="J306" t="s">
        <v>2891</v>
      </c>
      <c r="L306" s="20" t="s">
        <v>340</v>
      </c>
      <c r="M306" s="20" t="b">
        <f t="shared" si="4"/>
        <v>0</v>
      </c>
    </row>
    <row r="307" spans="1:13">
      <c r="A307" s="461"/>
      <c r="B307" s="20" t="s">
        <v>1910</v>
      </c>
      <c r="C307" s="20" t="s">
        <v>2286</v>
      </c>
      <c r="D307" s="565" t="s">
        <v>808</v>
      </c>
      <c r="E307" s="569"/>
      <c r="F307" s="565" t="s">
        <v>808</v>
      </c>
      <c r="G307" s="568"/>
      <c r="H307" s="618">
        <v>0</v>
      </c>
      <c r="J307" t="s">
        <v>2892</v>
      </c>
      <c r="L307" s="20" t="s">
        <v>341</v>
      </c>
      <c r="M307" s="20" t="b">
        <f t="shared" si="4"/>
        <v>0</v>
      </c>
    </row>
    <row r="308" spans="1:13">
      <c r="A308" s="461"/>
      <c r="B308" s="20" t="s">
        <v>2365</v>
      </c>
      <c r="C308" s="20" t="s">
        <v>2287</v>
      </c>
      <c r="D308" s="564" t="s">
        <v>1892</v>
      </c>
      <c r="E308" s="568"/>
      <c r="F308" s="564" t="s">
        <v>1892</v>
      </c>
      <c r="G308" s="568"/>
      <c r="H308" s="618">
        <v>0</v>
      </c>
      <c r="J308" t="s">
        <v>2893</v>
      </c>
      <c r="L308" s="20" t="s">
        <v>1910</v>
      </c>
      <c r="M308" s="20" t="b">
        <f t="shared" si="4"/>
        <v>0</v>
      </c>
    </row>
    <row r="309" spans="1:13">
      <c r="A309" s="461"/>
      <c r="B309" s="20" t="s">
        <v>342</v>
      </c>
      <c r="C309" s="20" t="s">
        <v>1913</v>
      </c>
      <c r="D309" s="566" t="s">
        <v>760</v>
      </c>
      <c r="E309"/>
      <c r="F309" s="566" t="s">
        <v>760</v>
      </c>
      <c r="G309" s="568"/>
      <c r="H309" s="618">
        <v>0</v>
      </c>
      <c r="J309" t="s">
        <v>2972</v>
      </c>
      <c r="L309" s="20" t="s">
        <v>2365</v>
      </c>
      <c r="M309" s="20" t="b">
        <f t="shared" si="4"/>
        <v>0</v>
      </c>
    </row>
    <row r="310" spans="1:13">
      <c r="A310" s="461"/>
      <c r="B310" s="20" t="s">
        <v>343</v>
      </c>
      <c r="C310" s="20" t="s">
        <v>2366</v>
      </c>
      <c r="D310" s="566" t="s">
        <v>1864</v>
      </c>
      <c r="E310"/>
      <c r="F310" s="566" t="s">
        <v>1864</v>
      </c>
      <c r="G310" s="568"/>
      <c r="H310" s="618">
        <v>0</v>
      </c>
      <c r="J310" t="s">
        <v>2917</v>
      </c>
      <c r="L310" s="20" t="s">
        <v>342</v>
      </c>
      <c r="M310" s="20" t="b">
        <f t="shared" si="4"/>
        <v>0</v>
      </c>
    </row>
    <row r="311" spans="1:13">
      <c r="A311" s="461"/>
      <c r="B311" s="20" t="s">
        <v>344</v>
      </c>
      <c r="C311" s="20" t="s">
        <v>2367</v>
      </c>
      <c r="D311" s="566" t="s">
        <v>1865</v>
      </c>
      <c r="E311"/>
      <c r="F311" s="566" t="s">
        <v>1865</v>
      </c>
      <c r="G311" s="568"/>
      <c r="H311" s="618">
        <v>0</v>
      </c>
      <c r="J311" t="s">
        <v>2896</v>
      </c>
      <c r="L311" s="20" t="s">
        <v>343</v>
      </c>
      <c r="M311" s="20" t="b">
        <f t="shared" si="4"/>
        <v>0</v>
      </c>
    </row>
    <row r="312" spans="1:13">
      <c r="A312" s="461"/>
      <c r="B312" s="20" t="s">
        <v>345</v>
      </c>
      <c r="C312" s="20" t="s">
        <v>2368</v>
      </c>
      <c r="D312" s="566" t="s">
        <v>1868</v>
      </c>
      <c r="E312"/>
      <c r="F312" s="566" t="s">
        <v>1868</v>
      </c>
      <c r="G312" s="568"/>
      <c r="H312" s="618">
        <v>-650</v>
      </c>
      <c r="J312" t="s">
        <v>2918</v>
      </c>
      <c r="L312" s="20" t="s">
        <v>344</v>
      </c>
      <c r="M312" s="20" t="b">
        <f t="shared" si="4"/>
        <v>0</v>
      </c>
    </row>
    <row r="313" spans="1:13">
      <c r="A313" s="461"/>
      <c r="B313" s="20" t="s">
        <v>346</v>
      </c>
      <c r="C313" s="20" t="s">
        <v>347</v>
      </c>
      <c r="D313" s="564" t="s">
        <v>741</v>
      </c>
      <c r="E313" s="568"/>
      <c r="F313" s="564" t="s">
        <v>741</v>
      </c>
      <c r="G313" s="568"/>
      <c r="H313" s="618">
        <v>-663637</v>
      </c>
      <c r="J313" t="s">
        <v>2973</v>
      </c>
      <c r="L313" s="20" t="s">
        <v>345</v>
      </c>
      <c r="M313" s="20" t="b">
        <f t="shared" si="4"/>
        <v>0</v>
      </c>
    </row>
    <row r="314" spans="1:13">
      <c r="A314" s="461"/>
      <c r="B314" s="20" t="s">
        <v>348</v>
      </c>
      <c r="C314" s="20" t="s">
        <v>349</v>
      </c>
      <c r="D314" s="564" t="s">
        <v>753</v>
      </c>
      <c r="E314" s="568"/>
      <c r="F314" s="564" t="s">
        <v>753</v>
      </c>
      <c r="G314" s="568"/>
      <c r="H314" s="618">
        <v>0</v>
      </c>
      <c r="J314" t="s">
        <v>2974</v>
      </c>
      <c r="L314" s="20" t="s">
        <v>346</v>
      </c>
      <c r="M314" s="20" t="b">
        <f t="shared" si="4"/>
        <v>0</v>
      </c>
    </row>
    <row r="315" spans="1:13">
      <c r="A315" s="461"/>
      <c r="B315" s="20" t="s">
        <v>350</v>
      </c>
      <c r="C315" s="20" t="s">
        <v>351</v>
      </c>
      <c r="D315" s="564" t="s">
        <v>773</v>
      </c>
      <c r="E315" s="568"/>
      <c r="F315" s="564" t="s">
        <v>773</v>
      </c>
      <c r="G315" s="568"/>
      <c r="H315" s="618">
        <v>0</v>
      </c>
      <c r="J315" t="s">
        <v>2951</v>
      </c>
      <c r="L315" s="20" t="s">
        <v>348</v>
      </c>
      <c r="M315" s="20" t="b">
        <f t="shared" si="4"/>
        <v>0</v>
      </c>
    </row>
    <row r="316" spans="1:13">
      <c r="A316" s="461"/>
      <c r="B316" s="20" t="s">
        <v>352</v>
      </c>
      <c r="C316" s="20" t="s">
        <v>353</v>
      </c>
      <c r="D316" s="564" t="s">
        <v>1844</v>
      </c>
      <c r="E316" s="568"/>
      <c r="F316" s="564" t="s">
        <v>1844</v>
      </c>
      <c r="G316" s="568"/>
      <c r="H316" s="618">
        <v>1079136</v>
      </c>
      <c r="J316" t="s">
        <v>2975</v>
      </c>
      <c r="L316" s="20" t="s">
        <v>350</v>
      </c>
      <c r="M316" s="20" t="b">
        <f t="shared" si="4"/>
        <v>0</v>
      </c>
    </row>
    <row r="317" spans="1:13">
      <c r="A317" s="461"/>
      <c r="B317" s="20" t="s">
        <v>354</v>
      </c>
      <c r="C317" s="20" t="s">
        <v>355</v>
      </c>
      <c r="D317" s="564" t="s">
        <v>1844</v>
      </c>
      <c r="E317" s="568"/>
      <c r="F317" s="564" t="s">
        <v>1844</v>
      </c>
      <c r="G317" s="568"/>
      <c r="H317" s="618">
        <v>0</v>
      </c>
      <c r="J317" t="s">
        <v>2975</v>
      </c>
      <c r="L317" s="20" t="s">
        <v>352</v>
      </c>
      <c r="M317" s="20" t="b">
        <f t="shared" si="4"/>
        <v>0</v>
      </c>
    </row>
    <row r="318" spans="1:13">
      <c r="A318" s="461"/>
      <c r="B318" s="20" t="s">
        <v>356</v>
      </c>
      <c r="C318" s="20" t="s">
        <v>357</v>
      </c>
      <c r="D318" s="564" t="s">
        <v>1844</v>
      </c>
      <c r="E318" s="568"/>
      <c r="F318" s="564" t="s">
        <v>1844</v>
      </c>
      <c r="G318" s="568"/>
      <c r="H318" s="618">
        <v>0</v>
      </c>
      <c r="J318" t="s">
        <v>2975</v>
      </c>
      <c r="L318" s="20" t="s">
        <v>354</v>
      </c>
      <c r="M318" s="20" t="b">
        <f t="shared" si="4"/>
        <v>0</v>
      </c>
    </row>
    <row r="319" spans="1:13">
      <c r="A319" s="461"/>
      <c r="B319" s="20" t="s">
        <v>358</v>
      </c>
      <c r="C319" s="20" t="s">
        <v>359</v>
      </c>
      <c r="D319" s="564" t="s">
        <v>1843</v>
      </c>
      <c r="E319" s="568"/>
      <c r="F319" s="564" t="s">
        <v>1843</v>
      </c>
      <c r="G319" s="568"/>
      <c r="H319" s="618">
        <v>17254511</v>
      </c>
      <c r="J319" t="s">
        <v>2976</v>
      </c>
      <c r="L319" s="20" t="s">
        <v>356</v>
      </c>
      <c r="M319" s="20" t="b">
        <f t="shared" si="4"/>
        <v>0</v>
      </c>
    </row>
    <row r="320" spans="1:13">
      <c r="A320" s="461"/>
      <c r="B320" s="20" t="s">
        <v>2369</v>
      </c>
      <c r="C320" s="20" t="s">
        <v>2370</v>
      </c>
      <c r="D320" s="564" t="s">
        <v>1851</v>
      </c>
      <c r="E320" s="568"/>
      <c r="F320" s="564" t="s">
        <v>1851</v>
      </c>
      <c r="G320" s="568"/>
      <c r="H320" s="618">
        <v>0</v>
      </c>
      <c r="J320" t="s">
        <v>2977</v>
      </c>
      <c r="L320" s="20" t="s">
        <v>358</v>
      </c>
      <c r="M320" s="20" t="b">
        <f t="shared" si="4"/>
        <v>0</v>
      </c>
    </row>
    <row r="321" spans="1:13">
      <c r="A321" s="461"/>
      <c r="B321" s="20" t="s">
        <v>360</v>
      </c>
      <c r="C321" s="20" t="s">
        <v>2371</v>
      </c>
      <c r="D321" s="564" t="s">
        <v>1843</v>
      </c>
      <c r="E321" s="568"/>
      <c r="F321" s="564" t="s">
        <v>1843</v>
      </c>
      <c r="G321" s="568"/>
      <c r="H321" s="618">
        <v>0</v>
      </c>
      <c r="J321" t="s">
        <v>2976</v>
      </c>
      <c r="L321" s="20" t="s">
        <v>2369</v>
      </c>
      <c r="M321" s="20" t="b">
        <f t="shared" si="4"/>
        <v>0</v>
      </c>
    </row>
    <row r="322" spans="1:13">
      <c r="A322" s="461"/>
      <c r="B322" s="20" t="s">
        <v>361</v>
      </c>
      <c r="C322" s="20" t="s">
        <v>362</v>
      </c>
      <c r="D322" s="564" t="s">
        <v>784</v>
      </c>
      <c r="E322" s="568"/>
      <c r="F322" s="564" t="s">
        <v>784</v>
      </c>
      <c r="G322" s="568"/>
      <c r="H322" s="618">
        <v>-15108</v>
      </c>
      <c r="J322" t="s">
        <v>2978</v>
      </c>
      <c r="L322" s="20" t="s">
        <v>360</v>
      </c>
      <c r="M322" s="20" t="b">
        <f t="shared" si="4"/>
        <v>0</v>
      </c>
    </row>
    <row r="323" spans="1:13">
      <c r="A323" s="461"/>
      <c r="B323" s="20" t="s">
        <v>363</v>
      </c>
      <c r="C323" s="20" t="s">
        <v>364</v>
      </c>
      <c r="D323" s="564" t="s">
        <v>784</v>
      </c>
      <c r="E323" s="568"/>
      <c r="F323" s="564" t="s">
        <v>784</v>
      </c>
      <c r="G323" s="568"/>
      <c r="H323" s="618">
        <v>11720</v>
      </c>
      <c r="J323" t="s">
        <v>2979</v>
      </c>
      <c r="L323" s="20" t="s">
        <v>361</v>
      </c>
      <c r="M323" s="20" t="b">
        <f t="shared" si="4"/>
        <v>0</v>
      </c>
    </row>
    <row r="324" spans="1:13">
      <c r="A324" s="461"/>
      <c r="B324" s="20" t="s">
        <v>365</v>
      </c>
      <c r="C324" s="20" t="s">
        <v>2188</v>
      </c>
      <c r="D324" s="564" t="s">
        <v>784</v>
      </c>
      <c r="E324" s="568"/>
      <c r="F324" s="564" t="s">
        <v>784</v>
      </c>
      <c r="G324" s="568"/>
      <c r="H324" s="618">
        <v>271</v>
      </c>
      <c r="J324" t="s">
        <v>2979</v>
      </c>
      <c r="L324" s="20" t="s">
        <v>363</v>
      </c>
      <c r="M324" s="20" t="b">
        <f t="shared" si="4"/>
        <v>0</v>
      </c>
    </row>
    <row r="325" spans="1:13">
      <c r="A325" s="461"/>
      <c r="B325" s="20" t="s">
        <v>2980</v>
      </c>
      <c r="C325" s="20" t="s">
        <v>2981</v>
      </c>
      <c r="D325" s="564" t="s">
        <v>784</v>
      </c>
      <c r="E325" s="568"/>
      <c r="F325" s="564" t="s">
        <v>784</v>
      </c>
      <c r="G325" s="568"/>
      <c r="H325" s="618">
        <v>3684851</v>
      </c>
      <c r="J325" t="s">
        <v>2982</v>
      </c>
      <c r="L325" s="20" t="s">
        <v>365</v>
      </c>
      <c r="M325" s="20" t="b">
        <f t="shared" ref="M325:M388" si="5">L325=B325</f>
        <v>0</v>
      </c>
    </row>
    <row r="326" spans="1:13">
      <c r="A326" s="461"/>
      <c r="B326" s="20" t="s">
        <v>2983</v>
      </c>
      <c r="C326" s="20" t="s">
        <v>2984</v>
      </c>
      <c r="D326" s="564" t="s">
        <v>784</v>
      </c>
      <c r="E326" s="568"/>
      <c r="F326" s="564" t="s">
        <v>784</v>
      </c>
      <c r="G326" s="568"/>
      <c r="H326" s="618">
        <v>0</v>
      </c>
      <c r="J326" t="s">
        <v>2985</v>
      </c>
      <c r="L326" s="20" t="s">
        <v>2980</v>
      </c>
      <c r="M326" s="20" t="b">
        <f t="shared" si="5"/>
        <v>0</v>
      </c>
    </row>
    <row r="327" spans="1:13">
      <c r="A327" s="461"/>
      <c r="B327" s="20" t="s">
        <v>2986</v>
      </c>
      <c r="C327" s="20" t="s">
        <v>2987</v>
      </c>
      <c r="D327" s="564" t="s">
        <v>784</v>
      </c>
      <c r="E327" s="568"/>
      <c r="F327" s="564" t="s">
        <v>784</v>
      </c>
      <c r="G327" s="568"/>
      <c r="H327" s="618">
        <v>0</v>
      </c>
      <c r="J327" t="s">
        <v>2988</v>
      </c>
      <c r="L327" s="20" t="s">
        <v>2983</v>
      </c>
      <c r="M327" s="20" t="b">
        <f t="shared" si="5"/>
        <v>0</v>
      </c>
    </row>
    <row r="328" spans="1:13">
      <c r="A328" s="461"/>
      <c r="B328" s="20" t="s">
        <v>366</v>
      </c>
      <c r="C328" s="20" t="s">
        <v>367</v>
      </c>
      <c r="D328" s="564" t="s">
        <v>785</v>
      </c>
      <c r="E328" s="568"/>
      <c r="F328" s="564" t="s">
        <v>785</v>
      </c>
      <c r="G328" s="568"/>
      <c r="H328" s="618">
        <v>180319</v>
      </c>
      <c r="J328" t="s">
        <v>2989</v>
      </c>
      <c r="L328" s="20" t="s">
        <v>2986</v>
      </c>
      <c r="M328" s="20" t="b">
        <f t="shared" si="5"/>
        <v>0</v>
      </c>
    </row>
    <row r="329" spans="1:13">
      <c r="A329" s="461"/>
      <c r="B329" s="20" t="s">
        <v>368</v>
      </c>
      <c r="C329" s="20" t="s">
        <v>369</v>
      </c>
      <c r="D329" s="564" t="s">
        <v>785</v>
      </c>
      <c r="E329" s="568"/>
      <c r="F329" s="564" t="s">
        <v>785</v>
      </c>
      <c r="G329" s="568"/>
      <c r="H329" s="618">
        <v>0</v>
      </c>
      <c r="J329" t="s">
        <v>2989</v>
      </c>
      <c r="L329" s="20" t="s">
        <v>366</v>
      </c>
      <c r="M329" s="20" t="b">
        <f t="shared" si="5"/>
        <v>0</v>
      </c>
    </row>
    <row r="330" spans="1:13">
      <c r="A330" s="461"/>
      <c r="B330" s="20" t="s">
        <v>370</v>
      </c>
      <c r="C330" s="20" t="s">
        <v>371</v>
      </c>
      <c r="D330" s="564" t="s">
        <v>786</v>
      </c>
      <c r="E330" s="568"/>
      <c r="F330" s="564" t="s">
        <v>786</v>
      </c>
      <c r="G330" s="568"/>
      <c r="H330" s="618">
        <v>0</v>
      </c>
      <c r="J330" t="s">
        <v>2990</v>
      </c>
      <c r="K330" s="28"/>
      <c r="L330" s="20" t="s">
        <v>368</v>
      </c>
      <c r="M330" s="20" t="b">
        <f t="shared" si="5"/>
        <v>0</v>
      </c>
    </row>
    <row r="331" spans="1:13">
      <c r="A331" s="461"/>
      <c r="B331" s="20" t="s">
        <v>372</v>
      </c>
      <c r="C331" s="20" t="s">
        <v>373</v>
      </c>
      <c r="D331" s="564" t="s">
        <v>789</v>
      </c>
      <c r="E331" s="568"/>
      <c r="F331" s="564" t="s">
        <v>789</v>
      </c>
      <c r="G331" s="568"/>
      <c r="H331" s="618">
        <v>64385</v>
      </c>
      <c r="J331" t="s">
        <v>2991</v>
      </c>
      <c r="K331" s="28"/>
      <c r="L331" s="20" t="s">
        <v>370</v>
      </c>
      <c r="M331" s="20" t="b">
        <f t="shared" si="5"/>
        <v>0</v>
      </c>
    </row>
    <row r="332" spans="1:13">
      <c r="A332" s="461"/>
      <c r="B332" s="20" t="s">
        <v>374</v>
      </c>
      <c r="C332" s="20" t="s">
        <v>375</v>
      </c>
      <c r="D332" s="564" t="s">
        <v>789</v>
      </c>
      <c r="E332" s="568"/>
      <c r="F332" s="564" t="s">
        <v>789</v>
      </c>
      <c r="G332" s="568"/>
      <c r="H332" s="618">
        <v>3068</v>
      </c>
      <c r="J332" t="s">
        <v>2991</v>
      </c>
      <c r="K332" s="28"/>
      <c r="L332" s="20" t="s">
        <v>372</v>
      </c>
      <c r="M332" s="20" t="b">
        <f t="shared" si="5"/>
        <v>0</v>
      </c>
    </row>
    <row r="333" spans="1:13">
      <c r="A333" s="461"/>
      <c r="B333" s="20" t="s">
        <v>376</v>
      </c>
      <c r="C333" s="20" t="s">
        <v>377</v>
      </c>
      <c r="D333" s="564" t="s">
        <v>789</v>
      </c>
      <c r="E333" s="568"/>
      <c r="F333" s="564" t="s">
        <v>789</v>
      </c>
      <c r="G333" s="568"/>
      <c r="H333" s="618">
        <v>0</v>
      </c>
      <c r="J333" t="s">
        <v>2991</v>
      </c>
      <c r="K333" s="28"/>
      <c r="L333" s="20" t="s">
        <v>374</v>
      </c>
      <c r="M333" s="20" t="b">
        <f t="shared" si="5"/>
        <v>0</v>
      </c>
    </row>
    <row r="334" spans="1:13">
      <c r="A334" s="461"/>
      <c r="B334" s="20" t="s">
        <v>378</v>
      </c>
      <c r="C334" s="20" t="s">
        <v>379</v>
      </c>
      <c r="D334" s="564" t="s">
        <v>799</v>
      </c>
      <c r="E334" s="568"/>
      <c r="F334" s="564" t="s">
        <v>799</v>
      </c>
      <c r="G334" s="568"/>
      <c r="H334" s="618">
        <v>3195</v>
      </c>
      <c r="J334" t="s">
        <v>2992</v>
      </c>
      <c r="K334" s="28"/>
      <c r="L334" s="20" t="s">
        <v>376</v>
      </c>
      <c r="M334" s="20" t="b">
        <f t="shared" si="5"/>
        <v>0</v>
      </c>
    </row>
    <row r="335" spans="1:13">
      <c r="A335" s="461"/>
      <c r="B335" s="20" t="s">
        <v>380</v>
      </c>
      <c r="C335" s="20" t="s">
        <v>381</v>
      </c>
      <c r="D335" s="564" t="s">
        <v>799</v>
      </c>
      <c r="E335" s="568"/>
      <c r="F335" s="564" t="s">
        <v>799</v>
      </c>
      <c r="G335" s="568"/>
      <c r="H335" s="618">
        <v>1146</v>
      </c>
      <c r="J335" t="s">
        <v>2992</v>
      </c>
      <c r="K335" s="28"/>
      <c r="L335" s="20" t="s">
        <v>378</v>
      </c>
      <c r="M335" s="20" t="b">
        <f t="shared" si="5"/>
        <v>0</v>
      </c>
    </row>
    <row r="336" spans="1:13">
      <c r="A336" s="461"/>
      <c r="B336" s="20" t="s">
        <v>382</v>
      </c>
      <c r="C336" s="20" t="s">
        <v>383</v>
      </c>
      <c r="D336" s="564" t="s">
        <v>787</v>
      </c>
      <c r="E336" s="568"/>
      <c r="F336" s="564" t="s">
        <v>787</v>
      </c>
      <c r="G336" s="568"/>
      <c r="H336" s="618">
        <v>0</v>
      </c>
      <c r="J336" t="s">
        <v>2993</v>
      </c>
      <c r="K336" s="28"/>
      <c r="L336" s="20" t="s">
        <v>380</v>
      </c>
      <c r="M336" s="20" t="b">
        <f t="shared" si="5"/>
        <v>0</v>
      </c>
    </row>
    <row r="337" spans="1:13">
      <c r="A337" s="461"/>
      <c r="B337" s="20" t="s">
        <v>384</v>
      </c>
      <c r="C337" s="20" t="s">
        <v>385</v>
      </c>
      <c r="D337" s="564" t="s">
        <v>787</v>
      </c>
      <c r="E337" s="568"/>
      <c r="F337" s="564" t="s">
        <v>787</v>
      </c>
      <c r="G337" s="568"/>
      <c r="H337" s="618">
        <v>0</v>
      </c>
      <c r="J337" t="s">
        <v>2993</v>
      </c>
      <c r="K337" s="28"/>
      <c r="L337" s="20" t="s">
        <v>382</v>
      </c>
      <c r="M337" s="20" t="b">
        <f t="shared" si="5"/>
        <v>0</v>
      </c>
    </row>
    <row r="338" spans="1:13">
      <c r="A338" s="461"/>
      <c r="B338" s="20" t="s">
        <v>386</v>
      </c>
      <c r="C338" s="20" t="s">
        <v>387</v>
      </c>
      <c r="D338" s="564" t="s">
        <v>787</v>
      </c>
      <c r="E338" s="568"/>
      <c r="F338" s="564" t="s">
        <v>787</v>
      </c>
      <c r="G338" s="568"/>
      <c r="H338" s="618">
        <v>42932</v>
      </c>
      <c r="J338" t="s">
        <v>2993</v>
      </c>
      <c r="K338" s="28"/>
      <c r="L338" s="20" t="s">
        <v>384</v>
      </c>
      <c r="M338" s="20" t="b">
        <f t="shared" si="5"/>
        <v>0</v>
      </c>
    </row>
    <row r="339" spans="1:13">
      <c r="A339" s="461"/>
      <c r="B339" s="20" t="s">
        <v>388</v>
      </c>
      <c r="C339" s="20" t="s">
        <v>389</v>
      </c>
      <c r="D339" s="564" t="s">
        <v>805</v>
      </c>
      <c r="E339" s="568"/>
      <c r="F339" s="564" t="s">
        <v>805</v>
      </c>
      <c r="G339" s="568"/>
      <c r="H339" s="618">
        <v>0</v>
      </c>
      <c r="J339" t="s">
        <v>2994</v>
      </c>
      <c r="K339" s="28"/>
      <c r="L339" s="20" t="s">
        <v>386</v>
      </c>
      <c r="M339" s="20" t="b">
        <f t="shared" si="5"/>
        <v>0</v>
      </c>
    </row>
    <row r="340" spans="1:13">
      <c r="A340" s="461"/>
      <c r="B340" s="20" t="s">
        <v>390</v>
      </c>
      <c r="C340" s="20" t="s">
        <v>391</v>
      </c>
      <c r="D340" s="564" t="s">
        <v>805</v>
      </c>
      <c r="E340" s="568"/>
      <c r="F340" s="564" t="s">
        <v>805</v>
      </c>
      <c r="G340" s="568"/>
      <c r="H340" s="618">
        <v>44293</v>
      </c>
      <c r="J340" t="s">
        <v>2994</v>
      </c>
      <c r="K340" s="28"/>
      <c r="L340" s="20" t="s">
        <v>388</v>
      </c>
      <c r="M340" s="20" t="b">
        <f t="shared" si="5"/>
        <v>0</v>
      </c>
    </row>
    <row r="341" spans="1:13">
      <c r="A341" s="461"/>
      <c r="B341" s="20" t="s">
        <v>392</v>
      </c>
      <c r="C341" s="20" t="s">
        <v>393</v>
      </c>
      <c r="D341" s="564" t="s">
        <v>1845</v>
      </c>
      <c r="E341" s="568"/>
      <c r="F341" s="564" t="s">
        <v>1845</v>
      </c>
      <c r="G341" s="568"/>
      <c r="H341" s="618">
        <v>0</v>
      </c>
      <c r="J341" t="s">
        <v>2995</v>
      </c>
      <c r="K341" s="28"/>
      <c r="L341" s="20" t="s">
        <v>390</v>
      </c>
      <c r="M341" s="20" t="b">
        <f t="shared" si="5"/>
        <v>0</v>
      </c>
    </row>
    <row r="342" spans="1:13">
      <c r="A342" s="461"/>
      <c r="B342" s="20" t="s">
        <v>394</v>
      </c>
      <c r="C342" s="20" t="s">
        <v>395</v>
      </c>
      <c r="D342" s="564" t="s">
        <v>1845</v>
      </c>
      <c r="E342" s="568"/>
      <c r="F342" s="564" t="s">
        <v>1845</v>
      </c>
      <c r="G342" s="568"/>
      <c r="H342" s="618">
        <v>85</v>
      </c>
      <c r="J342" t="s">
        <v>2995</v>
      </c>
      <c r="K342" s="28"/>
      <c r="L342" s="20" t="s">
        <v>392</v>
      </c>
      <c r="M342" s="20" t="b">
        <f t="shared" si="5"/>
        <v>0</v>
      </c>
    </row>
    <row r="343" spans="1:13">
      <c r="A343" s="461"/>
      <c r="B343" s="20" t="s">
        <v>396</v>
      </c>
      <c r="C343" s="20" t="s">
        <v>397</v>
      </c>
      <c r="D343" s="564" t="s">
        <v>1845</v>
      </c>
      <c r="E343" s="568"/>
      <c r="F343" s="564" t="s">
        <v>1845</v>
      </c>
      <c r="G343" s="568"/>
      <c r="H343" s="618">
        <v>453</v>
      </c>
      <c r="J343" t="s">
        <v>2995</v>
      </c>
      <c r="K343" s="28"/>
      <c r="L343" s="20" t="s">
        <v>394</v>
      </c>
      <c r="M343" s="20" t="b">
        <f t="shared" si="5"/>
        <v>0</v>
      </c>
    </row>
    <row r="344" spans="1:13">
      <c r="A344" s="461"/>
      <c r="B344" s="20" t="s">
        <v>398</v>
      </c>
      <c r="C344" s="20" t="s">
        <v>399</v>
      </c>
      <c r="D344" s="564" t="s">
        <v>1845</v>
      </c>
      <c r="E344" s="568"/>
      <c r="F344" s="564" t="s">
        <v>1845</v>
      </c>
      <c r="G344" s="568"/>
      <c r="H344" s="618">
        <v>0</v>
      </c>
      <c r="J344" t="s">
        <v>2995</v>
      </c>
      <c r="K344" s="28"/>
      <c r="L344" s="20" t="s">
        <v>396</v>
      </c>
      <c r="M344" s="20" t="b">
        <f t="shared" si="5"/>
        <v>0</v>
      </c>
    </row>
    <row r="345" spans="1:13">
      <c r="A345" s="461"/>
      <c r="B345" s="20" t="s">
        <v>400</v>
      </c>
      <c r="C345" s="20" t="s">
        <v>401</v>
      </c>
      <c r="D345" s="564" t="s">
        <v>795</v>
      </c>
      <c r="E345" s="568"/>
      <c r="F345" s="564" t="s">
        <v>795</v>
      </c>
      <c r="G345" s="568"/>
      <c r="H345" s="618">
        <v>1898556</v>
      </c>
      <c r="J345" t="s">
        <v>2996</v>
      </c>
      <c r="K345" s="28"/>
      <c r="L345" s="20" t="s">
        <v>398</v>
      </c>
      <c r="M345" s="20" t="b">
        <f t="shared" si="5"/>
        <v>0</v>
      </c>
    </row>
    <row r="346" spans="1:13">
      <c r="A346" s="461"/>
      <c r="B346" s="20" t="s">
        <v>402</v>
      </c>
      <c r="C346" s="20" t="s">
        <v>403</v>
      </c>
      <c r="D346" s="564" t="s">
        <v>1845</v>
      </c>
      <c r="E346" s="568"/>
      <c r="F346" s="564" t="s">
        <v>1845</v>
      </c>
      <c r="G346" s="568"/>
      <c r="H346" s="618">
        <v>33195</v>
      </c>
      <c r="J346" t="s">
        <v>2995</v>
      </c>
      <c r="K346" s="28"/>
      <c r="L346" s="20" t="s">
        <v>400</v>
      </c>
      <c r="M346" s="20" t="b">
        <f t="shared" si="5"/>
        <v>0</v>
      </c>
    </row>
    <row r="347" spans="1:13">
      <c r="A347" s="461"/>
      <c r="B347" s="20" t="s">
        <v>404</v>
      </c>
      <c r="C347" s="20" t="s">
        <v>405</v>
      </c>
      <c r="D347" s="564" t="s">
        <v>1845</v>
      </c>
      <c r="E347" s="568"/>
      <c r="F347" s="564" t="s">
        <v>1845</v>
      </c>
      <c r="G347" s="568"/>
      <c r="H347" s="618">
        <v>0</v>
      </c>
      <c r="J347" t="s">
        <v>2995</v>
      </c>
      <c r="K347" s="28"/>
      <c r="L347" s="20" t="s">
        <v>402</v>
      </c>
      <c r="M347" s="20" t="b">
        <f t="shared" si="5"/>
        <v>0</v>
      </c>
    </row>
    <row r="348" spans="1:13">
      <c r="A348" s="461"/>
      <c r="B348" s="20" t="s">
        <v>406</v>
      </c>
      <c r="C348" s="20" t="s">
        <v>407</v>
      </c>
      <c r="D348" s="564" t="s">
        <v>800</v>
      </c>
      <c r="E348" s="568"/>
      <c r="F348" s="564" t="s">
        <v>800</v>
      </c>
      <c r="G348" s="568"/>
      <c r="H348" s="618">
        <v>9551</v>
      </c>
      <c r="J348" t="s">
        <v>2997</v>
      </c>
      <c r="K348" s="28"/>
      <c r="L348" s="20" t="s">
        <v>404</v>
      </c>
      <c r="M348" s="20" t="b">
        <f t="shared" si="5"/>
        <v>0</v>
      </c>
    </row>
    <row r="349" spans="1:13">
      <c r="A349" s="461"/>
      <c r="B349" s="20" t="s">
        <v>408</v>
      </c>
      <c r="C349" s="20" t="s">
        <v>409</v>
      </c>
      <c r="D349" s="564" t="s">
        <v>788</v>
      </c>
      <c r="E349" s="568"/>
      <c r="F349" s="564" t="s">
        <v>788</v>
      </c>
      <c r="G349" s="568"/>
      <c r="H349" s="618">
        <v>0</v>
      </c>
      <c r="J349" t="s">
        <v>2998</v>
      </c>
      <c r="K349" s="28"/>
      <c r="L349" s="20" t="s">
        <v>406</v>
      </c>
      <c r="M349" s="20" t="b">
        <f t="shared" si="5"/>
        <v>0</v>
      </c>
    </row>
    <row r="350" spans="1:13">
      <c r="A350" s="461"/>
      <c r="B350" s="20" t="s">
        <v>410</v>
      </c>
      <c r="C350" s="20" t="s">
        <v>411</v>
      </c>
      <c r="D350" s="564" t="s">
        <v>1845</v>
      </c>
      <c r="E350" s="568"/>
      <c r="F350" s="564" t="s">
        <v>1845</v>
      </c>
      <c r="G350" s="568"/>
      <c r="H350" s="618">
        <v>0</v>
      </c>
      <c r="J350" t="s">
        <v>2995</v>
      </c>
      <c r="K350" s="28"/>
      <c r="L350" s="20" t="s">
        <v>408</v>
      </c>
      <c r="M350" s="20" t="b">
        <f t="shared" si="5"/>
        <v>0</v>
      </c>
    </row>
    <row r="351" spans="1:13">
      <c r="A351" s="461"/>
      <c r="B351" s="20" t="s">
        <v>412</v>
      </c>
      <c r="C351" s="20" t="s">
        <v>413</v>
      </c>
      <c r="D351" s="564" t="s">
        <v>1845</v>
      </c>
      <c r="E351" s="568"/>
      <c r="F351" s="564" t="s">
        <v>1845</v>
      </c>
      <c r="G351" s="568"/>
      <c r="H351" s="618">
        <v>0</v>
      </c>
      <c r="J351" t="s">
        <v>2995</v>
      </c>
      <c r="K351" s="28"/>
      <c r="L351" s="20" t="s">
        <v>410</v>
      </c>
      <c r="M351" s="20" t="b">
        <f t="shared" si="5"/>
        <v>0</v>
      </c>
    </row>
    <row r="352" spans="1:13">
      <c r="A352" s="461"/>
      <c r="B352" s="20" t="s">
        <v>414</v>
      </c>
      <c r="C352" s="20" t="s">
        <v>415</v>
      </c>
      <c r="D352" s="564" t="s">
        <v>1846</v>
      </c>
      <c r="E352" s="568"/>
      <c r="F352" s="564" t="s">
        <v>1846</v>
      </c>
      <c r="G352" s="568"/>
      <c r="H352" s="618">
        <v>0</v>
      </c>
      <c r="J352" t="s">
        <v>2999</v>
      </c>
      <c r="K352" s="28"/>
      <c r="L352" s="20" t="s">
        <v>412</v>
      </c>
      <c r="M352" s="20" t="b">
        <f t="shared" si="5"/>
        <v>0</v>
      </c>
    </row>
    <row r="353" spans="1:13">
      <c r="A353" s="461"/>
      <c r="B353" s="20" t="s">
        <v>2372</v>
      </c>
      <c r="C353" s="20" t="s">
        <v>2373</v>
      </c>
      <c r="D353" s="565" t="s">
        <v>2797</v>
      </c>
      <c r="E353" s="569"/>
      <c r="F353" s="565" t="s">
        <v>2797</v>
      </c>
      <c r="G353" s="568"/>
      <c r="H353" s="618">
        <v>114973</v>
      </c>
      <c r="J353" t="s">
        <v>3000</v>
      </c>
      <c r="K353" s="28"/>
      <c r="L353" s="20" t="s">
        <v>414</v>
      </c>
      <c r="M353" s="20" t="b">
        <f t="shared" si="5"/>
        <v>0</v>
      </c>
    </row>
    <row r="354" spans="1:13">
      <c r="A354" s="461"/>
      <c r="B354" s="20" t="s">
        <v>2374</v>
      </c>
      <c r="C354" s="20" t="s">
        <v>2375</v>
      </c>
      <c r="D354" s="566" t="s">
        <v>1853</v>
      </c>
      <c r="E354"/>
      <c r="F354" s="566" t="s">
        <v>1853</v>
      </c>
      <c r="G354" s="568"/>
      <c r="H354" s="618">
        <v>173698</v>
      </c>
      <c r="J354" t="s">
        <v>3001</v>
      </c>
      <c r="K354" s="28"/>
      <c r="L354" s="20" t="s">
        <v>2372</v>
      </c>
      <c r="M354" s="20" t="b">
        <f t="shared" si="5"/>
        <v>0</v>
      </c>
    </row>
    <row r="355" spans="1:13">
      <c r="A355" s="461"/>
      <c r="B355" s="20" t="s">
        <v>416</v>
      </c>
      <c r="C355" s="20" t="s">
        <v>417</v>
      </c>
      <c r="D355" s="564" t="s">
        <v>804</v>
      </c>
      <c r="E355" s="568"/>
      <c r="F355" s="564" t="s">
        <v>804</v>
      </c>
      <c r="G355" s="568"/>
      <c r="H355" s="618">
        <v>281471</v>
      </c>
      <c r="J355" t="s">
        <v>3002</v>
      </c>
      <c r="K355" s="28"/>
      <c r="L355" s="20" t="s">
        <v>2374</v>
      </c>
      <c r="M355" s="20" t="b">
        <f t="shared" si="5"/>
        <v>0</v>
      </c>
    </row>
    <row r="356" spans="1:13">
      <c r="A356" s="461"/>
      <c r="B356" s="20" t="s">
        <v>418</v>
      </c>
      <c r="C356" s="20" t="s">
        <v>419</v>
      </c>
      <c r="D356" s="564" t="s">
        <v>793</v>
      </c>
      <c r="E356" s="568"/>
      <c r="F356" s="564" t="s">
        <v>793</v>
      </c>
      <c r="G356" s="568"/>
      <c r="H356" s="618">
        <v>0</v>
      </c>
      <c r="J356" t="s">
        <v>3003</v>
      </c>
      <c r="K356" s="28"/>
      <c r="L356" s="20" t="s">
        <v>416</v>
      </c>
      <c r="M356" s="20" t="b">
        <f t="shared" si="5"/>
        <v>0</v>
      </c>
    </row>
    <row r="357" spans="1:13">
      <c r="A357" s="461"/>
      <c r="B357" s="20" t="s">
        <v>420</v>
      </c>
      <c r="C357" s="20" t="s">
        <v>2376</v>
      </c>
      <c r="D357" s="564" t="s">
        <v>1847</v>
      </c>
      <c r="E357" s="568"/>
      <c r="F357" s="564" t="s">
        <v>1847</v>
      </c>
      <c r="G357" s="568"/>
      <c r="H357" s="618">
        <v>0</v>
      </c>
      <c r="J357" t="s">
        <v>3004</v>
      </c>
      <c r="K357" s="28"/>
      <c r="L357" s="20" t="s">
        <v>418</v>
      </c>
      <c r="M357" s="20" t="b">
        <f t="shared" si="5"/>
        <v>0</v>
      </c>
    </row>
    <row r="358" spans="1:13">
      <c r="A358" s="461"/>
      <c r="B358" s="20" t="s">
        <v>421</v>
      </c>
      <c r="C358" s="20" t="s">
        <v>422</v>
      </c>
      <c r="D358" s="564" t="s">
        <v>1848</v>
      </c>
      <c r="E358" s="568"/>
      <c r="F358" s="564" t="s">
        <v>1848</v>
      </c>
      <c r="G358" s="568"/>
      <c r="H358" s="618">
        <v>0</v>
      </c>
      <c r="J358" t="s">
        <v>3005</v>
      </c>
      <c r="K358" s="28"/>
      <c r="L358" s="20" t="s">
        <v>420</v>
      </c>
      <c r="M358" s="20" t="b">
        <f t="shared" si="5"/>
        <v>0</v>
      </c>
    </row>
    <row r="359" spans="1:13">
      <c r="A359" s="461"/>
      <c r="B359" s="20" t="s">
        <v>423</v>
      </c>
      <c r="C359" s="20" t="s">
        <v>424</v>
      </c>
      <c r="D359" s="564" t="s">
        <v>793</v>
      </c>
      <c r="E359" s="568"/>
      <c r="F359" s="564" t="s">
        <v>793</v>
      </c>
      <c r="G359" s="568"/>
      <c r="H359" s="618">
        <v>0</v>
      </c>
      <c r="J359" t="s">
        <v>3003</v>
      </c>
      <c r="K359" s="28"/>
      <c r="L359" s="20" t="s">
        <v>421</v>
      </c>
      <c r="M359" s="20" t="b">
        <f t="shared" si="5"/>
        <v>0</v>
      </c>
    </row>
    <row r="360" spans="1:13">
      <c r="A360" s="461"/>
      <c r="B360" s="20" t="s">
        <v>425</v>
      </c>
      <c r="C360" s="20" t="s">
        <v>426</v>
      </c>
      <c r="D360" s="564" t="s">
        <v>1849</v>
      </c>
      <c r="E360" s="568"/>
      <c r="F360" s="564" t="s">
        <v>1849</v>
      </c>
      <c r="G360" s="568"/>
      <c r="H360" s="618">
        <v>226849</v>
      </c>
      <c r="J360" t="s">
        <v>3006</v>
      </c>
      <c r="K360" s="28"/>
      <c r="L360" s="20" t="s">
        <v>423</v>
      </c>
      <c r="M360" s="20" t="b">
        <f t="shared" si="5"/>
        <v>0</v>
      </c>
    </row>
    <row r="361" spans="1:13">
      <c r="A361" s="461"/>
      <c r="B361" s="20" t="s">
        <v>427</v>
      </c>
      <c r="C361" s="20" t="s">
        <v>428</v>
      </c>
      <c r="D361" s="564" t="s">
        <v>1849</v>
      </c>
      <c r="E361" s="568"/>
      <c r="F361" s="564" t="s">
        <v>1849</v>
      </c>
      <c r="G361" s="568"/>
      <c r="H361" s="618">
        <v>0</v>
      </c>
      <c r="J361" t="s">
        <v>3006</v>
      </c>
      <c r="K361" s="28"/>
      <c r="L361" s="20" t="s">
        <v>425</v>
      </c>
      <c r="M361" s="20" t="b">
        <f t="shared" si="5"/>
        <v>0</v>
      </c>
    </row>
    <row r="362" spans="1:13">
      <c r="A362" s="461"/>
      <c r="B362" s="20" t="s">
        <v>429</v>
      </c>
      <c r="C362" s="20" t="s">
        <v>430</v>
      </c>
      <c r="D362" s="564" t="s">
        <v>1850</v>
      </c>
      <c r="E362" s="568"/>
      <c r="F362" s="564" t="s">
        <v>1850</v>
      </c>
      <c r="G362" s="568"/>
      <c r="H362" s="618">
        <v>1043213</v>
      </c>
      <c r="J362" t="s">
        <v>3007</v>
      </c>
      <c r="K362" s="28"/>
      <c r="L362" s="20" t="s">
        <v>427</v>
      </c>
      <c r="M362" s="20" t="b">
        <f t="shared" si="5"/>
        <v>0</v>
      </c>
    </row>
    <row r="363" spans="1:13">
      <c r="A363" s="461"/>
      <c r="B363" s="20" t="s">
        <v>431</v>
      </c>
      <c r="C363" s="20" t="s">
        <v>432</v>
      </c>
      <c r="D363" s="564" t="s">
        <v>1852</v>
      </c>
      <c r="E363" s="568"/>
      <c r="F363" s="564" t="s">
        <v>1852</v>
      </c>
      <c r="G363" s="568"/>
      <c r="H363" s="618">
        <v>-894012</v>
      </c>
      <c r="J363" t="s">
        <v>3008</v>
      </c>
      <c r="K363" s="28"/>
      <c r="L363" s="20" t="s">
        <v>429</v>
      </c>
      <c r="M363" s="20" t="b">
        <f t="shared" si="5"/>
        <v>0</v>
      </c>
    </row>
    <row r="364" spans="1:13">
      <c r="A364" s="461"/>
      <c r="B364" s="20" t="s">
        <v>433</v>
      </c>
      <c r="C364" s="20" t="s">
        <v>434</v>
      </c>
      <c r="D364" s="564" t="s">
        <v>1850</v>
      </c>
      <c r="E364" s="568"/>
      <c r="F364" s="564" t="s">
        <v>1850</v>
      </c>
      <c r="G364" s="568"/>
      <c r="H364" s="618">
        <v>0</v>
      </c>
      <c r="J364" t="s">
        <v>3007</v>
      </c>
      <c r="K364" s="28"/>
      <c r="L364" s="20" t="s">
        <v>431</v>
      </c>
      <c r="M364" s="20" t="b">
        <f t="shared" si="5"/>
        <v>0</v>
      </c>
    </row>
    <row r="365" spans="1:13">
      <c r="A365" s="461"/>
      <c r="B365" s="20" t="s">
        <v>435</v>
      </c>
      <c r="C365" s="20" t="s">
        <v>436</v>
      </c>
      <c r="D365" s="564" t="s">
        <v>794</v>
      </c>
      <c r="E365" s="568"/>
      <c r="F365" s="564" t="s">
        <v>794</v>
      </c>
      <c r="G365" s="568"/>
      <c r="H365" s="618">
        <v>0</v>
      </c>
      <c r="J365" t="s">
        <v>3009</v>
      </c>
      <c r="K365" s="28"/>
      <c r="L365" s="20" t="s">
        <v>433</v>
      </c>
      <c r="M365" s="20" t="b">
        <f t="shared" si="5"/>
        <v>0</v>
      </c>
    </row>
    <row r="366" spans="1:13">
      <c r="A366" s="461"/>
      <c r="B366" s="20" t="s">
        <v>3010</v>
      </c>
      <c r="C366" s="20" t="s">
        <v>3011</v>
      </c>
      <c r="D366" s="564" t="s">
        <v>1841</v>
      </c>
      <c r="E366" s="568"/>
      <c r="F366" s="564" t="s">
        <v>1841</v>
      </c>
      <c r="G366" s="568"/>
      <c r="H366" s="618">
        <v>-1819998</v>
      </c>
      <c r="J366" t="s">
        <v>3012</v>
      </c>
      <c r="K366" s="28"/>
      <c r="L366" s="20" t="s">
        <v>435</v>
      </c>
      <c r="M366" s="20" t="b">
        <f t="shared" si="5"/>
        <v>0</v>
      </c>
    </row>
    <row r="367" spans="1:13">
      <c r="A367" s="461"/>
      <c r="B367" s="20" t="s">
        <v>3013</v>
      </c>
      <c r="C367" s="20" t="s">
        <v>3014</v>
      </c>
      <c r="D367" s="564" t="s">
        <v>1841</v>
      </c>
      <c r="E367" s="568"/>
      <c r="F367" s="564" t="s">
        <v>1841</v>
      </c>
      <c r="G367" s="568"/>
      <c r="H367" s="618">
        <v>0</v>
      </c>
      <c r="J367" t="s">
        <v>3015</v>
      </c>
      <c r="K367" s="28"/>
      <c r="L367" s="20" t="s">
        <v>3010</v>
      </c>
      <c r="M367" s="20" t="b">
        <f t="shared" si="5"/>
        <v>0</v>
      </c>
    </row>
    <row r="368" spans="1:13">
      <c r="A368" s="461"/>
      <c r="B368" s="20" t="s">
        <v>3016</v>
      </c>
      <c r="C368" s="20" t="s">
        <v>3017</v>
      </c>
      <c r="D368" s="564" t="s">
        <v>1841</v>
      </c>
      <c r="E368" s="568"/>
      <c r="F368" s="564" t="s">
        <v>1841</v>
      </c>
      <c r="G368" s="568"/>
      <c r="H368" s="618">
        <v>0</v>
      </c>
      <c r="J368" t="s">
        <v>3018</v>
      </c>
      <c r="K368" s="28"/>
      <c r="L368" s="20" t="s">
        <v>3013</v>
      </c>
      <c r="M368" s="20" t="b">
        <f t="shared" si="5"/>
        <v>0</v>
      </c>
    </row>
    <row r="369" spans="1:13">
      <c r="A369" s="461"/>
      <c r="B369" s="20" t="s">
        <v>3019</v>
      </c>
      <c r="C369" s="20" t="s">
        <v>3020</v>
      </c>
      <c r="D369" s="564" t="s">
        <v>1841</v>
      </c>
      <c r="E369" s="568"/>
      <c r="F369" s="564" t="s">
        <v>1841</v>
      </c>
      <c r="G369" s="568"/>
      <c r="H369" s="618">
        <v>0</v>
      </c>
      <c r="J369" t="s">
        <v>3021</v>
      </c>
      <c r="K369" s="28"/>
      <c r="L369" s="20" t="s">
        <v>3016</v>
      </c>
      <c r="M369" s="20" t="b">
        <f t="shared" si="5"/>
        <v>0</v>
      </c>
    </row>
    <row r="370" spans="1:13">
      <c r="A370" s="461"/>
      <c r="B370" s="20" t="s">
        <v>3022</v>
      </c>
      <c r="C370" s="20" t="s">
        <v>3023</v>
      </c>
      <c r="D370" s="564" t="s">
        <v>1841</v>
      </c>
      <c r="E370" s="568"/>
      <c r="F370" s="564" t="s">
        <v>1841</v>
      </c>
      <c r="G370" s="568"/>
      <c r="H370" s="618">
        <v>0</v>
      </c>
      <c r="J370" t="s">
        <v>3024</v>
      </c>
      <c r="K370" s="28"/>
      <c r="L370" s="20" t="s">
        <v>3019</v>
      </c>
      <c r="M370" s="20" t="b">
        <f t="shared" si="5"/>
        <v>0</v>
      </c>
    </row>
    <row r="371" spans="1:13">
      <c r="A371" s="461"/>
      <c r="B371" s="20" t="s">
        <v>3025</v>
      </c>
      <c r="C371" s="20" t="s">
        <v>3026</v>
      </c>
      <c r="D371" s="564" t="s">
        <v>796</v>
      </c>
      <c r="E371" s="568"/>
      <c r="F371" s="564" t="s">
        <v>796</v>
      </c>
      <c r="G371" s="568"/>
      <c r="H371" s="618">
        <v>-294562</v>
      </c>
      <c r="J371" t="s">
        <v>3027</v>
      </c>
      <c r="K371" s="28"/>
      <c r="L371" s="20" t="s">
        <v>3022</v>
      </c>
      <c r="M371" s="20" t="b">
        <f t="shared" si="5"/>
        <v>0</v>
      </c>
    </row>
    <row r="372" spans="1:13">
      <c r="A372" s="461"/>
      <c r="B372" s="20" t="s">
        <v>3028</v>
      </c>
      <c r="C372" s="20" t="s">
        <v>3029</v>
      </c>
      <c r="D372" s="564" t="s">
        <v>796</v>
      </c>
      <c r="E372" s="568"/>
      <c r="F372" s="564" t="s">
        <v>796</v>
      </c>
      <c r="G372" s="568"/>
      <c r="H372" s="618">
        <v>0</v>
      </c>
      <c r="J372" t="s">
        <v>3030</v>
      </c>
      <c r="K372" s="28"/>
      <c r="L372" s="20" t="s">
        <v>3025</v>
      </c>
      <c r="M372" s="20" t="b">
        <f t="shared" si="5"/>
        <v>0</v>
      </c>
    </row>
    <row r="373" spans="1:13">
      <c r="A373" s="461"/>
      <c r="B373" s="20" t="s">
        <v>3031</v>
      </c>
      <c r="C373" s="20" t="s">
        <v>3032</v>
      </c>
      <c r="D373" s="564" t="s">
        <v>796</v>
      </c>
      <c r="E373" s="568"/>
      <c r="F373" s="564" t="s">
        <v>796</v>
      </c>
      <c r="G373" s="568"/>
      <c r="H373" s="618">
        <v>0</v>
      </c>
      <c r="J373" t="s">
        <v>3033</v>
      </c>
      <c r="K373" s="28"/>
      <c r="L373" s="20" t="s">
        <v>3028</v>
      </c>
      <c r="M373" s="20" t="b">
        <f t="shared" si="5"/>
        <v>0</v>
      </c>
    </row>
    <row r="374" spans="1:13">
      <c r="A374" s="461"/>
      <c r="B374" s="20" t="s">
        <v>3034</v>
      </c>
      <c r="C374" s="20" t="s">
        <v>3035</v>
      </c>
      <c r="D374" s="564" t="s">
        <v>796</v>
      </c>
      <c r="E374" s="568"/>
      <c r="F374" s="564" t="s">
        <v>796</v>
      </c>
      <c r="G374" s="568"/>
      <c r="H374" s="618">
        <v>0</v>
      </c>
      <c r="J374" t="s">
        <v>3036</v>
      </c>
      <c r="K374" s="28"/>
      <c r="L374" s="20" t="s">
        <v>3031</v>
      </c>
      <c r="M374" s="20" t="b">
        <f t="shared" si="5"/>
        <v>0</v>
      </c>
    </row>
    <row r="375" spans="1:13">
      <c r="A375" s="461"/>
      <c r="B375" s="20" t="s">
        <v>3037</v>
      </c>
      <c r="C375" s="20" t="s">
        <v>3038</v>
      </c>
      <c r="D375" s="564" t="s">
        <v>796</v>
      </c>
      <c r="E375" s="568"/>
      <c r="F375" s="564" t="s">
        <v>796</v>
      </c>
      <c r="G375" s="568"/>
      <c r="H375" s="618">
        <v>0</v>
      </c>
      <c r="J375" t="s">
        <v>3039</v>
      </c>
      <c r="K375" s="28"/>
      <c r="L375" s="20" t="s">
        <v>3034</v>
      </c>
      <c r="M375" s="20" t="b">
        <f t="shared" si="5"/>
        <v>0</v>
      </c>
    </row>
    <row r="376" spans="1:13">
      <c r="A376" s="461"/>
      <c r="B376" s="20" t="s">
        <v>3040</v>
      </c>
      <c r="C376" s="20" t="s">
        <v>3041</v>
      </c>
      <c r="D376" s="564" t="s">
        <v>1840</v>
      </c>
      <c r="E376" s="568"/>
      <c r="F376" s="564" t="s">
        <v>1840</v>
      </c>
      <c r="G376" s="568"/>
      <c r="H376" s="618">
        <v>-21927081</v>
      </c>
      <c r="J376" t="s">
        <v>3042</v>
      </c>
      <c r="K376" s="28"/>
      <c r="L376" s="20" t="s">
        <v>3037</v>
      </c>
      <c r="M376" s="20" t="b">
        <f t="shared" si="5"/>
        <v>0</v>
      </c>
    </row>
    <row r="377" spans="1:13">
      <c r="A377" s="461"/>
      <c r="B377" s="20" t="s">
        <v>3043</v>
      </c>
      <c r="C377" s="20" t="s">
        <v>3044</v>
      </c>
      <c r="D377" s="564" t="s">
        <v>1840</v>
      </c>
      <c r="E377" s="568"/>
      <c r="F377" s="564" t="s">
        <v>1840</v>
      </c>
      <c r="G377" s="568"/>
      <c r="H377" s="618">
        <v>0</v>
      </c>
      <c r="J377" t="s">
        <v>3045</v>
      </c>
      <c r="K377" s="28"/>
      <c r="L377" s="20" t="s">
        <v>3040</v>
      </c>
      <c r="M377" s="20" t="b">
        <f t="shared" si="5"/>
        <v>0</v>
      </c>
    </row>
    <row r="378" spans="1:13">
      <c r="A378" s="461"/>
      <c r="B378" s="20" t="s">
        <v>3046</v>
      </c>
      <c r="C378" s="20" t="s">
        <v>3047</v>
      </c>
      <c r="D378" s="564" t="s">
        <v>1840</v>
      </c>
      <c r="E378" s="568"/>
      <c r="F378" s="564" t="s">
        <v>1840</v>
      </c>
      <c r="G378" s="568"/>
      <c r="H378" s="618">
        <v>0</v>
      </c>
      <c r="J378" t="s">
        <v>3048</v>
      </c>
      <c r="K378" s="28"/>
      <c r="L378" s="20" t="s">
        <v>3043</v>
      </c>
      <c r="M378" s="20" t="b">
        <f t="shared" si="5"/>
        <v>0</v>
      </c>
    </row>
    <row r="379" spans="1:13">
      <c r="A379" s="461"/>
      <c r="B379" s="20" t="s">
        <v>3049</v>
      </c>
      <c r="C379" s="20" t="s">
        <v>3050</v>
      </c>
      <c r="D379" s="564" t="s">
        <v>1840</v>
      </c>
      <c r="E379" s="568"/>
      <c r="F379" s="564" t="s">
        <v>1840</v>
      </c>
      <c r="G379" s="568"/>
      <c r="H379" s="618">
        <v>0</v>
      </c>
      <c r="J379" t="s">
        <v>3051</v>
      </c>
      <c r="K379" s="28"/>
      <c r="L379" s="20" t="s">
        <v>3046</v>
      </c>
      <c r="M379" s="20" t="b">
        <f t="shared" si="5"/>
        <v>0</v>
      </c>
    </row>
    <row r="380" spans="1:13">
      <c r="A380" s="461"/>
      <c r="B380" s="20" t="s">
        <v>3052</v>
      </c>
      <c r="C380" s="20" t="s">
        <v>3053</v>
      </c>
      <c r="D380" s="564" t="s">
        <v>1840</v>
      </c>
      <c r="E380" s="568"/>
      <c r="F380" s="564" t="s">
        <v>1840</v>
      </c>
      <c r="G380" s="568"/>
      <c r="H380" s="618">
        <v>0</v>
      </c>
      <c r="J380" t="s">
        <v>3054</v>
      </c>
      <c r="K380" s="28"/>
      <c r="L380" s="20" t="s">
        <v>3049</v>
      </c>
      <c r="M380" s="20" t="b">
        <f t="shared" si="5"/>
        <v>0</v>
      </c>
    </row>
    <row r="381" spans="1:13">
      <c r="A381" s="461"/>
      <c r="B381" s="20" t="s">
        <v>437</v>
      </c>
      <c r="C381" s="20" t="s">
        <v>438</v>
      </c>
      <c r="D381" s="564" t="s">
        <v>796</v>
      </c>
      <c r="E381" s="568"/>
      <c r="F381" s="564" t="s">
        <v>796</v>
      </c>
      <c r="G381" s="568"/>
      <c r="H381" s="618">
        <v>0</v>
      </c>
      <c r="J381" t="s">
        <v>3027</v>
      </c>
      <c r="K381" s="28"/>
      <c r="L381" s="20" t="s">
        <v>3052</v>
      </c>
      <c r="M381" s="20" t="b">
        <f t="shared" si="5"/>
        <v>0</v>
      </c>
    </row>
    <row r="382" spans="1:13">
      <c r="A382" s="461"/>
      <c r="B382" s="20" t="s">
        <v>439</v>
      </c>
      <c r="C382" s="20" t="s">
        <v>440</v>
      </c>
      <c r="D382" s="564" t="s">
        <v>1840</v>
      </c>
      <c r="E382" s="568"/>
      <c r="F382" s="564" t="s">
        <v>1840</v>
      </c>
      <c r="G382" s="568"/>
      <c r="H382" s="618">
        <v>0</v>
      </c>
      <c r="J382" t="s">
        <v>3042</v>
      </c>
      <c r="K382" s="28"/>
      <c r="L382" s="20" t="s">
        <v>437</v>
      </c>
      <c r="M382" s="20" t="b">
        <f t="shared" si="5"/>
        <v>0</v>
      </c>
    </row>
    <row r="383" spans="1:13">
      <c r="A383" s="461"/>
      <c r="B383" s="20" t="s">
        <v>441</v>
      </c>
      <c r="C383" s="20" t="s">
        <v>442</v>
      </c>
      <c r="D383" s="564" t="s">
        <v>797</v>
      </c>
      <c r="E383" s="568"/>
      <c r="F383" s="564" t="s">
        <v>797</v>
      </c>
      <c r="G383" s="568"/>
      <c r="H383" s="618">
        <v>0</v>
      </c>
      <c r="J383" t="s">
        <v>3055</v>
      </c>
      <c r="K383" s="28"/>
      <c r="L383" s="20" t="s">
        <v>439</v>
      </c>
      <c r="M383" s="20" t="b">
        <f t="shared" si="5"/>
        <v>0</v>
      </c>
    </row>
    <row r="384" spans="1:13">
      <c r="A384" s="461"/>
      <c r="B384" s="20" t="s">
        <v>443</v>
      </c>
      <c r="C384" s="20" t="s">
        <v>444</v>
      </c>
      <c r="D384" s="564" t="s">
        <v>797</v>
      </c>
      <c r="E384" s="568"/>
      <c r="F384" s="564" t="s">
        <v>797</v>
      </c>
      <c r="G384" s="568"/>
      <c r="H384" s="618">
        <v>0</v>
      </c>
      <c r="J384" t="s">
        <v>3055</v>
      </c>
      <c r="K384" s="28"/>
      <c r="L384" s="20" t="s">
        <v>441</v>
      </c>
      <c r="M384" s="20" t="b">
        <f t="shared" si="5"/>
        <v>0</v>
      </c>
    </row>
    <row r="385" spans="1:13">
      <c r="A385" s="461"/>
      <c r="B385" s="20" t="s">
        <v>445</v>
      </c>
      <c r="C385" s="20" t="s">
        <v>446</v>
      </c>
      <c r="D385" s="564" t="s">
        <v>797</v>
      </c>
      <c r="E385" s="568"/>
      <c r="F385" s="564" t="s">
        <v>797</v>
      </c>
      <c r="G385" s="568"/>
      <c r="H385" s="618">
        <v>0</v>
      </c>
      <c r="J385" t="s">
        <v>3055</v>
      </c>
      <c r="K385" s="28"/>
      <c r="L385" s="20" t="s">
        <v>443</v>
      </c>
      <c r="M385" s="20" t="b">
        <f t="shared" si="5"/>
        <v>0</v>
      </c>
    </row>
    <row r="386" spans="1:13">
      <c r="A386" s="461"/>
      <c r="B386" s="20" t="s">
        <v>447</v>
      </c>
      <c r="C386" s="20" t="s">
        <v>448</v>
      </c>
      <c r="D386" s="564" t="s">
        <v>797</v>
      </c>
      <c r="E386" s="568"/>
      <c r="F386" s="564" t="s">
        <v>797</v>
      </c>
      <c r="G386" s="568"/>
      <c r="H386" s="618">
        <v>0</v>
      </c>
      <c r="J386" t="s">
        <v>3055</v>
      </c>
      <c r="K386" s="28"/>
      <c r="L386" s="20" t="s">
        <v>445</v>
      </c>
      <c r="M386" s="20" t="b">
        <f t="shared" si="5"/>
        <v>0</v>
      </c>
    </row>
    <row r="387" spans="1:13">
      <c r="A387" s="461"/>
      <c r="B387" s="20" t="s">
        <v>449</v>
      </c>
      <c r="C387" s="20" t="s">
        <v>450</v>
      </c>
      <c r="D387" s="564" t="s">
        <v>798</v>
      </c>
      <c r="E387" s="568"/>
      <c r="F387" s="564" t="s">
        <v>798</v>
      </c>
      <c r="G387" s="568"/>
      <c r="H387" s="618">
        <v>0</v>
      </c>
      <c r="J387" t="s">
        <v>3056</v>
      </c>
      <c r="K387" s="28"/>
      <c r="L387" s="20" t="s">
        <v>447</v>
      </c>
      <c r="M387" s="20" t="b">
        <f t="shared" si="5"/>
        <v>0</v>
      </c>
    </row>
    <row r="388" spans="1:13">
      <c r="A388" s="461"/>
      <c r="B388" s="20" t="s">
        <v>451</v>
      </c>
      <c r="C388" s="20" t="s">
        <v>452</v>
      </c>
      <c r="D388" s="564" t="s">
        <v>798</v>
      </c>
      <c r="E388" s="568"/>
      <c r="F388" s="564" t="s">
        <v>798</v>
      </c>
      <c r="G388" s="568"/>
      <c r="H388" s="618">
        <v>0</v>
      </c>
      <c r="J388" t="s">
        <v>3056</v>
      </c>
      <c r="K388" s="28"/>
      <c r="L388" s="20" t="s">
        <v>449</v>
      </c>
      <c r="M388" s="20" t="b">
        <f t="shared" si="5"/>
        <v>0</v>
      </c>
    </row>
    <row r="389" spans="1:13">
      <c r="A389" s="461"/>
      <c r="B389" s="20" t="s">
        <v>453</v>
      </c>
      <c r="C389" s="20" t="s">
        <v>454</v>
      </c>
      <c r="D389" s="564" t="s">
        <v>798</v>
      </c>
      <c r="E389" s="568"/>
      <c r="F389" s="564" t="s">
        <v>798</v>
      </c>
      <c r="G389" s="568"/>
      <c r="H389" s="618">
        <v>-681003</v>
      </c>
      <c r="J389" t="s">
        <v>3056</v>
      </c>
      <c r="K389" s="28"/>
      <c r="L389" s="20" t="s">
        <v>451</v>
      </c>
      <c r="M389" s="20" t="b">
        <f t="shared" ref="M389:M412" si="6">L389=B389</f>
        <v>0</v>
      </c>
    </row>
    <row r="390" spans="1:13">
      <c r="A390" s="461"/>
      <c r="B390" s="20" t="s">
        <v>455</v>
      </c>
      <c r="C390" s="20" t="s">
        <v>456</v>
      </c>
      <c r="D390" s="564" t="s">
        <v>798</v>
      </c>
      <c r="E390" s="568"/>
      <c r="F390" s="564" t="s">
        <v>798</v>
      </c>
      <c r="G390" s="568"/>
      <c r="H390" s="618">
        <v>0</v>
      </c>
      <c r="J390" t="s">
        <v>3056</v>
      </c>
      <c r="K390" s="28"/>
      <c r="L390" s="20" t="s">
        <v>453</v>
      </c>
      <c r="M390" s="20" t="b">
        <f t="shared" si="6"/>
        <v>0</v>
      </c>
    </row>
    <row r="391" spans="1:13">
      <c r="A391" s="461"/>
      <c r="B391" s="20" t="s">
        <v>457</v>
      </c>
      <c r="C391" s="20" t="s">
        <v>458</v>
      </c>
      <c r="D391" s="564" t="s">
        <v>1842</v>
      </c>
      <c r="E391" s="568"/>
      <c r="F391" s="564" t="s">
        <v>1842</v>
      </c>
      <c r="G391" s="568"/>
      <c r="H391" s="618">
        <v>0</v>
      </c>
      <c r="J391" t="s">
        <v>3057</v>
      </c>
      <c r="K391" s="28"/>
      <c r="L391" s="20" t="s">
        <v>455</v>
      </c>
      <c r="M391" s="20" t="b">
        <f t="shared" si="6"/>
        <v>0</v>
      </c>
    </row>
    <row r="392" spans="1:13">
      <c r="A392" s="461"/>
      <c r="B392" s="20" t="s">
        <v>459</v>
      </c>
      <c r="C392" s="20" t="s">
        <v>460</v>
      </c>
      <c r="D392" s="564" t="s">
        <v>1842</v>
      </c>
      <c r="E392" s="568"/>
      <c r="F392" s="564" t="s">
        <v>1842</v>
      </c>
      <c r="G392" s="568"/>
      <c r="H392" s="618">
        <v>-43214</v>
      </c>
      <c r="J392" t="s">
        <v>3057</v>
      </c>
      <c r="K392" s="28"/>
      <c r="L392" s="20" t="s">
        <v>457</v>
      </c>
      <c r="M392" s="20" t="b">
        <f t="shared" si="6"/>
        <v>0</v>
      </c>
    </row>
    <row r="393" spans="1:13">
      <c r="A393" s="461"/>
      <c r="B393" s="20" t="s">
        <v>461</v>
      </c>
      <c r="C393" s="20" t="s">
        <v>395</v>
      </c>
      <c r="D393" s="564" t="s">
        <v>783</v>
      </c>
      <c r="E393" s="568"/>
      <c r="F393" s="564" t="s">
        <v>783</v>
      </c>
      <c r="G393" s="568"/>
      <c r="H393" s="618">
        <v>0</v>
      </c>
      <c r="J393" t="s">
        <v>3058</v>
      </c>
      <c r="K393" s="28"/>
      <c r="L393" s="20" t="s">
        <v>459</v>
      </c>
      <c r="M393" s="20" t="b">
        <f t="shared" si="6"/>
        <v>0</v>
      </c>
    </row>
    <row r="394" spans="1:13">
      <c r="A394" s="461"/>
      <c r="B394" s="20" t="s">
        <v>462</v>
      </c>
      <c r="C394" s="20" t="s">
        <v>397</v>
      </c>
      <c r="D394" s="564" t="s">
        <v>783</v>
      </c>
      <c r="E394" s="568"/>
      <c r="F394" s="564" t="s">
        <v>783</v>
      </c>
      <c r="G394" s="568"/>
      <c r="H394" s="618">
        <v>0</v>
      </c>
      <c r="J394" t="s">
        <v>3058</v>
      </c>
      <c r="K394" s="28"/>
      <c r="L394" s="20" t="s">
        <v>461</v>
      </c>
      <c r="M394" s="20" t="b">
        <f t="shared" si="6"/>
        <v>0</v>
      </c>
    </row>
    <row r="395" spans="1:13">
      <c r="A395" s="461"/>
      <c r="B395" s="20" t="s">
        <v>463</v>
      </c>
      <c r="C395" s="20" t="s">
        <v>464</v>
      </c>
      <c r="D395" s="564" t="s">
        <v>783</v>
      </c>
      <c r="E395" s="568"/>
      <c r="F395" s="564" t="s">
        <v>783</v>
      </c>
      <c r="G395" s="568"/>
      <c r="H395" s="618">
        <v>0</v>
      </c>
      <c r="J395" t="s">
        <v>3058</v>
      </c>
      <c r="K395" s="28"/>
      <c r="L395" s="20" t="s">
        <v>462</v>
      </c>
      <c r="M395" s="20" t="b">
        <f t="shared" si="6"/>
        <v>0</v>
      </c>
    </row>
    <row r="396" spans="1:13">
      <c r="A396" s="461"/>
      <c r="B396" s="20" t="s">
        <v>465</v>
      </c>
      <c r="C396" s="20" t="s">
        <v>466</v>
      </c>
      <c r="D396" s="564" t="s">
        <v>783</v>
      </c>
      <c r="E396" s="568"/>
      <c r="F396" s="564" t="s">
        <v>783</v>
      </c>
      <c r="G396" s="568"/>
      <c r="H396" s="618">
        <v>-2717</v>
      </c>
      <c r="J396" t="s">
        <v>3058</v>
      </c>
      <c r="K396" s="28"/>
      <c r="L396" s="20" t="s">
        <v>463</v>
      </c>
      <c r="M396" s="20" t="b">
        <f t="shared" si="6"/>
        <v>0</v>
      </c>
    </row>
    <row r="397" spans="1:13">
      <c r="A397" s="461"/>
      <c r="B397" s="20" t="s">
        <v>467</v>
      </c>
      <c r="C397" s="20" t="s">
        <v>411</v>
      </c>
      <c r="D397" s="564" t="s">
        <v>783</v>
      </c>
      <c r="E397" s="568"/>
      <c r="F397" s="564" t="s">
        <v>783</v>
      </c>
      <c r="G397" s="568"/>
      <c r="H397" s="618">
        <v>0</v>
      </c>
      <c r="J397" t="s">
        <v>3058</v>
      </c>
      <c r="K397" s="28"/>
      <c r="L397" s="20" t="s">
        <v>465</v>
      </c>
      <c r="M397" s="20" t="b">
        <f t="shared" si="6"/>
        <v>0</v>
      </c>
    </row>
    <row r="398" spans="1:13">
      <c r="A398" s="461"/>
      <c r="B398" s="20" t="s">
        <v>468</v>
      </c>
      <c r="C398" s="20" t="s">
        <v>469</v>
      </c>
      <c r="D398" s="564" t="s">
        <v>783</v>
      </c>
      <c r="E398" s="568"/>
      <c r="F398" s="564" t="s">
        <v>783</v>
      </c>
      <c r="G398" s="568"/>
      <c r="H398" s="618">
        <v>0</v>
      </c>
      <c r="J398" t="s">
        <v>3058</v>
      </c>
      <c r="K398" s="28"/>
      <c r="L398" s="20" t="s">
        <v>467</v>
      </c>
      <c r="M398" s="20" t="b">
        <f t="shared" si="6"/>
        <v>0</v>
      </c>
    </row>
    <row r="399" spans="1:13">
      <c r="B399" s="20" t="s">
        <v>470</v>
      </c>
      <c r="C399" s="20" t="s">
        <v>2189</v>
      </c>
      <c r="D399" s="564" t="s">
        <v>802</v>
      </c>
      <c r="E399" s="568"/>
      <c r="F399" s="564" t="s">
        <v>802</v>
      </c>
      <c r="G399" s="568"/>
      <c r="H399" s="618">
        <v>0</v>
      </c>
      <c r="J399" t="s">
        <v>3059</v>
      </c>
      <c r="L399" s="20" t="s">
        <v>468</v>
      </c>
      <c r="M399" s="20" t="b">
        <f t="shared" si="6"/>
        <v>0</v>
      </c>
    </row>
    <row r="400" spans="1:13">
      <c r="B400" s="20" t="s">
        <v>2377</v>
      </c>
      <c r="C400" s="20" t="s">
        <v>2378</v>
      </c>
      <c r="D400" s="565" t="s">
        <v>2798</v>
      </c>
      <c r="E400" s="569"/>
      <c r="F400" s="565" t="s">
        <v>2798</v>
      </c>
      <c r="G400" s="568"/>
      <c r="H400" s="618">
        <v>-566019</v>
      </c>
      <c r="J400" t="s">
        <v>3060</v>
      </c>
      <c r="L400" s="20" t="s">
        <v>470</v>
      </c>
      <c r="M400" s="20" t="b">
        <f t="shared" si="6"/>
        <v>0</v>
      </c>
    </row>
    <row r="401" spans="2:13">
      <c r="B401" s="20" t="s">
        <v>2379</v>
      </c>
      <c r="C401" s="20" t="s">
        <v>2380</v>
      </c>
      <c r="D401" s="564" t="s">
        <v>790</v>
      </c>
      <c r="E401" s="568"/>
      <c r="F401" s="564" t="s">
        <v>790</v>
      </c>
      <c r="G401" s="568"/>
      <c r="H401" s="618">
        <v>-89157</v>
      </c>
      <c r="J401" t="s">
        <v>3061</v>
      </c>
      <c r="L401" s="20" t="s">
        <v>2377</v>
      </c>
      <c r="M401" s="20" t="b">
        <f t="shared" si="6"/>
        <v>0</v>
      </c>
    </row>
    <row r="402" spans="2:13">
      <c r="B402" s="20" t="s">
        <v>471</v>
      </c>
      <c r="C402" s="20" t="s">
        <v>472</v>
      </c>
      <c r="D402" s="564" t="s">
        <v>803</v>
      </c>
      <c r="E402" s="568"/>
      <c r="F402" s="564" t="s">
        <v>803</v>
      </c>
      <c r="G402" s="568"/>
      <c r="H402" s="618">
        <v>-185330</v>
      </c>
      <c r="J402" t="s">
        <v>3062</v>
      </c>
      <c r="L402" s="20" t="s">
        <v>2379</v>
      </c>
      <c r="M402" s="20" t="b">
        <f t="shared" si="6"/>
        <v>0</v>
      </c>
    </row>
    <row r="403" spans="2:13">
      <c r="B403" s="20" t="s">
        <v>473</v>
      </c>
      <c r="C403" s="20" t="s">
        <v>474</v>
      </c>
      <c r="D403" s="564" t="s">
        <v>792</v>
      </c>
      <c r="E403" s="568"/>
      <c r="F403" s="564" t="s">
        <v>792</v>
      </c>
      <c r="G403" s="568"/>
      <c r="H403" s="618">
        <v>0</v>
      </c>
      <c r="J403" t="s">
        <v>3063</v>
      </c>
      <c r="L403" s="20" t="s">
        <v>471</v>
      </c>
      <c r="M403" s="20" t="b">
        <f t="shared" si="6"/>
        <v>0</v>
      </c>
    </row>
    <row r="404" spans="2:13">
      <c r="B404" s="20" t="s">
        <v>2381</v>
      </c>
      <c r="C404" s="20" t="s">
        <v>2382</v>
      </c>
      <c r="D404" s="565" t="s">
        <v>2799</v>
      </c>
      <c r="E404" s="569"/>
      <c r="F404" s="565" t="s">
        <v>2799</v>
      </c>
      <c r="G404" s="568"/>
      <c r="H404" s="618">
        <v>0</v>
      </c>
      <c r="J404" t="s">
        <v>3064</v>
      </c>
      <c r="L404" s="20" t="s">
        <v>473</v>
      </c>
      <c r="M404" s="20" t="b">
        <f t="shared" si="6"/>
        <v>0</v>
      </c>
    </row>
    <row r="405" spans="2:13">
      <c r="B405" s="20" t="s">
        <v>2383</v>
      </c>
      <c r="C405" s="20" t="s">
        <v>2384</v>
      </c>
      <c r="D405" s="565" t="s">
        <v>2800</v>
      </c>
      <c r="E405" s="569"/>
      <c r="F405" s="565" t="s">
        <v>2800</v>
      </c>
      <c r="G405" s="568"/>
      <c r="H405" s="618">
        <v>0</v>
      </c>
      <c r="J405" t="s">
        <v>3065</v>
      </c>
      <c r="L405" s="20" t="s">
        <v>2381</v>
      </c>
      <c r="M405" s="20" t="b">
        <f t="shared" si="6"/>
        <v>0</v>
      </c>
    </row>
    <row r="406" spans="2:13">
      <c r="B406" s="20" t="s">
        <v>475</v>
      </c>
      <c r="C406" s="20" t="s">
        <v>2385</v>
      </c>
      <c r="D406" s="564" t="s">
        <v>791</v>
      </c>
      <c r="E406" s="568"/>
      <c r="F406" s="564" t="s">
        <v>791</v>
      </c>
      <c r="G406" s="568"/>
      <c r="H406" s="618">
        <v>0</v>
      </c>
      <c r="J406" t="s">
        <v>3066</v>
      </c>
      <c r="L406" s="20" t="s">
        <v>2383</v>
      </c>
      <c r="M406" s="20" t="b">
        <f t="shared" si="6"/>
        <v>0</v>
      </c>
    </row>
    <row r="407" spans="2:13">
      <c r="B407" s="20" t="s">
        <v>2386</v>
      </c>
      <c r="C407" s="20" t="s">
        <v>2387</v>
      </c>
      <c r="D407" s="565" t="s">
        <v>2801</v>
      </c>
      <c r="E407" s="569"/>
      <c r="F407" s="565" t="s">
        <v>2801</v>
      </c>
      <c r="G407" s="568"/>
      <c r="H407" s="618">
        <v>0</v>
      </c>
      <c r="J407" t="s">
        <v>3067</v>
      </c>
      <c r="L407" s="20" t="s">
        <v>475</v>
      </c>
      <c r="M407" s="20" t="b">
        <f t="shared" si="6"/>
        <v>0</v>
      </c>
    </row>
    <row r="408" spans="2:13">
      <c r="B408" s="20" t="s">
        <v>2388</v>
      </c>
      <c r="C408" s="20" t="s">
        <v>2389</v>
      </c>
      <c r="D408" s="565" t="s">
        <v>2802</v>
      </c>
      <c r="E408" s="569"/>
      <c r="F408" s="565" t="s">
        <v>2802</v>
      </c>
      <c r="G408" s="568"/>
      <c r="H408" s="618">
        <v>0</v>
      </c>
      <c r="J408" t="s">
        <v>3068</v>
      </c>
      <c r="L408" s="20" t="s">
        <v>2386</v>
      </c>
      <c r="M408" s="20" t="b">
        <f t="shared" si="6"/>
        <v>0</v>
      </c>
    </row>
    <row r="409" spans="2:13">
      <c r="B409" s="20" t="s">
        <v>2390</v>
      </c>
      <c r="C409" s="20" t="s">
        <v>2391</v>
      </c>
      <c r="D409" s="564" t="s">
        <v>801</v>
      </c>
      <c r="E409" s="568"/>
      <c r="F409" s="564" t="s">
        <v>801</v>
      </c>
      <c r="G409" s="568"/>
      <c r="H409" s="618">
        <v>0</v>
      </c>
      <c r="J409" t="s">
        <v>3069</v>
      </c>
      <c r="L409" s="20" t="s">
        <v>2388</v>
      </c>
      <c r="M409" s="20" t="b">
        <f t="shared" si="6"/>
        <v>0</v>
      </c>
    </row>
    <row r="410" spans="2:13">
      <c r="B410" s="20" t="s">
        <v>476</v>
      </c>
      <c r="C410" s="20" t="s">
        <v>477</v>
      </c>
      <c r="D410" s="564" t="s">
        <v>792</v>
      </c>
      <c r="E410" s="568"/>
      <c r="F410" s="564" t="s">
        <v>792</v>
      </c>
      <c r="G410" s="568"/>
      <c r="H410" s="618">
        <v>0</v>
      </c>
      <c r="J410" t="s">
        <v>3063</v>
      </c>
      <c r="L410" s="20" t="s">
        <v>2390</v>
      </c>
      <c r="M410" s="20" t="b">
        <f t="shared" si="6"/>
        <v>0</v>
      </c>
    </row>
    <row r="411" spans="2:13">
      <c r="B411" s="20" t="s">
        <v>478</v>
      </c>
      <c r="C411" s="20" t="s">
        <v>479</v>
      </c>
      <c r="D411" s="564" t="s">
        <v>806</v>
      </c>
      <c r="E411" s="568"/>
      <c r="F411" s="564" t="s">
        <v>806</v>
      </c>
      <c r="G411" s="568"/>
      <c r="H411" s="618">
        <v>-89416</v>
      </c>
      <c r="J411" t="s">
        <v>3070</v>
      </c>
      <c r="L411" s="20" t="s">
        <v>476</v>
      </c>
      <c r="M411" s="20" t="b">
        <f t="shared" si="6"/>
        <v>0</v>
      </c>
    </row>
    <row r="412" spans="2:13">
      <c r="H412"/>
      <c r="J412" s="20"/>
      <c r="L412" s="20" t="s">
        <v>478</v>
      </c>
      <c r="M412" s="20" t="b">
        <f t="shared" si="6"/>
        <v>0</v>
      </c>
    </row>
    <row r="413" spans="2:13">
      <c r="H413" s="20"/>
      <c r="J413" s="20"/>
    </row>
    <row r="414" spans="2:13">
      <c r="H414" s="20"/>
      <c r="J414" s="20"/>
    </row>
    <row r="415" spans="2:13">
      <c r="H415" s="20"/>
      <c r="J415" s="20"/>
    </row>
    <row r="416" spans="2:13">
      <c r="H416" s="20"/>
      <c r="J416" s="20"/>
    </row>
    <row r="417" spans="8:10">
      <c r="H417" s="20"/>
      <c r="J417" s="20"/>
    </row>
    <row r="418" spans="8:10">
      <c r="H418" s="463"/>
      <c r="J418" s="20"/>
    </row>
    <row r="419" spans="8:10">
      <c r="H419" s="463"/>
      <c r="J419" s="20"/>
    </row>
    <row r="420" spans="8:10">
      <c r="H420" s="463"/>
      <c r="J420" s="20"/>
    </row>
    <row r="421" spans="8:10">
      <c r="H421" s="463"/>
      <c r="J421" s="20"/>
    </row>
    <row r="422" spans="8:10">
      <c r="H422" s="463"/>
      <c r="J422" s="20"/>
    </row>
    <row r="423" spans="8:10">
      <c r="H423" s="463"/>
      <c r="J423" s="20"/>
    </row>
    <row r="430" spans="8:10">
      <c r="J430" s="25"/>
    </row>
  </sheetData>
  <autoFilter ref="B4:H428" xr:uid="{00000000-0009-0000-0000-000005000000}"/>
  <mergeCells count="1">
    <mergeCell ref="G3:H3"/>
  </mergeCells>
  <pageMargins left="0.78740157480314965" right="0.78740157480314965" top="1.1811023622047245" bottom="0.78740157480314965" header="0.39370078740157483" footer="0.3937007874015748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C072-A066-4382-AAEE-E339065B9670}">
  <dimension ref="A1:I545"/>
  <sheetViews>
    <sheetView topLeftCell="C1" workbookViewId="0">
      <selection activeCell="I3" sqref="I3:I409"/>
    </sheetView>
  </sheetViews>
  <sheetFormatPr defaultColWidth="8.7109375" defaultRowHeight="12"/>
  <cols>
    <col min="1" max="1" width="8.7109375" style="613"/>
    <col min="2" max="2" width="44.140625" style="613" bestFit="1" customWidth="1"/>
    <col min="3" max="3" width="11.5703125" style="613" bestFit="1" customWidth="1"/>
    <col min="4" max="5" width="8.7109375" style="613"/>
    <col min="6" max="6" width="7.85546875" style="613" bestFit="1" customWidth="1"/>
    <col min="7" max="7" width="82.140625" style="613" bestFit="1" customWidth="1"/>
    <col min="8" max="8" width="19" style="613" customWidth="1"/>
    <col min="9" max="9" width="13.7109375" style="613" customWidth="1"/>
    <col min="10" max="16384" width="8.7109375" style="613"/>
  </cols>
  <sheetData>
    <row r="1" spans="1:9">
      <c r="A1" s="612" t="s">
        <v>3830</v>
      </c>
      <c r="E1" s="612" t="s">
        <v>3938</v>
      </c>
    </row>
    <row r="2" spans="1:9" ht="24.75" thickBot="1">
      <c r="A2" s="609" t="s">
        <v>3652</v>
      </c>
      <c r="B2" s="609" t="s">
        <v>3113</v>
      </c>
      <c r="C2" s="621"/>
      <c r="E2" s="614" t="s">
        <v>480</v>
      </c>
      <c r="F2" s="614" t="s">
        <v>480</v>
      </c>
      <c r="G2" s="614" t="s">
        <v>481</v>
      </c>
      <c r="H2" s="615" t="s">
        <v>3831</v>
      </c>
      <c r="I2" s="615" t="s">
        <v>3939</v>
      </c>
    </row>
    <row r="3" spans="1:9" ht="12.75" thickTop="1">
      <c r="A3" s="620" t="s">
        <v>1551</v>
      </c>
      <c r="B3" s="611">
        <v>24946.799999999999</v>
      </c>
      <c r="C3" s="611"/>
      <c r="E3" s="616" t="s">
        <v>1550</v>
      </c>
      <c r="F3" s="617" t="s">
        <v>0</v>
      </c>
      <c r="G3" s="617" t="s">
        <v>1</v>
      </c>
      <c r="H3" s="619">
        <v>0</v>
      </c>
      <c r="I3" s="618">
        <v>0</v>
      </c>
    </row>
    <row r="4" spans="1:9">
      <c r="A4" s="620" t="s">
        <v>1552</v>
      </c>
      <c r="B4" s="611">
        <v>2500</v>
      </c>
      <c r="C4" s="611"/>
      <c r="E4" s="616" t="s">
        <v>1551</v>
      </c>
      <c r="F4" s="617" t="s">
        <v>2</v>
      </c>
      <c r="G4" s="617" t="s">
        <v>3</v>
      </c>
      <c r="H4" s="619">
        <v>24946.799999999999</v>
      </c>
      <c r="I4" s="618">
        <v>24947</v>
      </c>
    </row>
    <row r="5" spans="1:9">
      <c r="A5" s="620" t="s">
        <v>1563</v>
      </c>
      <c r="B5" s="611">
        <v>0</v>
      </c>
      <c r="C5" s="611"/>
      <c r="E5" s="616" t="s">
        <v>1552</v>
      </c>
      <c r="F5" s="617" t="s">
        <v>4</v>
      </c>
      <c r="G5" s="617" t="s">
        <v>5</v>
      </c>
      <c r="H5" s="619">
        <v>2500</v>
      </c>
      <c r="I5" s="618">
        <v>2500</v>
      </c>
    </row>
    <row r="6" spans="1:9">
      <c r="A6" s="620" t="s">
        <v>1564</v>
      </c>
      <c r="B6" s="611">
        <v>106757.1</v>
      </c>
      <c r="C6" s="611"/>
      <c r="E6" s="616" t="s">
        <v>1555</v>
      </c>
      <c r="F6" s="617" t="s">
        <v>6</v>
      </c>
      <c r="G6" s="617" t="s">
        <v>7</v>
      </c>
      <c r="H6" s="619">
        <v>0</v>
      </c>
      <c r="I6" s="618">
        <v>0</v>
      </c>
    </row>
    <row r="7" spans="1:9">
      <c r="A7" s="620" t="s">
        <v>1579</v>
      </c>
      <c r="B7" s="611">
        <v>0</v>
      </c>
      <c r="C7" s="611"/>
      <c r="E7" s="616" t="s">
        <v>1560</v>
      </c>
      <c r="F7" s="617" t="s">
        <v>8</v>
      </c>
      <c r="G7" s="617" t="s">
        <v>2192</v>
      </c>
      <c r="H7" s="619">
        <v>0</v>
      </c>
      <c r="I7" s="618">
        <v>0</v>
      </c>
    </row>
    <row r="8" spans="1:9">
      <c r="A8" s="620" t="s">
        <v>1590</v>
      </c>
      <c r="B8" s="611">
        <v>937791.53</v>
      </c>
      <c r="C8" s="611"/>
      <c r="E8" s="616" t="s">
        <v>1563</v>
      </c>
      <c r="F8" s="617" t="s">
        <v>9</v>
      </c>
      <c r="G8" s="617" t="s">
        <v>10</v>
      </c>
      <c r="H8" s="619">
        <v>0</v>
      </c>
      <c r="I8" s="618">
        <v>0</v>
      </c>
    </row>
    <row r="9" spans="1:9">
      <c r="A9" s="620" t="s">
        <v>1593</v>
      </c>
      <c r="B9" s="611">
        <v>0</v>
      </c>
      <c r="C9" s="611"/>
      <c r="E9" s="616" t="s">
        <v>1564</v>
      </c>
      <c r="F9" s="617" t="s">
        <v>11</v>
      </c>
      <c r="G9" s="617" t="s">
        <v>12</v>
      </c>
      <c r="H9" s="619">
        <v>106757.1</v>
      </c>
      <c r="I9" s="618">
        <v>106757</v>
      </c>
    </row>
    <row r="10" spans="1:9">
      <c r="A10" s="620" t="s">
        <v>1609</v>
      </c>
      <c r="B10" s="611">
        <v>0</v>
      </c>
      <c r="C10" s="611"/>
      <c r="E10" s="616" t="s">
        <v>1568</v>
      </c>
      <c r="F10" s="617" t="s">
        <v>13</v>
      </c>
      <c r="G10" s="617" t="s">
        <v>14</v>
      </c>
      <c r="H10" s="619">
        <v>0</v>
      </c>
      <c r="I10" s="618">
        <v>0</v>
      </c>
    </row>
    <row r="11" spans="1:9">
      <c r="A11" s="620" t="s">
        <v>1621</v>
      </c>
      <c r="B11" s="611">
        <v>40404123.939999998</v>
      </c>
      <c r="C11" s="611"/>
      <c r="E11" s="616" t="s">
        <v>1569</v>
      </c>
      <c r="F11" s="617" t="s">
        <v>15</v>
      </c>
      <c r="G11" s="617" t="s">
        <v>16</v>
      </c>
      <c r="H11" s="619">
        <v>0</v>
      </c>
      <c r="I11" s="618">
        <v>0</v>
      </c>
    </row>
    <row r="12" spans="1:9">
      <c r="A12" s="620" t="s">
        <v>1637</v>
      </c>
      <c r="B12" s="611">
        <v>-9533.3700000000008</v>
      </c>
      <c r="C12" s="611"/>
      <c r="E12" s="616" t="s">
        <v>1575</v>
      </c>
      <c r="F12" s="617" t="s">
        <v>17</v>
      </c>
      <c r="G12" s="617" t="s">
        <v>2193</v>
      </c>
      <c r="H12" s="619">
        <v>0</v>
      </c>
      <c r="I12" s="618">
        <v>0</v>
      </c>
    </row>
    <row r="13" spans="1:9">
      <c r="A13" s="620" t="s">
        <v>1639</v>
      </c>
      <c r="B13" s="611">
        <v>-763.84</v>
      </c>
      <c r="C13" s="611"/>
      <c r="E13" s="616" t="s">
        <v>1579</v>
      </c>
      <c r="F13" s="617" t="s">
        <v>18</v>
      </c>
      <c r="G13" s="617" t="s">
        <v>19</v>
      </c>
      <c r="H13" s="619">
        <v>0</v>
      </c>
      <c r="I13" s="618">
        <v>0</v>
      </c>
    </row>
    <row r="14" spans="1:9">
      <c r="A14" s="620" t="s">
        <v>1647</v>
      </c>
      <c r="B14" s="611">
        <v>0</v>
      </c>
      <c r="C14" s="611"/>
      <c r="E14" s="616" t="s">
        <v>1581</v>
      </c>
      <c r="F14" s="617" t="s">
        <v>20</v>
      </c>
      <c r="G14" s="617" t="s">
        <v>21</v>
      </c>
      <c r="H14" s="619">
        <v>0</v>
      </c>
      <c r="I14" s="618">
        <v>0</v>
      </c>
    </row>
    <row r="15" spans="1:9">
      <c r="A15" s="620" t="s">
        <v>1648</v>
      </c>
      <c r="B15" s="611">
        <v>-4104.1100000000006</v>
      </c>
      <c r="C15" s="611"/>
      <c r="E15" s="616" t="s">
        <v>1590</v>
      </c>
      <c r="F15" s="617" t="s">
        <v>22</v>
      </c>
      <c r="G15" s="617" t="s">
        <v>23</v>
      </c>
      <c r="H15" s="619">
        <v>937791.53</v>
      </c>
      <c r="I15" s="618">
        <v>937792</v>
      </c>
    </row>
    <row r="16" spans="1:9">
      <c r="A16" s="620" t="s">
        <v>619</v>
      </c>
      <c r="B16" s="611">
        <v>0</v>
      </c>
      <c r="C16" s="611"/>
      <c r="E16" s="616" t="s">
        <v>1593</v>
      </c>
      <c r="F16" s="617" t="s">
        <v>24</v>
      </c>
      <c r="G16" s="617" t="s">
        <v>25</v>
      </c>
      <c r="H16" s="619">
        <v>0</v>
      </c>
      <c r="I16" s="618">
        <v>0</v>
      </c>
    </row>
    <row r="17" spans="1:9">
      <c r="A17" s="620" t="s">
        <v>621</v>
      </c>
      <c r="B17" s="611">
        <v>1018840.48</v>
      </c>
      <c r="C17" s="611"/>
      <c r="E17" s="616" t="s">
        <v>1597</v>
      </c>
      <c r="F17" s="617" t="s">
        <v>26</v>
      </c>
      <c r="G17" s="617" t="s">
        <v>2194</v>
      </c>
      <c r="H17" s="619">
        <v>0</v>
      </c>
      <c r="I17" s="618">
        <v>0</v>
      </c>
    </row>
    <row r="18" spans="1:9">
      <c r="A18" s="620" t="s">
        <v>634</v>
      </c>
      <c r="B18" s="611">
        <v>0</v>
      </c>
      <c r="C18" s="611"/>
      <c r="E18" s="616" t="s">
        <v>1608</v>
      </c>
      <c r="F18" s="617" t="s">
        <v>27</v>
      </c>
      <c r="G18" s="617" t="s">
        <v>2195</v>
      </c>
      <c r="H18" s="619">
        <v>0</v>
      </c>
      <c r="I18" s="618">
        <v>0</v>
      </c>
    </row>
    <row r="19" spans="1:9">
      <c r="A19" s="620" t="s">
        <v>638</v>
      </c>
      <c r="B19" s="611">
        <v>0</v>
      </c>
      <c r="C19" s="611"/>
      <c r="E19" s="616" t="s">
        <v>1609</v>
      </c>
      <c r="F19" s="617" t="s">
        <v>28</v>
      </c>
      <c r="G19" s="617" t="s">
        <v>2196</v>
      </c>
      <c r="H19" s="619">
        <v>0</v>
      </c>
      <c r="I19" s="618">
        <v>0</v>
      </c>
    </row>
    <row r="20" spans="1:9">
      <c r="A20" s="620" t="s">
        <v>640</v>
      </c>
      <c r="B20" s="611">
        <v>0</v>
      </c>
      <c r="C20" s="611"/>
      <c r="E20" s="616" t="s">
        <v>1610</v>
      </c>
      <c r="F20" s="617" t="s">
        <v>29</v>
      </c>
      <c r="G20" s="617" t="s">
        <v>2197</v>
      </c>
      <c r="H20" s="619">
        <v>0</v>
      </c>
      <c r="I20" s="618">
        <v>0</v>
      </c>
    </row>
    <row r="21" spans="1:9">
      <c r="A21" s="620" t="s">
        <v>642</v>
      </c>
      <c r="B21" s="611">
        <v>0</v>
      </c>
      <c r="C21" s="611"/>
      <c r="E21" s="616" t="s">
        <v>1621</v>
      </c>
      <c r="F21" s="617" t="s">
        <v>30</v>
      </c>
      <c r="G21" s="617" t="s">
        <v>31</v>
      </c>
      <c r="H21" s="619">
        <v>40404123.939999998</v>
      </c>
      <c r="I21" s="618">
        <v>40404124</v>
      </c>
    </row>
    <row r="22" spans="1:9">
      <c r="A22" s="620" t="s">
        <v>1702</v>
      </c>
      <c r="B22" s="611">
        <v>0</v>
      </c>
      <c r="C22" s="611"/>
      <c r="E22" s="616" t="s">
        <v>1622</v>
      </c>
      <c r="F22" s="617" t="s">
        <v>2198</v>
      </c>
      <c r="G22" s="617" t="s">
        <v>2199</v>
      </c>
      <c r="H22" s="619">
        <v>0</v>
      </c>
      <c r="I22" s="618">
        <v>0</v>
      </c>
    </row>
    <row r="23" spans="1:9">
      <c r="A23" s="620" t="s">
        <v>1704</v>
      </c>
      <c r="B23" s="611">
        <v>176880</v>
      </c>
      <c r="C23" s="611"/>
      <c r="E23" s="616" t="s">
        <v>1622</v>
      </c>
      <c r="F23" s="617" t="s">
        <v>2200</v>
      </c>
      <c r="G23" s="617" t="s">
        <v>2201</v>
      </c>
      <c r="H23" s="619">
        <v>0</v>
      </c>
      <c r="I23" s="618">
        <v>0</v>
      </c>
    </row>
    <row r="24" spans="1:9">
      <c r="A24" s="620" t="s">
        <v>1715</v>
      </c>
      <c r="B24" s="611">
        <v>0</v>
      </c>
      <c r="C24" s="611"/>
      <c r="E24" s="616" t="s">
        <v>1623</v>
      </c>
      <c r="F24" s="617" t="s">
        <v>2202</v>
      </c>
      <c r="G24" s="617" t="s">
        <v>2203</v>
      </c>
      <c r="H24" s="619">
        <v>0</v>
      </c>
      <c r="I24" s="618">
        <v>0</v>
      </c>
    </row>
    <row r="25" spans="1:9">
      <c r="A25" s="620" t="s">
        <v>3653</v>
      </c>
      <c r="B25" s="611">
        <v>0</v>
      </c>
      <c r="C25" s="611"/>
      <c r="E25" s="616" t="s">
        <v>1623</v>
      </c>
      <c r="F25" s="617" t="s">
        <v>2204</v>
      </c>
      <c r="G25" s="617" t="s">
        <v>2205</v>
      </c>
      <c r="H25" s="619">
        <v>0</v>
      </c>
      <c r="I25" s="618">
        <v>0</v>
      </c>
    </row>
    <row r="26" spans="1:9">
      <c r="A26" s="620" t="s">
        <v>3654</v>
      </c>
      <c r="B26" s="611">
        <v>0</v>
      </c>
      <c r="C26" s="611"/>
      <c r="E26" s="616" t="s">
        <v>1625</v>
      </c>
      <c r="F26" s="617" t="s">
        <v>32</v>
      </c>
      <c r="G26" s="617" t="s">
        <v>33</v>
      </c>
      <c r="H26" s="619">
        <v>0</v>
      </c>
      <c r="I26" s="618">
        <v>0</v>
      </c>
    </row>
    <row r="27" spans="1:9">
      <c r="A27" s="620" t="s">
        <v>3655</v>
      </c>
      <c r="B27" s="611">
        <v>0</v>
      </c>
      <c r="C27" s="611"/>
      <c r="E27" s="616" t="s">
        <v>1626</v>
      </c>
      <c r="F27" s="617" t="s">
        <v>2206</v>
      </c>
      <c r="G27" s="617" t="s">
        <v>2207</v>
      </c>
      <c r="H27" s="619">
        <v>0</v>
      </c>
      <c r="I27" s="618">
        <v>0</v>
      </c>
    </row>
    <row r="28" spans="1:9">
      <c r="A28" s="620" t="s">
        <v>3656</v>
      </c>
      <c r="B28" s="611">
        <v>593.9</v>
      </c>
      <c r="C28" s="611"/>
      <c r="E28" s="616" t="s">
        <v>1626</v>
      </c>
      <c r="F28" s="617" t="s">
        <v>2208</v>
      </c>
      <c r="G28" s="617" t="s">
        <v>2209</v>
      </c>
      <c r="H28" s="619">
        <v>0</v>
      </c>
      <c r="I28" s="618">
        <v>0</v>
      </c>
    </row>
    <row r="29" spans="1:9">
      <c r="A29" s="620" t="s">
        <v>3657</v>
      </c>
      <c r="B29" s="611">
        <v>216.3</v>
      </c>
      <c r="C29" s="611"/>
      <c r="E29" s="616" t="s">
        <v>1626</v>
      </c>
      <c r="F29" s="617" t="s">
        <v>2210</v>
      </c>
      <c r="G29" s="617" t="s">
        <v>2211</v>
      </c>
      <c r="H29" s="619">
        <v>0</v>
      </c>
      <c r="I29" s="618">
        <v>0</v>
      </c>
    </row>
    <row r="30" spans="1:9">
      <c r="A30" s="620" t="s">
        <v>3658</v>
      </c>
      <c r="B30" s="611">
        <v>-1213317.0400000005</v>
      </c>
      <c r="C30" s="611"/>
      <c r="E30" s="616" t="s">
        <v>1628</v>
      </c>
      <c r="F30" s="617" t="s">
        <v>34</v>
      </c>
      <c r="G30" s="617" t="s">
        <v>35</v>
      </c>
      <c r="H30" s="619">
        <v>0</v>
      </c>
      <c r="I30" s="618">
        <v>0</v>
      </c>
    </row>
    <row r="31" spans="1:9">
      <c r="A31" s="620" t="s">
        <v>3659</v>
      </c>
      <c r="B31" s="611">
        <v>0</v>
      </c>
      <c r="C31" s="611"/>
      <c r="E31" s="616" t="s">
        <v>1628</v>
      </c>
      <c r="F31" s="617" t="s">
        <v>36</v>
      </c>
      <c r="G31" s="617" t="s">
        <v>37</v>
      </c>
      <c r="H31" s="619">
        <v>0</v>
      </c>
      <c r="I31" s="618">
        <v>0</v>
      </c>
    </row>
    <row r="32" spans="1:9">
      <c r="A32" s="620" t="s">
        <v>3660</v>
      </c>
      <c r="B32" s="611">
        <v>0</v>
      </c>
      <c r="C32" s="611"/>
      <c r="E32" s="616" t="s">
        <v>1631</v>
      </c>
      <c r="F32" s="617" t="s">
        <v>38</v>
      </c>
      <c r="G32" s="617" t="s">
        <v>2212</v>
      </c>
      <c r="H32" s="619">
        <v>0</v>
      </c>
      <c r="I32" s="618">
        <v>0</v>
      </c>
    </row>
    <row r="33" spans="1:9">
      <c r="A33" s="620" t="s">
        <v>3661</v>
      </c>
      <c r="B33" s="611">
        <v>2012816.78</v>
      </c>
      <c r="C33" s="611"/>
      <c r="E33" s="616" t="s">
        <v>1631</v>
      </c>
      <c r="F33" s="617" t="s">
        <v>39</v>
      </c>
      <c r="G33" s="617" t="s">
        <v>2213</v>
      </c>
      <c r="H33" s="619">
        <v>0</v>
      </c>
      <c r="I33" s="618">
        <v>0</v>
      </c>
    </row>
    <row r="34" spans="1:9">
      <c r="A34" s="620" t="s">
        <v>3662</v>
      </c>
      <c r="B34" s="611">
        <v>219518.27</v>
      </c>
      <c r="C34" s="611"/>
      <c r="E34" s="616" t="s">
        <v>1636</v>
      </c>
      <c r="F34" s="617" t="s">
        <v>40</v>
      </c>
      <c r="G34" s="617" t="s">
        <v>41</v>
      </c>
      <c r="H34" s="619">
        <v>0</v>
      </c>
      <c r="I34" s="618">
        <v>0</v>
      </c>
    </row>
    <row r="35" spans="1:9">
      <c r="A35" s="620" t="s">
        <v>3663</v>
      </c>
      <c r="B35" s="611">
        <v>1995353.04</v>
      </c>
      <c r="C35" s="611"/>
      <c r="E35" s="616" t="s">
        <v>1637</v>
      </c>
      <c r="F35" s="617" t="s">
        <v>42</v>
      </c>
      <c r="G35" s="617" t="s">
        <v>43</v>
      </c>
      <c r="H35" s="619">
        <v>-9533.3700000000008</v>
      </c>
      <c r="I35" s="618">
        <v>-9533</v>
      </c>
    </row>
    <row r="36" spans="1:9">
      <c r="A36" s="620" t="s">
        <v>3664</v>
      </c>
      <c r="B36" s="611">
        <v>-1249824.9300000002</v>
      </c>
      <c r="C36" s="611"/>
      <c r="E36" s="616" t="s">
        <v>1639</v>
      </c>
      <c r="F36" s="617" t="s">
        <v>44</v>
      </c>
      <c r="G36" s="617" t="s">
        <v>45</v>
      </c>
      <c r="H36" s="619">
        <v>-763.84</v>
      </c>
      <c r="I36" s="618">
        <v>-764</v>
      </c>
    </row>
    <row r="37" spans="1:9">
      <c r="A37" s="620" t="s">
        <v>3665</v>
      </c>
      <c r="B37" s="611">
        <v>-238440.95</v>
      </c>
      <c r="C37" s="611"/>
      <c r="E37" s="616" t="s">
        <v>1640</v>
      </c>
      <c r="F37" s="617" t="s">
        <v>46</v>
      </c>
      <c r="G37" s="617" t="s">
        <v>47</v>
      </c>
      <c r="H37" s="619">
        <v>0</v>
      </c>
      <c r="I37" s="618">
        <v>0</v>
      </c>
    </row>
    <row r="38" spans="1:9">
      <c r="A38" s="620" t="s">
        <v>3666</v>
      </c>
      <c r="B38" s="611">
        <v>-80812.820000000007</v>
      </c>
      <c r="C38" s="611"/>
      <c r="E38" s="616" t="s">
        <v>1645</v>
      </c>
      <c r="F38" s="617" t="s">
        <v>48</v>
      </c>
      <c r="G38" s="617" t="s">
        <v>49</v>
      </c>
      <c r="H38" s="619">
        <v>0</v>
      </c>
      <c r="I38" s="618">
        <v>0</v>
      </c>
    </row>
    <row r="39" spans="1:9">
      <c r="A39" s="620" t="s">
        <v>3667</v>
      </c>
      <c r="B39" s="611">
        <v>0.01</v>
      </c>
      <c r="C39" s="611"/>
      <c r="E39" s="616" t="s">
        <v>1647</v>
      </c>
      <c r="F39" s="617" t="s">
        <v>50</v>
      </c>
      <c r="G39" s="617" t="s">
        <v>51</v>
      </c>
      <c r="H39" s="619">
        <v>0</v>
      </c>
      <c r="I39" s="618">
        <v>0</v>
      </c>
    </row>
    <row r="40" spans="1:9">
      <c r="A40" s="620" t="s">
        <v>3668</v>
      </c>
      <c r="B40" s="611">
        <v>0</v>
      </c>
      <c r="C40" s="611"/>
      <c r="E40" s="616" t="s">
        <v>1648</v>
      </c>
      <c r="F40" s="617" t="s">
        <v>52</v>
      </c>
      <c r="G40" s="617" t="s">
        <v>53</v>
      </c>
      <c r="H40" s="619">
        <v>-4104.1100000000006</v>
      </c>
      <c r="I40" s="618">
        <v>-4104</v>
      </c>
    </row>
    <row r="41" spans="1:9">
      <c r="A41" s="620" t="s">
        <v>3669</v>
      </c>
      <c r="B41" s="611">
        <v>-11681.01</v>
      </c>
      <c r="C41" s="611"/>
      <c r="E41" s="616" t="s">
        <v>1651</v>
      </c>
      <c r="F41" s="617" t="s">
        <v>54</v>
      </c>
      <c r="G41" s="617" t="s">
        <v>55</v>
      </c>
      <c r="H41" s="619">
        <v>0</v>
      </c>
      <c r="I41" s="618">
        <v>0</v>
      </c>
    </row>
    <row r="42" spans="1:9">
      <c r="A42" s="620" t="s">
        <v>3670</v>
      </c>
      <c r="B42" s="611">
        <v>-347.76</v>
      </c>
      <c r="C42" s="611"/>
      <c r="E42" s="616" t="s">
        <v>1652</v>
      </c>
      <c r="F42" s="617" t="s">
        <v>56</v>
      </c>
      <c r="G42" s="617" t="s">
        <v>57</v>
      </c>
      <c r="H42" s="619">
        <v>0</v>
      </c>
      <c r="I42" s="618">
        <v>0</v>
      </c>
    </row>
    <row r="43" spans="1:9">
      <c r="A43" s="620" t="s">
        <v>3671</v>
      </c>
      <c r="B43" s="611">
        <v>-135.32</v>
      </c>
      <c r="C43" s="611"/>
      <c r="E43" s="616" t="s">
        <v>1658</v>
      </c>
      <c r="F43" s="617" t="s">
        <v>58</v>
      </c>
      <c r="G43" s="617" t="s">
        <v>2214</v>
      </c>
      <c r="H43" s="619">
        <v>0</v>
      </c>
      <c r="I43" s="618">
        <v>0</v>
      </c>
    </row>
    <row r="44" spans="1:9">
      <c r="A44" s="620" t="s">
        <v>3672</v>
      </c>
      <c r="B44" s="611">
        <v>-32381.909999999996</v>
      </c>
      <c r="C44" s="611"/>
      <c r="E44" s="616" t="s">
        <v>1663</v>
      </c>
      <c r="F44" s="617" t="s">
        <v>59</v>
      </c>
      <c r="G44" s="617" t="s">
        <v>2215</v>
      </c>
      <c r="H44" s="619">
        <v>0</v>
      </c>
      <c r="I44" s="618">
        <v>0</v>
      </c>
    </row>
    <row r="45" spans="1:9">
      <c r="A45" s="620" t="s">
        <v>3673</v>
      </c>
      <c r="B45" s="611">
        <v>-498871.62</v>
      </c>
      <c r="C45" s="611"/>
      <c r="E45" s="616" t="s">
        <v>1663</v>
      </c>
      <c r="F45" s="617" t="s">
        <v>60</v>
      </c>
      <c r="G45" s="617" t="s">
        <v>2216</v>
      </c>
      <c r="H45" s="619">
        <v>0</v>
      </c>
      <c r="I45" s="618">
        <v>0</v>
      </c>
    </row>
    <row r="46" spans="1:9">
      <c r="A46" s="620" t="s">
        <v>3674</v>
      </c>
      <c r="B46" s="611">
        <v>-2661.31</v>
      </c>
      <c r="C46" s="611"/>
      <c r="E46" s="616" t="s">
        <v>1663</v>
      </c>
      <c r="F46" s="617" t="s">
        <v>61</v>
      </c>
      <c r="G46" s="617" t="s">
        <v>2217</v>
      </c>
      <c r="H46" s="619">
        <v>0</v>
      </c>
      <c r="I46" s="618">
        <v>0</v>
      </c>
    </row>
    <row r="47" spans="1:9">
      <c r="A47" s="620" t="s">
        <v>3675</v>
      </c>
      <c r="B47" s="611">
        <v>475.04</v>
      </c>
      <c r="C47" s="611"/>
      <c r="E47" s="616" t="s">
        <v>1663</v>
      </c>
      <c r="F47" s="617" t="s">
        <v>62</v>
      </c>
      <c r="G47" s="617" t="s">
        <v>2218</v>
      </c>
      <c r="H47" s="619">
        <v>0</v>
      </c>
      <c r="I47" s="618">
        <v>0</v>
      </c>
    </row>
    <row r="48" spans="1:9">
      <c r="A48" s="620" t="s">
        <v>3676</v>
      </c>
      <c r="B48" s="611">
        <v>7.2200000000000006</v>
      </c>
      <c r="C48" s="611"/>
      <c r="E48" s="616" t="s">
        <v>1663</v>
      </c>
      <c r="F48" s="617" t="s">
        <v>63</v>
      </c>
      <c r="G48" s="617" t="s">
        <v>2219</v>
      </c>
      <c r="H48" s="619">
        <v>0</v>
      </c>
      <c r="I48" s="618">
        <v>0</v>
      </c>
    </row>
    <row r="49" spans="1:9">
      <c r="A49" s="620" t="s">
        <v>3677</v>
      </c>
      <c r="B49" s="611">
        <v>0</v>
      </c>
      <c r="C49" s="611"/>
      <c r="E49" s="616" t="s">
        <v>1665</v>
      </c>
      <c r="F49" s="617" t="s">
        <v>64</v>
      </c>
      <c r="G49" s="617" t="s">
        <v>2220</v>
      </c>
      <c r="H49" s="619">
        <v>0</v>
      </c>
      <c r="I49" s="618">
        <v>0</v>
      </c>
    </row>
    <row r="50" spans="1:9">
      <c r="A50" s="620" t="s">
        <v>3678</v>
      </c>
      <c r="B50" s="611">
        <v>14142527.679999998</v>
      </c>
      <c r="C50" s="611"/>
      <c r="E50" s="616" t="s">
        <v>1665</v>
      </c>
      <c r="F50" s="617" t="s">
        <v>65</v>
      </c>
      <c r="G50" s="617" t="s">
        <v>2221</v>
      </c>
      <c r="H50" s="619">
        <v>0</v>
      </c>
      <c r="I50" s="618">
        <v>0</v>
      </c>
    </row>
    <row r="51" spans="1:9">
      <c r="A51" s="620" t="s">
        <v>3679</v>
      </c>
      <c r="B51" s="611">
        <v>-6584500.7800000003</v>
      </c>
      <c r="C51" s="611"/>
      <c r="E51" s="616" t="s">
        <v>1665</v>
      </c>
      <c r="F51" s="617" t="s">
        <v>66</v>
      </c>
      <c r="G51" s="617" t="s">
        <v>2222</v>
      </c>
      <c r="H51" s="619">
        <v>0</v>
      </c>
      <c r="I51" s="618">
        <v>0</v>
      </c>
    </row>
    <row r="52" spans="1:9">
      <c r="A52" s="620" t="s">
        <v>3680</v>
      </c>
      <c r="B52" s="611">
        <v>0</v>
      </c>
      <c r="C52" s="611"/>
      <c r="E52" s="616" t="s">
        <v>1665</v>
      </c>
      <c r="F52" s="617" t="s">
        <v>67</v>
      </c>
      <c r="G52" s="617" t="s">
        <v>2223</v>
      </c>
      <c r="H52" s="619">
        <v>0</v>
      </c>
      <c r="I52" s="618">
        <v>0</v>
      </c>
    </row>
    <row r="53" spans="1:9">
      <c r="A53" s="620" t="s">
        <v>3681</v>
      </c>
      <c r="B53" s="611">
        <v>39888.009999999995</v>
      </c>
      <c r="C53" s="611"/>
      <c r="E53" s="616" t="s">
        <v>1665</v>
      </c>
      <c r="F53" s="617" t="s">
        <v>68</v>
      </c>
      <c r="G53" s="617" t="s">
        <v>2224</v>
      </c>
      <c r="H53" s="619">
        <v>0</v>
      </c>
      <c r="I53" s="618">
        <v>0</v>
      </c>
    </row>
    <row r="54" spans="1:9">
      <c r="A54" s="620" t="s">
        <v>3682</v>
      </c>
      <c r="B54" s="611">
        <v>-180882.87999999998</v>
      </c>
      <c r="C54" s="611"/>
      <c r="E54" s="616" t="s">
        <v>1665</v>
      </c>
      <c r="F54" s="617" t="s">
        <v>69</v>
      </c>
      <c r="G54" s="617" t="s">
        <v>2225</v>
      </c>
      <c r="H54" s="619">
        <v>0</v>
      </c>
      <c r="I54" s="618">
        <v>0</v>
      </c>
    </row>
    <row r="55" spans="1:9">
      <c r="A55" s="620" t="s">
        <v>3683</v>
      </c>
      <c r="B55" s="611">
        <v>2181.29</v>
      </c>
      <c r="C55" s="611"/>
      <c r="E55" s="616" t="s">
        <v>1668</v>
      </c>
      <c r="F55" s="617" t="s">
        <v>70</v>
      </c>
      <c r="G55" s="617" t="s">
        <v>71</v>
      </c>
      <c r="H55" s="619">
        <v>0</v>
      </c>
      <c r="I55" s="618">
        <v>0</v>
      </c>
    </row>
    <row r="56" spans="1:9">
      <c r="A56" s="620" t="s">
        <v>3684</v>
      </c>
      <c r="B56" s="611">
        <v>-20832.14</v>
      </c>
      <c r="C56" s="611"/>
      <c r="E56" s="616" t="s">
        <v>1670</v>
      </c>
      <c r="F56" s="617" t="s">
        <v>72</v>
      </c>
      <c r="G56" s="617" t="s">
        <v>73</v>
      </c>
      <c r="H56" s="619">
        <v>0</v>
      </c>
      <c r="I56" s="618">
        <v>0</v>
      </c>
    </row>
    <row r="57" spans="1:9">
      <c r="A57" s="620" t="s">
        <v>3685</v>
      </c>
      <c r="B57" s="611">
        <v>0</v>
      </c>
      <c r="C57" s="611"/>
      <c r="E57" s="616" t="s">
        <v>1671</v>
      </c>
      <c r="F57" s="617" t="s">
        <v>74</v>
      </c>
      <c r="G57" s="617" t="s">
        <v>75</v>
      </c>
      <c r="H57" s="619">
        <v>0</v>
      </c>
      <c r="I57" s="618">
        <v>0</v>
      </c>
    </row>
    <row r="58" spans="1:9">
      <c r="A58" s="620" t="s">
        <v>3686</v>
      </c>
      <c r="B58" s="611">
        <v>43883.28</v>
      </c>
      <c r="C58" s="611"/>
      <c r="E58" s="616" t="s">
        <v>1671</v>
      </c>
      <c r="F58" s="617" t="s">
        <v>76</v>
      </c>
      <c r="G58" s="617" t="s">
        <v>77</v>
      </c>
      <c r="H58" s="619">
        <v>0</v>
      </c>
      <c r="I58" s="618">
        <v>0</v>
      </c>
    </row>
    <row r="59" spans="1:9">
      <c r="A59" s="620" t="s">
        <v>3687</v>
      </c>
      <c r="B59" s="611">
        <v>-1968038.16</v>
      </c>
      <c r="C59" s="611"/>
      <c r="E59" s="616" t="s">
        <v>1671</v>
      </c>
      <c r="F59" s="617" t="s">
        <v>78</v>
      </c>
      <c r="G59" s="617" t="s">
        <v>79</v>
      </c>
      <c r="H59" s="619">
        <v>0</v>
      </c>
      <c r="I59" s="618">
        <v>0</v>
      </c>
    </row>
    <row r="60" spans="1:9">
      <c r="A60" s="620" t="s">
        <v>3688</v>
      </c>
      <c r="B60" s="611">
        <v>0</v>
      </c>
      <c r="C60" s="611"/>
      <c r="E60" s="616" t="s">
        <v>1672</v>
      </c>
      <c r="F60" s="617" t="s">
        <v>80</v>
      </c>
      <c r="G60" s="617" t="s">
        <v>2226</v>
      </c>
      <c r="H60" s="619">
        <v>0</v>
      </c>
      <c r="I60" s="618">
        <v>0</v>
      </c>
    </row>
    <row r="61" spans="1:9">
      <c r="A61" s="620" t="s">
        <v>3689</v>
      </c>
      <c r="B61" s="611">
        <v>-179249</v>
      </c>
      <c r="C61" s="611"/>
      <c r="E61" s="616" t="s">
        <v>1672</v>
      </c>
      <c r="F61" s="617" t="s">
        <v>81</v>
      </c>
      <c r="G61" s="617" t="s">
        <v>2227</v>
      </c>
      <c r="H61" s="619">
        <v>0</v>
      </c>
      <c r="I61" s="618">
        <v>0</v>
      </c>
    </row>
    <row r="62" spans="1:9">
      <c r="A62" s="620" t="s">
        <v>3690</v>
      </c>
      <c r="B62" s="611">
        <v>-1500000</v>
      </c>
      <c r="C62" s="611"/>
      <c r="E62" s="616" t="s">
        <v>1672</v>
      </c>
      <c r="F62" s="617" t="s">
        <v>82</v>
      </c>
      <c r="G62" s="617" t="s">
        <v>2228</v>
      </c>
      <c r="H62" s="619">
        <v>0</v>
      </c>
      <c r="I62" s="618">
        <v>0</v>
      </c>
    </row>
    <row r="63" spans="1:9">
      <c r="A63" s="620" t="s">
        <v>3691</v>
      </c>
      <c r="B63" s="611">
        <v>-19388123.940000001</v>
      </c>
      <c r="C63" s="611"/>
      <c r="E63" s="616" t="s">
        <v>1672</v>
      </c>
      <c r="F63" s="617" t="s">
        <v>83</v>
      </c>
      <c r="G63" s="617" t="s">
        <v>2229</v>
      </c>
      <c r="H63" s="619">
        <v>0</v>
      </c>
      <c r="I63" s="618">
        <v>0</v>
      </c>
    </row>
    <row r="64" spans="1:9">
      <c r="A64" s="620" t="s">
        <v>3692</v>
      </c>
      <c r="B64" s="611">
        <v>-17930</v>
      </c>
      <c r="C64" s="611"/>
      <c r="E64" s="616" t="s">
        <v>1672</v>
      </c>
      <c r="F64" s="617" t="s">
        <v>84</v>
      </c>
      <c r="G64" s="617" t="s">
        <v>2230</v>
      </c>
      <c r="H64" s="619">
        <v>0</v>
      </c>
      <c r="I64" s="618">
        <v>0</v>
      </c>
    </row>
    <row r="65" spans="1:9">
      <c r="A65" s="620" t="s">
        <v>3693</v>
      </c>
      <c r="B65" s="611">
        <v>-26864596.34</v>
      </c>
      <c r="C65" s="611"/>
      <c r="E65" s="616" t="s">
        <v>1672</v>
      </c>
      <c r="F65" s="617" t="s">
        <v>85</v>
      </c>
      <c r="G65" s="617" t="s">
        <v>2231</v>
      </c>
      <c r="H65" s="619">
        <v>0</v>
      </c>
      <c r="I65" s="618">
        <v>0</v>
      </c>
    </row>
    <row r="66" spans="1:9">
      <c r="A66" s="620" t="s">
        <v>3694</v>
      </c>
      <c r="B66" s="611">
        <v>38337.79</v>
      </c>
      <c r="C66" s="611"/>
      <c r="E66" s="616" t="s">
        <v>1672</v>
      </c>
      <c r="F66" s="617" t="s">
        <v>940</v>
      </c>
      <c r="G66" s="617" t="s">
        <v>2232</v>
      </c>
      <c r="H66" s="619">
        <v>0</v>
      </c>
      <c r="I66" s="618">
        <v>0</v>
      </c>
    </row>
    <row r="67" spans="1:9">
      <c r="A67" s="620" t="s">
        <v>3695</v>
      </c>
      <c r="B67" s="611">
        <v>0</v>
      </c>
      <c r="C67" s="611"/>
      <c r="E67" s="616" t="s">
        <v>1672</v>
      </c>
      <c r="F67" s="617" t="s">
        <v>1917</v>
      </c>
      <c r="G67" s="617" t="s">
        <v>2233</v>
      </c>
      <c r="H67" s="619">
        <v>0</v>
      </c>
      <c r="I67" s="618">
        <v>0</v>
      </c>
    </row>
    <row r="68" spans="1:9">
      <c r="A68" s="620" t="s">
        <v>3696</v>
      </c>
      <c r="B68" s="611">
        <v>0</v>
      </c>
      <c r="C68" s="611"/>
      <c r="E68" s="616" t="s">
        <v>1672</v>
      </c>
      <c r="F68" s="617" t="s">
        <v>1918</v>
      </c>
      <c r="G68" s="617" t="s">
        <v>2234</v>
      </c>
      <c r="H68" s="619">
        <v>0</v>
      </c>
      <c r="I68" s="618">
        <v>0</v>
      </c>
    </row>
    <row r="69" spans="1:9">
      <c r="A69" s="620" t="s">
        <v>3697</v>
      </c>
      <c r="B69" s="611">
        <v>0</v>
      </c>
      <c r="C69" s="611"/>
      <c r="E69" s="616" t="s">
        <v>1674</v>
      </c>
      <c r="F69" s="617" t="s">
        <v>86</v>
      </c>
      <c r="G69" s="617" t="s">
        <v>87</v>
      </c>
      <c r="H69" s="619">
        <v>0</v>
      </c>
      <c r="I69" s="618">
        <v>0</v>
      </c>
    </row>
    <row r="70" spans="1:9">
      <c r="A70" s="620" t="s">
        <v>3698</v>
      </c>
      <c r="B70" s="611">
        <v>-575.54999999999995</v>
      </c>
      <c r="C70" s="611"/>
      <c r="E70" s="616" t="s">
        <v>1676</v>
      </c>
      <c r="F70" s="617" t="s">
        <v>88</v>
      </c>
      <c r="G70" s="617" t="s">
        <v>89</v>
      </c>
      <c r="H70" s="619">
        <v>0</v>
      </c>
      <c r="I70" s="618">
        <v>0</v>
      </c>
    </row>
    <row r="71" spans="1:9">
      <c r="A71" s="620" t="s">
        <v>3699</v>
      </c>
      <c r="B71" s="611">
        <v>0</v>
      </c>
      <c r="C71" s="611"/>
      <c r="E71" s="616" t="s">
        <v>619</v>
      </c>
      <c r="F71" s="617" t="s">
        <v>90</v>
      </c>
      <c r="G71" s="617" t="s">
        <v>91</v>
      </c>
      <c r="H71" s="619">
        <v>0</v>
      </c>
      <c r="I71" s="618">
        <v>0</v>
      </c>
    </row>
    <row r="72" spans="1:9">
      <c r="A72" s="620" t="s">
        <v>3700</v>
      </c>
      <c r="B72" s="611">
        <v>-650</v>
      </c>
      <c r="C72" s="611"/>
      <c r="E72" s="616" t="s">
        <v>621</v>
      </c>
      <c r="F72" s="617" t="s">
        <v>92</v>
      </c>
      <c r="G72" s="617" t="s">
        <v>93</v>
      </c>
      <c r="H72" s="619">
        <v>1018840.48</v>
      </c>
      <c r="I72" s="618">
        <v>1018840</v>
      </c>
    </row>
    <row r="73" spans="1:9">
      <c r="A73" s="620" t="s">
        <v>3701</v>
      </c>
      <c r="B73" s="611">
        <v>-663637.11</v>
      </c>
      <c r="C73" s="611"/>
      <c r="E73" s="616" t="s">
        <v>634</v>
      </c>
      <c r="F73" s="617" t="s">
        <v>94</v>
      </c>
      <c r="G73" s="617" t="s">
        <v>95</v>
      </c>
      <c r="H73" s="619">
        <v>0</v>
      </c>
      <c r="I73" s="618">
        <v>0</v>
      </c>
    </row>
    <row r="74" spans="1:9">
      <c r="A74" s="620" t="s">
        <v>3702</v>
      </c>
      <c r="B74" s="611">
        <v>1079135.6499999997</v>
      </c>
      <c r="C74" s="611"/>
      <c r="E74" s="616" t="s">
        <v>638</v>
      </c>
      <c r="F74" s="617" t="s">
        <v>96</v>
      </c>
      <c r="G74" s="617" t="s">
        <v>97</v>
      </c>
      <c r="H74" s="619">
        <v>0</v>
      </c>
      <c r="I74" s="618">
        <v>0</v>
      </c>
    </row>
    <row r="75" spans="1:9">
      <c r="A75" s="620" t="s">
        <v>3703</v>
      </c>
      <c r="B75" s="611">
        <v>17254511.34</v>
      </c>
      <c r="C75" s="611"/>
      <c r="E75" s="616" t="s">
        <v>640</v>
      </c>
      <c r="F75" s="617" t="s">
        <v>98</v>
      </c>
      <c r="G75" s="617" t="s">
        <v>99</v>
      </c>
      <c r="H75" s="619">
        <v>0</v>
      </c>
      <c r="I75" s="618">
        <v>0</v>
      </c>
    </row>
    <row r="76" spans="1:9">
      <c r="A76" s="620" t="s">
        <v>3704</v>
      </c>
      <c r="B76" s="611">
        <v>-15108</v>
      </c>
      <c r="C76" s="611"/>
      <c r="E76" s="616" t="s">
        <v>642</v>
      </c>
      <c r="F76" s="617" t="s">
        <v>100</v>
      </c>
      <c r="G76" s="617" t="s">
        <v>101</v>
      </c>
      <c r="H76" s="619">
        <v>0</v>
      </c>
      <c r="I76" s="618">
        <v>0</v>
      </c>
    </row>
    <row r="77" spans="1:9">
      <c r="A77" s="620" t="s">
        <v>3705</v>
      </c>
      <c r="B77" s="611">
        <v>11720.22</v>
      </c>
      <c r="C77" s="611"/>
      <c r="E77" s="616" t="s">
        <v>644</v>
      </c>
      <c r="F77" s="617" t="s">
        <v>102</v>
      </c>
      <c r="G77" s="617" t="s">
        <v>103</v>
      </c>
      <c r="H77" s="619">
        <v>0</v>
      </c>
      <c r="I77" s="618">
        <v>0</v>
      </c>
    </row>
    <row r="78" spans="1:9">
      <c r="A78" s="620" t="s">
        <v>3706</v>
      </c>
      <c r="B78" s="611">
        <v>271.36</v>
      </c>
      <c r="C78" s="611"/>
      <c r="E78" s="616" t="s">
        <v>1702</v>
      </c>
      <c r="F78" s="617" t="s">
        <v>104</v>
      </c>
      <c r="G78" s="617" t="s">
        <v>105</v>
      </c>
      <c r="H78" s="619">
        <v>0</v>
      </c>
      <c r="I78" s="618">
        <v>0</v>
      </c>
    </row>
    <row r="79" spans="1:9">
      <c r="A79" s="620" t="s">
        <v>3707</v>
      </c>
      <c r="B79" s="611">
        <v>3684850.5099999993</v>
      </c>
      <c r="C79" s="611"/>
      <c r="E79" s="616" t="s">
        <v>1704</v>
      </c>
      <c r="F79" s="617" t="s">
        <v>106</v>
      </c>
      <c r="G79" s="617" t="s">
        <v>107</v>
      </c>
      <c r="H79" s="619">
        <v>176880</v>
      </c>
      <c r="I79" s="618">
        <v>176880</v>
      </c>
    </row>
    <row r="80" spans="1:9">
      <c r="A80" s="620" t="s">
        <v>3708</v>
      </c>
      <c r="B80" s="611">
        <v>180319.44999999998</v>
      </c>
      <c r="C80" s="611"/>
      <c r="E80" s="616" t="s">
        <v>1705</v>
      </c>
      <c r="F80" s="617" t="s">
        <v>108</v>
      </c>
      <c r="G80" s="617" t="s">
        <v>109</v>
      </c>
      <c r="H80" s="619">
        <v>0</v>
      </c>
      <c r="I80" s="618">
        <v>0</v>
      </c>
    </row>
    <row r="81" spans="1:9">
      <c r="A81" s="620" t="s">
        <v>3709</v>
      </c>
      <c r="B81" s="611">
        <v>64384.99</v>
      </c>
      <c r="C81" s="611"/>
      <c r="E81" s="616" t="s">
        <v>1715</v>
      </c>
      <c r="F81" s="617" t="s">
        <v>110</v>
      </c>
      <c r="G81" s="617" t="s">
        <v>111</v>
      </c>
      <c r="H81" s="619">
        <v>0</v>
      </c>
      <c r="I81" s="618">
        <v>0</v>
      </c>
    </row>
    <row r="82" spans="1:9">
      <c r="A82" s="620" t="s">
        <v>3710</v>
      </c>
      <c r="B82" s="611">
        <v>3068.07</v>
      </c>
      <c r="C82" s="611"/>
      <c r="E82" s="616" t="s">
        <v>3653</v>
      </c>
      <c r="F82" s="617" t="s">
        <v>112</v>
      </c>
      <c r="G82" s="617" t="s">
        <v>113</v>
      </c>
      <c r="H82" s="619">
        <v>0</v>
      </c>
      <c r="I82" s="618">
        <v>0</v>
      </c>
    </row>
    <row r="83" spans="1:9">
      <c r="A83" s="620" t="s">
        <v>3711</v>
      </c>
      <c r="B83" s="611">
        <v>3194.6800000000003</v>
      </c>
      <c r="C83" s="611"/>
      <c r="E83" s="616" t="s">
        <v>3736</v>
      </c>
      <c r="F83" s="617" t="s">
        <v>114</v>
      </c>
      <c r="G83" s="617" t="s">
        <v>115</v>
      </c>
      <c r="H83" s="619">
        <v>0</v>
      </c>
      <c r="I83" s="618">
        <v>0</v>
      </c>
    </row>
    <row r="84" spans="1:9">
      <c r="A84" s="620" t="s">
        <v>3712</v>
      </c>
      <c r="B84" s="611">
        <v>1145.68</v>
      </c>
      <c r="C84" s="611"/>
      <c r="E84" s="616" t="s">
        <v>3654</v>
      </c>
      <c r="F84" s="617" t="s">
        <v>116</v>
      </c>
      <c r="G84" s="617" t="s">
        <v>117</v>
      </c>
      <c r="H84" s="619">
        <v>0</v>
      </c>
      <c r="I84" s="618">
        <v>0</v>
      </c>
    </row>
    <row r="85" spans="1:9">
      <c r="A85" s="620" t="s">
        <v>3713</v>
      </c>
      <c r="B85" s="611">
        <v>42931.839999999997</v>
      </c>
      <c r="C85" s="611"/>
      <c r="E85" s="616" t="s">
        <v>3655</v>
      </c>
      <c r="F85" s="617" t="s">
        <v>118</v>
      </c>
      <c r="G85" s="617" t="s">
        <v>119</v>
      </c>
      <c r="H85" s="619">
        <v>0</v>
      </c>
      <c r="I85" s="618">
        <v>0</v>
      </c>
    </row>
    <row r="86" spans="1:9">
      <c r="A86" s="620" t="s">
        <v>3714</v>
      </c>
      <c r="B86" s="611">
        <v>44293.13</v>
      </c>
      <c r="C86" s="611"/>
      <c r="E86" s="616" t="s">
        <v>3737</v>
      </c>
      <c r="F86" s="617" t="s">
        <v>120</v>
      </c>
      <c r="G86" s="617" t="s">
        <v>121</v>
      </c>
      <c r="H86" s="619">
        <v>0</v>
      </c>
      <c r="I86" s="618">
        <v>0</v>
      </c>
    </row>
    <row r="87" spans="1:9">
      <c r="A87" s="620" t="s">
        <v>3715</v>
      </c>
      <c r="B87" s="611">
        <v>85.18</v>
      </c>
      <c r="C87" s="611"/>
      <c r="E87" s="616" t="s">
        <v>3738</v>
      </c>
      <c r="F87" s="617" t="s">
        <v>122</v>
      </c>
      <c r="G87" s="617" t="s">
        <v>123</v>
      </c>
      <c r="H87" s="619">
        <v>0</v>
      </c>
      <c r="I87" s="618">
        <v>0</v>
      </c>
    </row>
    <row r="88" spans="1:9">
      <c r="A88" s="620" t="s">
        <v>3716</v>
      </c>
      <c r="B88" s="611">
        <v>452.51</v>
      </c>
      <c r="C88" s="611"/>
      <c r="E88" s="616" t="s">
        <v>3656</v>
      </c>
      <c r="F88" s="617" t="s">
        <v>124</v>
      </c>
      <c r="G88" s="617" t="s">
        <v>125</v>
      </c>
      <c r="H88" s="619">
        <v>593.9</v>
      </c>
      <c r="I88" s="618">
        <v>594</v>
      </c>
    </row>
    <row r="89" spans="1:9">
      <c r="A89" s="620" t="s">
        <v>3717</v>
      </c>
      <c r="B89" s="611">
        <v>1898556.16</v>
      </c>
      <c r="C89" s="611"/>
      <c r="E89" s="616" t="s">
        <v>3657</v>
      </c>
      <c r="F89" s="617" t="s">
        <v>126</v>
      </c>
      <c r="G89" s="617" t="s">
        <v>127</v>
      </c>
      <c r="H89" s="619">
        <v>216.3</v>
      </c>
      <c r="I89" s="618">
        <v>216</v>
      </c>
    </row>
    <row r="90" spans="1:9">
      <c r="A90" s="620" t="s">
        <v>3718</v>
      </c>
      <c r="B90" s="611">
        <v>33195.410000000003</v>
      </c>
      <c r="C90" s="611"/>
      <c r="E90" s="616" t="s">
        <v>3658</v>
      </c>
      <c r="F90" s="617" t="s">
        <v>128</v>
      </c>
      <c r="G90" s="617" t="s">
        <v>1936</v>
      </c>
      <c r="H90" s="619">
        <v>-1213317.0400000005</v>
      </c>
      <c r="I90" s="618">
        <v>0</v>
      </c>
    </row>
    <row r="91" spans="1:9">
      <c r="A91" s="620" t="s">
        <v>3719</v>
      </c>
      <c r="B91" s="611">
        <v>9551.11</v>
      </c>
      <c r="C91" s="611"/>
      <c r="E91" s="616" t="s">
        <v>3658</v>
      </c>
      <c r="F91" s="617" t="s">
        <v>129</v>
      </c>
      <c r="G91" s="617" t="s">
        <v>1937</v>
      </c>
      <c r="H91" s="619">
        <v>-1213317.0400000005</v>
      </c>
      <c r="I91" s="618">
        <v>0</v>
      </c>
    </row>
    <row r="92" spans="1:9">
      <c r="A92" s="620" t="s">
        <v>3720</v>
      </c>
      <c r="B92" s="611">
        <v>288670.25</v>
      </c>
      <c r="C92" s="611"/>
      <c r="E92" s="616" t="s">
        <v>3658</v>
      </c>
      <c r="F92" s="617" t="s">
        <v>130</v>
      </c>
      <c r="G92" s="617" t="s">
        <v>131</v>
      </c>
      <c r="H92" s="619">
        <v>-1213317.0400000005</v>
      </c>
      <c r="I92" s="618">
        <v>-1213317</v>
      </c>
    </row>
    <row r="93" spans="1:9">
      <c r="A93" s="620" t="s">
        <v>3721</v>
      </c>
      <c r="B93" s="611">
        <v>281470.55</v>
      </c>
      <c r="C93" s="611"/>
      <c r="E93" s="616" t="s">
        <v>3659</v>
      </c>
      <c r="F93" s="617" t="s">
        <v>132</v>
      </c>
      <c r="G93" s="617" t="s">
        <v>133</v>
      </c>
      <c r="H93" s="619">
        <v>0</v>
      </c>
      <c r="I93" s="618">
        <v>0</v>
      </c>
    </row>
    <row r="94" spans="1:9">
      <c r="A94" s="620" t="s">
        <v>3722</v>
      </c>
      <c r="B94" s="611">
        <v>226849.42</v>
      </c>
      <c r="C94" s="611"/>
      <c r="E94" s="616" t="s">
        <v>3739</v>
      </c>
      <c r="F94" s="617" t="s">
        <v>134</v>
      </c>
      <c r="G94" s="617" t="s">
        <v>135</v>
      </c>
      <c r="H94" s="619">
        <v>0</v>
      </c>
      <c r="I94" s="618">
        <v>0</v>
      </c>
    </row>
    <row r="95" spans="1:9">
      <c r="A95" s="620" t="s">
        <v>3723</v>
      </c>
      <c r="B95" s="611">
        <v>1043213.13</v>
      </c>
      <c r="C95" s="611"/>
      <c r="E95" s="616" t="s">
        <v>3740</v>
      </c>
      <c r="F95" s="617" t="s">
        <v>136</v>
      </c>
      <c r="G95" s="617" t="s">
        <v>137</v>
      </c>
      <c r="H95" s="619">
        <v>0</v>
      </c>
      <c r="I95" s="618">
        <v>0</v>
      </c>
    </row>
    <row r="96" spans="1:9">
      <c r="A96" s="620" t="s">
        <v>3724</v>
      </c>
      <c r="B96" s="611">
        <v>-894011.68</v>
      </c>
      <c r="C96" s="611"/>
      <c r="E96" s="616" t="s">
        <v>3741</v>
      </c>
      <c r="F96" s="617" t="s">
        <v>138</v>
      </c>
      <c r="G96" s="617" t="s">
        <v>139</v>
      </c>
      <c r="H96" s="619">
        <v>0</v>
      </c>
      <c r="I96" s="618">
        <v>0</v>
      </c>
    </row>
    <row r="97" spans="1:9">
      <c r="A97" s="620" t="s">
        <v>3725</v>
      </c>
      <c r="B97" s="611">
        <v>-1819998.25</v>
      </c>
      <c r="C97" s="611"/>
      <c r="E97" s="616" t="s">
        <v>3742</v>
      </c>
      <c r="F97" s="617" t="s">
        <v>2151</v>
      </c>
      <c r="G97" s="617" t="s">
        <v>2235</v>
      </c>
      <c r="H97" s="619">
        <v>0</v>
      </c>
      <c r="I97" s="618">
        <v>0</v>
      </c>
    </row>
    <row r="98" spans="1:9">
      <c r="A98" s="620" t="s">
        <v>3726</v>
      </c>
      <c r="B98" s="611">
        <v>-294562.21999999997</v>
      </c>
      <c r="C98" s="611"/>
      <c r="E98" s="616" t="s">
        <v>3742</v>
      </c>
      <c r="F98" s="617" t="s">
        <v>2152</v>
      </c>
      <c r="G98" s="617" t="s">
        <v>2236</v>
      </c>
      <c r="H98" s="619">
        <v>0</v>
      </c>
      <c r="I98" s="618">
        <v>0</v>
      </c>
    </row>
    <row r="99" spans="1:9">
      <c r="A99" s="620" t="s">
        <v>3727</v>
      </c>
      <c r="B99" s="611">
        <v>-21927081.280000001</v>
      </c>
      <c r="C99" s="611"/>
      <c r="E99" s="616" t="s">
        <v>3743</v>
      </c>
      <c r="F99" s="617" t="s">
        <v>140</v>
      </c>
      <c r="G99" s="617" t="s">
        <v>141</v>
      </c>
      <c r="H99" s="619">
        <v>0</v>
      </c>
      <c r="I99" s="618">
        <v>0</v>
      </c>
    </row>
    <row r="100" spans="1:9">
      <c r="A100" s="620" t="s">
        <v>3728</v>
      </c>
      <c r="B100" s="611">
        <v>0</v>
      </c>
      <c r="C100" s="611"/>
      <c r="E100" s="616" t="s">
        <v>3744</v>
      </c>
      <c r="F100" s="617" t="s">
        <v>2153</v>
      </c>
      <c r="G100" s="617" t="s">
        <v>2237</v>
      </c>
      <c r="H100" s="619">
        <v>0</v>
      </c>
      <c r="I100" s="618">
        <v>0</v>
      </c>
    </row>
    <row r="101" spans="1:9">
      <c r="A101" s="620" t="s">
        <v>3729</v>
      </c>
      <c r="B101" s="611">
        <v>0</v>
      </c>
      <c r="C101" s="611"/>
      <c r="E101" s="616" t="s">
        <v>3744</v>
      </c>
      <c r="F101" s="617" t="s">
        <v>2154</v>
      </c>
      <c r="G101" s="617" t="s">
        <v>2238</v>
      </c>
      <c r="H101" s="619">
        <v>0</v>
      </c>
      <c r="I101" s="618">
        <v>0</v>
      </c>
    </row>
    <row r="102" spans="1:9">
      <c r="A102" s="620" t="s">
        <v>3730</v>
      </c>
      <c r="B102" s="611">
        <v>-681002.74</v>
      </c>
      <c r="C102" s="611"/>
      <c r="E102" s="616" t="s">
        <v>3745</v>
      </c>
      <c r="F102" s="617" t="s">
        <v>142</v>
      </c>
      <c r="G102" s="617" t="s">
        <v>143</v>
      </c>
      <c r="H102" s="619">
        <v>0</v>
      </c>
      <c r="I102" s="618">
        <v>0</v>
      </c>
    </row>
    <row r="103" spans="1:9">
      <c r="A103" s="620" t="s">
        <v>3731</v>
      </c>
      <c r="B103" s="611">
        <v>-43214.32</v>
      </c>
      <c r="C103" s="611"/>
      <c r="E103" s="616" t="s">
        <v>3745</v>
      </c>
      <c r="F103" s="617" t="s">
        <v>144</v>
      </c>
      <c r="G103" s="617" t="s">
        <v>145</v>
      </c>
      <c r="H103" s="619">
        <v>0</v>
      </c>
      <c r="I103" s="618">
        <v>0</v>
      </c>
    </row>
    <row r="104" spans="1:9">
      <c r="A104" s="620" t="s">
        <v>3732</v>
      </c>
      <c r="B104" s="611">
        <v>-2716.6000000000004</v>
      </c>
      <c r="C104" s="611"/>
      <c r="E104" s="616" t="s">
        <v>3746</v>
      </c>
      <c r="F104" s="617" t="s">
        <v>2155</v>
      </c>
      <c r="G104" s="617" t="s">
        <v>2239</v>
      </c>
      <c r="H104" s="619">
        <v>0</v>
      </c>
      <c r="I104" s="618">
        <v>0</v>
      </c>
    </row>
    <row r="105" spans="1:9">
      <c r="A105" s="620" t="s">
        <v>3733</v>
      </c>
      <c r="B105" s="611">
        <v>-655176.06999999995</v>
      </c>
      <c r="C105" s="611"/>
      <c r="E105" s="616" t="s">
        <v>3746</v>
      </c>
      <c r="F105" s="617" t="s">
        <v>2156</v>
      </c>
      <c r="G105" s="617" t="s">
        <v>2240</v>
      </c>
      <c r="H105" s="619">
        <v>0</v>
      </c>
      <c r="I105" s="618">
        <v>0</v>
      </c>
    </row>
    <row r="106" spans="1:9">
      <c r="A106" s="620" t="s">
        <v>3734</v>
      </c>
      <c r="B106" s="611">
        <v>-185329.97999999998</v>
      </c>
      <c r="C106" s="611"/>
      <c r="E106" s="616" t="s">
        <v>3747</v>
      </c>
      <c r="F106" s="617" t="s">
        <v>2157</v>
      </c>
      <c r="G106" s="617" t="s">
        <v>2241</v>
      </c>
      <c r="H106" s="619">
        <v>0</v>
      </c>
      <c r="I106" s="618">
        <v>0</v>
      </c>
    </row>
    <row r="107" spans="1:9">
      <c r="A107" s="622" t="s">
        <v>3735</v>
      </c>
      <c r="B107" s="623">
        <v>-89416.07</v>
      </c>
      <c r="C107" s="611"/>
      <c r="E107" s="616" t="s">
        <v>3747</v>
      </c>
      <c r="F107" s="617" t="s">
        <v>2158</v>
      </c>
      <c r="G107" s="617" t="s">
        <v>2242</v>
      </c>
      <c r="H107" s="619">
        <v>0</v>
      </c>
      <c r="I107" s="618">
        <v>0</v>
      </c>
    </row>
    <row r="108" spans="1:9">
      <c r="A108" s="625" t="s">
        <v>1229</v>
      </c>
      <c r="B108" s="624">
        <f>SUM(B3:B107)</f>
        <v>-1.3562384992837906E-8</v>
      </c>
      <c r="C108" s="611"/>
      <c r="E108" s="616" t="s">
        <v>3748</v>
      </c>
      <c r="F108" s="617" t="s">
        <v>146</v>
      </c>
      <c r="G108" s="617" t="s">
        <v>147</v>
      </c>
      <c r="H108" s="619">
        <v>0</v>
      </c>
      <c r="I108" s="618">
        <v>0</v>
      </c>
    </row>
    <row r="109" spans="1:9">
      <c r="B109" s="610"/>
      <c r="C109" s="611"/>
      <c r="E109" s="616" t="s">
        <v>3660</v>
      </c>
      <c r="F109" s="617" t="s">
        <v>148</v>
      </c>
      <c r="G109" s="617" t="s">
        <v>149</v>
      </c>
      <c r="H109" s="619">
        <v>0</v>
      </c>
      <c r="I109" s="618">
        <v>0</v>
      </c>
    </row>
    <row r="110" spans="1:9">
      <c r="B110" s="610"/>
      <c r="C110" s="611"/>
      <c r="E110" s="616" t="s">
        <v>3749</v>
      </c>
      <c r="F110" s="617" t="s">
        <v>150</v>
      </c>
      <c r="G110" s="617" t="s">
        <v>2243</v>
      </c>
      <c r="H110" s="619">
        <v>0</v>
      </c>
      <c r="I110" s="618">
        <v>0</v>
      </c>
    </row>
    <row r="111" spans="1:9">
      <c r="B111" s="610"/>
      <c r="C111" s="611"/>
      <c r="E111" s="616" t="s">
        <v>3749</v>
      </c>
      <c r="F111" s="617" t="s">
        <v>151</v>
      </c>
      <c r="G111" s="617" t="s">
        <v>2244</v>
      </c>
      <c r="H111" s="619">
        <v>0</v>
      </c>
      <c r="I111" s="618">
        <v>0</v>
      </c>
    </row>
    <row r="112" spans="1:9">
      <c r="B112" s="610"/>
      <c r="C112" s="611"/>
      <c r="E112" s="616" t="s">
        <v>3749</v>
      </c>
      <c r="F112" s="617" t="s">
        <v>2245</v>
      </c>
      <c r="G112" s="617" t="s">
        <v>2246</v>
      </c>
      <c r="H112" s="619">
        <v>0</v>
      </c>
      <c r="I112" s="618">
        <v>0</v>
      </c>
    </row>
    <row r="113" spans="2:9">
      <c r="B113" s="610"/>
      <c r="C113" s="611"/>
      <c r="E113" s="616" t="s">
        <v>3661</v>
      </c>
      <c r="F113" s="617" t="s">
        <v>152</v>
      </c>
      <c r="G113" s="617" t="s">
        <v>2247</v>
      </c>
      <c r="H113" s="619">
        <v>2012816.78</v>
      </c>
      <c r="I113" s="618">
        <v>0</v>
      </c>
    </row>
    <row r="114" spans="2:9">
      <c r="B114" s="610"/>
      <c r="C114" s="611"/>
      <c r="E114" s="616" t="s">
        <v>3661</v>
      </c>
      <c r="F114" s="617" t="s">
        <v>153</v>
      </c>
      <c r="G114" s="617" t="s">
        <v>2248</v>
      </c>
      <c r="H114" s="619">
        <v>2012816.78</v>
      </c>
      <c r="I114" s="618">
        <v>0</v>
      </c>
    </row>
    <row r="115" spans="2:9">
      <c r="B115" s="610"/>
      <c r="C115" s="611"/>
      <c r="E115" s="616" t="s">
        <v>3661</v>
      </c>
      <c r="F115" s="617" t="s">
        <v>1929</v>
      </c>
      <c r="G115" s="617" t="s">
        <v>2249</v>
      </c>
      <c r="H115" s="619">
        <v>2012816.78</v>
      </c>
      <c r="I115" s="618">
        <v>0</v>
      </c>
    </row>
    <row r="116" spans="2:9">
      <c r="B116" s="610"/>
      <c r="C116" s="611"/>
      <c r="E116" s="616" t="s">
        <v>3661</v>
      </c>
      <c r="F116" s="617" t="s">
        <v>2159</v>
      </c>
      <c r="G116" s="617" t="s">
        <v>2250</v>
      </c>
      <c r="H116" s="619">
        <v>2012816.78</v>
      </c>
      <c r="I116" s="618">
        <v>91202</v>
      </c>
    </row>
    <row r="117" spans="2:9">
      <c r="B117" s="610"/>
      <c r="C117" s="611"/>
      <c r="E117" s="616" t="s">
        <v>3661</v>
      </c>
      <c r="F117" s="617" t="s">
        <v>2160</v>
      </c>
      <c r="G117" s="617" t="s">
        <v>2251</v>
      </c>
      <c r="H117" s="619">
        <v>2012816.78</v>
      </c>
      <c r="I117" s="618">
        <v>0</v>
      </c>
    </row>
    <row r="118" spans="2:9">
      <c r="B118" s="610"/>
      <c r="C118" s="611"/>
      <c r="E118" s="616" t="s">
        <v>3661</v>
      </c>
      <c r="F118" s="617" t="s">
        <v>2161</v>
      </c>
      <c r="G118" s="617" t="s">
        <v>2252</v>
      </c>
      <c r="H118" s="619">
        <v>2012816.78</v>
      </c>
      <c r="I118" s="618">
        <v>1921615</v>
      </c>
    </row>
    <row r="119" spans="2:9">
      <c r="B119" s="610"/>
      <c r="C119" s="611"/>
      <c r="E119" s="616" t="s">
        <v>3750</v>
      </c>
      <c r="F119" s="617" t="s">
        <v>154</v>
      </c>
      <c r="G119" s="617" t="s">
        <v>2253</v>
      </c>
      <c r="H119" s="619">
        <v>0</v>
      </c>
      <c r="I119" s="618">
        <v>0</v>
      </c>
    </row>
    <row r="120" spans="2:9">
      <c r="B120" s="610"/>
      <c r="C120" s="611"/>
      <c r="E120" s="616" t="s">
        <v>3750</v>
      </c>
      <c r="F120" s="617" t="s">
        <v>155</v>
      </c>
      <c r="G120" s="617" t="s">
        <v>2254</v>
      </c>
      <c r="H120" s="619">
        <v>0</v>
      </c>
      <c r="I120" s="618">
        <v>0</v>
      </c>
    </row>
    <row r="121" spans="2:9">
      <c r="B121" s="610"/>
      <c r="C121" s="611"/>
      <c r="E121" s="616" t="s">
        <v>3750</v>
      </c>
      <c r="F121" s="617" t="s">
        <v>1930</v>
      </c>
      <c r="G121" s="617" t="s">
        <v>2255</v>
      </c>
      <c r="H121" s="619">
        <v>0</v>
      </c>
      <c r="I121" s="618">
        <v>0</v>
      </c>
    </row>
    <row r="122" spans="2:9">
      <c r="B122" s="610"/>
      <c r="C122" s="611"/>
      <c r="E122" s="616" t="s">
        <v>3750</v>
      </c>
      <c r="F122" s="617" t="s">
        <v>2162</v>
      </c>
      <c r="G122" s="617" t="s">
        <v>2256</v>
      </c>
      <c r="H122" s="619">
        <v>0</v>
      </c>
      <c r="I122" s="618">
        <v>0</v>
      </c>
    </row>
    <row r="123" spans="2:9">
      <c r="B123" s="610"/>
      <c r="C123" s="611"/>
      <c r="E123" s="616" t="s">
        <v>3750</v>
      </c>
      <c r="F123" s="617" t="s">
        <v>2163</v>
      </c>
      <c r="G123" s="617" t="s">
        <v>2257</v>
      </c>
      <c r="H123" s="619">
        <v>0</v>
      </c>
      <c r="I123" s="618">
        <v>0</v>
      </c>
    </row>
    <row r="124" spans="2:9">
      <c r="B124" s="610"/>
      <c r="C124" s="611"/>
      <c r="E124" s="616" t="s">
        <v>3750</v>
      </c>
      <c r="F124" s="617" t="s">
        <v>2164</v>
      </c>
      <c r="G124" s="617" t="s">
        <v>2258</v>
      </c>
      <c r="H124" s="619">
        <v>0</v>
      </c>
      <c r="I124" s="618">
        <v>0</v>
      </c>
    </row>
    <row r="125" spans="2:9">
      <c r="B125" s="610"/>
      <c r="C125" s="611"/>
      <c r="E125" s="616" t="s">
        <v>3751</v>
      </c>
      <c r="F125" s="617" t="s">
        <v>156</v>
      </c>
      <c r="G125" s="617" t="s">
        <v>2259</v>
      </c>
      <c r="H125" s="619">
        <v>0</v>
      </c>
      <c r="I125" s="618">
        <v>0</v>
      </c>
    </row>
    <row r="126" spans="2:9">
      <c r="B126" s="610"/>
      <c r="C126" s="611"/>
      <c r="E126" s="616" t="s">
        <v>3751</v>
      </c>
      <c r="F126" s="617" t="s">
        <v>157</v>
      </c>
      <c r="G126" s="617" t="s">
        <v>2260</v>
      </c>
      <c r="H126" s="619">
        <v>0</v>
      </c>
      <c r="I126" s="618">
        <v>0</v>
      </c>
    </row>
    <row r="127" spans="2:9">
      <c r="B127" s="610"/>
      <c r="C127" s="611"/>
      <c r="E127" s="616" t="s">
        <v>3751</v>
      </c>
      <c r="F127" s="617" t="s">
        <v>1931</v>
      </c>
      <c r="G127" s="617" t="s">
        <v>2261</v>
      </c>
      <c r="H127" s="619">
        <v>0</v>
      </c>
      <c r="I127" s="618">
        <v>0</v>
      </c>
    </row>
    <row r="128" spans="2:9">
      <c r="B128" s="610"/>
      <c r="C128" s="611"/>
      <c r="E128" s="616" t="s">
        <v>3751</v>
      </c>
      <c r="F128" s="617" t="s">
        <v>2165</v>
      </c>
      <c r="G128" s="617" t="s">
        <v>2262</v>
      </c>
      <c r="H128" s="619">
        <v>0</v>
      </c>
      <c r="I128" s="618">
        <v>0</v>
      </c>
    </row>
    <row r="129" spans="2:9">
      <c r="B129" s="610"/>
      <c r="C129" s="611"/>
      <c r="E129" s="616" t="s">
        <v>3751</v>
      </c>
      <c r="F129" s="617" t="s">
        <v>2166</v>
      </c>
      <c r="G129" s="617" t="s">
        <v>2263</v>
      </c>
      <c r="H129" s="619">
        <v>0</v>
      </c>
      <c r="I129" s="618">
        <v>0</v>
      </c>
    </row>
    <row r="130" spans="2:9">
      <c r="B130" s="610"/>
      <c r="C130" s="611"/>
      <c r="E130" s="616" t="s">
        <v>3751</v>
      </c>
      <c r="F130" s="617" t="s">
        <v>2167</v>
      </c>
      <c r="G130" s="617" t="s">
        <v>2264</v>
      </c>
      <c r="H130" s="619">
        <v>0</v>
      </c>
      <c r="I130" s="618">
        <v>0</v>
      </c>
    </row>
    <row r="131" spans="2:9">
      <c r="B131" s="610"/>
      <c r="C131" s="611"/>
      <c r="E131" s="616" t="s">
        <v>3662</v>
      </c>
      <c r="F131" s="617" t="s">
        <v>158</v>
      </c>
      <c r="G131" s="617" t="s">
        <v>159</v>
      </c>
      <c r="H131" s="619">
        <v>219518.27</v>
      </c>
      <c r="I131" s="618">
        <v>212362</v>
      </c>
    </row>
    <row r="132" spans="2:9">
      <c r="B132" s="610"/>
      <c r="C132" s="611"/>
      <c r="E132" s="616" t="s">
        <v>3662</v>
      </c>
      <c r="F132" s="617" t="s">
        <v>160</v>
      </c>
      <c r="G132" s="617" t="s">
        <v>2265</v>
      </c>
      <c r="H132" s="619">
        <v>219518.27</v>
      </c>
      <c r="I132" s="618">
        <v>0</v>
      </c>
    </row>
    <row r="133" spans="2:9">
      <c r="B133" s="610"/>
      <c r="C133" s="611"/>
      <c r="E133" s="616" t="s">
        <v>3662</v>
      </c>
      <c r="F133" s="617" t="s">
        <v>161</v>
      </c>
      <c r="G133" s="617" t="s">
        <v>2266</v>
      </c>
      <c r="H133" s="619">
        <v>219518.27</v>
      </c>
      <c r="I133" s="618">
        <v>0</v>
      </c>
    </row>
    <row r="134" spans="2:9">
      <c r="B134" s="610"/>
      <c r="C134" s="611"/>
      <c r="E134" s="616" t="s">
        <v>3662</v>
      </c>
      <c r="F134" s="617" t="s">
        <v>2168</v>
      </c>
      <c r="G134" s="617" t="s">
        <v>2267</v>
      </c>
      <c r="H134" s="619">
        <v>219518.27</v>
      </c>
      <c r="I134" s="618">
        <v>0</v>
      </c>
    </row>
    <row r="135" spans="2:9">
      <c r="B135" s="610"/>
      <c r="C135" s="611"/>
      <c r="E135" s="616" t="s">
        <v>3662</v>
      </c>
      <c r="F135" s="617" t="s">
        <v>2169</v>
      </c>
      <c r="G135" s="617" t="s">
        <v>2268</v>
      </c>
      <c r="H135" s="619">
        <v>219518.27</v>
      </c>
      <c r="I135" s="618">
        <v>0</v>
      </c>
    </row>
    <row r="136" spans="2:9">
      <c r="B136" s="610"/>
      <c r="C136" s="611"/>
      <c r="E136" s="616" t="s">
        <v>3662</v>
      </c>
      <c r="F136" s="617" t="s">
        <v>2170</v>
      </c>
      <c r="G136" s="617" t="s">
        <v>2269</v>
      </c>
      <c r="H136" s="619">
        <v>219518.27</v>
      </c>
      <c r="I136" s="618">
        <v>0</v>
      </c>
    </row>
    <row r="137" spans="2:9">
      <c r="B137" s="610"/>
      <c r="C137" s="611"/>
      <c r="E137" s="616" t="s">
        <v>3662</v>
      </c>
      <c r="F137" s="617" t="s">
        <v>2171</v>
      </c>
      <c r="G137" s="617" t="s">
        <v>2270</v>
      </c>
      <c r="H137" s="619">
        <v>219518.27</v>
      </c>
      <c r="I137" s="618">
        <v>7156</v>
      </c>
    </row>
    <row r="138" spans="2:9">
      <c r="B138" s="610"/>
      <c r="C138" s="611"/>
      <c r="E138" s="616" t="s">
        <v>3662</v>
      </c>
      <c r="F138" s="617" t="s">
        <v>2172</v>
      </c>
      <c r="G138" s="617" t="s">
        <v>2271</v>
      </c>
      <c r="H138" s="619">
        <v>219518.27</v>
      </c>
      <c r="I138" s="618">
        <v>0</v>
      </c>
    </row>
    <row r="139" spans="2:9">
      <c r="B139" s="610"/>
      <c r="C139" s="611"/>
      <c r="E139" s="616" t="s">
        <v>3663</v>
      </c>
      <c r="F139" s="617" t="s">
        <v>162</v>
      </c>
      <c r="G139" s="617" t="s">
        <v>2272</v>
      </c>
      <c r="H139" s="619">
        <v>1995353.04</v>
      </c>
      <c r="I139" s="618">
        <v>0</v>
      </c>
    </row>
    <row r="140" spans="2:9">
      <c r="B140" s="610"/>
      <c r="C140" s="611"/>
      <c r="E140" s="616" t="s">
        <v>3663</v>
      </c>
      <c r="F140" s="617" t="s">
        <v>164</v>
      </c>
      <c r="G140" s="617" t="s">
        <v>2273</v>
      </c>
      <c r="H140" s="619">
        <v>1995353.04</v>
      </c>
      <c r="I140" s="618">
        <v>0</v>
      </c>
    </row>
    <row r="141" spans="2:9">
      <c r="B141" s="610"/>
      <c r="C141" s="611"/>
      <c r="E141" s="616" t="s">
        <v>3663</v>
      </c>
      <c r="F141" s="617" t="s">
        <v>2173</v>
      </c>
      <c r="G141" s="617" t="s">
        <v>2274</v>
      </c>
      <c r="H141" s="619">
        <v>1995353.04</v>
      </c>
      <c r="I141" s="618">
        <v>35660</v>
      </c>
    </row>
    <row r="142" spans="2:9">
      <c r="B142" s="610"/>
      <c r="C142" s="611"/>
      <c r="E142" s="616" t="s">
        <v>3663</v>
      </c>
      <c r="F142" s="617" t="s">
        <v>2174</v>
      </c>
      <c r="G142" s="617" t="s">
        <v>2275</v>
      </c>
      <c r="H142" s="619">
        <v>1995353.04</v>
      </c>
      <c r="I142" s="618">
        <v>1959693</v>
      </c>
    </row>
    <row r="143" spans="2:9">
      <c r="B143" s="610"/>
      <c r="C143" s="611"/>
      <c r="E143" s="616" t="s">
        <v>3663</v>
      </c>
      <c r="F143" s="617" t="s">
        <v>2175</v>
      </c>
      <c r="G143" s="617" t="s">
        <v>2276</v>
      </c>
      <c r="H143" s="619">
        <v>1995353.04</v>
      </c>
      <c r="I143" s="618">
        <v>0</v>
      </c>
    </row>
    <row r="144" spans="2:9">
      <c r="B144" s="610"/>
      <c r="C144" s="611"/>
      <c r="E144" s="616" t="s">
        <v>3663</v>
      </c>
      <c r="F144" s="617" t="s">
        <v>2176</v>
      </c>
      <c r="G144" s="617" t="s">
        <v>2277</v>
      </c>
      <c r="H144" s="619">
        <v>1995353.04</v>
      </c>
      <c r="I144" s="618">
        <v>0</v>
      </c>
    </row>
    <row r="145" spans="2:9">
      <c r="B145" s="610"/>
      <c r="C145" s="611"/>
      <c r="E145" s="616" t="s">
        <v>3752</v>
      </c>
      <c r="F145" s="617" t="s">
        <v>165</v>
      </c>
      <c r="G145" s="617" t="s">
        <v>166</v>
      </c>
      <c r="H145" s="619">
        <v>0</v>
      </c>
      <c r="I145" s="618">
        <v>0</v>
      </c>
    </row>
    <row r="146" spans="2:9">
      <c r="B146" s="610"/>
      <c r="C146" s="611"/>
      <c r="E146" s="616" t="s">
        <v>3752</v>
      </c>
      <c r="F146" s="617" t="s">
        <v>167</v>
      </c>
      <c r="G146" s="617" t="s">
        <v>168</v>
      </c>
      <c r="H146" s="619">
        <v>0</v>
      </c>
      <c r="I146" s="618">
        <v>0</v>
      </c>
    </row>
    <row r="147" spans="2:9">
      <c r="B147" s="610"/>
      <c r="C147" s="611"/>
      <c r="E147" s="616" t="s">
        <v>3752</v>
      </c>
      <c r="F147" s="617" t="s">
        <v>169</v>
      </c>
      <c r="G147" s="617" t="s">
        <v>170</v>
      </c>
      <c r="H147" s="619">
        <v>0</v>
      </c>
      <c r="I147" s="618">
        <v>0</v>
      </c>
    </row>
    <row r="148" spans="2:9">
      <c r="B148" s="610"/>
      <c r="C148" s="611"/>
      <c r="E148" s="616" t="s">
        <v>3752</v>
      </c>
      <c r="F148" s="617" t="s">
        <v>171</v>
      </c>
      <c r="G148" s="617" t="s">
        <v>2278</v>
      </c>
      <c r="H148" s="619">
        <v>0</v>
      </c>
      <c r="I148" s="618">
        <v>0</v>
      </c>
    </row>
    <row r="149" spans="2:9">
      <c r="B149" s="610"/>
      <c r="C149" s="611"/>
      <c r="E149" s="616" t="s">
        <v>3664</v>
      </c>
      <c r="F149" s="617" t="s">
        <v>172</v>
      </c>
      <c r="G149" s="617" t="s">
        <v>2279</v>
      </c>
      <c r="H149" s="619">
        <v>-1249824.9300000002</v>
      </c>
      <c r="I149" s="618">
        <v>0</v>
      </c>
    </row>
    <row r="150" spans="2:9">
      <c r="B150" s="610"/>
      <c r="C150" s="611"/>
      <c r="E150" s="616" t="s">
        <v>3664</v>
      </c>
      <c r="F150" s="617" t="s">
        <v>173</v>
      </c>
      <c r="G150" s="617" t="s">
        <v>2280</v>
      </c>
      <c r="H150" s="619">
        <v>-1249824.9300000002</v>
      </c>
      <c r="I150" s="618">
        <v>0</v>
      </c>
    </row>
    <row r="151" spans="2:9">
      <c r="B151" s="610"/>
      <c r="C151" s="611"/>
      <c r="E151" s="616" t="s">
        <v>3664</v>
      </c>
      <c r="F151" s="617" t="s">
        <v>1878</v>
      </c>
      <c r="G151" s="617" t="s">
        <v>2281</v>
      </c>
      <c r="H151" s="619">
        <v>-1249824.9300000002</v>
      </c>
      <c r="I151" s="618">
        <v>0</v>
      </c>
    </row>
    <row r="152" spans="2:9">
      <c r="B152" s="610"/>
      <c r="C152" s="611"/>
      <c r="E152" s="616" t="s">
        <v>3664</v>
      </c>
      <c r="F152" s="617" t="s">
        <v>1887</v>
      </c>
      <c r="G152" s="617" t="s">
        <v>2282</v>
      </c>
      <c r="H152" s="619">
        <v>-1249824.9300000002</v>
      </c>
      <c r="I152" s="618">
        <v>-1011781</v>
      </c>
    </row>
    <row r="153" spans="2:9">
      <c r="B153" s="610"/>
      <c r="C153" s="611"/>
      <c r="E153" s="616" t="s">
        <v>3664</v>
      </c>
      <c r="F153" s="617" t="s">
        <v>1888</v>
      </c>
      <c r="G153" s="617" t="s">
        <v>2283</v>
      </c>
      <c r="H153" s="619">
        <v>-1249824.9300000002</v>
      </c>
      <c r="I153" s="618">
        <v>0</v>
      </c>
    </row>
    <row r="154" spans="2:9">
      <c r="B154" s="610"/>
      <c r="C154" s="611"/>
      <c r="E154" s="616" t="s">
        <v>3664</v>
      </c>
      <c r="F154" s="617" t="s">
        <v>1891</v>
      </c>
      <c r="G154" s="617" t="s">
        <v>2284</v>
      </c>
      <c r="H154" s="619">
        <v>-1249824.9300000002</v>
      </c>
      <c r="I154" s="618">
        <v>-238044</v>
      </c>
    </row>
    <row r="155" spans="2:9">
      <c r="B155" s="610"/>
      <c r="C155" s="611"/>
      <c r="E155" s="616" t="s">
        <v>3753</v>
      </c>
      <c r="F155" s="617" t="s">
        <v>1893</v>
      </c>
      <c r="G155" s="617" t="s">
        <v>2285</v>
      </c>
      <c r="H155" s="619">
        <v>0</v>
      </c>
      <c r="I155" s="618">
        <v>0</v>
      </c>
    </row>
    <row r="156" spans="2:9">
      <c r="B156" s="610"/>
      <c r="C156" s="611"/>
      <c r="E156" s="616" t="s">
        <v>3753</v>
      </c>
      <c r="F156" s="617" t="s">
        <v>1894</v>
      </c>
      <c r="G156" s="617" t="s">
        <v>2286</v>
      </c>
      <c r="H156" s="619">
        <v>0</v>
      </c>
      <c r="I156" s="618">
        <v>0</v>
      </c>
    </row>
    <row r="157" spans="2:9">
      <c r="B157" s="610"/>
      <c r="C157" s="611"/>
      <c r="E157" s="616" t="s">
        <v>3753</v>
      </c>
      <c r="F157" s="617" t="s">
        <v>1895</v>
      </c>
      <c r="G157" s="617" t="s">
        <v>2287</v>
      </c>
      <c r="H157" s="619">
        <v>0</v>
      </c>
      <c r="I157" s="618">
        <v>0</v>
      </c>
    </row>
    <row r="158" spans="2:9">
      <c r="B158" s="610"/>
      <c r="C158" s="611"/>
      <c r="E158" s="616" t="s">
        <v>3665</v>
      </c>
      <c r="F158" s="617" t="s">
        <v>174</v>
      </c>
      <c r="G158" s="617" t="s">
        <v>2288</v>
      </c>
      <c r="H158" s="619">
        <v>-238440.95</v>
      </c>
      <c r="I158" s="618">
        <v>0</v>
      </c>
    </row>
    <row r="159" spans="2:9">
      <c r="B159" s="610"/>
      <c r="C159" s="611"/>
      <c r="E159" s="616" t="s">
        <v>3665</v>
      </c>
      <c r="F159" s="617" t="s">
        <v>175</v>
      </c>
      <c r="G159" s="617" t="s">
        <v>2289</v>
      </c>
      <c r="H159" s="619">
        <v>-238440.95</v>
      </c>
      <c r="I159" s="618">
        <v>-238441</v>
      </c>
    </row>
    <row r="160" spans="2:9">
      <c r="B160" s="610"/>
      <c r="C160" s="611"/>
      <c r="E160" s="616" t="s">
        <v>3666</v>
      </c>
      <c r="F160" s="617" t="s">
        <v>1896</v>
      </c>
      <c r="G160" s="617" t="s">
        <v>2290</v>
      </c>
      <c r="H160" s="619">
        <v>-80812.820000000007</v>
      </c>
      <c r="I160" s="618">
        <v>0</v>
      </c>
    </row>
    <row r="161" spans="2:9">
      <c r="B161" s="610"/>
      <c r="C161" s="611"/>
      <c r="E161" s="616" t="s">
        <v>3666</v>
      </c>
      <c r="F161" s="617" t="s">
        <v>1897</v>
      </c>
      <c r="G161" s="617" t="s">
        <v>2291</v>
      </c>
      <c r="H161" s="619">
        <v>-80812.820000000007</v>
      </c>
      <c r="I161" s="618">
        <v>0</v>
      </c>
    </row>
    <row r="162" spans="2:9">
      <c r="B162" s="610"/>
      <c r="C162" s="611"/>
      <c r="E162" s="616" t="s">
        <v>3666</v>
      </c>
      <c r="F162" s="617" t="s">
        <v>1899</v>
      </c>
      <c r="G162" s="617" t="s">
        <v>2292</v>
      </c>
      <c r="H162" s="619">
        <v>-80812.820000000007</v>
      </c>
      <c r="I162" s="618">
        <v>-80813</v>
      </c>
    </row>
    <row r="163" spans="2:9">
      <c r="B163" s="610"/>
      <c r="C163" s="611"/>
      <c r="E163" s="616" t="s">
        <v>3667</v>
      </c>
      <c r="F163" s="617" t="s">
        <v>1900</v>
      </c>
      <c r="G163" s="617" t="s">
        <v>2293</v>
      </c>
      <c r="H163" s="619">
        <v>0.01</v>
      </c>
      <c r="I163" s="618">
        <v>0</v>
      </c>
    </row>
    <row r="164" spans="2:9">
      <c r="B164" s="610"/>
      <c r="C164" s="611"/>
      <c r="E164" s="616" t="s">
        <v>3667</v>
      </c>
      <c r="F164" s="617" t="s">
        <v>1901</v>
      </c>
      <c r="G164" s="617" t="s">
        <v>2294</v>
      </c>
      <c r="H164" s="619">
        <v>0.01</v>
      </c>
      <c r="I164" s="618">
        <v>0</v>
      </c>
    </row>
    <row r="165" spans="2:9">
      <c r="B165" s="610"/>
      <c r="C165" s="611"/>
      <c r="E165" s="616" t="s">
        <v>3667</v>
      </c>
      <c r="F165" s="617" t="s">
        <v>1898</v>
      </c>
      <c r="G165" s="617" t="s">
        <v>1902</v>
      </c>
      <c r="H165" s="619">
        <v>0.01</v>
      </c>
      <c r="I165" s="618">
        <v>0</v>
      </c>
    </row>
    <row r="166" spans="2:9">
      <c r="B166" s="610"/>
      <c r="C166" s="611"/>
      <c r="E166" s="616" t="s">
        <v>3668</v>
      </c>
      <c r="F166" s="617" t="s">
        <v>1903</v>
      </c>
      <c r="G166" s="617" t="s">
        <v>2295</v>
      </c>
      <c r="H166" s="619">
        <v>0</v>
      </c>
      <c r="I166" s="618">
        <v>0</v>
      </c>
    </row>
    <row r="167" spans="2:9">
      <c r="B167" s="610"/>
      <c r="C167" s="611"/>
      <c r="E167" s="616" t="s">
        <v>3668</v>
      </c>
      <c r="F167" s="617" t="s">
        <v>1904</v>
      </c>
      <c r="G167" s="617" t="s">
        <v>2296</v>
      </c>
      <c r="H167" s="619">
        <v>0</v>
      </c>
      <c r="I167" s="618">
        <v>0</v>
      </c>
    </row>
    <row r="168" spans="2:9">
      <c r="B168" s="610"/>
      <c r="C168" s="611"/>
      <c r="E168" s="616" t="s">
        <v>3668</v>
      </c>
      <c r="F168" s="617" t="s">
        <v>1905</v>
      </c>
      <c r="G168" s="617" t="s">
        <v>2297</v>
      </c>
      <c r="H168" s="619">
        <v>0</v>
      </c>
      <c r="I168" s="618">
        <v>0</v>
      </c>
    </row>
    <row r="169" spans="2:9">
      <c r="B169" s="610"/>
      <c r="C169" s="611"/>
      <c r="E169" s="616" t="s">
        <v>3669</v>
      </c>
      <c r="F169" s="617" t="s">
        <v>176</v>
      </c>
      <c r="G169" s="617" t="s">
        <v>177</v>
      </c>
      <c r="H169" s="619">
        <v>-11681.01</v>
      </c>
      <c r="I169" s="618">
        <v>-11681</v>
      </c>
    </row>
    <row r="170" spans="2:9">
      <c r="B170" s="610"/>
      <c r="C170" s="611"/>
      <c r="E170" s="616" t="s">
        <v>3670</v>
      </c>
      <c r="F170" s="617" t="s">
        <v>178</v>
      </c>
      <c r="G170" s="617" t="s">
        <v>179</v>
      </c>
      <c r="H170" s="619">
        <v>-347.76</v>
      </c>
      <c r="I170" s="618">
        <v>-348</v>
      </c>
    </row>
    <row r="171" spans="2:9">
      <c r="B171" s="610"/>
      <c r="C171" s="611"/>
      <c r="E171" s="616" t="s">
        <v>3671</v>
      </c>
      <c r="F171" s="617" t="s">
        <v>180</v>
      </c>
      <c r="G171" s="617" t="s">
        <v>181</v>
      </c>
      <c r="H171" s="619">
        <v>-135.32</v>
      </c>
      <c r="I171" s="618">
        <v>0</v>
      </c>
    </row>
    <row r="172" spans="2:9">
      <c r="B172" s="610"/>
      <c r="C172" s="611"/>
      <c r="E172" s="616" t="s">
        <v>3671</v>
      </c>
      <c r="F172" s="617" t="s">
        <v>182</v>
      </c>
      <c r="G172" s="617" t="s">
        <v>183</v>
      </c>
      <c r="H172" s="619">
        <v>-135.32</v>
      </c>
      <c r="I172" s="618">
        <v>-135</v>
      </c>
    </row>
    <row r="173" spans="2:9">
      <c r="B173" s="610"/>
      <c r="C173" s="611"/>
      <c r="E173" s="616" t="s">
        <v>3672</v>
      </c>
      <c r="F173" s="617" t="s">
        <v>184</v>
      </c>
      <c r="G173" s="617" t="s">
        <v>2298</v>
      </c>
      <c r="H173" s="619">
        <v>-32381.909999999996</v>
      </c>
      <c r="I173" s="618">
        <v>0</v>
      </c>
    </row>
    <row r="174" spans="2:9">
      <c r="B174" s="610"/>
      <c r="C174" s="611"/>
      <c r="E174" s="616" t="s">
        <v>3672</v>
      </c>
      <c r="F174" s="617" t="s">
        <v>185</v>
      </c>
      <c r="G174" s="617" t="s">
        <v>2299</v>
      </c>
      <c r="H174" s="619">
        <v>-32381.909999999996</v>
      </c>
      <c r="I174" s="618">
        <v>0</v>
      </c>
    </row>
    <row r="175" spans="2:9">
      <c r="B175" s="610"/>
      <c r="C175" s="611"/>
      <c r="E175" s="616" t="s">
        <v>3672</v>
      </c>
      <c r="F175" s="617" t="s">
        <v>2177</v>
      </c>
      <c r="G175" s="617" t="s">
        <v>2300</v>
      </c>
      <c r="H175" s="619">
        <v>-32381.909999999996</v>
      </c>
      <c r="I175" s="618">
        <v>-32382</v>
      </c>
    </row>
    <row r="176" spans="2:9">
      <c r="B176" s="610"/>
      <c r="C176" s="611"/>
      <c r="E176" s="616" t="s">
        <v>3672</v>
      </c>
      <c r="F176" s="617" t="s">
        <v>2301</v>
      </c>
      <c r="G176" s="617" t="s">
        <v>2302</v>
      </c>
      <c r="H176" s="619">
        <v>-32381.909999999996</v>
      </c>
      <c r="I176" s="618">
        <v>0</v>
      </c>
    </row>
    <row r="177" spans="2:9">
      <c r="B177" s="610"/>
      <c r="C177" s="611"/>
      <c r="E177" s="616" t="s">
        <v>3673</v>
      </c>
      <c r="F177" s="617" t="s">
        <v>186</v>
      </c>
      <c r="G177" s="617" t="s">
        <v>187</v>
      </c>
      <c r="H177" s="619">
        <v>-498871.62</v>
      </c>
      <c r="I177" s="618">
        <v>-498872</v>
      </c>
    </row>
    <row r="178" spans="2:9">
      <c r="B178" s="610"/>
      <c r="C178" s="611"/>
      <c r="E178" s="616" t="s">
        <v>3673</v>
      </c>
      <c r="F178" s="617" t="s">
        <v>188</v>
      </c>
      <c r="G178" s="617" t="s">
        <v>189</v>
      </c>
      <c r="H178" s="619">
        <v>-498871.62</v>
      </c>
      <c r="I178" s="618">
        <v>0</v>
      </c>
    </row>
    <row r="179" spans="2:9">
      <c r="B179" s="610"/>
      <c r="C179" s="611"/>
      <c r="E179" s="616" t="s">
        <v>3674</v>
      </c>
      <c r="F179" s="617" t="s">
        <v>190</v>
      </c>
      <c r="G179" s="617" t="s">
        <v>191</v>
      </c>
      <c r="H179" s="619">
        <v>-2661.31</v>
      </c>
      <c r="I179" s="618">
        <v>-2661</v>
      </c>
    </row>
    <row r="180" spans="2:9">
      <c r="B180" s="610"/>
      <c r="C180" s="611"/>
      <c r="E180" s="616" t="s">
        <v>3674</v>
      </c>
      <c r="F180" s="617" t="s">
        <v>192</v>
      </c>
      <c r="G180" s="617" t="s">
        <v>193</v>
      </c>
      <c r="H180" s="619">
        <v>-2661.31</v>
      </c>
      <c r="I180" s="618">
        <v>0</v>
      </c>
    </row>
    <row r="181" spans="2:9">
      <c r="B181" s="610"/>
      <c r="C181" s="611"/>
      <c r="E181" s="616" t="s">
        <v>3675</v>
      </c>
      <c r="F181" s="617" t="s">
        <v>194</v>
      </c>
      <c r="G181" s="617" t="s">
        <v>195</v>
      </c>
      <c r="H181" s="619">
        <v>475.04</v>
      </c>
      <c r="I181" s="618">
        <v>0</v>
      </c>
    </row>
    <row r="182" spans="2:9">
      <c r="B182" s="610"/>
      <c r="C182" s="611"/>
      <c r="E182" s="616" t="s">
        <v>3675</v>
      </c>
      <c r="F182" s="617" t="s">
        <v>196</v>
      </c>
      <c r="G182" s="617" t="s">
        <v>197</v>
      </c>
      <c r="H182" s="619">
        <v>475.04</v>
      </c>
      <c r="I182" s="618">
        <v>475</v>
      </c>
    </row>
    <row r="183" spans="2:9">
      <c r="B183" s="610"/>
      <c r="C183" s="611"/>
      <c r="E183" s="616" t="s">
        <v>3676</v>
      </c>
      <c r="F183" s="617" t="s">
        <v>198</v>
      </c>
      <c r="G183" s="617" t="s">
        <v>199</v>
      </c>
      <c r="H183" s="619">
        <v>7.2200000000000006</v>
      </c>
      <c r="I183" s="618">
        <v>0</v>
      </c>
    </row>
    <row r="184" spans="2:9">
      <c r="B184" s="610"/>
      <c r="C184" s="611"/>
      <c r="E184" s="616" t="s">
        <v>3676</v>
      </c>
      <c r="F184" s="617" t="s">
        <v>200</v>
      </c>
      <c r="G184" s="617" t="s">
        <v>201</v>
      </c>
      <c r="H184" s="619">
        <v>7.2200000000000006</v>
      </c>
      <c r="I184" s="618">
        <v>7</v>
      </c>
    </row>
    <row r="185" spans="2:9">
      <c r="B185" s="610"/>
      <c r="C185" s="611"/>
      <c r="E185" s="616" t="s">
        <v>3677</v>
      </c>
      <c r="F185" s="617" t="s">
        <v>809</v>
      </c>
      <c r="G185" s="617" t="s">
        <v>811</v>
      </c>
      <c r="H185" s="619">
        <v>0</v>
      </c>
      <c r="I185" s="618">
        <v>0</v>
      </c>
    </row>
    <row r="186" spans="2:9">
      <c r="B186" s="610"/>
      <c r="C186" s="611"/>
      <c r="E186" s="616" t="s">
        <v>3677</v>
      </c>
      <c r="F186" s="617" t="s">
        <v>810</v>
      </c>
      <c r="G186" s="617" t="s">
        <v>812</v>
      </c>
      <c r="H186" s="619">
        <v>0</v>
      </c>
      <c r="I186" s="618">
        <v>0</v>
      </c>
    </row>
    <row r="187" spans="2:9">
      <c r="B187" s="610"/>
      <c r="C187" s="611"/>
      <c r="E187" s="616" t="s">
        <v>3754</v>
      </c>
      <c r="F187" s="617" t="s">
        <v>1911</v>
      </c>
      <c r="G187" s="617" t="s">
        <v>2303</v>
      </c>
      <c r="H187" s="619">
        <v>0</v>
      </c>
      <c r="I187" s="618">
        <v>0</v>
      </c>
    </row>
    <row r="188" spans="2:9">
      <c r="B188" s="610"/>
      <c r="C188" s="611"/>
      <c r="E188" s="616" t="s">
        <v>3754</v>
      </c>
      <c r="F188" s="617" t="s">
        <v>1912</v>
      </c>
      <c r="G188" s="617" t="s">
        <v>2304</v>
      </c>
      <c r="H188" s="619">
        <v>0</v>
      </c>
      <c r="I188" s="618">
        <v>0</v>
      </c>
    </row>
    <row r="189" spans="2:9">
      <c r="B189" s="610"/>
      <c r="C189" s="611"/>
      <c r="E189" s="616" t="s">
        <v>3678</v>
      </c>
      <c r="F189" s="617" t="s">
        <v>202</v>
      </c>
      <c r="G189" s="617" t="s">
        <v>2305</v>
      </c>
      <c r="H189" s="619">
        <v>14142527.679999998</v>
      </c>
      <c r="I189" s="618">
        <v>0</v>
      </c>
    </row>
    <row r="190" spans="2:9">
      <c r="B190" s="610"/>
      <c r="C190" s="611"/>
      <c r="E190" s="616" t="s">
        <v>3678</v>
      </c>
      <c r="F190" s="617" t="s">
        <v>203</v>
      </c>
      <c r="G190" s="617" t="s">
        <v>2306</v>
      </c>
      <c r="H190" s="619">
        <v>14142527.679999998</v>
      </c>
      <c r="I190" s="618">
        <v>0</v>
      </c>
    </row>
    <row r="191" spans="2:9">
      <c r="B191" s="610"/>
      <c r="C191" s="611"/>
      <c r="E191" s="616" t="s">
        <v>3678</v>
      </c>
      <c r="F191" s="617" t="s">
        <v>204</v>
      </c>
      <c r="G191" s="617" t="s">
        <v>2307</v>
      </c>
      <c r="H191" s="619">
        <v>14142527.679999998</v>
      </c>
      <c r="I191" s="618">
        <v>14142528</v>
      </c>
    </row>
    <row r="192" spans="2:9">
      <c r="B192" s="610"/>
      <c r="C192" s="611"/>
      <c r="E192" s="616" t="s">
        <v>3678</v>
      </c>
      <c r="F192" s="617" t="s">
        <v>2308</v>
      </c>
      <c r="G192" s="617" t="s">
        <v>2309</v>
      </c>
      <c r="H192" s="619">
        <v>14142527.679999998</v>
      </c>
      <c r="I192" s="618">
        <v>0</v>
      </c>
    </row>
    <row r="193" spans="2:9">
      <c r="B193" s="610"/>
      <c r="C193" s="611"/>
      <c r="E193" s="616" t="s">
        <v>3755</v>
      </c>
      <c r="F193" s="617" t="s">
        <v>205</v>
      </c>
      <c r="G193" s="617" t="s">
        <v>2310</v>
      </c>
      <c r="H193" s="619">
        <v>0</v>
      </c>
      <c r="I193" s="618">
        <v>0</v>
      </c>
    </row>
    <row r="194" spans="2:9">
      <c r="B194" s="610"/>
      <c r="C194" s="611"/>
      <c r="E194" s="616" t="s">
        <v>3756</v>
      </c>
      <c r="F194" s="617" t="s">
        <v>206</v>
      </c>
      <c r="G194" s="617" t="s">
        <v>2311</v>
      </c>
      <c r="H194" s="619">
        <v>0</v>
      </c>
      <c r="I194" s="618">
        <v>0</v>
      </c>
    </row>
    <row r="195" spans="2:9">
      <c r="B195" s="610"/>
      <c r="C195" s="611"/>
      <c r="E195" s="616" t="s">
        <v>3756</v>
      </c>
      <c r="F195" s="617" t="s">
        <v>207</v>
      </c>
      <c r="G195" s="617" t="s">
        <v>208</v>
      </c>
      <c r="H195" s="619">
        <v>0</v>
      </c>
      <c r="I195" s="618">
        <v>0</v>
      </c>
    </row>
    <row r="196" spans="2:9">
      <c r="B196" s="610"/>
      <c r="C196" s="611"/>
      <c r="E196" s="616" t="s">
        <v>3757</v>
      </c>
      <c r="F196" s="617" t="s">
        <v>209</v>
      </c>
      <c r="G196" s="617" t="s">
        <v>210</v>
      </c>
      <c r="H196" s="619">
        <v>0</v>
      </c>
      <c r="I196" s="618">
        <v>0</v>
      </c>
    </row>
    <row r="197" spans="2:9">
      <c r="B197" s="610"/>
      <c r="C197" s="611"/>
      <c r="E197" s="616" t="s">
        <v>3757</v>
      </c>
      <c r="F197" s="617" t="s">
        <v>211</v>
      </c>
      <c r="G197" s="617" t="s">
        <v>212</v>
      </c>
      <c r="H197" s="619">
        <v>0</v>
      </c>
      <c r="I197" s="618">
        <v>0</v>
      </c>
    </row>
    <row r="198" spans="2:9">
      <c r="B198" s="610"/>
      <c r="C198" s="611"/>
      <c r="E198" s="616" t="s">
        <v>3758</v>
      </c>
      <c r="F198" s="617" t="s">
        <v>213</v>
      </c>
      <c r="G198" s="617" t="s">
        <v>214</v>
      </c>
      <c r="H198" s="619">
        <v>0</v>
      </c>
      <c r="I198" s="618">
        <v>0</v>
      </c>
    </row>
    <row r="199" spans="2:9">
      <c r="B199" s="610"/>
      <c r="C199" s="611"/>
      <c r="E199" s="616" t="s">
        <v>3758</v>
      </c>
      <c r="F199" s="617" t="s">
        <v>215</v>
      </c>
      <c r="G199" s="617" t="s">
        <v>216</v>
      </c>
      <c r="H199" s="619">
        <v>0</v>
      </c>
      <c r="I199" s="618">
        <v>0</v>
      </c>
    </row>
    <row r="200" spans="2:9">
      <c r="B200" s="610"/>
      <c r="C200" s="611"/>
      <c r="E200" s="616" t="s">
        <v>3679</v>
      </c>
      <c r="F200" s="617" t="s">
        <v>2312</v>
      </c>
      <c r="G200" s="617" t="s">
        <v>2313</v>
      </c>
      <c r="H200" s="619">
        <v>-6584500.7800000003</v>
      </c>
      <c r="I200" s="618">
        <v>-6584501</v>
      </c>
    </row>
    <row r="201" spans="2:9">
      <c r="B201" s="610"/>
      <c r="C201" s="611"/>
      <c r="E201" s="616" t="s">
        <v>3679</v>
      </c>
      <c r="F201" s="617" t="s">
        <v>2314</v>
      </c>
      <c r="G201" s="617" t="s">
        <v>2315</v>
      </c>
      <c r="H201" s="619">
        <v>-6584500.7800000003</v>
      </c>
      <c r="I201" s="618">
        <v>0</v>
      </c>
    </row>
    <row r="202" spans="2:9">
      <c r="B202" s="610"/>
      <c r="C202" s="611"/>
      <c r="E202" s="616" t="s">
        <v>3759</v>
      </c>
      <c r="F202" s="617" t="s">
        <v>217</v>
      </c>
      <c r="G202" s="617" t="s">
        <v>2316</v>
      </c>
      <c r="H202" s="619">
        <v>0</v>
      </c>
      <c r="I202" s="618">
        <v>0</v>
      </c>
    </row>
    <row r="203" spans="2:9">
      <c r="B203" s="610"/>
      <c r="C203" s="611"/>
      <c r="E203" s="616" t="s">
        <v>3760</v>
      </c>
      <c r="F203" s="617" t="s">
        <v>218</v>
      </c>
      <c r="G203" s="617" t="s">
        <v>219</v>
      </c>
      <c r="H203" s="619">
        <v>0</v>
      </c>
      <c r="I203" s="618">
        <v>0</v>
      </c>
    </row>
    <row r="204" spans="2:9">
      <c r="B204" s="610"/>
      <c r="C204" s="611"/>
      <c r="E204" s="616" t="s">
        <v>3761</v>
      </c>
      <c r="F204" s="617" t="s">
        <v>220</v>
      </c>
      <c r="G204" s="617" t="s">
        <v>221</v>
      </c>
      <c r="H204" s="619">
        <v>0</v>
      </c>
      <c r="I204" s="618">
        <v>0</v>
      </c>
    </row>
    <row r="205" spans="2:9">
      <c r="B205" s="610"/>
      <c r="C205" s="611"/>
      <c r="E205" s="616" t="s">
        <v>3680</v>
      </c>
      <c r="F205" s="617" t="s">
        <v>222</v>
      </c>
      <c r="G205" s="617" t="s">
        <v>223</v>
      </c>
      <c r="H205" s="619">
        <v>0</v>
      </c>
      <c r="I205" s="618">
        <v>0</v>
      </c>
    </row>
    <row r="206" spans="2:9">
      <c r="B206" s="610"/>
      <c r="C206" s="611"/>
      <c r="E206" s="616" t="s">
        <v>3762</v>
      </c>
      <c r="F206" s="617" t="s">
        <v>224</v>
      </c>
      <c r="G206" s="617" t="s">
        <v>2317</v>
      </c>
      <c r="H206" s="619">
        <v>0</v>
      </c>
      <c r="I206" s="618">
        <v>0</v>
      </c>
    </row>
    <row r="207" spans="2:9">
      <c r="B207" s="610"/>
      <c r="C207" s="611"/>
      <c r="E207" s="616" t="s">
        <v>3763</v>
      </c>
      <c r="F207" s="617" t="s">
        <v>225</v>
      </c>
      <c r="G207" s="617" t="s">
        <v>226</v>
      </c>
      <c r="H207" s="619">
        <v>0</v>
      </c>
      <c r="I207" s="618">
        <v>0</v>
      </c>
    </row>
    <row r="208" spans="2:9">
      <c r="B208" s="610"/>
      <c r="C208" s="611"/>
      <c r="E208" s="616" t="s">
        <v>3763</v>
      </c>
      <c r="F208" s="617" t="s">
        <v>227</v>
      </c>
      <c r="G208" s="617" t="s">
        <v>228</v>
      </c>
      <c r="H208" s="619">
        <v>0</v>
      </c>
      <c r="I208" s="618">
        <v>0</v>
      </c>
    </row>
    <row r="209" spans="2:9">
      <c r="B209" s="610"/>
      <c r="C209" s="611"/>
      <c r="E209" s="616" t="s">
        <v>3764</v>
      </c>
      <c r="F209" s="617" t="s">
        <v>229</v>
      </c>
      <c r="G209" s="617" t="s">
        <v>2318</v>
      </c>
      <c r="H209" s="619">
        <v>0</v>
      </c>
      <c r="I209" s="618">
        <v>0</v>
      </c>
    </row>
    <row r="210" spans="2:9">
      <c r="B210" s="610"/>
      <c r="C210" s="611"/>
      <c r="E210" s="616" t="s">
        <v>3764</v>
      </c>
      <c r="F210" s="617" t="s">
        <v>230</v>
      </c>
      <c r="G210" s="617" t="s">
        <v>231</v>
      </c>
      <c r="H210" s="619">
        <v>0</v>
      </c>
      <c r="I210" s="618">
        <v>0</v>
      </c>
    </row>
    <row r="211" spans="2:9">
      <c r="B211" s="610"/>
      <c r="C211" s="611"/>
      <c r="E211" s="616" t="s">
        <v>3765</v>
      </c>
      <c r="F211" s="617" t="s">
        <v>232</v>
      </c>
      <c r="G211" s="617" t="s">
        <v>233</v>
      </c>
      <c r="H211" s="619">
        <v>0</v>
      </c>
      <c r="I211" s="618">
        <v>0</v>
      </c>
    </row>
    <row r="212" spans="2:9">
      <c r="B212" s="610"/>
      <c r="C212" s="611"/>
      <c r="E212" s="616" t="s">
        <v>3765</v>
      </c>
      <c r="F212" s="617" t="s">
        <v>234</v>
      </c>
      <c r="G212" s="617" t="s">
        <v>235</v>
      </c>
      <c r="H212" s="619">
        <v>0</v>
      </c>
      <c r="I212" s="618">
        <v>0</v>
      </c>
    </row>
    <row r="213" spans="2:9">
      <c r="B213" s="610"/>
      <c r="C213" s="611"/>
      <c r="E213" s="616" t="s">
        <v>3765</v>
      </c>
      <c r="F213" s="617" t="s">
        <v>236</v>
      </c>
      <c r="G213" s="617" t="s">
        <v>237</v>
      </c>
      <c r="H213" s="619">
        <v>0</v>
      </c>
      <c r="I213" s="618">
        <v>0</v>
      </c>
    </row>
    <row r="214" spans="2:9">
      <c r="B214" s="610"/>
      <c r="C214" s="611"/>
      <c r="E214" s="616" t="s">
        <v>3765</v>
      </c>
      <c r="F214" s="617" t="s">
        <v>238</v>
      </c>
      <c r="G214" s="617" t="s">
        <v>239</v>
      </c>
      <c r="H214" s="619">
        <v>0</v>
      </c>
      <c r="I214" s="618">
        <v>0</v>
      </c>
    </row>
    <row r="215" spans="2:9">
      <c r="B215" s="610"/>
      <c r="C215" s="611"/>
      <c r="E215" s="616" t="s">
        <v>3766</v>
      </c>
      <c r="F215" s="617" t="s">
        <v>240</v>
      </c>
      <c r="G215" s="617" t="s">
        <v>2185</v>
      </c>
      <c r="H215" s="619">
        <v>0</v>
      </c>
      <c r="I215" s="618">
        <v>0</v>
      </c>
    </row>
    <row r="216" spans="2:9">
      <c r="B216" s="610"/>
      <c r="C216" s="611"/>
      <c r="E216" s="616" t="s">
        <v>3766</v>
      </c>
      <c r="F216" s="617" t="s">
        <v>241</v>
      </c>
      <c r="G216" s="617" t="s">
        <v>242</v>
      </c>
      <c r="H216" s="619">
        <v>0</v>
      </c>
      <c r="I216" s="618">
        <v>0</v>
      </c>
    </row>
    <row r="217" spans="2:9">
      <c r="B217" s="610"/>
      <c r="C217" s="611"/>
      <c r="E217" s="616" t="s">
        <v>3767</v>
      </c>
      <c r="F217" s="617" t="s">
        <v>243</v>
      </c>
      <c r="G217" s="617" t="s">
        <v>2319</v>
      </c>
      <c r="H217" s="619">
        <v>0</v>
      </c>
      <c r="I217" s="618">
        <v>0</v>
      </c>
    </row>
    <row r="218" spans="2:9">
      <c r="B218" s="610"/>
      <c r="C218" s="611"/>
      <c r="E218" s="616" t="s">
        <v>3767</v>
      </c>
      <c r="F218" s="617" t="s">
        <v>244</v>
      </c>
      <c r="G218" s="617" t="s">
        <v>2320</v>
      </c>
      <c r="H218" s="619">
        <v>0</v>
      </c>
      <c r="I218" s="618">
        <v>0</v>
      </c>
    </row>
    <row r="219" spans="2:9">
      <c r="B219" s="610"/>
      <c r="C219" s="611"/>
      <c r="E219" s="616" t="s">
        <v>3768</v>
      </c>
      <c r="F219" s="617" t="s">
        <v>245</v>
      </c>
      <c r="G219" s="617" t="s">
        <v>246</v>
      </c>
      <c r="H219" s="619">
        <v>0</v>
      </c>
      <c r="I219" s="618">
        <v>0</v>
      </c>
    </row>
    <row r="220" spans="2:9">
      <c r="B220" s="610"/>
      <c r="C220" s="611"/>
      <c r="E220" s="616" t="s">
        <v>3768</v>
      </c>
      <c r="F220" s="617" t="s">
        <v>247</v>
      </c>
      <c r="G220" s="617" t="s">
        <v>248</v>
      </c>
      <c r="H220" s="619">
        <v>0</v>
      </c>
      <c r="I220" s="618">
        <v>0</v>
      </c>
    </row>
    <row r="221" spans="2:9">
      <c r="B221" s="610"/>
      <c r="C221" s="611"/>
      <c r="E221" s="616" t="s">
        <v>3769</v>
      </c>
      <c r="F221" s="617" t="s">
        <v>249</v>
      </c>
      <c r="G221" s="617" t="s">
        <v>250</v>
      </c>
      <c r="H221" s="619">
        <v>0</v>
      </c>
      <c r="I221" s="618">
        <v>0</v>
      </c>
    </row>
    <row r="222" spans="2:9">
      <c r="B222" s="610"/>
      <c r="C222" s="611"/>
      <c r="E222" s="616" t="s">
        <v>3769</v>
      </c>
      <c r="F222" s="617" t="s">
        <v>251</v>
      </c>
      <c r="G222" s="617" t="s">
        <v>252</v>
      </c>
      <c r="H222" s="619">
        <v>0</v>
      </c>
      <c r="I222" s="618">
        <v>0</v>
      </c>
    </row>
    <row r="223" spans="2:9">
      <c r="B223" s="610"/>
      <c r="C223" s="611"/>
      <c r="E223" s="616" t="s">
        <v>3681</v>
      </c>
      <c r="F223" s="617" t="s">
        <v>253</v>
      </c>
      <c r="G223" s="617" t="s">
        <v>163</v>
      </c>
      <c r="H223" s="619">
        <v>39888.009999999995</v>
      </c>
      <c r="I223" s="618">
        <v>0</v>
      </c>
    </row>
    <row r="224" spans="2:9">
      <c r="B224" s="610"/>
      <c r="C224" s="611"/>
      <c r="E224" s="616" t="s">
        <v>3681</v>
      </c>
      <c r="F224" s="617" t="s">
        <v>254</v>
      </c>
      <c r="G224" s="617" t="s">
        <v>2321</v>
      </c>
      <c r="H224" s="619">
        <v>39888.009999999995</v>
      </c>
      <c r="I224" s="618">
        <v>39888</v>
      </c>
    </row>
    <row r="225" spans="2:9">
      <c r="B225" s="610"/>
      <c r="C225" s="611"/>
      <c r="E225" s="616" t="s">
        <v>3682</v>
      </c>
      <c r="F225" s="617" t="s">
        <v>255</v>
      </c>
      <c r="G225" s="617" t="s">
        <v>2322</v>
      </c>
      <c r="H225" s="619">
        <v>-180882.87999999998</v>
      </c>
      <c r="I225" s="618">
        <v>-180883</v>
      </c>
    </row>
    <row r="226" spans="2:9">
      <c r="B226" s="610"/>
      <c r="C226" s="611"/>
      <c r="E226" s="616" t="s">
        <v>3683</v>
      </c>
      <c r="F226" s="617" t="s">
        <v>256</v>
      </c>
      <c r="G226" s="617" t="s">
        <v>257</v>
      </c>
      <c r="H226" s="619">
        <v>2181.29</v>
      </c>
      <c r="I226" s="618">
        <v>0</v>
      </c>
    </row>
    <row r="227" spans="2:9">
      <c r="B227" s="610"/>
      <c r="C227" s="611"/>
      <c r="E227" s="616" t="s">
        <v>3683</v>
      </c>
      <c r="F227" s="617" t="s">
        <v>258</v>
      </c>
      <c r="G227" s="617" t="s">
        <v>259</v>
      </c>
      <c r="H227" s="619">
        <v>2181.29</v>
      </c>
      <c r="I227" s="618">
        <v>2181</v>
      </c>
    </row>
    <row r="228" spans="2:9">
      <c r="B228" s="610"/>
      <c r="C228" s="611"/>
      <c r="E228" s="616" t="s">
        <v>3770</v>
      </c>
      <c r="F228" s="617" t="s">
        <v>260</v>
      </c>
      <c r="G228" s="617" t="s">
        <v>261</v>
      </c>
      <c r="H228" s="619">
        <v>0</v>
      </c>
      <c r="I228" s="618">
        <v>0</v>
      </c>
    </row>
    <row r="229" spans="2:9">
      <c r="B229" s="610"/>
      <c r="C229" s="611"/>
      <c r="E229" s="616" t="s">
        <v>3770</v>
      </c>
      <c r="F229" s="617" t="s">
        <v>262</v>
      </c>
      <c r="G229" s="617" t="s">
        <v>2323</v>
      </c>
      <c r="H229" s="619">
        <v>0</v>
      </c>
      <c r="I229" s="618">
        <v>0</v>
      </c>
    </row>
    <row r="230" spans="2:9">
      <c r="B230" s="610"/>
      <c r="C230" s="611"/>
      <c r="E230" s="616" t="s">
        <v>3684</v>
      </c>
      <c r="F230" s="617" t="s">
        <v>263</v>
      </c>
      <c r="G230" s="617" t="s">
        <v>264</v>
      </c>
      <c r="H230" s="619">
        <v>-20832.14</v>
      </c>
      <c r="I230" s="618">
        <v>0</v>
      </c>
    </row>
    <row r="231" spans="2:9">
      <c r="B231" s="610"/>
      <c r="C231" s="611"/>
      <c r="E231" s="616" t="s">
        <v>3684</v>
      </c>
      <c r="F231" s="617" t="s">
        <v>265</v>
      </c>
      <c r="G231" s="617" t="s">
        <v>266</v>
      </c>
      <c r="H231" s="619">
        <v>-20832.14</v>
      </c>
      <c r="I231" s="618">
        <v>-20832</v>
      </c>
    </row>
    <row r="232" spans="2:9">
      <c r="B232" s="610"/>
      <c r="C232" s="611"/>
      <c r="E232" s="616" t="s">
        <v>3685</v>
      </c>
      <c r="F232" s="617" t="s">
        <v>267</v>
      </c>
      <c r="G232" s="617" t="s">
        <v>268</v>
      </c>
      <c r="H232" s="619">
        <v>0</v>
      </c>
      <c r="I232" s="618">
        <v>0</v>
      </c>
    </row>
    <row r="233" spans="2:9">
      <c r="B233" s="610"/>
      <c r="C233" s="611"/>
      <c r="E233" s="616" t="s">
        <v>3685</v>
      </c>
      <c r="F233" s="617" t="s">
        <v>269</v>
      </c>
      <c r="G233" s="617" t="s">
        <v>2324</v>
      </c>
      <c r="H233" s="619">
        <v>0</v>
      </c>
      <c r="I233" s="618">
        <v>0</v>
      </c>
    </row>
    <row r="234" spans="2:9">
      <c r="B234" s="610"/>
      <c r="C234" s="611"/>
      <c r="E234" s="616" t="s">
        <v>3686</v>
      </c>
      <c r="F234" s="617" t="s">
        <v>270</v>
      </c>
      <c r="G234" s="617" t="s">
        <v>271</v>
      </c>
      <c r="H234" s="619">
        <v>43883.28</v>
      </c>
      <c r="I234" s="618">
        <v>0</v>
      </c>
    </row>
    <row r="235" spans="2:9">
      <c r="B235" s="610"/>
      <c r="C235" s="611"/>
      <c r="E235" s="616" t="s">
        <v>3686</v>
      </c>
      <c r="F235" s="617" t="s">
        <v>272</v>
      </c>
      <c r="G235" s="617" t="s">
        <v>273</v>
      </c>
      <c r="H235" s="619">
        <v>43883.28</v>
      </c>
      <c r="I235" s="618">
        <v>43883</v>
      </c>
    </row>
    <row r="236" spans="2:9">
      <c r="B236" s="610"/>
      <c r="C236" s="611"/>
      <c r="E236" s="616" t="s">
        <v>3687</v>
      </c>
      <c r="F236" s="617" t="s">
        <v>274</v>
      </c>
      <c r="G236" s="617" t="s">
        <v>2325</v>
      </c>
      <c r="H236" s="619">
        <v>-1968038.16</v>
      </c>
      <c r="I236" s="618">
        <v>0</v>
      </c>
    </row>
    <row r="237" spans="2:9">
      <c r="B237" s="610"/>
      <c r="C237" s="611"/>
      <c r="E237" s="616" t="s">
        <v>3687</v>
      </c>
      <c r="F237" s="617" t="s">
        <v>275</v>
      </c>
      <c r="G237" s="617" t="s">
        <v>2326</v>
      </c>
      <c r="H237" s="619">
        <v>-1968038.16</v>
      </c>
      <c r="I237" s="618">
        <v>0</v>
      </c>
    </row>
    <row r="238" spans="2:9">
      <c r="B238" s="610"/>
      <c r="C238" s="611"/>
      <c r="E238" s="616" t="s">
        <v>3687</v>
      </c>
      <c r="F238" s="617" t="s">
        <v>276</v>
      </c>
      <c r="G238" s="617" t="s">
        <v>2327</v>
      </c>
      <c r="H238" s="619">
        <v>-1968038.16</v>
      </c>
      <c r="I238" s="618">
        <v>0</v>
      </c>
    </row>
    <row r="239" spans="2:9">
      <c r="B239" s="610"/>
      <c r="C239" s="611"/>
      <c r="E239" s="616" t="s">
        <v>3687</v>
      </c>
      <c r="F239" s="617" t="s">
        <v>277</v>
      </c>
      <c r="G239" s="617" t="s">
        <v>2328</v>
      </c>
      <c r="H239" s="619">
        <v>-1968038.16</v>
      </c>
      <c r="I239" s="618">
        <v>0</v>
      </c>
    </row>
    <row r="240" spans="2:9">
      <c r="B240" s="610"/>
      <c r="C240" s="611"/>
      <c r="E240" s="616" t="s">
        <v>3687</v>
      </c>
      <c r="F240" s="617" t="s">
        <v>278</v>
      </c>
      <c r="G240" s="617" t="s">
        <v>2935</v>
      </c>
      <c r="H240" s="619">
        <v>-1968038.16</v>
      </c>
      <c r="I240" s="618">
        <v>0</v>
      </c>
    </row>
    <row r="241" spans="2:9">
      <c r="B241" s="610"/>
      <c r="C241" s="611"/>
      <c r="E241" s="616" t="s">
        <v>3687</v>
      </c>
      <c r="F241" s="617" t="s">
        <v>2178</v>
      </c>
      <c r="G241" s="617" t="s">
        <v>2329</v>
      </c>
      <c r="H241" s="619">
        <v>-1968038.16</v>
      </c>
      <c r="I241" s="618">
        <v>0</v>
      </c>
    </row>
    <row r="242" spans="2:9">
      <c r="B242" s="610"/>
      <c r="C242" s="611"/>
      <c r="E242" s="616" t="s">
        <v>3687</v>
      </c>
      <c r="F242" s="617" t="s">
        <v>279</v>
      </c>
      <c r="G242" s="617" t="s">
        <v>2330</v>
      </c>
      <c r="H242" s="619">
        <v>-1968038.16</v>
      </c>
      <c r="I242" s="618">
        <v>0</v>
      </c>
    </row>
    <row r="243" spans="2:9">
      <c r="B243" s="610"/>
      <c r="C243" s="611"/>
      <c r="E243" s="616" t="s">
        <v>3687</v>
      </c>
      <c r="F243" s="617" t="s">
        <v>280</v>
      </c>
      <c r="G243" s="617" t="s">
        <v>2331</v>
      </c>
      <c r="H243" s="619">
        <v>-1968038.16</v>
      </c>
      <c r="I243" s="618">
        <v>0</v>
      </c>
    </row>
    <row r="244" spans="2:9">
      <c r="B244" s="610"/>
      <c r="C244" s="611"/>
      <c r="E244" s="616" t="s">
        <v>3687</v>
      </c>
      <c r="F244" s="617" t="s">
        <v>281</v>
      </c>
      <c r="G244" s="617" t="s">
        <v>2332</v>
      </c>
      <c r="H244" s="619">
        <v>-1968038.16</v>
      </c>
      <c r="I244" s="618">
        <v>0</v>
      </c>
    </row>
    <row r="245" spans="2:9">
      <c r="B245" s="610"/>
      <c r="C245" s="611"/>
      <c r="E245" s="616" t="s">
        <v>3687</v>
      </c>
      <c r="F245" s="617" t="s">
        <v>282</v>
      </c>
      <c r="G245" s="617" t="s">
        <v>2333</v>
      </c>
      <c r="H245" s="619">
        <v>-1968038.16</v>
      </c>
      <c r="I245" s="618">
        <v>-1968038</v>
      </c>
    </row>
    <row r="246" spans="2:9">
      <c r="B246" s="610"/>
      <c r="C246" s="611"/>
      <c r="E246" s="616" t="s">
        <v>3687</v>
      </c>
      <c r="F246" s="617" t="s">
        <v>283</v>
      </c>
      <c r="G246" s="617" t="s">
        <v>2334</v>
      </c>
      <c r="H246" s="619">
        <v>-1968038.16</v>
      </c>
      <c r="I246" s="618">
        <v>0</v>
      </c>
    </row>
    <row r="247" spans="2:9">
      <c r="B247" s="610"/>
      <c r="C247" s="611"/>
      <c r="E247" s="616" t="s">
        <v>3687</v>
      </c>
      <c r="F247" s="617" t="s">
        <v>2179</v>
      </c>
      <c r="G247" s="617" t="s">
        <v>2335</v>
      </c>
      <c r="H247" s="619">
        <v>-1968038.16</v>
      </c>
      <c r="I247" s="618">
        <v>0</v>
      </c>
    </row>
    <row r="248" spans="2:9">
      <c r="B248" s="610"/>
      <c r="C248" s="611"/>
      <c r="E248" s="616" t="s">
        <v>3687</v>
      </c>
      <c r="F248" s="617" t="s">
        <v>284</v>
      </c>
      <c r="G248" s="617" t="s">
        <v>2336</v>
      </c>
      <c r="H248" s="619">
        <v>-1968038.16</v>
      </c>
      <c r="I248" s="618">
        <v>0</v>
      </c>
    </row>
    <row r="249" spans="2:9">
      <c r="B249" s="610"/>
      <c r="C249" s="611"/>
      <c r="E249" s="616" t="s">
        <v>3687</v>
      </c>
      <c r="F249" s="617" t="s">
        <v>2180</v>
      </c>
      <c r="G249" s="617" t="s">
        <v>2337</v>
      </c>
      <c r="H249" s="619">
        <v>-1968038.16</v>
      </c>
      <c r="I249" s="618">
        <v>0</v>
      </c>
    </row>
    <row r="250" spans="2:9">
      <c r="B250" s="610"/>
      <c r="C250" s="611"/>
      <c r="E250" s="616" t="s">
        <v>3687</v>
      </c>
      <c r="F250" s="617" t="s">
        <v>2338</v>
      </c>
      <c r="G250" s="617" t="s">
        <v>2339</v>
      </c>
      <c r="H250" s="619">
        <v>-1968038.16</v>
      </c>
      <c r="I250" s="618">
        <v>0</v>
      </c>
    </row>
    <row r="251" spans="2:9">
      <c r="B251" s="610"/>
      <c r="C251" s="611"/>
      <c r="E251" s="616" t="s">
        <v>3687</v>
      </c>
      <c r="F251" s="617" t="s">
        <v>2340</v>
      </c>
      <c r="G251" s="617" t="s">
        <v>2341</v>
      </c>
      <c r="H251" s="619">
        <v>-1968038.16</v>
      </c>
      <c r="I251" s="618">
        <v>0</v>
      </c>
    </row>
    <row r="252" spans="2:9">
      <c r="B252" s="610"/>
      <c r="C252" s="611"/>
      <c r="E252" s="616" t="s">
        <v>3687</v>
      </c>
      <c r="F252" s="613" t="s">
        <v>2948</v>
      </c>
      <c r="G252" s="613" t="s">
        <v>2949</v>
      </c>
      <c r="H252" s="619">
        <v>-1968038.16</v>
      </c>
      <c r="I252" s="618">
        <v>0</v>
      </c>
    </row>
    <row r="253" spans="2:9">
      <c r="B253" s="610"/>
      <c r="C253" s="611"/>
      <c r="E253" s="616" t="s">
        <v>3771</v>
      </c>
      <c r="F253" s="617" t="s">
        <v>285</v>
      </c>
      <c r="G253" s="617" t="s">
        <v>286</v>
      </c>
      <c r="H253" s="619">
        <v>0</v>
      </c>
      <c r="I253" s="618">
        <v>0</v>
      </c>
    </row>
    <row r="254" spans="2:9">
      <c r="B254" s="610"/>
      <c r="C254" s="611"/>
      <c r="E254" s="616" t="s">
        <v>3771</v>
      </c>
      <c r="F254" s="617" t="s">
        <v>287</v>
      </c>
      <c r="G254" s="617" t="s">
        <v>288</v>
      </c>
      <c r="H254" s="619">
        <v>0</v>
      </c>
      <c r="I254" s="618">
        <v>0</v>
      </c>
    </row>
    <row r="255" spans="2:9">
      <c r="B255" s="610"/>
      <c r="C255" s="611"/>
      <c r="E255" s="616" t="s">
        <v>3689</v>
      </c>
      <c r="F255" s="617" t="s">
        <v>289</v>
      </c>
      <c r="G255" s="617" t="s">
        <v>290</v>
      </c>
      <c r="H255" s="619">
        <v>-179249</v>
      </c>
      <c r="I255" s="618">
        <v>-179249</v>
      </c>
    </row>
    <row r="256" spans="2:9">
      <c r="B256" s="610"/>
      <c r="C256" s="611"/>
      <c r="E256" s="616" t="s">
        <v>3772</v>
      </c>
      <c r="F256" s="617" t="s">
        <v>291</v>
      </c>
      <c r="G256" s="617" t="s">
        <v>292</v>
      </c>
      <c r="H256" s="619">
        <v>0</v>
      </c>
      <c r="I256" s="618">
        <v>0</v>
      </c>
    </row>
    <row r="257" spans="2:9">
      <c r="B257" s="610"/>
      <c r="C257" s="611"/>
      <c r="E257" s="616" t="s">
        <v>3690</v>
      </c>
      <c r="F257" s="617" t="s">
        <v>293</v>
      </c>
      <c r="G257" s="617" t="s">
        <v>294</v>
      </c>
      <c r="H257" s="619">
        <v>-1500000</v>
      </c>
      <c r="I257" s="618">
        <v>-1500000</v>
      </c>
    </row>
    <row r="258" spans="2:9">
      <c r="B258" s="610"/>
      <c r="C258" s="611"/>
      <c r="E258" s="616" t="s">
        <v>3691</v>
      </c>
      <c r="F258" s="617" t="s">
        <v>295</v>
      </c>
      <c r="G258" s="617" t="s">
        <v>296</v>
      </c>
      <c r="H258" s="619">
        <v>-19388123.940000001</v>
      </c>
      <c r="I258" s="618">
        <v>-19388124</v>
      </c>
    </row>
    <row r="259" spans="2:9">
      <c r="B259" s="610"/>
      <c r="C259" s="611"/>
      <c r="E259" s="616" t="s">
        <v>3773</v>
      </c>
      <c r="F259" s="617" t="s">
        <v>297</v>
      </c>
      <c r="G259" s="617" t="s">
        <v>298</v>
      </c>
      <c r="H259" s="619">
        <v>0</v>
      </c>
      <c r="I259" s="618">
        <v>0</v>
      </c>
    </row>
    <row r="260" spans="2:9">
      <c r="B260" s="610"/>
      <c r="C260" s="611"/>
      <c r="E260" s="616" t="s">
        <v>3774</v>
      </c>
      <c r="F260" s="617" t="s">
        <v>299</v>
      </c>
      <c r="G260" s="617" t="s">
        <v>300</v>
      </c>
      <c r="H260" s="619">
        <v>0</v>
      </c>
      <c r="I260" s="618">
        <v>0</v>
      </c>
    </row>
    <row r="261" spans="2:9">
      <c r="B261" s="610"/>
      <c r="C261" s="611"/>
      <c r="E261" s="616" t="s">
        <v>3775</v>
      </c>
      <c r="F261" s="617" t="s">
        <v>2181</v>
      </c>
      <c r="G261" s="617" t="s">
        <v>1938</v>
      </c>
      <c r="H261" s="619">
        <v>0</v>
      </c>
      <c r="I261" s="618">
        <v>0</v>
      </c>
    </row>
    <row r="262" spans="2:9">
      <c r="B262" s="610"/>
      <c r="C262" s="611"/>
      <c r="E262" s="616" t="s">
        <v>3775</v>
      </c>
      <c r="F262" s="617" t="s">
        <v>2182</v>
      </c>
      <c r="G262" s="617" t="s">
        <v>1939</v>
      </c>
      <c r="H262" s="619">
        <v>0</v>
      </c>
      <c r="I262" s="618">
        <v>0</v>
      </c>
    </row>
    <row r="263" spans="2:9">
      <c r="B263" s="610"/>
      <c r="C263" s="611"/>
      <c r="E263" s="616" t="s">
        <v>3776</v>
      </c>
      <c r="F263" s="617" t="s">
        <v>301</v>
      </c>
      <c r="G263" s="617" t="s">
        <v>1938</v>
      </c>
      <c r="H263" s="619">
        <v>0</v>
      </c>
      <c r="I263" s="618">
        <v>0</v>
      </c>
    </row>
    <row r="264" spans="2:9">
      <c r="B264" s="610"/>
      <c r="C264" s="611"/>
      <c r="E264" s="616" t="s">
        <v>3777</v>
      </c>
      <c r="F264" s="617" t="s">
        <v>302</v>
      </c>
      <c r="G264" s="617" t="s">
        <v>2186</v>
      </c>
      <c r="H264" s="619">
        <v>0</v>
      </c>
      <c r="I264" s="618">
        <v>0</v>
      </c>
    </row>
    <row r="265" spans="2:9">
      <c r="B265" s="610"/>
      <c r="C265" s="611"/>
      <c r="E265" s="616" t="s">
        <v>3692</v>
      </c>
      <c r="F265" s="617" t="s">
        <v>2183</v>
      </c>
      <c r="G265" s="617" t="s">
        <v>887</v>
      </c>
      <c r="H265" s="619">
        <v>-17930</v>
      </c>
      <c r="I265" s="618">
        <v>-17930</v>
      </c>
    </row>
    <row r="266" spans="2:9">
      <c r="B266" s="610"/>
      <c r="C266" s="611"/>
      <c r="E266" s="616" t="s">
        <v>3692</v>
      </c>
      <c r="F266" s="617" t="s">
        <v>2184</v>
      </c>
      <c r="G266" s="617" t="s">
        <v>1939</v>
      </c>
      <c r="H266" s="619">
        <v>-17930</v>
      </c>
      <c r="I266" s="618">
        <v>0</v>
      </c>
    </row>
    <row r="267" spans="2:9">
      <c r="B267" s="610"/>
      <c r="C267" s="611"/>
      <c r="E267" s="616" t="s">
        <v>3778</v>
      </c>
      <c r="F267" s="617" t="s">
        <v>303</v>
      </c>
      <c r="G267" s="617" t="s">
        <v>304</v>
      </c>
      <c r="H267" s="619">
        <v>0</v>
      </c>
      <c r="I267" s="618">
        <v>0</v>
      </c>
    </row>
    <row r="268" spans="2:9">
      <c r="B268" s="610"/>
      <c r="C268" s="611"/>
      <c r="E268" s="616" t="s">
        <v>3779</v>
      </c>
      <c r="F268" s="617" t="s">
        <v>305</v>
      </c>
      <c r="G268" s="617" t="s">
        <v>306</v>
      </c>
      <c r="H268" s="619">
        <v>0</v>
      </c>
      <c r="I268" s="618">
        <v>0</v>
      </c>
    </row>
    <row r="269" spans="2:9">
      <c r="B269" s="610"/>
      <c r="C269" s="611"/>
      <c r="E269" s="616" t="s">
        <v>3780</v>
      </c>
      <c r="F269" s="617" t="s">
        <v>307</v>
      </c>
      <c r="G269" s="617" t="s">
        <v>308</v>
      </c>
      <c r="H269" s="619">
        <v>0</v>
      </c>
      <c r="I269" s="618">
        <v>0</v>
      </c>
    </row>
    <row r="270" spans="2:9">
      <c r="B270" s="610"/>
      <c r="C270" s="611"/>
      <c r="E270" s="616" t="s">
        <v>3693</v>
      </c>
      <c r="F270" s="617" t="s">
        <v>309</v>
      </c>
      <c r="G270" s="617" t="s">
        <v>310</v>
      </c>
      <c r="H270" s="619">
        <v>-26864596.34</v>
      </c>
      <c r="I270" s="618">
        <v>-26864596</v>
      </c>
    </row>
    <row r="271" spans="2:9">
      <c r="B271" s="610"/>
      <c r="C271" s="611"/>
      <c r="E271" s="616" t="s">
        <v>3694</v>
      </c>
      <c r="F271" s="617" t="s">
        <v>311</v>
      </c>
      <c r="G271" s="617" t="s">
        <v>312</v>
      </c>
      <c r="H271" s="619">
        <v>38337.79</v>
      </c>
      <c r="I271" s="618">
        <v>38338</v>
      </c>
    </row>
    <row r="272" spans="2:9">
      <c r="B272" s="610"/>
      <c r="C272" s="611"/>
      <c r="E272" s="616" t="s">
        <v>3695</v>
      </c>
      <c r="F272" s="617" t="s">
        <v>313</v>
      </c>
      <c r="G272" s="617" t="s">
        <v>314</v>
      </c>
      <c r="H272" s="619">
        <v>0</v>
      </c>
      <c r="I272" s="618">
        <v>0</v>
      </c>
    </row>
    <row r="273" spans="2:9">
      <c r="B273" s="610"/>
      <c r="C273" s="611"/>
      <c r="E273" s="616" t="s">
        <v>3781</v>
      </c>
      <c r="F273" s="617" t="s">
        <v>315</v>
      </c>
      <c r="G273" s="617" t="s">
        <v>316</v>
      </c>
      <c r="H273" s="619">
        <v>0</v>
      </c>
      <c r="I273" s="618">
        <v>0</v>
      </c>
    </row>
    <row r="274" spans="2:9">
      <c r="B274" s="610"/>
      <c r="C274" s="611"/>
      <c r="E274" s="616" t="s">
        <v>3781</v>
      </c>
      <c r="F274" s="617" t="s">
        <v>317</v>
      </c>
      <c r="G274" s="617" t="s">
        <v>318</v>
      </c>
      <c r="H274" s="619">
        <v>0</v>
      </c>
      <c r="I274" s="618">
        <v>0</v>
      </c>
    </row>
    <row r="275" spans="2:9">
      <c r="B275" s="610"/>
      <c r="C275" s="611"/>
      <c r="E275" s="616" t="s">
        <v>3696</v>
      </c>
      <c r="F275" s="617" t="s">
        <v>319</v>
      </c>
      <c r="G275" s="617" t="s">
        <v>2342</v>
      </c>
      <c r="H275" s="619">
        <v>0</v>
      </c>
      <c r="I275" s="618">
        <v>0</v>
      </c>
    </row>
    <row r="276" spans="2:9">
      <c r="B276" s="610"/>
      <c r="C276" s="611"/>
      <c r="E276" s="616" t="s">
        <v>3696</v>
      </c>
      <c r="F276" s="617" t="s">
        <v>320</v>
      </c>
      <c r="G276" s="617" t="s">
        <v>321</v>
      </c>
      <c r="H276" s="619">
        <v>0</v>
      </c>
      <c r="I276" s="618">
        <v>0</v>
      </c>
    </row>
    <row r="277" spans="2:9">
      <c r="B277" s="610"/>
      <c r="C277" s="611"/>
      <c r="E277" s="616" t="s">
        <v>3697</v>
      </c>
      <c r="F277" s="617" t="s">
        <v>322</v>
      </c>
      <c r="G277" s="617" t="s">
        <v>323</v>
      </c>
      <c r="H277" s="619">
        <v>0</v>
      </c>
      <c r="I277" s="618">
        <v>0</v>
      </c>
    </row>
    <row r="278" spans="2:9">
      <c r="B278" s="610"/>
      <c r="C278" s="611"/>
      <c r="E278" s="616" t="s">
        <v>3697</v>
      </c>
      <c r="F278" s="617" t="s">
        <v>324</v>
      </c>
      <c r="G278" s="617" t="s">
        <v>325</v>
      </c>
      <c r="H278" s="619">
        <v>0</v>
      </c>
      <c r="I278" s="618">
        <v>0</v>
      </c>
    </row>
    <row r="279" spans="2:9">
      <c r="B279" s="610"/>
      <c r="C279" s="611"/>
      <c r="E279" s="616" t="s">
        <v>3782</v>
      </c>
      <c r="F279" s="617" t="s">
        <v>326</v>
      </c>
      <c r="G279" s="617" t="s">
        <v>2343</v>
      </c>
      <c r="H279" s="619">
        <v>0</v>
      </c>
      <c r="I279" s="618">
        <v>0</v>
      </c>
    </row>
    <row r="280" spans="2:9">
      <c r="B280" s="610"/>
      <c r="C280" s="611"/>
      <c r="E280" s="616" t="s">
        <v>3782</v>
      </c>
      <c r="F280" s="617" t="s">
        <v>327</v>
      </c>
      <c r="G280" s="617" t="s">
        <v>2344</v>
      </c>
      <c r="H280" s="619">
        <v>0</v>
      </c>
      <c r="I280" s="618">
        <v>0</v>
      </c>
    </row>
    <row r="281" spans="2:9">
      <c r="B281" s="610"/>
      <c r="C281" s="611"/>
      <c r="E281" s="616" t="s">
        <v>3782</v>
      </c>
      <c r="F281" s="617" t="s">
        <v>2345</v>
      </c>
      <c r="G281" s="617" t="s">
        <v>2346</v>
      </c>
      <c r="H281" s="619">
        <v>0</v>
      </c>
      <c r="I281" s="618">
        <v>0</v>
      </c>
    </row>
    <row r="282" spans="2:9">
      <c r="B282" s="610"/>
      <c r="C282" s="611"/>
      <c r="E282" s="616" t="s">
        <v>3782</v>
      </c>
      <c r="F282" s="617" t="s">
        <v>2347</v>
      </c>
      <c r="G282" s="617" t="s">
        <v>2348</v>
      </c>
      <c r="H282" s="619">
        <v>0</v>
      </c>
      <c r="I282" s="618">
        <v>0</v>
      </c>
    </row>
    <row r="283" spans="2:9">
      <c r="B283" s="610"/>
      <c r="C283" s="611"/>
      <c r="E283" s="616" t="s">
        <v>3698</v>
      </c>
      <c r="F283" s="617" t="s">
        <v>328</v>
      </c>
      <c r="G283" s="617" t="s">
        <v>329</v>
      </c>
      <c r="H283" s="619">
        <v>-575.54999999999995</v>
      </c>
      <c r="I283" s="618">
        <v>-576</v>
      </c>
    </row>
    <row r="284" spans="2:9">
      <c r="B284" s="610"/>
      <c r="C284" s="611"/>
      <c r="E284" s="616" t="s">
        <v>3783</v>
      </c>
      <c r="F284" s="617" t="s">
        <v>330</v>
      </c>
      <c r="G284" s="617" t="s">
        <v>331</v>
      </c>
      <c r="H284" s="619">
        <v>0</v>
      </c>
      <c r="I284" s="618">
        <v>0</v>
      </c>
    </row>
    <row r="285" spans="2:9">
      <c r="B285" s="610"/>
      <c r="C285" s="611"/>
      <c r="E285" s="616" t="s">
        <v>3783</v>
      </c>
      <c r="F285" s="617" t="s">
        <v>332</v>
      </c>
      <c r="G285" s="617" t="s">
        <v>333</v>
      </c>
      <c r="H285" s="619">
        <v>0</v>
      </c>
      <c r="I285" s="618">
        <v>0</v>
      </c>
    </row>
    <row r="286" spans="2:9">
      <c r="B286" s="610"/>
      <c r="C286" s="611"/>
      <c r="E286" s="616" t="s">
        <v>3699</v>
      </c>
      <c r="F286" s="617" t="s">
        <v>334</v>
      </c>
      <c r="G286" s="617" t="s">
        <v>2349</v>
      </c>
      <c r="H286" s="619">
        <v>0</v>
      </c>
      <c r="I286" s="618">
        <v>0</v>
      </c>
    </row>
    <row r="287" spans="2:9">
      <c r="B287" s="610"/>
      <c r="C287" s="611"/>
      <c r="E287" s="616" t="s">
        <v>3699</v>
      </c>
      <c r="F287" s="617" t="s">
        <v>335</v>
      </c>
      <c r="G287" s="617" t="s">
        <v>336</v>
      </c>
      <c r="H287" s="619">
        <v>0</v>
      </c>
      <c r="I287" s="618">
        <v>0</v>
      </c>
    </row>
    <row r="288" spans="2:9">
      <c r="B288" s="610"/>
      <c r="C288" s="611"/>
      <c r="E288" s="616" t="s">
        <v>3784</v>
      </c>
      <c r="F288" s="617" t="s">
        <v>337</v>
      </c>
      <c r="G288" s="617" t="s">
        <v>2350</v>
      </c>
      <c r="H288" s="619">
        <v>0</v>
      </c>
      <c r="I288" s="618">
        <v>0</v>
      </c>
    </row>
    <row r="289" spans="2:9">
      <c r="B289" s="610"/>
      <c r="C289" s="611"/>
      <c r="E289" s="616" t="s">
        <v>3784</v>
      </c>
      <c r="F289" s="617" t="s">
        <v>338</v>
      </c>
      <c r="G289" s="617" t="s">
        <v>2351</v>
      </c>
      <c r="H289" s="619">
        <v>0</v>
      </c>
      <c r="I289" s="618">
        <v>0</v>
      </c>
    </row>
    <row r="290" spans="2:9">
      <c r="B290" s="610"/>
      <c r="C290" s="611"/>
      <c r="E290" s="616" t="s">
        <v>3784</v>
      </c>
      <c r="F290" s="617" t="s">
        <v>1879</v>
      </c>
      <c r="G290" s="617" t="s">
        <v>2352</v>
      </c>
      <c r="H290" s="619">
        <v>0</v>
      </c>
      <c r="I290" s="618">
        <v>0</v>
      </c>
    </row>
    <row r="291" spans="2:9">
      <c r="B291" s="610"/>
      <c r="C291" s="611"/>
      <c r="E291" s="616" t="s">
        <v>3784</v>
      </c>
      <c r="F291" s="617" t="s">
        <v>1885</v>
      </c>
      <c r="G291" s="617" t="s">
        <v>2353</v>
      </c>
      <c r="H291" s="619">
        <v>0</v>
      </c>
      <c r="I291" s="618">
        <v>0</v>
      </c>
    </row>
    <row r="292" spans="2:9">
      <c r="B292" s="610"/>
      <c r="C292" s="611"/>
      <c r="E292" s="616" t="s">
        <v>3784</v>
      </c>
      <c r="F292" s="617" t="s">
        <v>1886</v>
      </c>
      <c r="G292" s="617" t="s">
        <v>2187</v>
      </c>
      <c r="H292" s="619">
        <v>0</v>
      </c>
      <c r="I292" s="618">
        <v>0</v>
      </c>
    </row>
    <row r="293" spans="2:9">
      <c r="B293" s="610"/>
      <c r="C293" s="611"/>
      <c r="E293" s="616" t="s">
        <v>3784</v>
      </c>
      <c r="F293" s="617" t="s">
        <v>1889</v>
      </c>
      <c r="G293" s="617" t="s">
        <v>2354</v>
      </c>
      <c r="H293" s="619">
        <v>0</v>
      </c>
      <c r="I293" s="618">
        <v>0</v>
      </c>
    </row>
    <row r="294" spans="2:9">
      <c r="B294" s="610"/>
      <c r="C294" s="611"/>
      <c r="E294" s="616" t="s">
        <v>3784</v>
      </c>
      <c r="F294" s="617" t="s">
        <v>1906</v>
      </c>
      <c r="G294" s="617" t="s">
        <v>2355</v>
      </c>
      <c r="H294" s="619">
        <v>0</v>
      </c>
      <c r="I294" s="618">
        <v>0</v>
      </c>
    </row>
    <row r="295" spans="2:9">
      <c r="B295" s="610"/>
      <c r="C295" s="611"/>
      <c r="E295" s="616" t="s">
        <v>3784</v>
      </c>
      <c r="F295" s="617" t="s">
        <v>1907</v>
      </c>
      <c r="G295" s="617" t="s">
        <v>2350</v>
      </c>
      <c r="H295" s="619">
        <v>0</v>
      </c>
      <c r="I295" s="618">
        <v>0</v>
      </c>
    </row>
    <row r="296" spans="2:9">
      <c r="B296" s="610"/>
      <c r="C296" s="611"/>
      <c r="E296" s="616" t="s">
        <v>3785</v>
      </c>
      <c r="F296" s="617" t="s">
        <v>1880</v>
      </c>
      <c r="G296" s="617" t="s">
        <v>2356</v>
      </c>
      <c r="H296" s="619">
        <v>0</v>
      </c>
      <c r="I296" s="618">
        <v>0</v>
      </c>
    </row>
    <row r="297" spans="2:9">
      <c r="B297" s="610"/>
      <c r="C297" s="611"/>
      <c r="E297" s="616" t="s">
        <v>3785</v>
      </c>
      <c r="F297" s="617" t="s">
        <v>1881</v>
      </c>
      <c r="G297" s="617" t="s">
        <v>2357</v>
      </c>
      <c r="H297" s="619">
        <v>0</v>
      </c>
      <c r="I297" s="618">
        <v>0</v>
      </c>
    </row>
    <row r="298" spans="2:9">
      <c r="B298" s="610"/>
      <c r="C298" s="611"/>
      <c r="E298" s="616" t="s">
        <v>3785</v>
      </c>
      <c r="F298" s="617" t="s">
        <v>1882</v>
      </c>
      <c r="G298" s="617" t="s">
        <v>2358</v>
      </c>
      <c r="H298" s="619">
        <v>0</v>
      </c>
      <c r="I298" s="618">
        <v>0</v>
      </c>
    </row>
    <row r="299" spans="2:9">
      <c r="B299" s="610"/>
      <c r="C299" s="611"/>
      <c r="E299" s="616" t="s">
        <v>3785</v>
      </c>
      <c r="F299" s="617" t="s">
        <v>1883</v>
      </c>
      <c r="G299" s="617" t="s">
        <v>2359</v>
      </c>
      <c r="H299" s="619">
        <v>0</v>
      </c>
      <c r="I299" s="618">
        <v>0</v>
      </c>
    </row>
    <row r="300" spans="2:9">
      <c r="B300" s="610"/>
      <c r="C300" s="611"/>
      <c r="E300" s="616" t="s">
        <v>3785</v>
      </c>
      <c r="F300" s="617" t="s">
        <v>1908</v>
      </c>
      <c r="G300" s="617" t="s">
        <v>2360</v>
      </c>
      <c r="H300" s="619">
        <v>0</v>
      </c>
      <c r="I300" s="618">
        <v>0</v>
      </c>
    </row>
    <row r="301" spans="2:9">
      <c r="B301" s="610"/>
      <c r="C301" s="611"/>
      <c r="E301" s="616" t="s">
        <v>3785</v>
      </c>
      <c r="F301" s="617" t="s">
        <v>1909</v>
      </c>
      <c r="G301" s="617" t="s">
        <v>2361</v>
      </c>
      <c r="H301" s="619">
        <v>0</v>
      </c>
      <c r="I301" s="618">
        <v>0</v>
      </c>
    </row>
    <row r="302" spans="2:9">
      <c r="B302" s="610"/>
      <c r="C302" s="611"/>
      <c r="E302" s="616" t="s">
        <v>3786</v>
      </c>
      <c r="F302" s="617" t="s">
        <v>339</v>
      </c>
      <c r="G302" s="617" t="s">
        <v>2362</v>
      </c>
      <c r="H302" s="619">
        <v>0</v>
      </c>
      <c r="I302" s="618">
        <v>0</v>
      </c>
    </row>
    <row r="303" spans="2:9">
      <c r="B303" s="610"/>
      <c r="C303" s="611"/>
      <c r="E303" s="616" t="s">
        <v>3786</v>
      </c>
      <c r="F303" s="617" t="s">
        <v>340</v>
      </c>
      <c r="G303" s="617" t="s">
        <v>2364</v>
      </c>
      <c r="H303" s="619">
        <v>0</v>
      </c>
      <c r="I303" s="618">
        <v>0</v>
      </c>
    </row>
    <row r="304" spans="2:9">
      <c r="B304" s="610"/>
      <c r="C304" s="611"/>
      <c r="E304" s="616" t="s">
        <v>3786</v>
      </c>
      <c r="F304" s="617" t="s">
        <v>341</v>
      </c>
      <c r="G304" s="617" t="s">
        <v>2285</v>
      </c>
      <c r="H304" s="619">
        <v>0</v>
      </c>
      <c r="I304" s="618">
        <v>0</v>
      </c>
    </row>
    <row r="305" spans="2:9">
      <c r="B305" s="610"/>
      <c r="C305" s="611"/>
      <c r="E305" s="616" t="s">
        <v>3786</v>
      </c>
      <c r="F305" s="617" t="s">
        <v>1910</v>
      </c>
      <c r="G305" s="617" t="s">
        <v>2286</v>
      </c>
      <c r="H305" s="619">
        <v>0</v>
      </c>
      <c r="I305" s="618">
        <v>0</v>
      </c>
    </row>
    <row r="306" spans="2:9">
      <c r="B306" s="610"/>
      <c r="C306" s="611"/>
      <c r="E306" s="616" t="s">
        <v>3786</v>
      </c>
      <c r="F306" s="617" t="s">
        <v>2365</v>
      </c>
      <c r="G306" s="617" t="s">
        <v>2287</v>
      </c>
      <c r="H306" s="619">
        <v>0</v>
      </c>
      <c r="I306" s="618">
        <v>0</v>
      </c>
    </row>
    <row r="307" spans="2:9">
      <c r="B307" s="610"/>
      <c r="C307" s="611"/>
      <c r="E307" s="616" t="s">
        <v>3700</v>
      </c>
      <c r="F307" s="617" t="s">
        <v>342</v>
      </c>
      <c r="G307" s="617" t="s">
        <v>1913</v>
      </c>
      <c r="H307" s="619">
        <v>-650</v>
      </c>
      <c r="I307" s="618">
        <v>0</v>
      </c>
    </row>
    <row r="308" spans="2:9">
      <c r="B308" s="610"/>
      <c r="C308" s="611"/>
      <c r="E308" s="616" t="s">
        <v>3700</v>
      </c>
      <c r="F308" s="617" t="s">
        <v>343</v>
      </c>
      <c r="G308" s="617" t="s">
        <v>2366</v>
      </c>
      <c r="H308" s="619">
        <v>-650</v>
      </c>
      <c r="I308" s="618">
        <v>0</v>
      </c>
    </row>
    <row r="309" spans="2:9">
      <c r="B309" s="610"/>
      <c r="C309" s="611"/>
      <c r="E309" s="616" t="s">
        <v>3700</v>
      </c>
      <c r="F309" s="617" t="s">
        <v>344</v>
      </c>
      <c r="G309" s="617" t="s">
        <v>2367</v>
      </c>
      <c r="H309" s="619">
        <v>-650</v>
      </c>
      <c r="I309" s="618">
        <v>0</v>
      </c>
    </row>
    <row r="310" spans="2:9">
      <c r="B310" s="610"/>
      <c r="C310" s="611"/>
      <c r="E310" s="616" t="s">
        <v>3700</v>
      </c>
      <c r="F310" s="617" t="s">
        <v>345</v>
      </c>
      <c r="G310" s="617" t="s">
        <v>2368</v>
      </c>
      <c r="H310" s="619">
        <v>-650</v>
      </c>
      <c r="I310" s="618">
        <v>-650</v>
      </c>
    </row>
    <row r="311" spans="2:9">
      <c r="B311" s="610"/>
      <c r="C311" s="611"/>
      <c r="E311" s="616" t="s">
        <v>3701</v>
      </c>
      <c r="F311" s="617" t="s">
        <v>346</v>
      </c>
      <c r="G311" s="617" t="s">
        <v>347</v>
      </c>
      <c r="H311" s="619">
        <v>-663637.11</v>
      </c>
      <c r="I311" s="618">
        <v>-663637</v>
      </c>
    </row>
    <row r="312" spans="2:9">
      <c r="B312" s="610"/>
      <c r="C312" s="611"/>
      <c r="E312" s="616" t="s">
        <v>3701</v>
      </c>
      <c r="F312" s="617" t="s">
        <v>348</v>
      </c>
      <c r="G312" s="617" t="s">
        <v>349</v>
      </c>
      <c r="H312" s="619">
        <v>-663637.11</v>
      </c>
      <c r="I312" s="618">
        <v>0</v>
      </c>
    </row>
    <row r="313" spans="2:9">
      <c r="B313" s="610"/>
      <c r="C313" s="611"/>
      <c r="E313" s="616" t="s">
        <v>3787</v>
      </c>
      <c r="F313" s="617" t="s">
        <v>350</v>
      </c>
      <c r="G313" s="617" t="s">
        <v>351</v>
      </c>
      <c r="H313" s="619">
        <v>0</v>
      </c>
      <c r="I313" s="618">
        <v>0</v>
      </c>
    </row>
    <row r="314" spans="2:9">
      <c r="B314" s="610"/>
      <c r="C314" s="611"/>
      <c r="E314" s="616" t="s">
        <v>3702</v>
      </c>
      <c r="F314" s="617" t="s">
        <v>352</v>
      </c>
      <c r="G314" s="617" t="s">
        <v>353</v>
      </c>
      <c r="H314" s="619">
        <v>1079135.6499999997</v>
      </c>
      <c r="I314" s="618">
        <v>1079136</v>
      </c>
    </row>
    <row r="315" spans="2:9">
      <c r="B315" s="610"/>
      <c r="C315" s="611"/>
      <c r="E315" s="616" t="s">
        <v>3788</v>
      </c>
      <c r="F315" s="617" t="s">
        <v>354</v>
      </c>
      <c r="G315" s="617" t="s">
        <v>355</v>
      </c>
      <c r="H315" s="619">
        <v>0</v>
      </c>
      <c r="I315" s="618">
        <v>0</v>
      </c>
    </row>
    <row r="316" spans="2:9">
      <c r="B316" s="610"/>
      <c r="C316" s="611"/>
      <c r="E316" s="616" t="s">
        <v>3789</v>
      </c>
      <c r="F316" s="617" t="s">
        <v>356</v>
      </c>
      <c r="G316" s="617" t="s">
        <v>357</v>
      </c>
      <c r="H316" s="619">
        <v>0</v>
      </c>
      <c r="I316" s="618">
        <v>0</v>
      </c>
    </row>
    <row r="317" spans="2:9">
      <c r="B317" s="610"/>
      <c r="C317" s="611"/>
      <c r="E317" s="616" t="s">
        <v>3703</v>
      </c>
      <c r="F317" s="617" t="s">
        <v>358</v>
      </c>
      <c r="G317" s="617" t="s">
        <v>359</v>
      </c>
      <c r="H317" s="619">
        <v>17254511.34</v>
      </c>
      <c r="I317" s="618">
        <v>17254511</v>
      </c>
    </row>
    <row r="318" spans="2:9">
      <c r="B318" s="610"/>
      <c r="C318" s="611"/>
      <c r="E318" s="616" t="s">
        <v>3790</v>
      </c>
      <c r="F318" s="617" t="s">
        <v>2369</v>
      </c>
      <c r="G318" s="617" t="s">
        <v>2370</v>
      </c>
      <c r="H318" s="619">
        <v>0</v>
      </c>
      <c r="I318" s="618">
        <v>0</v>
      </c>
    </row>
    <row r="319" spans="2:9">
      <c r="B319" s="610"/>
      <c r="C319" s="611"/>
      <c r="E319" s="616" t="s">
        <v>3791</v>
      </c>
      <c r="F319" s="617" t="s">
        <v>360</v>
      </c>
      <c r="G319" s="617" t="s">
        <v>2371</v>
      </c>
      <c r="H319" s="619">
        <v>0</v>
      </c>
      <c r="I319" s="618">
        <v>0</v>
      </c>
    </row>
    <row r="320" spans="2:9">
      <c r="B320" s="610"/>
      <c r="C320" s="611"/>
      <c r="E320" s="616" t="s">
        <v>3704</v>
      </c>
      <c r="F320" s="617" t="s">
        <v>361</v>
      </c>
      <c r="G320" s="617" t="s">
        <v>362</v>
      </c>
      <c r="H320" s="619">
        <v>-15108</v>
      </c>
      <c r="I320" s="618">
        <v>-15108</v>
      </c>
    </row>
    <row r="321" spans="2:9">
      <c r="B321" s="610"/>
      <c r="C321" s="611"/>
      <c r="E321" s="616" t="s">
        <v>3705</v>
      </c>
      <c r="F321" s="617" t="s">
        <v>363</v>
      </c>
      <c r="G321" s="617" t="s">
        <v>364</v>
      </c>
      <c r="H321" s="619">
        <v>11720.22</v>
      </c>
      <c r="I321" s="618">
        <v>11720</v>
      </c>
    </row>
    <row r="322" spans="2:9">
      <c r="B322" s="610"/>
      <c r="C322" s="611"/>
      <c r="E322" s="616" t="s">
        <v>3706</v>
      </c>
      <c r="F322" s="617" t="s">
        <v>365</v>
      </c>
      <c r="G322" s="617" t="s">
        <v>2188</v>
      </c>
      <c r="H322" s="619">
        <v>271.36</v>
      </c>
      <c r="I322" s="618">
        <v>271</v>
      </c>
    </row>
    <row r="323" spans="2:9">
      <c r="B323" s="610"/>
      <c r="C323" s="611"/>
      <c r="E323" s="616" t="s">
        <v>3707</v>
      </c>
      <c r="F323" s="617" t="s">
        <v>2980</v>
      </c>
      <c r="G323" s="617" t="s">
        <v>2981</v>
      </c>
      <c r="H323" s="619">
        <v>3684850.5099999993</v>
      </c>
      <c r="I323" s="618">
        <v>3684851</v>
      </c>
    </row>
    <row r="324" spans="2:9">
      <c r="B324" s="610"/>
      <c r="C324" s="611"/>
      <c r="E324" s="616" t="s">
        <v>3707</v>
      </c>
      <c r="F324" s="617" t="s">
        <v>2983</v>
      </c>
      <c r="G324" s="617" t="s">
        <v>2984</v>
      </c>
      <c r="H324" s="619">
        <v>3684850.5099999993</v>
      </c>
      <c r="I324" s="618">
        <v>0</v>
      </c>
    </row>
    <row r="325" spans="2:9">
      <c r="B325" s="610"/>
      <c r="C325" s="611"/>
      <c r="E325" s="616" t="s">
        <v>3707</v>
      </c>
      <c r="F325" s="617" t="s">
        <v>2986</v>
      </c>
      <c r="G325" s="617" t="s">
        <v>2987</v>
      </c>
      <c r="H325" s="619">
        <v>3684850.5099999993</v>
      </c>
      <c r="I325" s="618">
        <v>0</v>
      </c>
    </row>
    <row r="326" spans="2:9">
      <c r="B326" s="610"/>
      <c r="C326" s="611"/>
      <c r="E326" s="616" t="s">
        <v>3708</v>
      </c>
      <c r="F326" s="617" t="s">
        <v>366</v>
      </c>
      <c r="G326" s="617" t="s">
        <v>367</v>
      </c>
      <c r="H326" s="619">
        <v>180319.44999999998</v>
      </c>
      <c r="I326" s="618">
        <v>180319</v>
      </c>
    </row>
    <row r="327" spans="2:9">
      <c r="B327" s="610"/>
      <c r="C327" s="611"/>
      <c r="E327" s="616" t="s">
        <v>3792</v>
      </c>
      <c r="F327" s="617" t="s">
        <v>368</v>
      </c>
      <c r="G327" s="617" t="s">
        <v>369</v>
      </c>
      <c r="H327" s="619">
        <v>0</v>
      </c>
      <c r="I327" s="618">
        <v>0</v>
      </c>
    </row>
    <row r="328" spans="2:9">
      <c r="B328" s="610"/>
      <c r="C328" s="611"/>
      <c r="E328" s="616" t="s">
        <v>3793</v>
      </c>
      <c r="F328" s="617" t="s">
        <v>370</v>
      </c>
      <c r="G328" s="617" t="s">
        <v>371</v>
      </c>
      <c r="H328" s="619">
        <v>0</v>
      </c>
      <c r="I328" s="618">
        <v>0</v>
      </c>
    </row>
    <row r="329" spans="2:9">
      <c r="B329" s="610"/>
      <c r="C329" s="611"/>
      <c r="E329" s="616" t="s">
        <v>3709</v>
      </c>
      <c r="F329" s="617" t="s">
        <v>372</v>
      </c>
      <c r="G329" s="617" t="s">
        <v>373</v>
      </c>
      <c r="H329" s="619">
        <v>64384.99</v>
      </c>
      <c r="I329" s="618">
        <v>64385</v>
      </c>
    </row>
    <row r="330" spans="2:9">
      <c r="B330" s="610"/>
      <c r="C330" s="611"/>
      <c r="E330" s="616" t="s">
        <v>3710</v>
      </c>
      <c r="F330" s="617" t="s">
        <v>374</v>
      </c>
      <c r="G330" s="617" t="s">
        <v>375</v>
      </c>
      <c r="H330" s="619">
        <v>3068.07</v>
      </c>
      <c r="I330" s="618">
        <v>3068</v>
      </c>
    </row>
    <row r="331" spans="2:9">
      <c r="B331" s="610"/>
      <c r="C331" s="611"/>
      <c r="E331" s="616" t="s">
        <v>3794</v>
      </c>
      <c r="F331" s="617" t="s">
        <v>376</v>
      </c>
      <c r="G331" s="617" t="s">
        <v>377</v>
      </c>
      <c r="H331" s="619">
        <v>0</v>
      </c>
      <c r="I331" s="618">
        <v>0</v>
      </c>
    </row>
    <row r="332" spans="2:9">
      <c r="B332" s="610"/>
      <c r="C332" s="611"/>
      <c r="E332" s="616" t="s">
        <v>3711</v>
      </c>
      <c r="F332" s="617" t="s">
        <v>378</v>
      </c>
      <c r="G332" s="617" t="s">
        <v>379</v>
      </c>
      <c r="H332" s="619">
        <v>3194.6800000000003</v>
      </c>
      <c r="I332" s="618">
        <v>3195</v>
      </c>
    </row>
    <row r="333" spans="2:9">
      <c r="B333" s="610"/>
      <c r="C333" s="611"/>
      <c r="E333" s="616" t="s">
        <v>3712</v>
      </c>
      <c r="F333" s="617" t="s">
        <v>380</v>
      </c>
      <c r="G333" s="617" t="s">
        <v>381</v>
      </c>
      <c r="H333" s="619">
        <v>1145.68</v>
      </c>
      <c r="I333" s="618">
        <v>1146</v>
      </c>
    </row>
    <row r="334" spans="2:9">
      <c r="B334" s="610"/>
      <c r="C334" s="611"/>
      <c r="E334" s="616" t="s">
        <v>3795</v>
      </c>
      <c r="F334" s="617" t="s">
        <v>382</v>
      </c>
      <c r="G334" s="617" t="s">
        <v>383</v>
      </c>
      <c r="H334" s="619">
        <v>0</v>
      </c>
      <c r="I334" s="618">
        <v>0</v>
      </c>
    </row>
    <row r="335" spans="2:9">
      <c r="B335" s="610"/>
      <c r="C335" s="611"/>
      <c r="E335" s="616" t="s">
        <v>3796</v>
      </c>
      <c r="F335" s="617" t="s">
        <v>384</v>
      </c>
      <c r="G335" s="617" t="s">
        <v>385</v>
      </c>
      <c r="H335" s="619">
        <v>0</v>
      </c>
      <c r="I335" s="618">
        <v>0</v>
      </c>
    </row>
    <row r="336" spans="2:9">
      <c r="B336" s="610"/>
      <c r="C336" s="611"/>
      <c r="E336" s="616" t="s">
        <v>3713</v>
      </c>
      <c r="F336" s="617" t="s">
        <v>386</v>
      </c>
      <c r="G336" s="617" t="s">
        <v>387</v>
      </c>
      <c r="H336" s="619">
        <v>42931.839999999997</v>
      </c>
      <c r="I336" s="618">
        <v>42932</v>
      </c>
    </row>
    <row r="337" spans="2:9">
      <c r="B337" s="610"/>
      <c r="C337" s="611"/>
      <c r="E337" s="616" t="s">
        <v>3797</v>
      </c>
      <c r="F337" s="617" t="s">
        <v>388</v>
      </c>
      <c r="G337" s="617" t="s">
        <v>389</v>
      </c>
      <c r="H337" s="619">
        <v>0</v>
      </c>
      <c r="I337" s="618">
        <v>0</v>
      </c>
    </row>
    <row r="338" spans="2:9">
      <c r="B338" s="610"/>
      <c r="C338" s="611"/>
      <c r="E338" s="616" t="s">
        <v>3714</v>
      </c>
      <c r="F338" s="617" t="s">
        <v>390</v>
      </c>
      <c r="G338" s="617" t="s">
        <v>391</v>
      </c>
      <c r="H338" s="619">
        <v>44293.13</v>
      </c>
      <c r="I338" s="618">
        <v>44293</v>
      </c>
    </row>
    <row r="339" spans="2:9">
      <c r="B339" s="610"/>
      <c r="C339" s="611"/>
      <c r="E339" s="616" t="s">
        <v>3798</v>
      </c>
      <c r="F339" s="617" t="s">
        <v>392</v>
      </c>
      <c r="G339" s="617" t="s">
        <v>393</v>
      </c>
      <c r="H339" s="619">
        <v>0</v>
      </c>
      <c r="I339" s="618">
        <v>0</v>
      </c>
    </row>
    <row r="340" spans="2:9">
      <c r="B340" s="610"/>
      <c r="C340" s="611"/>
      <c r="E340" s="616" t="s">
        <v>3715</v>
      </c>
      <c r="F340" s="617" t="s">
        <v>394</v>
      </c>
      <c r="G340" s="617" t="s">
        <v>395</v>
      </c>
      <c r="H340" s="619">
        <v>85.18</v>
      </c>
      <c r="I340" s="618">
        <v>85</v>
      </c>
    </row>
    <row r="341" spans="2:9">
      <c r="B341" s="610"/>
      <c r="C341" s="611"/>
      <c r="E341" s="616" t="s">
        <v>3716</v>
      </c>
      <c r="F341" s="617" t="s">
        <v>396</v>
      </c>
      <c r="G341" s="617" t="s">
        <v>397</v>
      </c>
      <c r="H341" s="619">
        <v>452.51</v>
      </c>
      <c r="I341" s="618">
        <v>453</v>
      </c>
    </row>
    <row r="342" spans="2:9">
      <c r="B342" s="610"/>
      <c r="C342" s="611"/>
      <c r="E342" s="616" t="s">
        <v>3799</v>
      </c>
      <c r="F342" s="617" t="s">
        <v>398</v>
      </c>
      <c r="G342" s="617" t="s">
        <v>399</v>
      </c>
      <c r="H342" s="619">
        <v>0</v>
      </c>
      <c r="I342" s="618">
        <v>0</v>
      </c>
    </row>
    <row r="343" spans="2:9">
      <c r="B343" s="610"/>
      <c r="C343" s="611"/>
      <c r="E343" s="616" t="s">
        <v>3717</v>
      </c>
      <c r="F343" s="617" t="s">
        <v>400</v>
      </c>
      <c r="G343" s="617" t="s">
        <v>401</v>
      </c>
      <c r="H343" s="619">
        <v>1898556.16</v>
      </c>
      <c r="I343" s="618">
        <v>1898556</v>
      </c>
    </row>
    <row r="344" spans="2:9">
      <c r="B344" s="610"/>
      <c r="C344" s="611"/>
      <c r="E344" s="616" t="s">
        <v>3718</v>
      </c>
      <c r="F344" s="617" t="s">
        <v>402</v>
      </c>
      <c r="G344" s="617" t="s">
        <v>403</v>
      </c>
      <c r="H344" s="619">
        <v>33195.410000000003</v>
      </c>
      <c r="I344" s="618">
        <v>33195</v>
      </c>
    </row>
    <row r="345" spans="2:9">
      <c r="B345" s="610"/>
      <c r="C345" s="611"/>
      <c r="E345" s="616" t="s">
        <v>3800</v>
      </c>
      <c r="F345" s="617" t="s">
        <v>404</v>
      </c>
      <c r="G345" s="617" t="s">
        <v>405</v>
      </c>
      <c r="H345" s="619">
        <v>0</v>
      </c>
      <c r="I345" s="618">
        <v>0</v>
      </c>
    </row>
    <row r="346" spans="2:9">
      <c r="B346" s="610"/>
      <c r="C346" s="611"/>
      <c r="E346" s="616" t="s">
        <v>3719</v>
      </c>
      <c r="F346" s="617" t="s">
        <v>406</v>
      </c>
      <c r="G346" s="617" t="s">
        <v>407</v>
      </c>
      <c r="H346" s="619">
        <v>9551.11</v>
      </c>
      <c r="I346" s="618">
        <v>9551</v>
      </c>
    </row>
    <row r="347" spans="2:9">
      <c r="B347" s="610"/>
      <c r="C347" s="611"/>
      <c r="E347" s="616" t="s">
        <v>3801</v>
      </c>
      <c r="F347" s="617" t="s">
        <v>408</v>
      </c>
      <c r="G347" s="617" t="s">
        <v>409</v>
      </c>
      <c r="H347" s="619">
        <v>0</v>
      </c>
      <c r="I347" s="618">
        <v>0</v>
      </c>
    </row>
    <row r="348" spans="2:9">
      <c r="B348" s="610"/>
      <c r="C348" s="611"/>
      <c r="E348" s="616" t="s">
        <v>3802</v>
      </c>
      <c r="F348" s="617" t="s">
        <v>410</v>
      </c>
      <c r="G348" s="617" t="s">
        <v>411</v>
      </c>
      <c r="H348" s="619">
        <v>0</v>
      </c>
      <c r="I348" s="618">
        <v>0</v>
      </c>
    </row>
    <row r="349" spans="2:9">
      <c r="B349" s="610"/>
      <c r="C349" s="611"/>
      <c r="E349" s="616" t="s">
        <v>3803</v>
      </c>
      <c r="F349" s="617" t="s">
        <v>412</v>
      </c>
      <c r="G349" s="617" t="s">
        <v>413</v>
      </c>
      <c r="H349" s="619">
        <v>0</v>
      </c>
      <c r="I349" s="618">
        <v>0</v>
      </c>
    </row>
    <row r="350" spans="2:9">
      <c r="B350" s="610"/>
      <c r="C350" s="611"/>
      <c r="E350" s="616" t="s">
        <v>3804</v>
      </c>
      <c r="F350" s="617" t="s">
        <v>414</v>
      </c>
      <c r="G350" s="617" t="s">
        <v>415</v>
      </c>
      <c r="H350" s="619">
        <v>0</v>
      </c>
      <c r="I350" s="618">
        <v>0</v>
      </c>
    </row>
    <row r="351" spans="2:9">
      <c r="B351" s="610"/>
      <c r="C351" s="611"/>
      <c r="E351" s="616" t="s">
        <v>3720</v>
      </c>
      <c r="F351" s="617" t="s">
        <v>2372</v>
      </c>
      <c r="G351" s="617" t="s">
        <v>2373</v>
      </c>
      <c r="H351" s="619">
        <v>288670.25</v>
      </c>
      <c r="I351" s="618">
        <v>114973</v>
      </c>
    </row>
    <row r="352" spans="2:9">
      <c r="B352" s="610"/>
      <c r="C352" s="611"/>
      <c r="E352" s="616" t="s">
        <v>3720</v>
      </c>
      <c r="F352" s="617" t="s">
        <v>2374</v>
      </c>
      <c r="G352" s="617" t="s">
        <v>2375</v>
      </c>
      <c r="H352" s="619">
        <v>288670.25</v>
      </c>
      <c r="I352" s="618">
        <v>173698</v>
      </c>
    </row>
    <row r="353" spans="2:9">
      <c r="B353" s="610"/>
      <c r="C353" s="611"/>
      <c r="E353" s="616" t="s">
        <v>3721</v>
      </c>
      <c r="F353" s="617" t="s">
        <v>416</v>
      </c>
      <c r="G353" s="617" t="s">
        <v>417</v>
      </c>
      <c r="H353" s="619">
        <v>281470.55</v>
      </c>
      <c r="I353" s="618">
        <v>281471</v>
      </c>
    </row>
    <row r="354" spans="2:9">
      <c r="B354" s="610"/>
      <c r="C354" s="611"/>
      <c r="E354" s="616" t="s">
        <v>3805</v>
      </c>
      <c r="F354" s="617" t="s">
        <v>418</v>
      </c>
      <c r="G354" s="617" t="s">
        <v>419</v>
      </c>
      <c r="H354" s="619">
        <v>0</v>
      </c>
      <c r="I354" s="618">
        <v>0</v>
      </c>
    </row>
    <row r="355" spans="2:9">
      <c r="B355" s="610"/>
      <c r="C355" s="611"/>
      <c r="E355" s="616" t="s">
        <v>3806</v>
      </c>
      <c r="F355" s="617" t="s">
        <v>420</v>
      </c>
      <c r="G355" s="617" t="s">
        <v>2376</v>
      </c>
      <c r="H355" s="619">
        <v>0</v>
      </c>
      <c r="I355" s="618">
        <v>0</v>
      </c>
    </row>
    <row r="356" spans="2:9">
      <c r="B356" s="610"/>
      <c r="C356" s="611"/>
      <c r="E356" s="616" t="s">
        <v>3807</v>
      </c>
      <c r="F356" s="617" t="s">
        <v>421</v>
      </c>
      <c r="G356" s="617" t="s">
        <v>422</v>
      </c>
      <c r="H356" s="619">
        <v>0</v>
      </c>
      <c r="I356" s="618">
        <v>0</v>
      </c>
    </row>
    <row r="357" spans="2:9">
      <c r="B357" s="610"/>
      <c r="C357" s="611"/>
      <c r="E357" s="616" t="s">
        <v>3808</v>
      </c>
      <c r="F357" s="617" t="s">
        <v>423</v>
      </c>
      <c r="G357" s="617" t="s">
        <v>424</v>
      </c>
      <c r="H357" s="619">
        <v>0</v>
      </c>
      <c r="I357" s="618">
        <v>0</v>
      </c>
    </row>
    <row r="358" spans="2:9">
      <c r="B358" s="610"/>
      <c r="C358" s="611"/>
      <c r="E358" s="616" t="s">
        <v>3722</v>
      </c>
      <c r="F358" s="617" t="s">
        <v>425</v>
      </c>
      <c r="G358" s="617" t="s">
        <v>426</v>
      </c>
      <c r="H358" s="619">
        <v>226849.42</v>
      </c>
      <c r="I358" s="618">
        <v>226849</v>
      </c>
    </row>
    <row r="359" spans="2:9">
      <c r="B359" s="610"/>
      <c r="C359" s="611"/>
      <c r="E359" s="616" t="s">
        <v>3809</v>
      </c>
      <c r="F359" s="617" t="s">
        <v>427</v>
      </c>
      <c r="G359" s="617" t="s">
        <v>428</v>
      </c>
      <c r="H359" s="619">
        <v>0</v>
      </c>
      <c r="I359" s="618">
        <v>0</v>
      </c>
    </row>
    <row r="360" spans="2:9">
      <c r="B360" s="610"/>
      <c r="C360" s="611"/>
      <c r="E360" s="616" t="s">
        <v>3723</v>
      </c>
      <c r="F360" s="617" t="s">
        <v>429</v>
      </c>
      <c r="G360" s="617" t="s">
        <v>430</v>
      </c>
      <c r="H360" s="619">
        <v>1043213.13</v>
      </c>
      <c r="I360" s="618">
        <v>1043213</v>
      </c>
    </row>
    <row r="361" spans="2:9">
      <c r="B361" s="610"/>
      <c r="C361" s="611"/>
      <c r="E361" s="616" t="s">
        <v>3724</v>
      </c>
      <c r="F361" s="617" t="s">
        <v>431</v>
      </c>
      <c r="G361" s="617" t="s">
        <v>432</v>
      </c>
      <c r="H361" s="619">
        <v>-894011.68</v>
      </c>
      <c r="I361" s="618">
        <v>-894012</v>
      </c>
    </row>
    <row r="362" spans="2:9">
      <c r="B362" s="610"/>
      <c r="C362" s="611"/>
      <c r="E362" s="616" t="s">
        <v>3810</v>
      </c>
      <c r="F362" s="617" t="s">
        <v>433</v>
      </c>
      <c r="G362" s="617" t="s">
        <v>434</v>
      </c>
      <c r="H362" s="619">
        <v>0</v>
      </c>
      <c r="I362" s="618">
        <v>0</v>
      </c>
    </row>
    <row r="363" spans="2:9">
      <c r="B363" s="610"/>
      <c r="C363" s="611"/>
      <c r="E363" s="616" t="s">
        <v>3811</v>
      </c>
      <c r="F363" s="617" t="s">
        <v>435</v>
      </c>
      <c r="G363" s="617" t="s">
        <v>436</v>
      </c>
      <c r="H363" s="619">
        <v>0</v>
      </c>
      <c r="I363" s="618">
        <v>0</v>
      </c>
    </row>
    <row r="364" spans="2:9">
      <c r="B364" s="610"/>
      <c r="C364" s="611"/>
      <c r="E364" s="616" t="s">
        <v>3725</v>
      </c>
      <c r="F364" s="617" t="s">
        <v>3010</v>
      </c>
      <c r="G364" s="617" t="s">
        <v>3011</v>
      </c>
      <c r="H364" s="619">
        <v>-1819998.25</v>
      </c>
      <c r="I364" s="618">
        <v>-1819998</v>
      </c>
    </row>
    <row r="365" spans="2:9">
      <c r="B365" s="610"/>
      <c r="C365" s="611"/>
      <c r="E365" s="616" t="s">
        <v>3725</v>
      </c>
      <c r="F365" s="617" t="s">
        <v>3013</v>
      </c>
      <c r="G365" s="617" t="s">
        <v>3014</v>
      </c>
      <c r="H365" s="619">
        <v>-1819998.25</v>
      </c>
      <c r="I365" s="618">
        <v>0</v>
      </c>
    </row>
    <row r="366" spans="2:9">
      <c r="B366" s="610"/>
      <c r="C366" s="611"/>
      <c r="E366" s="616" t="s">
        <v>3725</v>
      </c>
      <c r="F366" s="617" t="s">
        <v>3016</v>
      </c>
      <c r="G366" s="617" t="s">
        <v>3017</v>
      </c>
      <c r="H366" s="619">
        <v>-1819998.25</v>
      </c>
      <c r="I366" s="618">
        <v>0</v>
      </c>
    </row>
    <row r="367" spans="2:9">
      <c r="B367" s="610"/>
      <c r="C367" s="611"/>
      <c r="E367" s="616" t="s">
        <v>3725</v>
      </c>
      <c r="F367" s="617" t="s">
        <v>3019</v>
      </c>
      <c r="G367" s="617" t="s">
        <v>3020</v>
      </c>
      <c r="H367" s="619">
        <v>-1819998.25</v>
      </c>
      <c r="I367" s="618">
        <v>0</v>
      </c>
    </row>
    <row r="368" spans="2:9">
      <c r="B368" s="610"/>
      <c r="C368" s="611"/>
      <c r="E368" s="616" t="s">
        <v>3725</v>
      </c>
      <c r="F368" s="617" t="s">
        <v>3022</v>
      </c>
      <c r="G368" s="617" t="s">
        <v>3023</v>
      </c>
      <c r="H368" s="619">
        <v>-1819998.25</v>
      </c>
      <c r="I368" s="618">
        <v>0</v>
      </c>
    </row>
    <row r="369" spans="2:9">
      <c r="B369" s="610"/>
      <c r="C369" s="611"/>
      <c r="E369" s="616" t="s">
        <v>3726</v>
      </c>
      <c r="F369" s="617" t="s">
        <v>3025</v>
      </c>
      <c r="G369" s="617" t="s">
        <v>3026</v>
      </c>
      <c r="H369" s="619">
        <v>-294562.21999999997</v>
      </c>
      <c r="I369" s="618">
        <v>-294562</v>
      </c>
    </row>
    <row r="370" spans="2:9">
      <c r="B370" s="610"/>
      <c r="C370" s="611"/>
      <c r="E370" s="616" t="s">
        <v>3726</v>
      </c>
      <c r="F370" s="617" t="s">
        <v>3028</v>
      </c>
      <c r="G370" s="617" t="s">
        <v>3029</v>
      </c>
      <c r="H370" s="619">
        <v>-294562.21999999997</v>
      </c>
      <c r="I370" s="618">
        <v>0</v>
      </c>
    </row>
    <row r="371" spans="2:9">
      <c r="B371" s="610"/>
      <c r="C371" s="611"/>
      <c r="E371" s="616" t="s">
        <v>3726</v>
      </c>
      <c r="F371" s="617" t="s">
        <v>3031</v>
      </c>
      <c r="G371" s="617" t="s">
        <v>3032</v>
      </c>
      <c r="H371" s="619">
        <v>-294562.21999999997</v>
      </c>
      <c r="I371" s="618">
        <v>0</v>
      </c>
    </row>
    <row r="372" spans="2:9">
      <c r="B372" s="610"/>
      <c r="C372" s="611"/>
      <c r="E372" s="616" t="s">
        <v>3726</v>
      </c>
      <c r="F372" s="617" t="s">
        <v>3034</v>
      </c>
      <c r="G372" s="617" t="s">
        <v>3035</v>
      </c>
      <c r="H372" s="619">
        <v>-294562.21999999997</v>
      </c>
      <c r="I372" s="618">
        <v>0</v>
      </c>
    </row>
    <row r="373" spans="2:9">
      <c r="B373" s="610"/>
      <c r="C373" s="611"/>
      <c r="E373" s="616" t="s">
        <v>3726</v>
      </c>
      <c r="F373" s="617" t="s">
        <v>3037</v>
      </c>
      <c r="G373" s="617" t="s">
        <v>3038</v>
      </c>
      <c r="H373" s="619">
        <v>-294562.21999999997</v>
      </c>
      <c r="I373" s="618">
        <v>0</v>
      </c>
    </row>
    <row r="374" spans="2:9">
      <c r="B374" s="610"/>
      <c r="C374" s="611"/>
      <c r="E374" s="616" t="s">
        <v>3727</v>
      </c>
      <c r="F374" s="617" t="s">
        <v>3040</v>
      </c>
      <c r="G374" s="617" t="s">
        <v>3041</v>
      </c>
      <c r="H374" s="619">
        <v>-21927081.280000001</v>
      </c>
      <c r="I374" s="618">
        <v>-21927081</v>
      </c>
    </row>
    <row r="375" spans="2:9">
      <c r="B375" s="610"/>
      <c r="C375" s="611"/>
      <c r="E375" s="616" t="s">
        <v>3727</v>
      </c>
      <c r="F375" s="617" t="s">
        <v>3043</v>
      </c>
      <c r="G375" s="617" t="s">
        <v>3044</v>
      </c>
      <c r="H375" s="619">
        <v>-21927081.280000001</v>
      </c>
      <c r="I375" s="618">
        <v>0</v>
      </c>
    </row>
    <row r="376" spans="2:9">
      <c r="B376" s="610"/>
      <c r="C376" s="611"/>
      <c r="E376" s="616" t="s">
        <v>3727</v>
      </c>
      <c r="F376" s="617" t="s">
        <v>3046</v>
      </c>
      <c r="G376" s="617" t="s">
        <v>3047</v>
      </c>
      <c r="H376" s="619">
        <v>-21927081.280000001</v>
      </c>
      <c r="I376" s="618">
        <v>0</v>
      </c>
    </row>
    <row r="377" spans="2:9">
      <c r="B377" s="610"/>
      <c r="C377" s="611"/>
      <c r="E377" s="616" t="s">
        <v>3727</v>
      </c>
      <c r="F377" s="617" t="s">
        <v>3049</v>
      </c>
      <c r="G377" s="617" t="s">
        <v>3050</v>
      </c>
      <c r="H377" s="619">
        <v>-21927081.280000001</v>
      </c>
      <c r="I377" s="618">
        <v>0</v>
      </c>
    </row>
    <row r="378" spans="2:9">
      <c r="B378" s="610"/>
      <c r="C378" s="611"/>
      <c r="E378" s="616" t="s">
        <v>3727</v>
      </c>
      <c r="F378" s="617" t="s">
        <v>3052</v>
      </c>
      <c r="G378" s="617" t="s">
        <v>3053</v>
      </c>
      <c r="H378" s="619">
        <v>-21927081.280000001</v>
      </c>
      <c r="I378" s="618">
        <v>0</v>
      </c>
    </row>
    <row r="379" spans="2:9">
      <c r="B379" s="610"/>
      <c r="C379" s="611"/>
      <c r="E379" s="616" t="s">
        <v>3812</v>
      </c>
      <c r="F379" s="617" t="s">
        <v>437</v>
      </c>
      <c r="G379" s="617" t="s">
        <v>438</v>
      </c>
      <c r="H379" s="619">
        <v>0</v>
      </c>
      <c r="I379" s="618">
        <v>0</v>
      </c>
    </row>
    <row r="380" spans="2:9">
      <c r="B380" s="610"/>
      <c r="C380" s="611"/>
      <c r="E380" s="616" t="s">
        <v>3813</v>
      </c>
      <c r="F380" s="617" t="s">
        <v>439</v>
      </c>
      <c r="G380" s="617" t="s">
        <v>440</v>
      </c>
      <c r="H380" s="619">
        <v>0</v>
      </c>
      <c r="I380" s="618">
        <v>0</v>
      </c>
    </row>
    <row r="381" spans="2:9">
      <c r="B381" s="610"/>
      <c r="C381" s="611"/>
      <c r="E381" s="616" t="s">
        <v>3728</v>
      </c>
      <c r="F381" s="617" t="s">
        <v>441</v>
      </c>
      <c r="G381" s="617" t="s">
        <v>442</v>
      </c>
      <c r="H381" s="619">
        <v>0</v>
      </c>
      <c r="I381" s="618">
        <v>0</v>
      </c>
    </row>
    <row r="382" spans="2:9">
      <c r="B382" s="610"/>
      <c r="C382" s="611"/>
      <c r="E382" s="616" t="s">
        <v>3814</v>
      </c>
      <c r="F382" s="617" t="s">
        <v>443</v>
      </c>
      <c r="G382" s="617" t="s">
        <v>444</v>
      </c>
      <c r="H382" s="619">
        <v>0</v>
      </c>
      <c r="I382" s="618">
        <v>0</v>
      </c>
    </row>
    <row r="383" spans="2:9">
      <c r="B383" s="610"/>
      <c r="C383" s="611"/>
      <c r="E383" s="616" t="s">
        <v>3729</v>
      </c>
      <c r="F383" s="617" t="s">
        <v>445</v>
      </c>
      <c r="G383" s="617" t="s">
        <v>446</v>
      </c>
      <c r="H383" s="619">
        <v>0</v>
      </c>
      <c r="I383" s="618">
        <v>0</v>
      </c>
    </row>
    <row r="384" spans="2:9">
      <c r="B384" s="610"/>
      <c r="C384" s="611"/>
      <c r="E384" s="616" t="s">
        <v>3815</v>
      </c>
      <c r="F384" s="617" t="s">
        <v>447</v>
      </c>
      <c r="G384" s="617" t="s">
        <v>448</v>
      </c>
      <c r="H384" s="619">
        <v>0</v>
      </c>
      <c r="I384" s="618">
        <v>0</v>
      </c>
    </row>
    <row r="385" spans="2:9">
      <c r="B385" s="610"/>
      <c r="C385" s="611"/>
      <c r="E385" s="616" t="s">
        <v>3816</v>
      </c>
      <c r="F385" s="617" t="s">
        <v>449</v>
      </c>
      <c r="G385" s="617" t="s">
        <v>450</v>
      </c>
      <c r="H385" s="619">
        <v>0</v>
      </c>
      <c r="I385" s="618">
        <v>0</v>
      </c>
    </row>
    <row r="386" spans="2:9">
      <c r="B386" s="610"/>
      <c r="C386" s="611"/>
      <c r="E386" s="616" t="s">
        <v>3817</v>
      </c>
      <c r="F386" s="617" t="s">
        <v>451</v>
      </c>
      <c r="G386" s="617" t="s">
        <v>452</v>
      </c>
      <c r="H386" s="619">
        <v>0</v>
      </c>
      <c r="I386" s="618">
        <v>0</v>
      </c>
    </row>
    <row r="387" spans="2:9">
      <c r="B387" s="610"/>
      <c r="C387" s="611"/>
      <c r="E387" s="616" t="s">
        <v>3730</v>
      </c>
      <c r="F387" s="617" t="s">
        <v>453</v>
      </c>
      <c r="G387" s="617" t="s">
        <v>454</v>
      </c>
      <c r="H387" s="619">
        <v>-681002.74</v>
      </c>
      <c r="I387" s="618">
        <v>-681003</v>
      </c>
    </row>
    <row r="388" spans="2:9">
      <c r="B388" s="610"/>
      <c r="C388" s="611"/>
      <c r="E388" s="616" t="s">
        <v>3818</v>
      </c>
      <c r="F388" s="617" t="s">
        <v>455</v>
      </c>
      <c r="G388" s="617" t="s">
        <v>456</v>
      </c>
      <c r="H388" s="619">
        <v>0</v>
      </c>
      <c r="I388" s="618">
        <v>0</v>
      </c>
    </row>
    <row r="389" spans="2:9">
      <c r="B389" s="610"/>
      <c r="C389" s="611"/>
      <c r="E389" s="616" t="s">
        <v>3819</v>
      </c>
      <c r="F389" s="617" t="s">
        <v>457</v>
      </c>
      <c r="G389" s="617" t="s">
        <v>458</v>
      </c>
      <c r="H389" s="619">
        <v>0</v>
      </c>
      <c r="I389" s="618">
        <v>0</v>
      </c>
    </row>
    <row r="390" spans="2:9">
      <c r="B390" s="610"/>
      <c r="C390" s="611"/>
      <c r="E390" s="616" t="s">
        <v>3731</v>
      </c>
      <c r="F390" s="617" t="s">
        <v>459</v>
      </c>
      <c r="G390" s="617" t="s">
        <v>460</v>
      </c>
      <c r="H390" s="619">
        <v>-43214.32</v>
      </c>
      <c r="I390" s="618">
        <v>-43214</v>
      </c>
    </row>
    <row r="391" spans="2:9">
      <c r="B391" s="610"/>
      <c r="C391" s="611"/>
      <c r="E391" s="616" t="s">
        <v>3820</v>
      </c>
      <c r="F391" s="617" t="s">
        <v>461</v>
      </c>
      <c r="G391" s="617" t="s">
        <v>395</v>
      </c>
      <c r="H391" s="619">
        <v>0</v>
      </c>
      <c r="I391" s="618">
        <v>0</v>
      </c>
    </row>
    <row r="392" spans="2:9">
      <c r="B392" s="610"/>
      <c r="C392" s="611"/>
      <c r="E392" s="616" t="s">
        <v>3821</v>
      </c>
      <c r="F392" s="617" t="s">
        <v>462</v>
      </c>
      <c r="G392" s="617" t="s">
        <v>397</v>
      </c>
      <c r="H392" s="619">
        <v>0</v>
      </c>
      <c r="I392" s="618">
        <v>0</v>
      </c>
    </row>
    <row r="393" spans="2:9">
      <c r="B393" s="610"/>
      <c r="C393" s="611"/>
      <c r="E393" s="616" t="s">
        <v>3822</v>
      </c>
      <c r="F393" s="617" t="s">
        <v>463</v>
      </c>
      <c r="G393" s="617" t="s">
        <v>464</v>
      </c>
      <c r="H393" s="619">
        <v>0</v>
      </c>
      <c r="I393" s="618">
        <v>0</v>
      </c>
    </row>
    <row r="394" spans="2:9">
      <c r="B394" s="610"/>
      <c r="C394" s="611"/>
      <c r="E394" s="616" t="s">
        <v>3732</v>
      </c>
      <c r="F394" s="617" t="s">
        <v>465</v>
      </c>
      <c r="G394" s="617" t="s">
        <v>466</v>
      </c>
      <c r="H394" s="619">
        <v>-2716.6000000000004</v>
      </c>
      <c r="I394" s="618">
        <v>-2717</v>
      </c>
    </row>
    <row r="395" spans="2:9">
      <c r="B395" s="610"/>
      <c r="C395" s="611"/>
      <c r="E395" s="616" t="s">
        <v>3823</v>
      </c>
      <c r="F395" s="617" t="s">
        <v>467</v>
      </c>
      <c r="G395" s="617" t="s">
        <v>411</v>
      </c>
      <c r="H395" s="619">
        <v>0</v>
      </c>
      <c r="I395" s="618">
        <v>0</v>
      </c>
    </row>
    <row r="396" spans="2:9">
      <c r="B396" s="610"/>
      <c r="C396" s="611"/>
      <c r="E396" s="616" t="s">
        <v>3824</v>
      </c>
      <c r="F396" s="617" t="s">
        <v>468</v>
      </c>
      <c r="G396" s="617" t="s">
        <v>469</v>
      </c>
      <c r="H396" s="619">
        <v>0</v>
      </c>
      <c r="I396" s="618">
        <v>0</v>
      </c>
    </row>
    <row r="397" spans="2:9">
      <c r="B397" s="610"/>
      <c r="C397" s="611"/>
      <c r="E397" s="616" t="s">
        <v>3825</v>
      </c>
      <c r="F397" s="617" t="s">
        <v>470</v>
      </c>
      <c r="G397" s="617" t="s">
        <v>2189</v>
      </c>
      <c r="H397" s="619">
        <v>0</v>
      </c>
      <c r="I397" s="618">
        <v>0</v>
      </c>
    </row>
    <row r="398" spans="2:9">
      <c r="B398" s="610"/>
      <c r="C398" s="611"/>
      <c r="E398" s="616" t="s">
        <v>3733</v>
      </c>
      <c r="F398" s="617" t="s">
        <v>2377</v>
      </c>
      <c r="G398" s="617" t="s">
        <v>2378</v>
      </c>
      <c r="H398" s="619">
        <v>-655176.06999999995</v>
      </c>
      <c r="I398" s="618">
        <v>-566019</v>
      </c>
    </row>
    <row r="399" spans="2:9">
      <c r="B399" s="610"/>
      <c r="C399" s="611"/>
      <c r="E399" s="616" t="s">
        <v>3733</v>
      </c>
      <c r="F399" s="617" t="s">
        <v>2379</v>
      </c>
      <c r="G399" s="617" t="s">
        <v>2380</v>
      </c>
      <c r="H399" s="619">
        <v>-655176.06999999995</v>
      </c>
      <c r="I399" s="618">
        <v>-89157</v>
      </c>
    </row>
    <row r="400" spans="2:9">
      <c r="B400" s="610"/>
      <c r="C400" s="611"/>
      <c r="E400" s="616" t="s">
        <v>3734</v>
      </c>
      <c r="F400" s="617" t="s">
        <v>471</v>
      </c>
      <c r="G400" s="617" t="s">
        <v>472</v>
      </c>
      <c r="H400" s="619">
        <v>-185329.97999999998</v>
      </c>
      <c r="I400" s="618">
        <v>-185330</v>
      </c>
    </row>
    <row r="401" spans="2:9">
      <c r="B401" s="610"/>
      <c r="C401" s="611"/>
      <c r="E401" s="616" t="s">
        <v>3826</v>
      </c>
      <c r="F401" s="617" t="s">
        <v>473</v>
      </c>
      <c r="G401" s="617" t="s">
        <v>474</v>
      </c>
      <c r="H401" s="619">
        <v>0</v>
      </c>
      <c r="I401" s="618">
        <v>0</v>
      </c>
    </row>
    <row r="402" spans="2:9">
      <c r="B402" s="610"/>
      <c r="C402" s="611"/>
      <c r="E402" s="616" t="s">
        <v>3827</v>
      </c>
      <c r="F402" s="617" t="s">
        <v>2381</v>
      </c>
      <c r="G402" s="617" t="s">
        <v>2382</v>
      </c>
      <c r="H402" s="619">
        <v>0</v>
      </c>
      <c r="I402" s="618">
        <v>0</v>
      </c>
    </row>
    <row r="403" spans="2:9">
      <c r="B403" s="610"/>
      <c r="C403" s="611"/>
      <c r="E403" s="616" t="s">
        <v>3827</v>
      </c>
      <c r="F403" s="617" t="s">
        <v>2383</v>
      </c>
      <c r="G403" s="617" t="s">
        <v>2384</v>
      </c>
      <c r="H403" s="619">
        <v>0</v>
      </c>
      <c r="I403" s="618">
        <v>0</v>
      </c>
    </row>
    <row r="404" spans="2:9">
      <c r="B404" s="610"/>
      <c r="C404" s="611"/>
      <c r="E404" s="616" t="s">
        <v>3827</v>
      </c>
      <c r="F404" s="617" t="s">
        <v>475</v>
      </c>
      <c r="G404" s="617" t="s">
        <v>2385</v>
      </c>
      <c r="H404" s="619">
        <v>0</v>
      </c>
      <c r="I404" s="618">
        <v>0</v>
      </c>
    </row>
    <row r="405" spans="2:9">
      <c r="B405" s="610"/>
      <c r="C405" s="611"/>
      <c r="E405" s="616" t="s">
        <v>3828</v>
      </c>
      <c r="F405" s="617" t="s">
        <v>2386</v>
      </c>
      <c r="G405" s="617" t="s">
        <v>2387</v>
      </c>
      <c r="H405" s="619">
        <v>0</v>
      </c>
      <c r="I405" s="618">
        <v>0</v>
      </c>
    </row>
    <row r="406" spans="2:9">
      <c r="B406" s="610"/>
      <c r="C406" s="611"/>
      <c r="E406" s="616" t="s">
        <v>3828</v>
      </c>
      <c r="F406" s="617" t="s">
        <v>2388</v>
      </c>
      <c r="G406" s="617" t="s">
        <v>2389</v>
      </c>
      <c r="H406" s="619">
        <v>0</v>
      </c>
      <c r="I406" s="618">
        <v>0</v>
      </c>
    </row>
    <row r="407" spans="2:9">
      <c r="B407" s="610"/>
      <c r="C407" s="611"/>
      <c r="E407" s="616" t="s">
        <v>3828</v>
      </c>
      <c r="F407" s="617" t="s">
        <v>2390</v>
      </c>
      <c r="G407" s="617" t="s">
        <v>2391</v>
      </c>
      <c r="H407" s="619">
        <v>0</v>
      </c>
      <c r="I407" s="618">
        <v>0</v>
      </c>
    </row>
    <row r="408" spans="2:9">
      <c r="B408" s="610"/>
      <c r="C408" s="611"/>
      <c r="E408" s="616" t="s">
        <v>3829</v>
      </c>
      <c r="F408" s="617" t="s">
        <v>476</v>
      </c>
      <c r="G408" s="617" t="s">
        <v>477</v>
      </c>
      <c r="H408" s="619">
        <v>0</v>
      </c>
      <c r="I408" s="618">
        <v>0</v>
      </c>
    </row>
    <row r="409" spans="2:9">
      <c r="B409" s="610"/>
      <c r="C409" s="611"/>
      <c r="E409" s="616" t="s">
        <v>3735</v>
      </c>
      <c r="F409" s="617" t="s">
        <v>478</v>
      </c>
      <c r="G409" s="617" t="s">
        <v>479</v>
      </c>
      <c r="H409" s="619">
        <v>-89416.07</v>
      </c>
      <c r="I409" s="618">
        <v>-89416</v>
      </c>
    </row>
    <row r="410" spans="2:9">
      <c r="B410" s="610"/>
      <c r="C410" s="611"/>
    </row>
    <row r="411" spans="2:9">
      <c r="B411" s="610"/>
      <c r="C411" s="611"/>
    </row>
    <row r="412" spans="2:9">
      <c r="B412" s="610"/>
      <c r="C412" s="611"/>
    </row>
    <row r="413" spans="2:9">
      <c r="B413" s="610"/>
      <c r="C413" s="611"/>
    </row>
    <row r="414" spans="2:9">
      <c r="B414" s="610"/>
      <c r="C414" s="611"/>
    </row>
    <row r="415" spans="2:9">
      <c r="B415" s="610"/>
      <c r="C415" s="611"/>
    </row>
    <row r="416" spans="2:9">
      <c r="B416" s="610"/>
      <c r="C416" s="611"/>
    </row>
    <row r="417" spans="2:3">
      <c r="B417" s="610"/>
      <c r="C417" s="611"/>
    </row>
    <row r="418" spans="2:3">
      <c r="B418" s="610"/>
      <c r="C418" s="611"/>
    </row>
    <row r="419" spans="2:3">
      <c r="B419" s="610"/>
      <c r="C419" s="611"/>
    </row>
    <row r="420" spans="2:3">
      <c r="B420" s="610"/>
      <c r="C420" s="611"/>
    </row>
    <row r="421" spans="2:3">
      <c r="B421" s="610"/>
      <c r="C421" s="611"/>
    </row>
    <row r="422" spans="2:3">
      <c r="B422" s="610"/>
      <c r="C422" s="611"/>
    </row>
    <row r="423" spans="2:3">
      <c r="B423" s="610"/>
      <c r="C423" s="611"/>
    </row>
    <row r="424" spans="2:3">
      <c r="B424" s="610"/>
      <c r="C424" s="611"/>
    </row>
    <row r="425" spans="2:3">
      <c r="B425" s="610"/>
      <c r="C425" s="611"/>
    </row>
    <row r="426" spans="2:3">
      <c r="B426" s="610"/>
      <c r="C426" s="611"/>
    </row>
    <row r="427" spans="2:3">
      <c r="B427" s="610"/>
      <c r="C427" s="611"/>
    </row>
    <row r="428" spans="2:3">
      <c r="B428" s="610"/>
      <c r="C428" s="611"/>
    </row>
    <row r="429" spans="2:3">
      <c r="B429" s="610"/>
      <c r="C429" s="611"/>
    </row>
    <row r="430" spans="2:3">
      <c r="B430" s="610"/>
      <c r="C430" s="611"/>
    </row>
    <row r="431" spans="2:3">
      <c r="B431" s="610"/>
      <c r="C431" s="611"/>
    </row>
    <row r="432" spans="2:3">
      <c r="B432" s="610"/>
      <c r="C432" s="611"/>
    </row>
    <row r="433" spans="2:3">
      <c r="B433" s="610"/>
      <c r="C433" s="611"/>
    </row>
    <row r="434" spans="2:3">
      <c r="B434" s="610"/>
      <c r="C434" s="611"/>
    </row>
    <row r="435" spans="2:3">
      <c r="B435" s="610"/>
      <c r="C435" s="611"/>
    </row>
    <row r="436" spans="2:3">
      <c r="B436" s="610"/>
      <c r="C436" s="611"/>
    </row>
    <row r="437" spans="2:3">
      <c r="B437" s="610"/>
      <c r="C437" s="611"/>
    </row>
    <row r="438" spans="2:3">
      <c r="B438" s="610"/>
      <c r="C438" s="611"/>
    </row>
    <row r="439" spans="2:3">
      <c r="B439" s="610"/>
      <c r="C439" s="611"/>
    </row>
    <row r="440" spans="2:3">
      <c r="B440" s="610"/>
      <c r="C440" s="611"/>
    </row>
    <row r="441" spans="2:3">
      <c r="B441" s="610"/>
      <c r="C441" s="611"/>
    </row>
    <row r="442" spans="2:3">
      <c r="B442" s="610"/>
      <c r="C442" s="611"/>
    </row>
    <row r="443" spans="2:3">
      <c r="B443" s="610"/>
      <c r="C443" s="611"/>
    </row>
    <row r="444" spans="2:3">
      <c r="B444" s="610"/>
      <c r="C444" s="611"/>
    </row>
    <row r="445" spans="2:3">
      <c r="B445" s="610"/>
      <c r="C445" s="611"/>
    </row>
    <row r="446" spans="2:3">
      <c r="B446" s="610"/>
      <c r="C446" s="611"/>
    </row>
    <row r="447" spans="2:3">
      <c r="B447" s="610"/>
      <c r="C447" s="611"/>
    </row>
    <row r="448" spans="2:3">
      <c r="B448" s="610"/>
      <c r="C448" s="611"/>
    </row>
    <row r="449" spans="2:3">
      <c r="B449" s="610"/>
      <c r="C449" s="611"/>
    </row>
    <row r="450" spans="2:3">
      <c r="B450" s="610"/>
      <c r="C450" s="611"/>
    </row>
    <row r="451" spans="2:3">
      <c r="B451" s="610"/>
      <c r="C451" s="611"/>
    </row>
    <row r="452" spans="2:3">
      <c r="B452" s="610"/>
      <c r="C452" s="611"/>
    </row>
    <row r="453" spans="2:3">
      <c r="B453" s="610"/>
      <c r="C453" s="611"/>
    </row>
    <row r="454" spans="2:3">
      <c r="B454" s="610"/>
      <c r="C454" s="611"/>
    </row>
    <row r="455" spans="2:3">
      <c r="B455" s="610"/>
      <c r="C455" s="611"/>
    </row>
    <row r="456" spans="2:3">
      <c r="B456" s="610"/>
      <c r="C456" s="611"/>
    </row>
    <row r="457" spans="2:3">
      <c r="B457" s="610"/>
      <c r="C457" s="611"/>
    </row>
    <row r="458" spans="2:3">
      <c r="B458" s="610"/>
      <c r="C458" s="611"/>
    </row>
    <row r="459" spans="2:3">
      <c r="B459" s="610"/>
      <c r="C459" s="611"/>
    </row>
    <row r="460" spans="2:3">
      <c r="B460" s="610"/>
      <c r="C460" s="611"/>
    </row>
    <row r="461" spans="2:3">
      <c r="B461" s="610"/>
      <c r="C461" s="611"/>
    </row>
    <row r="462" spans="2:3">
      <c r="B462" s="610"/>
      <c r="C462" s="611"/>
    </row>
    <row r="463" spans="2:3">
      <c r="B463" s="610"/>
      <c r="C463" s="611"/>
    </row>
    <row r="464" spans="2:3">
      <c r="B464" s="610"/>
      <c r="C464" s="611"/>
    </row>
    <row r="465" spans="2:3">
      <c r="B465" s="610"/>
      <c r="C465" s="611"/>
    </row>
    <row r="466" spans="2:3">
      <c r="B466" s="610"/>
      <c r="C466" s="611"/>
    </row>
    <row r="467" spans="2:3">
      <c r="B467" s="610"/>
      <c r="C467" s="611"/>
    </row>
    <row r="468" spans="2:3">
      <c r="B468" s="610"/>
      <c r="C468" s="611"/>
    </row>
    <row r="469" spans="2:3">
      <c r="B469" s="610"/>
      <c r="C469" s="611"/>
    </row>
    <row r="470" spans="2:3">
      <c r="B470" s="610"/>
      <c r="C470" s="611"/>
    </row>
    <row r="471" spans="2:3">
      <c r="B471" s="610"/>
      <c r="C471" s="611"/>
    </row>
    <row r="472" spans="2:3">
      <c r="B472" s="610"/>
      <c r="C472" s="611"/>
    </row>
    <row r="473" spans="2:3">
      <c r="B473" s="610"/>
      <c r="C473" s="611"/>
    </row>
    <row r="474" spans="2:3">
      <c r="B474" s="610"/>
      <c r="C474" s="611"/>
    </row>
    <row r="475" spans="2:3">
      <c r="B475" s="610"/>
      <c r="C475" s="611"/>
    </row>
    <row r="476" spans="2:3">
      <c r="B476" s="610"/>
      <c r="C476" s="611"/>
    </row>
    <row r="477" spans="2:3">
      <c r="B477" s="610"/>
      <c r="C477" s="611"/>
    </row>
    <row r="478" spans="2:3">
      <c r="B478" s="610"/>
      <c r="C478" s="611"/>
    </row>
    <row r="479" spans="2:3">
      <c r="B479" s="610"/>
      <c r="C479" s="611"/>
    </row>
    <row r="480" spans="2:3">
      <c r="B480" s="610"/>
      <c r="C480" s="611"/>
    </row>
    <row r="481" spans="2:3">
      <c r="B481" s="610"/>
      <c r="C481" s="611"/>
    </row>
    <row r="482" spans="2:3">
      <c r="B482" s="610"/>
      <c r="C482" s="611"/>
    </row>
    <row r="483" spans="2:3">
      <c r="B483" s="610"/>
      <c r="C483" s="611"/>
    </row>
    <row r="484" spans="2:3">
      <c r="B484" s="610"/>
      <c r="C484" s="611"/>
    </row>
    <row r="485" spans="2:3">
      <c r="B485" s="610"/>
      <c r="C485" s="611"/>
    </row>
    <row r="486" spans="2:3">
      <c r="B486" s="610"/>
      <c r="C486" s="611"/>
    </row>
    <row r="487" spans="2:3">
      <c r="B487" s="610"/>
      <c r="C487" s="611"/>
    </row>
    <row r="488" spans="2:3">
      <c r="B488" s="610"/>
      <c r="C488" s="611"/>
    </row>
    <row r="489" spans="2:3">
      <c r="B489" s="610"/>
      <c r="C489" s="611"/>
    </row>
    <row r="490" spans="2:3">
      <c r="B490" s="610"/>
      <c r="C490" s="611"/>
    </row>
    <row r="491" spans="2:3">
      <c r="B491" s="610"/>
      <c r="C491" s="611"/>
    </row>
    <row r="492" spans="2:3">
      <c r="B492" s="610"/>
      <c r="C492" s="611"/>
    </row>
    <row r="493" spans="2:3">
      <c r="B493" s="610"/>
      <c r="C493" s="611"/>
    </row>
    <row r="494" spans="2:3">
      <c r="B494" s="610"/>
      <c r="C494" s="611"/>
    </row>
    <row r="495" spans="2:3">
      <c r="B495" s="610"/>
      <c r="C495" s="611"/>
    </row>
    <row r="496" spans="2:3">
      <c r="B496" s="610"/>
      <c r="C496" s="611"/>
    </row>
    <row r="497" spans="2:3">
      <c r="B497" s="610"/>
      <c r="C497" s="611"/>
    </row>
    <row r="498" spans="2:3">
      <c r="B498" s="610"/>
      <c r="C498" s="611"/>
    </row>
    <row r="499" spans="2:3">
      <c r="B499" s="610"/>
      <c r="C499" s="611"/>
    </row>
    <row r="500" spans="2:3">
      <c r="B500" s="610"/>
      <c r="C500" s="611"/>
    </row>
    <row r="501" spans="2:3">
      <c r="B501" s="610"/>
      <c r="C501" s="611"/>
    </row>
    <row r="502" spans="2:3">
      <c r="B502" s="610"/>
      <c r="C502" s="611"/>
    </row>
    <row r="503" spans="2:3">
      <c r="B503" s="610"/>
      <c r="C503" s="611"/>
    </row>
    <row r="504" spans="2:3">
      <c r="B504" s="610"/>
      <c r="C504" s="611"/>
    </row>
    <row r="505" spans="2:3">
      <c r="B505" s="610"/>
      <c r="C505" s="611"/>
    </row>
    <row r="506" spans="2:3">
      <c r="B506" s="610"/>
      <c r="C506" s="611"/>
    </row>
    <row r="507" spans="2:3">
      <c r="B507" s="610"/>
      <c r="C507" s="611"/>
    </row>
    <row r="508" spans="2:3">
      <c r="B508" s="610"/>
      <c r="C508" s="611"/>
    </row>
    <row r="509" spans="2:3">
      <c r="B509" s="610"/>
      <c r="C509" s="611"/>
    </row>
    <row r="510" spans="2:3">
      <c r="B510" s="610"/>
      <c r="C510" s="611"/>
    </row>
    <row r="511" spans="2:3">
      <c r="B511" s="610"/>
      <c r="C511" s="611"/>
    </row>
    <row r="512" spans="2:3">
      <c r="B512" s="610"/>
      <c r="C512" s="611"/>
    </row>
    <row r="513" spans="2:3">
      <c r="B513" s="610"/>
      <c r="C513" s="611"/>
    </row>
    <row r="514" spans="2:3">
      <c r="B514" s="610"/>
      <c r="C514" s="611"/>
    </row>
    <row r="515" spans="2:3">
      <c r="B515" s="610"/>
      <c r="C515" s="611"/>
    </row>
    <row r="516" spans="2:3">
      <c r="B516" s="610"/>
      <c r="C516" s="611"/>
    </row>
    <row r="517" spans="2:3">
      <c r="B517" s="610"/>
      <c r="C517" s="611"/>
    </row>
    <row r="518" spans="2:3">
      <c r="B518" s="610"/>
      <c r="C518" s="611"/>
    </row>
    <row r="519" spans="2:3">
      <c r="B519" s="610"/>
      <c r="C519" s="611"/>
    </row>
    <row r="520" spans="2:3">
      <c r="B520" s="610"/>
      <c r="C520" s="611"/>
    </row>
    <row r="521" spans="2:3">
      <c r="B521" s="610"/>
      <c r="C521" s="611"/>
    </row>
    <row r="522" spans="2:3">
      <c r="B522" s="610"/>
      <c r="C522" s="611"/>
    </row>
    <row r="523" spans="2:3">
      <c r="B523" s="610"/>
      <c r="C523" s="611"/>
    </row>
    <row r="524" spans="2:3">
      <c r="B524" s="610"/>
      <c r="C524" s="611"/>
    </row>
    <row r="525" spans="2:3">
      <c r="B525" s="610"/>
      <c r="C525" s="611"/>
    </row>
    <row r="526" spans="2:3">
      <c r="B526" s="610"/>
      <c r="C526" s="611"/>
    </row>
    <row r="527" spans="2:3">
      <c r="B527" s="610"/>
      <c r="C527" s="611"/>
    </row>
    <row r="528" spans="2:3">
      <c r="B528" s="610"/>
      <c r="C528" s="611"/>
    </row>
    <row r="529" spans="2:3">
      <c r="B529" s="610"/>
      <c r="C529" s="611"/>
    </row>
    <row r="530" spans="2:3">
      <c r="B530" s="610"/>
      <c r="C530" s="611"/>
    </row>
    <row r="531" spans="2:3">
      <c r="B531" s="610"/>
      <c r="C531" s="611"/>
    </row>
    <row r="532" spans="2:3">
      <c r="B532" s="610"/>
      <c r="C532" s="611"/>
    </row>
    <row r="533" spans="2:3">
      <c r="B533" s="610"/>
      <c r="C533" s="611"/>
    </row>
    <row r="534" spans="2:3">
      <c r="B534" s="610"/>
      <c r="C534" s="611"/>
    </row>
    <row r="535" spans="2:3">
      <c r="B535" s="610"/>
      <c r="C535" s="611"/>
    </row>
    <row r="536" spans="2:3">
      <c r="B536" s="610"/>
      <c r="C536" s="611"/>
    </row>
    <row r="537" spans="2:3">
      <c r="B537" s="610"/>
      <c r="C537" s="611"/>
    </row>
    <row r="538" spans="2:3">
      <c r="B538" s="610"/>
      <c r="C538" s="611"/>
    </row>
    <row r="539" spans="2:3">
      <c r="B539" s="610"/>
      <c r="C539" s="611"/>
    </row>
    <row r="540" spans="2:3">
      <c r="B540" s="610"/>
      <c r="C540" s="611"/>
    </row>
    <row r="541" spans="2:3">
      <c r="B541" s="610"/>
      <c r="C541" s="611"/>
    </row>
    <row r="542" spans="2:3">
      <c r="B542" s="610"/>
      <c r="C542" s="611"/>
    </row>
    <row r="543" spans="2:3">
      <c r="B543" s="610"/>
      <c r="C543" s="611"/>
    </row>
    <row r="544" spans="2:3">
      <c r="B544" s="610"/>
      <c r="C544" s="611"/>
    </row>
    <row r="545" spans="2:3">
      <c r="B545" s="610"/>
      <c r="C545" s="611"/>
    </row>
  </sheetData>
  <autoFilter ref="E2:I409" xr:uid="{69C0C072-A066-4382-AAEE-E339065B967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57CDF-4571-46B9-ADA9-4965E0018E5E}">
  <dimension ref="A1:G651"/>
  <sheetViews>
    <sheetView workbookViewId="0">
      <selection activeCell="C15" sqref="C15"/>
    </sheetView>
  </sheetViews>
  <sheetFormatPr defaultRowHeight="12.75" outlineLevelRow="2"/>
  <cols>
    <col min="3" max="3" width="44.140625" bestFit="1" customWidth="1"/>
    <col min="4" max="4" width="11.5703125" bestFit="1" customWidth="1"/>
    <col min="5" max="5" width="16.7109375" bestFit="1" customWidth="1"/>
    <col min="6" max="6" width="13.42578125" bestFit="1" customWidth="1"/>
    <col min="7" max="7" width="10.5703125" bestFit="1" customWidth="1"/>
  </cols>
  <sheetData>
    <row r="1" spans="1:7">
      <c r="A1" s="612" t="s">
        <v>3830</v>
      </c>
    </row>
    <row r="2" spans="1:7" ht="13.5" thickBot="1">
      <c r="A2" s="609" t="s">
        <v>3652</v>
      </c>
      <c r="B2" s="609" t="s">
        <v>3108</v>
      </c>
      <c r="C2" s="609" t="s">
        <v>3109</v>
      </c>
      <c r="D2" s="609" t="s">
        <v>3110</v>
      </c>
      <c r="E2" s="609" t="s">
        <v>3111</v>
      </c>
      <c r="F2" s="609" t="s">
        <v>3112</v>
      </c>
      <c r="G2" s="609" t="s">
        <v>3113</v>
      </c>
    </row>
    <row r="3" spans="1:7" ht="13.5" hidden="1" outlineLevel="2" thickTop="1">
      <c r="A3" s="616" t="s">
        <v>1551</v>
      </c>
      <c r="B3" s="610">
        <v>13010</v>
      </c>
      <c r="C3" s="610" t="s">
        <v>3114</v>
      </c>
      <c r="D3" s="611">
        <v>23318.799999999999</v>
      </c>
      <c r="E3" s="611">
        <v>1628</v>
      </c>
      <c r="F3" s="611">
        <v>0</v>
      </c>
      <c r="G3" s="611">
        <v>24946.799999999999</v>
      </c>
    </row>
    <row r="4" spans="1:7" ht="13.5" outlineLevel="1" collapsed="1" thickTop="1">
      <c r="A4" s="620" t="s">
        <v>3832</v>
      </c>
      <c r="B4" s="610"/>
      <c r="C4" s="610"/>
      <c r="D4" s="611">
        <f>SUBTOTAL(9,D3:D3)</f>
        <v>23318.799999999999</v>
      </c>
      <c r="E4" s="611">
        <f>SUBTOTAL(9,E3:E3)</f>
        <v>1628</v>
      </c>
      <c r="F4" s="611">
        <f>SUBTOTAL(9,F3:F3)</f>
        <v>0</v>
      </c>
      <c r="G4" s="611">
        <f>SUBTOTAL(9,G3:G3)</f>
        <v>24946.799999999999</v>
      </c>
    </row>
    <row r="5" spans="1:7" hidden="1" outlineLevel="2">
      <c r="A5" s="616" t="s">
        <v>1552</v>
      </c>
      <c r="B5" s="610">
        <v>14010</v>
      </c>
      <c r="C5" s="610" t="s">
        <v>3115</v>
      </c>
      <c r="D5" s="611">
        <v>0</v>
      </c>
      <c r="E5" s="611">
        <v>2500</v>
      </c>
      <c r="F5" s="611">
        <v>0</v>
      </c>
      <c r="G5" s="611">
        <v>2500</v>
      </c>
    </row>
    <row r="6" spans="1:7" outlineLevel="1" collapsed="1">
      <c r="A6" s="620" t="s">
        <v>3833</v>
      </c>
      <c r="B6" s="610"/>
      <c r="C6" s="610"/>
      <c r="D6" s="611">
        <f>SUBTOTAL(9,D5:D5)</f>
        <v>0</v>
      </c>
      <c r="E6" s="611">
        <f>SUBTOTAL(9,E5:E5)</f>
        <v>2500</v>
      </c>
      <c r="F6" s="611">
        <f>SUBTOTAL(9,F5:F5)</f>
        <v>0</v>
      </c>
      <c r="G6" s="611">
        <f>SUBTOTAL(9,G5:G5)</f>
        <v>2500</v>
      </c>
    </row>
    <row r="7" spans="1:7" hidden="1" outlineLevel="2">
      <c r="A7" s="616" t="s">
        <v>1563</v>
      </c>
      <c r="B7" s="610">
        <v>21010</v>
      </c>
      <c r="C7" s="610" t="s">
        <v>3116</v>
      </c>
      <c r="D7" s="611">
        <v>0</v>
      </c>
      <c r="E7" s="611">
        <v>0</v>
      </c>
      <c r="F7" s="611">
        <v>0</v>
      </c>
      <c r="G7" s="611">
        <v>0</v>
      </c>
    </row>
    <row r="8" spans="1:7" outlineLevel="1" collapsed="1">
      <c r="A8" s="620" t="s">
        <v>3834</v>
      </c>
      <c r="B8" s="610"/>
      <c r="C8" s="610"/>
      <c r="D8" s="611">
        <f>SUBTOTAL(9,D7:D7)</f>
        <v>0</v>
      </c>
      <c r="E8" s="611">
        <f>SUBTOTAL(9,E7:E7)</f>
        <v>0</v>
      </c>
      <c r="F8" s="611">
        <f>SUBTOTAL(9,F7:F7)</f>
        <v>0</v>
      </c>
      <c r="G8" s="611">
        <f>SUBTOTAL(9,G7:G7)</f>
        <v>0</v>
      </c>
    </row>
    <row r="9" spans="1:7" hidden="1" outlineLevel="2">
      <c r="A9" s="616" t="s">
        <v>1564</v>
      </c>
      <c r="B9" s="610">
        <v>22010</v>
      </c>
      <c r="C9" s="610" t="s">
        <v>3117</v>
      </c>
      <c r="D9" s="611">
        <v>3483.9</v>
      </c>
      <c r="E9" s="611">
        <v>103273.2</v>
      </c>
      <c r="F9" s="611">
        <v>0</v>
      </c>
      <c r="G9" s="611">
        <v>106757.1</v>
      </c>
    </row>
    <row r="10" spans="1:7" hidden="1" outlineLevel="2">
      <c r="A10" s="616" t="s">
        <v>1564</v>
      </c>
      <c r="B10" s="610">
        <v>22020</v>
      </c>
      <c r="C10" s="610" t="s">
        <v>3118</v>
      </c>
      <c r="D10" s="611">
        <v>0</v>
      </c>
      <c r="E10" s="611">
        <v>0</v>
      </c>
      <c r="F10" s="611">
        <v>0</v>
      </c>
      <c r="G10" s="611">
        <v>0</v>
      </c>
    </row>
    <row r="11" spans="1:7" hidden="1" outlineLevel="2">
      <c r="A11" s="616" t="s">
        <v>1564</v>
      </c>
      <c r="B11" s="610">
        <v>22030</v>
      </c>
      <c r="C11" s="610" t="s">
        <v>3119</v>
      </c>
      <c r="D11" s="611">
        <v>0</v>
      </c>
      <c r="E11" s="611">
        <v>0</v>
      </c>
      <c r="F11" s="611">
        <v>0</v>
      </c>
      <c r="G11" s="611">
        <v>0</v>
      </c>
    </row>
    <row r="12" spans="1:7" outlineLevel="1" collapsed="1">
      <c r="A12" s="620" t="s">
        <v>3835</v>
      </c>
      <c r="B12" s="610"/>
      <c r="C12" s="610"/>
      <c r="D12" s="611">
        <f>SUBTOTAL(9,D9:D11)</f>
        <v>3483.9</v>
      </c>
      <c r="E12" s="611">
        <f>SUBTOTAL(9,E9:E11)</f>
        <v>103273.2</v>
      </c>
      <c r="F12" s="611">
        <f>SUBTOTAL(9,F9:F11)</f>
        <v>0</v>
      </c>
      <c r="G12" s="611">
        <f>SUBTOTAL(9,G9:G11)</f>
        <v>106757.1</v>
      </c>
    </row>
    <row r="13" spans="1:7" hidden="1" outlineLevel="2">
      <c r="A13" s="616" t="s">
        <v>1579</v>
      </c>
      <c r="B13" s="610">
        <v>31010</v>
      </c>
      <c r="C13" s="610" t="s">
        <v>3120</v>
      </c>
      <c r="D13" s="611">
        <v>0</v>
      </c>
      <c r="E13" s="611">
        <v>0</v>
      </c>
      <c r="F13" s="611">
        <v>0</v>
      </c>
      <c r="G13" s="611">
        <v>0</v>
      </c>
    </row>
    <row r="14" spans="1:7" outlineLevel="1" collapsed="1">
      <c r="A14" s="620" t="s">
        <v>3836</v>
      </c>
      <c r="B14" s="610"/>
      <c r="C14" s="610"/>
      <c r="D14" s="611">
        <f>SUBTOTAL(9,D13:D13)</f>
        <v>0</v>
      </c>
      <c r="E14" s="611">
        <f>SUBTOTAL(9,E13:E13)</f>
        <v>0</v>
      </c>
      <c r="F14" s="611">
        <f>SUBTOTAL(9,F13:F13)</f>
        <v>0</v>
      </c>
      <c r="G14" s="611">
        <f>SUBTOTAL(9,G13:G13)</f>
        <v>0</v>
      </c>
    </row>
    <row r="15" spans="1:7" outlineLevel="2">
      <c r="A15" s="616" t="s">
        <v>1590</v>
      </c>
      <c r="B15" s="610">
        <v>41001</v>
      </c>
      <c r="C15" s="610" t="s">
        <v>3121</v>
      </c>
      <c r="D15" s="611">
        <v>0</v>
      </c>
      <c r="E15" s="611">
        <v>0</v>
      </c>
      <c r="F15" s="611">
        <v>0</v>
      </c>
      <c r="G15" s="611">
        <v>0</v>
      </c>
    </row>
    <row r="16" spans="1:7" outlineLevel="2">
      <c r="A16" s="616" t="s">
        <v>1590</v>
      </c>
      <c r="B16" s="610">
        <v>41010</v>
      </c>
      <c r="C16" s="610" t="s">
        <v>3121</v>
      </c>
      <c r="D16" s="611">
        <v>0</v>
      </c>
      <c r="E16" s="611">
        <v>4128</v>
      </c>
      <c r="F16" s="611">
        <v>4128</v>
      </c>
      <c r="G16" s="611">
        <v>0</v>
      </c>
    </row>
    <row r="17" spans="1:7" outlineLevel="2">
      <c r="A17" s="616" t="s">
        <v>1590</v>
      </c>
      <c r="B17" s="610">
        <v>41020</v>
      </c>
      <c r="C17" s="610" t="s">
        <v>3122</v>
      </c>
      <c r="D17" s="611">
        <v>256788.79</v>
      </c>
      <c r="E17" s="611">
        <v>681002.74</v>
      </c>
      <c r="F17" s="611">
        <v>0</v>
      </c>
      <c r="G17" s="611">
        <v>937791.53</v>
      </c>
    </row>
    <row r="18" spans="1:7" outlineLevel="1">
      <c r="A18" s="620" t="s">
        <v>3837</v>
      </c>
      <c r="B18" s="610"/>
      <c r="C18" s="610"/>
      <c r="D18" s="611">
        <f>SUBTOTAL(9,D15:D17)</f>
        <v>256788.79</v>
      </c>
      <c r="E18" s="611">
        <f>SUBTOTAL(9,E15:E17)</f>
        <v>685130.74</v>
      </c>
      <c r="F18" s="611">
        <f>SUBTOTAL(9,F15:F17)</f>
        <v>4128</v>
      </c>
      <c r="G18" s="611">
        <f>SUBTOTAL(9,G15:G17)</f>
        <v>937791.53</v>
      </c>
    </row>
    <row r="19" spans="1:7" hidden="1" outlineLevel="2">
      <c r="A19" s="616" t="s">
        <v>1593</v>
      </c>
      <c r="B19" s="610">
        <v>42010</v>
      </c>
      <c r="C19" s="610" t="s">
        <v>3123</v>
      </c>
      <c r="D19" s="611">
        <v>0</v>
      </c>
      <c r="E19" s="611">
        <v>99673.2</v>
      </c>
      <c r="F19" s="611">
        <v>99673.2</v>
      </c>
      <c r="G19" s="611">
        <v>0</v>
      </c>
    </row>
    <row r="20" spans="1:7" hidden="1" outlineLevel="2">
      <c r="A20" s="616" t="s">
        <v>1593</v>
      </c>
      <c r="B20" s="610">
        <v>42020</v>
      </c>
      <c r="C20" s="610" t="s">
        <v>3124</v>
      </c>
      <c r="D20" s="611">
        <v>0</v>
      </c>
      <c r="E20" s="611">
        <v>0</v>
      </c>
      <c r="F20" s="611">
        <v>0</v>
      </c>
      <c r="G20" s="611">
        <v>0</v>
      </c>
    </row>
    <row r="21" spans="1:7" hidden="1" outlineLevel="2">
      <c r="A21" s="616" t="s">
        <v>1593</v>
      </c>
      <c r="B21" s="610">
        <v>42040</v>
      </c>
      <c r="C21" s="610" t="s">
        <v>3125</v>
      </c>
      <c r="D21" s="611">
        <v>0</v>
      </c>
      <c r="E21" s="611">
        <v>3600</v>
      </c>
      <c r="F21" s="611">
        <v>3600</v>
      </c>
      <c r="G21" s="611">
        <v>0</v>
      </c>
    </row>
    <row r="22" spans="1:7" outlineLevel="1" collapsed="1">
      <c r="A22" s="620" t="s">
        <v>3838</v>
      </c>
      <c r="B22" s="610"/>
      <c r="C22" s="610"/>
      <c r="D22" s="611">
        <f>SUBTOTAL(9,D19:D21)</f>
        <v>0</v>
      </c>
      <c r="E22" s="611">
        <f>SUBTOTAL(9,E19:E21)</f>
        <v>103273.2</v>
      </c>
      <c r="F22" s="611">
        <f>SUBTOTAL(9,F19:F21)</f>
        <v>103273.2</v>
      </c>
      <c r="G22" s="611">
        <f>SUBTOTAL(9,G19:G21)</f>
        <v>0</v>
      </c>
    </row>
    <row r="23" spans="1:7" hidden="1" outlineLevel="2">
      <c r="A23" s="616" t="s">
        <v>1609</v>
      </c>
      <c r="B23" s="610">
        <v>52010</v>
      </c>
      <c r="C23" s="610" t="s">
        <v>3126</v>
      </c>
      <c r="D23" s="611">
        <v>0</v>
      </c>
      <c r="E23" s="611">
        <v>0</v>
      </c>
      <c r="F23" s="611">
        <v>0</v>
      </c>
      <c r="G23" s="611">
        <v>0</v>
      </c>
    </row>
    <row r="24" spans="1:7" outlineLevel="1" collapsed="1">
      <c r="A24" s="620" t="s">
        <v>3839</v>
      </c>
      <c r="B24" s="610"/>
      <c r="C24" s="610"/>
      <c r="D24" s="611">
        <f>SUBTOTAL(9,D23:D23)</f>
        <v>0</v>
      </c>
      <c r="E24" s="611">
        <f>SUBTOTAL(9,E23:E23)</f>
        <v>0</v>
      </c>
      <c r="F24" s="611">
        <f>SUBTOTAL(9,F23:F23)</f>
        <v>0</v>
      </c>
      <c r="G24" s="611">
        <f>SUBTOTAL(9,G23:G23)</f>
        <v>0</v>
      </c>
    </row>
    <row r="25" spans="1:7" hidden="1" outlineLevel="2">
      <c r="A25" s="616" t="s">
        <v>1621</v>
      </c>
      <c r="B25" s="610">
        <v>61010</v>
      </c>
      <c r="C25" s="610" t="s">
        <v>3127</v>
      </c>
      <c r="D25" s="611">
        <v>0</v>
      </c>
      <c r="E25" s="611">
        <v>0</v>
      </c>
      <c r="F25" s="611">
        <v>0</v>
      </c>
      <c r="G25" s="611">
        <v>0</v>
      </c>
    </row>
    <row r="26" spans="1:7" hidden="1" outlineLevel="2">
      <c r="A26" s="616" t="s">
        <v>1621</v>
      </c>
      <c r="B26" s="610">
        <v>61020</v>
      </c>
      <c r="C26" s="610" t="s">
        <v>3128</v>
      </c>
      <c r="D26" s="611">
        <v>18755759.690000001</v>
      </c>
      <c r="E26" s="611">
        <v>21648364.25</v>
      </c>
      <c r="F26" s="611">
        <v>0</v>
      </c>
      <c r="G26" s="611">
        <v>40404123.939999998</v>
      </c>
    </row>
    <row r="27" spans="1:7" hidden="1" outlineLevel="2">
      <c r="A27" s="616" t="s">
        <v>1621</v>
      </c>
      <c r="B27" s="610">
        <v>61030</v>
      </c>
      <c r="C27" s="610" t="s">
        <v>3129</v>
      </c>
      <c r="D27" s="611">
        <v>0</v>
      </c>
      <c r="E27" s="611">
        <v>0</v>
      </c>
      <c r="F27" s="611">
        <v>0</v>
      </c>
      <c r="G27" s="611">
        <v>0</v>
      </c>
    </row>
    <row r="28" spans="1:7" hidden="1" outlineLevel="2">
      <c r="A28" s="616" t="s">
        <v>1621</v>
      </c>
      <c r="B28" s="610">
        <v>61040</v>
      </c>
      <c r="C28" s="610" t="s">
        <v>3130</v>
      </c>
      <c r="D28" s="611">
        <v>0</v>
      </c>
      <c r="E28" s="611">
        <v>0</v>
      </c>
      <c r="F28" s="611">
        <v>0</v>
      </c>
      <c r="G28" s="611">
        <v>0</v>
      </c>
    </row>
    <row r="29" spans="1:7" hidden="1" outlineLevel="2">
      <c r="A29" s="616" t="s">
        <v>1621</v>
      </c>
      <c r="B29" s="610">
        <v>61050</v>
      </c>
      <c r="C29" s="610" t="s">
        <v>3130</v>
      </c>
      <c r="D29" s="611">
        <v>0</v>
      </c>
      <c r="E29" s="611">
        <v>0</v>
      </c>
      <c r="F29" s="611">
        <v>0</v>
      </c>
      <c r="G29" s="611">
        <v>0</v>
      </c>
    </row>
    <row r="30" spans="1:7" outlineLevel="1" collapsed="1">
      <c r="A30" s="620" t="s">
        <v>3840</v>
      </c>
      <c r="B30" s="610"/>
      <c r="C30" s="610"/>
      <c r="D30" s="611">
        <f>SUBTOTAL(9,D25:D29)</f>
        <v>18755759.690000001</v>
      </c>
      <c r="E30" s="611">
        <f>SUBTOTAL(9,E25:E29)</f>
        <v>21648364.25</v>
      </c>
      <c r="F30" s="611">
        <f>SUBTOTAL(9,F25:F29)</f>
        <v>0</v>
      </c>
      <c r="G30" s="611">
        <f>SUBTOTAL(9,G25:G29)</f>
        <v>40404123.939999998</v>
      </c>
    </row>
    <row r="31" spans="1:7" hidden="1" outlineLevel="2">
      <c r="A31" s="616" t="s">
        <v>1637</v>
      </c>
      <c r="B31" s="610">
        <v>73010</v>
      </c>
      <c r="C31" s="610" t="s">
        <v>3131</v>
      </c>
      <c r="D31" s="611">
        <v>-4519.6499999999996</v>
      </c>
      <c r="E31" s="611">
        <v>0</v>
      </c>
      <c r="F31" s="611">
        <v>5013.72</v>
      </c>
      <c r="G31" s="611">
        <v>-9533.3700000000008</v>
      </c>
    </row>
    <row r="32" spans="1:7" outlineLevel="1" collapsed="1">
      <c r="A32" s="620" t="s">
        <v>3841</v>
      </c>
      <c r="B32" s="610"/>
      <c r="C32" s="610"/>
      <c r="D32" s="611">
        <f>SUBTOTAL(9,D31:D31)</f>
        <v>-4519.6499999999996</v>
      </c>
      <c r="E32" s="611">
        <f>SUBTOTAL(9,E31:E31)</f>
        <v>0</v>
      </c>
      <c r="F32" s="611">
        <f>SUBTOTAL(9,F31:F31)</f>
        <v>5013.72</v>
      </c>
      <c r="G32" s="611">
        <f>SUBTOTAL(9,G31:G31)</f>
        <v>-9533.3700000000008</v>
      </c>
    </row>
    <row r="33" spans="1:7" hidden="1" outlineLevel="2">
      <c r="A33" s="616" t="s">
        <v>1639</v>
      </c>
      <c r="B33" s="610">
        <v>74010</v>
      </c>
      <c r="C33" s="610" t="s">
        <v>3132</v>
      </c>
      <c r="D33" s="611">
        <v>0</v>
      </c>
      <c r="E33" s="611">
        <v>0</v>
      </c>
      <c r="F33" s="611">
        <v>763.84</v>
      </c>
      <c r="G33" s="611">
        <v>-763.84</v>
      </c>
    </row>
    <row r="34" spans="1:7" outlineLevel="1" collapsed="1">
      <c r="A34" s="620" t="s">
        <v>3842</v>
      </c>
      <c r="B34" s="610"/>
      <c r="C34" s="610"/>
      <c r="D34" s="611">
        <f>SUBTOTAL(9,D33:D33)</f>
        <v>0</v>
      </c>
      <c r="E34" s="611">
        <f>SUBTOTAL(9,E33:E33)</f>
        <v>0</v>
      </c>
      <c r="F34" s="611">
        <f>SUBTOTAL(9,F33:F33)</f>
        <v>763.84</v>
      </c>
      <c r="G34" s="611">
        <f>SUBTOTAL(9,G33:G33)</f>
        <v>-763.84</v>
      </c>
    </row>
    <row r="35" spans="1:7" hidden="1" outlineLevel="2">
      <c r="A35" s="616" t="s">
        <v>1647</v>
      </c>
      <c r="B35" s="610">
        <v>81010</v>
      </c>
      <c r="C35" s="610" t="s">
        <v>3133</v>
      </c>
      <c r="D35" s="611">
        <v>0</v>
      </c>
      <c r="E35" s="611">
        <v>0</v>
      </c>
      <c r="F35" s="611">
        <v>0</v>
      </c>
      <c r="G35" s="611">
        <v>0</v>
      </c>
    </row>
    <row r="36" spans="1:7" outlineLevel="1" collapsed="1">
      <c r="A36" s="620" t="s">
        <v>3843</v>
      </c>
      <c r="B36" s="610"/>
      <c r="C36" s="610"/>
      <c r="D36" s="611">
        <f>SUBTOTAL(9,D35:D35)</f>
        <v>0</v>
      </c>
      <c r="E36" s="611">
        <f>SUBTOTAL(9,E35:E35)</f>
        <v>0</v>
      </c>
      <c r="F36" s="611">
        <f>SUBTOTAL(9,F35:F35)</f>
        <v>0</v>
      </c>
      <c r="G36" s="611">
        <f>SUBTOTAL(9,G35:G35)</f>
        <v>0</v>
      </c>
    </row>
    <row r="37" spans="1:7" hidden="1" outlineLevel="2">
      <c r="A37" s="616" t="s">
        <v>1648</v>
      </c>
      <c r="B37" s="610">
        <v>82010</v>
      </c>
      <c r="C37" s="610" t="s">
        <v>3134</v>
      </c>
      <c r="D37" s="611">
        <v>-330.56</v>
      </c>
      <c r="E37" s="611">
        <v>0</v>
      </c>
      <c r="F37" s="611">
        <v>2948.55</v>
      </c>
      <c r="G37" s="611">
        <v>-3279.11</v>
      </c>
    </row>
    <row r="38" spans="1:7" hidden="1" outlineLevel="2">
      <c r="A38" s="616" t="s">
        <v>1648</v>
      </c>
      <c r="B38" s="610">
        <v>82020</v>
      </c>
      <c r="C38" s="610" t="s">
        <v>3135</v>
      </c>
      <c r="D38" s="611">
        <v>0</v>
      </c>
      <c r="E38" s="611">
        <v>0</v>
      </c>
      <c r="F38" s="611">
        <v>0</v>
      </c>
      <c r="G38" s="611">
        <v>0</v>
      </c>
    </row>
    <row r="39" spans="1:7" hidden="1" outlineLevel="2">
      <c r="A39" s="616" t="s">
        <v>1648</v>
      </c>
      <c r="B39" s="610">
        <v>82030</v>
      </c>
      <c r="C39" s="610" t="s">
        <v>3136</v>
      </c>
      <c r="D39" s="611">
        <v>0</v>
      </c>
      <c r="E39" s="611">
        <v>0</v>
      </c>
      <c r="F39" s="611">
        <v>825</v>
      </c>
      <c r="G39" s="611">
        <v>-825</v>
      </c>
    </row>
    <row r="40" spans="1:7" outlineLevel="1" collapsed="1">
      <c r="A40" s="620" t="s">
        <v>3844</v>
      </c>
      <c r="B40" s="610"/>
      <c r="C40" s="610"/>
      <c r="D40" s="611">
        <f>SUBTOTAL(9,D37:D39)</f>
        <v>-330.56</v>
      </c>
      <c r="E40" s="611">
        <f>SUBTOTAL(9,E37:E39)</f>
        <v>0</v>
      </c>
      <c r="F40" s="611">
        <f>SUBTOTAL(9,F37:F39)</f>
        <v>3773.55</v>
      </c>
      <c r="G40" s="611">
        <f>SUBTOTAL(9,G37:G39)</f>
        <v>-4104.1100000000006</v>
      </c>
    </row>
    <row r="41" spans="1:7" hidden="1" outlineLevel="2">
      <c r="A41" s="616" t="s">
        <v>619</v>
      </c>
      <c r="B41" s="610">
        <v>111010</v>
      </c>
      <c r="C41" s="610" t="s">
        <v>3137</v>
      </c>
      <c r="D41" s="611">
        <v>0</v>
      </c>
      <c r="E41" s="611">
        <v>0</v>
      </c>
      <c r="F41" s="611">
        <v>0</v>
      </c>
      <c r="G41" s="611">
        <v>0</v>
      </c>
    </row>
    <row r="42" spans="1:7" hidden="1" outlineLevel="2">
      <c r="A42" s="616" t="s">
        <v>619</v>
      </c>
      <c r="B42" s="610">
        <v>111011</v>
      </c>
      <c r="C42" s="610" t="s">
        <v>3138</v>
      </c>
      <c r="D42" s="611">
        <v>0</v>
      </c>
      <c r="E42" s="611">
        <v>0</v>
      </c>
      <c r="F42" s="611">
        <v>0</v>
      </c>
      <c r="G42" s="611">
        <v>0</v>
      </c>
    </row>
    <row r="43" spans="1:7" hidden="1" outlineLevel="2">
      <c r="A43" s="616" t="s">
        <v>619</v>
      </c>
      <c r="B43" s="610">
        <v>111012</v>
      </c>
      <c r="C43" s="610" t="s">
        <v>3139</v>
      </c>
      <c r="D43" s="611">
        <v>0</v>
      </c>
      <c r="E43" s="611">
        <v>0</v>
      </c>
      <c r="F43" s="611">
        <v>0</v>
      </c>
      <c r="G43" s="611">
        <v>0</v>
      </c>
    </row>
    <row r="44" spans="1:7" hidden="1" outlineLevel="2">
      <c r="A44" s="616" t="s">
        <v>619</v>
      </c>
      <c r="B44" s="610">
        <v>111013</v>
      </c>
      <c r="C44" s="610" t="s">
        <v>3140</v>
      </c>
      <c r="D44" s="611">
        <v>0</v>
      </c>
      <c r="E44" s="611">
        <v>0</v>
      </c>
      <c r="F44" s="611">
        <v>0</v>
      </c>
      <c r="G44" s="611">
        <v>0</v>
      </c>
    </row>
    <row r="45" spans="1:7" hidden="1" outlineLevel="2">
      <c r="A45" s="616" t="s">
        <v>619</v>
      </c>
      <c r="B45" s="610">
        <v>111021</v>
      </c>
      <c r="C45" s="610" t="s">
        <v>3141</v>
      </c>
      <c r="D45" s="611">
        <v>0</v>
      </c>
      <c r="E45" s="611">
        <v>14567.78</v>
      </c>
      <c r="F45" s="611">
        <v>14567.78</v>
      </c>
      <c r="G45" s="611">
        <v>0</v>
      </c>
    </row>
    <row r="46" spans="1:7" hidden="1" outlineLevel="2">
      <c r="A46" s="616" t="s">
        <v>619</v>
      </c>
      <c r="B46" s="610">
        <v>111023</v>
      </c>
      <c r="C46" s="610" t="s">
        <v>3142</v>
      </c>
      <c r="D46" s="611">
        <v>0</v>
      </c>
      <c r="E46" s="611">
        <v>0</v>
      </c>
      <c r="F46" s="611">
        <v>0</v>
      </c>
      <c r="G46" s="611">
        <v>0</v>
      </c>
    </row>
    <row r="47" spans="1:7" hidden="1" outlineLevel="2">
      <c r="A47" s="616" t="s">
        <v>619</v>
      </c>
      <c r="B47" s="610">
        <v>111027</v>
      </c>
      <c r="C47" s="610" t="s">
        <v>3143</v>
      </c>
      <c r="D47" s="611">
        <v>0</v>
      </c>
      <c r="E47" s="611">
        <v>0</v>
      </c>
      <c r="F47" s="611">
        <v>0</v>
      </c>
      <c r="G47" s="611">
        <v>0</v>
      </c>
    </row>
    <row r="48" spans="1:7" hidden="1" outlineLevel="2">
      <c r="A48" s="616" t="s">
        <v>619</v>
      </c>
      <c r="B48" s="610">
        <v>111028</v>
      </c>
      <c r="C48" s="610" t="s">
        <v>3144</v>
      </c>
      <c r="D48" s="611">
        <v>0</v>
      </c>
      <c r="E48" s="611">
        <v>0</v>
      </c>
      <c r="F48" s="611">
        <v>0</v>
      </c>
      <c r="G48" s="611">
        <v>0</v>
      </c>
    </row>
    <row r="49" spans="1:7" hidden="1" outlineLevel="2">
      <c r="A49" s="616" t="s">
        <v>619</v>
      </c>
      <c r="B49" s="610">
        <v>111029</v>
      </c>
      <c r="C49" s="610" t="s">
        <v>3145</v>
      </c>
      <c r="D49" s="611">
        <v>0</v>
      </c>
      <c r="E49" s="611">
        <v>0</v>
      </c>
      <c r="F49" s="611">
        <v>0</v>
      </c>
      <c r="G49" s="611">
        <v>0</v>
      </c>
    </row>
    <row r="50" spans="1:7" hidden="1" outlineLevel="2">
      <c r="A50" s="616" t="s">
        <v>619</v>
      </c>
      <c r="B50" s="610">
        <v>111030</v>
      </c>
      <c r="C50" s="610" t="s">
        <v>3146</v>
      </c>
      <c r="D50" s="611">
        <v>0</v>
      </c>
      <c r="E50" s="611">
        <v>827894.95</v>
      </c>
      <c r="F50" s="611">
        <v>827894.95</v>
      </c>
      <c r="G50" s="611">
        <v>0</v>
      </c>
    </row>
    <row r="51" spans="1:7" hidden="1" outlineLevel="2">
      <c r="A51" s="616" t="s">
        <v>619</v>
      </c>
      <c r="B51" s="610">
        <v>111031</v>
      </c>
      <c r="C51" s="610" t="s">
        <v>3147</v>
      </c>
      <c r="D51" s="611"/>
      <c r="E51" s="611">
        <v>434742.07</v>
      </c>
      <c r="F51" s="611">
        <v>434742.07</v>
      </c>
      <c r="G51" s="611">
        <v>0</v>
      </c>
    </row>
    <row r="52" spans="1:7" hidden="1" outlineLevel="2">
      <c r="A52" s="616" t="s">
        <v>619</v>
      </c>
      <c r="B52" s="610">
        <v>111040</v>
      </c>
      <c r="C52" s="610" t="s">
        <v>3148</v>
      </c>
      <c r="D52" s="611"/>
      <c r="E52" s="611">
        <v>6007.52</v>
      </c>
      <c r="F52" s="611">
        <v>6007.52</v>
      </c>
      <c r="G52" s="611">
        <v>0</v>
      </c>
    </row>
    <row r="53" spans="1:7" hidden="1" outlineLevel="2">
      <c r="A53" s="616" t="s">
        <v>619</v>
      </c>
      <c r="B53" s="610">
        <v>111041</v>
      </c>
      <c r="C53" s="610" t="s">
        <v>3149</v>
      </c>
      <c r="D53" s="611"/>
      <c r="E53" s="611">
        <v>32.9</v>
      </c>
      <c r="F53" s="611">
        <v>32.9</v>
      </c>
      <c r="G53" s="611">
        <v>0</v>
      </c>
    </row>
    <row r="54" spans="1:7" hidden="1" outlineLevel="2">
      <c r="A54" s="616" t="s">
        <v>619</v>
      </c>
      <c r="B54" s="610">
        <v>111042</v>
      </c>
      <c r="C54" s="610" t="s">
        <v>3150</v>
      </c>
      <c r="D54" s="611"/>
      <c r="E54" s="611">
        <v>116829.92</v>
      </c>
      <c r="F54" s="611">
        <v>116829.92</v>
      </c>
      <c r="G54" s="611">
        <v>0</v>
      </c>
    </row>
    <row r="55" spans="1:7" hidden="1" outlineLevel="2">
      <c r="A55" s="616" t="s">
        <v>619</v>
      </c>
      <c r="B55" s="610">
        <v>111050</v>
      </c>
      <c r="C55" s="610" t="s">
        <v>3151</v>
      </c>
      <c r="D55" s="611"/>
      <c r="E55" s="611">
        <v>1161.03</v>
      </c>
      <c r="F55" s="611">
        <v>1161.03</v>
      </c>
      <c r="G55" s="611">
        <v>0</v>
      </c>
    </row>
    <row r="56" spans="1:7" hidden="1" outlineLevel="2">
      <c r="A56" s="616" t="s">
        <v>619</v>
      </c>
      <c r="B56" s="610">
        <v>111060</v>
      </c>
      <c r="C56" s="610" t="s">
        <v>3152</v>
      </c>
      <c r="D56" s="611"/>
      <c r="E56" s="611">
        <v>4804.24</v>
      </c>
      <c r="F56" s="611">
        <v>4804.24</v>
      </c>
      <c r="G56" s="611">
        <v>0</v>
      </c>
    </row>
    <row r="57" spans="1:7" hidden="1" outlineLevel="2">
      <c r="A57" s="616" t="s">
        <v>619</v>
      </c>
      <c r="B57" s="610">
        <v>111080</v>
      </c>
      <c r="C57" s="610" t="s">
        <v>3153</v>
      </c>
      <c r="D57" s="611">
        <v>0</v>
      </c>
      <c r="E57" s="611">
        <v>0</v>
      </c>
      <c r="F57" s="611">
        <v>0</v>
      </c>
      <c r="G57" s="611">
        <v>0</v>
      </c>
    </row>
    <row r="58" spans="1:7" outlineLevel="1" collapsed="1">
      <c r="A58" s="620" t="s">
        <v>3845</v>
      </c>
      <c r="B58" s="610"/>
      <c r="C58" s="610"/>
      <c r="D58" s="611">
        <f>SUBTOTAL(9,D41:D57)</f>
        <v>0</v>
      </c>
      <c r="E58" s="611">
        <f>SUBTOTAL(9,E41:E57)</f>
        <v>1406040.41</v>
      </c>
      <c r="F58" s="611">
        <f>SUBTOTAL(9,F41:F57)</f>
        <v>1406040.41</v>
      </c>
      <c r="G58" s="611">
        <f>SUBTOTAL(9,G41:G57)</f>
        <v>0</v>
      </c>
    </row>
    <row r="59" spans="1:7" hidden="1" outlineLevel="2">
      <c r="A59" s="616" t="s">
        <v>621</v>
      </c>
      <c r="B59" s="610">
        <v>112010</v>
      </c>
      <c r="C59" s="610" t="s">
        <v>3154</v>
      </c>
      <c r="D59" s="611">
        <v>0</v>
      </c>
      <c r="E59" s="611">
        <v>906044.65</v>
      </c>
      <c r="F59" s="611">
        <v>906044.65</v>
      </c>
      <c r="G59" s="611">
        <v>0</v>
      </c>
    </row>
    <row r="60" spans="1:7" hidden="1" outlineLevel="2">
      <c r="A60" s="616" t="s">
        <v>621</v>
      </c>
      <c r="B60" s="610">
        <v>112020</v>
      </c>
      <c r="C60" s="610" t="s">
        <v>3155</v>
      </c>
      <c r="D60" s="611">
        <v>0</v>
      </c>
      <c r="E60" s="611">
        <v>0</v>
      </c>
      <c r="F60" s="611">
        <v>0</v>
      </c>
      <c r="G60" s="611">
        <v>0</v>
      </c>
    </row>
    <row r="61" spans="1:7" hidden="1" outlineLevel="2">
      <c r="A61" s="616" t="s">
        <v>621</v>
      </c>
      <c r="B61" s="610">
        <v>112031</v>
      </c>
      <c r="C61" s="610" t="s">
        <v>3156</v>
      </c>
      <c r="D61" s="611">
        <v>723565.35</v>
      </c>
      <c r="E61" s="611">
        <v>470711.92</v>
      </c>
      <c r="F61" s="611">
        <v>398101.51</v>
      </c>
      <c r="G61" s="611">
        <v>796175.76</v>
      </c>
    </row>
    <row r="62" spans="1:7" hidden="1" outlineLevel="2">
      <c r="A62" s="616" t="s">
        <v>621</v>
      </c>
      <c r="B62" s="610">
        <v>112040</v>
      </c>
      <c r="C62" s="610" t="s">
        <v>3157</v>
      </c>
      <c r="D62" s="611">
        <v>1580.1</v>
      </c>
      <c r="E62" s="611">
        <v>5930.4</v>
      </c>
      <c r="F62" s="611">
        <v>7510.5</v>
      </c>
      <c r="G62" s="611">
        <v>0</v>
      </c>
    </row>
    <row r="63" spans="1:7" hidden="1" outlineLevel="2">
      <c r="A63" s="616" t="s">
        <v>621</v>
      </c>
      <c r="B63" s="610">
        <v>112041</v>
      </c>
      <c r="C63" s="610" t="s">
        <v>3158</v>
      </c>
      <c r="D63" s="611"/>
      <c r="E63" s="611">
        <v>225044.14</v>
      </c>
      <c r="F63" s="611">
        <v>215266.14</v>
      </c>
      <c r="G63" s="611">
        <v>9778</v>
      </c>
    </row>
    <row r="64" spans="1:7" hidden="1" outlineLevel="2">
      <c r="A64" s="616" t="s">
        <v>621</v>
      </c>
      <c r="B64" s="610">
        <v>112050</v>
      </c>
      <c r="C64" s="610" t="s">
        <v>3159</v>
      </c>
      <c r="D64" s="611">
        <v>0</v>
      </c>
      <c r="E64" s="611">
        <v>0</v>
      </c>
      <c r="F64" s="611">
        <v>0</v>
      </c>
      <c r="G64" s="611">
        <v>0</v>
      </c>
    </row>
    <row r="65" spans="1:7" hidden="1" outlineLevel="2">
      <c r="A65" s="616" t="s">
        <v>621</v>
      </c>
      <c r="B65" s="610">
        <v>112060</v>
      </c>
      <c r="C65" s="610" t="s">
        <v>3160</v>
      </c>
      <c r="D65" s="611">
        <v>0</v>
      </c>
      <c r="E65" s="611">
        <v>1161.03</v>
      </c>
      <c r="F65" s="611">
        <v>0</v>
      </c>
      <c r="G65" s="611">
        <v>1161.03</v>
      </c>
    </row>
    <row r="66" spans="1:7" hidden="1" outlineLevel="2">
      <c r="A66" s="616" t="s">
        <v>621</v>
      </c>
      <c r="B66" s="610">
        <v>112061</v>
      </c>
      <c r="C66" s="610" t="s">
        <v>3161</v>
      </c>
      <c r="D66" s="611">
        <v>0</v>
      </c>
      <c r="E66" s="611">
        <v>0</v>
      </c>
      <c r="F66" s="611">
        <v>0</v>
      </c>
      <c r="G66" s="611">
        <v>0</v>
      </c>
    </row>
    <row r="67" spans="1:7" hidden="1" outlineLevel="2">
      <c r="A67" s="616" t="s">
        <v>621</v>
      </c>
      <c r="B67" s="610">
        <v>112062</v>
      </c>
      <c r="C67" s="610" t="s">
        <v>3162</v>
      </c>
      <c r="D67" s="611"/>
      <c r="E67" s="611">
        <v>4602.5</v>
      </c>
      <c r="F67" s="611">
        <v>0</v>
      </c>
      <c r="G67" s="611">
        <v>4602.5</v>
      </c>
    </row>
    <row r="68" spans="1:7" hidden="1" outlineLevel="2">
      <c r="A68" s="616" t="s">
        <v>621</v>
      </c>
      <c r="B68" s="610">
        <v>112070</v>
      </c>
      <c r="C68" s="610" t="s">
        <v>3163</v>
      </c>
      <c r="D68" s="611">
        <v>0</v>
      </c>
      <c r="E68" s="611">
        <v>0</v>
      </c>
      <c r="F68" s="611">
        <v>0</v>
      </c>
      <c r="G68" s="611">
        <v>0</v>
      </c>
    </row>
    <row r="69" spans="1:7" hidden="1" outlineLevel="2">
      <c r="A69" s="616" t="s">
        <v>621</v>
      </c>
      <c r="B69" s="610">
        <v>112080</v>
      </c>
      <c r="C69" s="610" t="s">
        <v>3164</v>
      </c>
      <c r="D69" s="611">
        <v>521393.2</v>
      </c>
      <c r="E69" s="611">
        <v>-521393.2</v>
      </c>
      <c r="F69" s="611">
        <v>0</v>
      </c>
      <c r="G69" s="611">
        <v>0</v>
      </c>
    </row>
    <row r="70" spans="1:7" hidden="1" outlineLevel="2">
      <c r="A70" s="616" t="s">
        <v>621</v>
      </c>
      <c r="B70" s="610">
        <v>112091</v>
      </c>
      <c r="C70" s="610" t="s">
        <v>3156</v>
      </c>
      <c r="D70" s="611">
        <v>50040.26</v>
      </c>
      <c r="E70" s="611">
        <v>67333.179999999993</v>
      </c>
      <c r="F70" s="611">
        <v>489.25</v>
      </c>
      <c r="G70" s="611">
        <v>116884.19</v>
      </c>
    </row>
    <row r="71" spans="1:7" hidden="1" outlineLevel="2">
      <c r="A71" s="616" t="s">
        <v>621</v>
      </c>
      <c r="B71" s="610">
        <v>112092</v>
      </c>
      <c r="C71" s="610" t="s">
        <v>3165</v>
      </c>
      <c r="D71" s="611"/>
      <c r="E71" s="611">
        <v>90239</v>
      </c>
      <c r="F71" s="611">
        <v>0</v>
      </c>
      <c r="G71" s="611">
        <v>90239</v>
      </c>
    </row>
    <row r="72" spans="1:7" hidden="1" outlineLevel="2">
      <c r="A72" s="616" t="s">
        <v>621</v>
      </c>
      <c r="B72" s="610">
        <v>112110</v>
      </c>
      <c r="C72" s="610" t="s">
        <v>3166</v>
      </c>
      <c r="D72" s="611">
        <v>0</v>
      </c>
      <c r="E72" s="611">
        <v>0</v>
      </c>
      <c r="F72" s="611">
        <v>0</v>
      </c>
      <c r="G72" s="611">
        <v>0</v>
      </c>
    </row>
    <row r="73" spans="1:7" hidden="1" outlineLevel="2">
      <c r="A73" s="616" t="s">
        <v>621</v>
      </c>
      <c r="B73" s="610">
        <v>112120</v>
      </c>
      <c r="C73" s="610" t="s">
        <v>3167</v>
      </c>
      <c r="D73" s="611">
        <v>0</v>
      </c>
      <c r="E73" s="611">
        <v>0</v>
      </c>
      <c r="F73" s="611">
        <v>0</v>
      </c>
      <c r="G73" s="611">
        <v>0</v>
      </c>
    </row>
    <row r="74" spans="1:7" hidden="1" outlineLevel="2">
      <c r="A74" s="616" t="s">
        <v>621</v>
      </c>
      <c r="B74" s="610">
        <v>112121</v>
      </c>
      <c r="C74" s="610" t="s">
        <v>3168</v>
      </c>
      <c r="D74" s="611">
        <v>0</v>
      </c>
      <c r="E74" s="611">
        <v>0</v>
      </c>
      <c r="F74" s="611">
        <v>0</v>
      </c>
      <c r="G74" s="611">
        <v>0</v>
      </c>
    </row>
    <row r="75" spans="1:7" hidden="1" outlineLevel="2">
      <c r="A75" s="616" t="s">
        <v>621</v>
      </c>
      <c r="B75" s="610">
        <v>112260</v>
      </c>
      <c r="C75" s="610" t="s">
        <v>3169</v>
      </c>
      <c r="D75" s="611">
        <v>0</v>
      </c>
      <c r="E75" s="611">
        <v>0</v>
      </c>
      <c r="F75" s="611">
        <v>0</v>
      </c>
      <c r="G75" s="611">
        <v>0</v>
      </c>
    </row>
    <row r="76" spans="1:7" outlineLevel="1" collapsed="1">
      <c r="A76" s="620" t="s">
        <v>3846</v>
      </c>
      <c r="B76" s="610"/>
      <c r="C76" s="610"/>
      <c r="D76" s="611">
        <f>SUBTOTAL(9,D59:D75)</f>
        <v>1296578.9099999999</v>
      </c>
      <c r="E76" s="611">
        <f>SUBTOTAL(9,E59:E75)</f>
        <v>1249673.6199999999</v>
      </c>
      <c r="F76" s="611">
        <f>SUBTOTAL(9,F59:F75)</f>
        <v>1527412.0500000003</v>
      </c>
      <c r="G76" s="611">
        <f>SUBTOTAL(9,G59:G75)</f>
        <v>1018840.48</v>
      </c>
    </row>
    <row r="77" spans="1:7" hidden="1" outlineLevel="2">
      <c r="A77" s="616" t="s">
        <v>634</v>
      </c>
      <c r="B77" s="610">
        <v>119010</v>
      </c>
      <c r="C77" s="610" t="s">
        <v>3170</v>
      </c>
      <c r="D77" s="611">
        <v>0</v>
      </c>
      <c r="E77" s="611">
        <v>0</v>
      </c>
      <c r="F77" s="611">
        <v>0</v>
      </c>
      <c r="G77" s="611">
        <v>0</v>
      </c>
    </row>
    <row r="78" spans="1:7" outlineLevel="1" collapsed="1">
      <c r="A78" s="620" t="s">
        <v>3847</v>
      </c>
      <c r="B78" s="610"/>
      <c r="C78" s="610"/>
      <c r="D78" s="611">
        <f>SUBTOTAL(9,D77:D77)</f>
        <v>0</v>
      </c>
      <c r="E78" s="611">
        <f>SUBTOTAL(9,E77:E77)</f>
        <v>0</v>
      </c>
      <c r="F78" s="611">
        <f>SUBTOTAL(9,F77:F77)</f>
        <v>0</v>
      </c>
      <c r="G78" s="611">
        <f>SUBTOTAL(9,G77:G77)</f>
        <v>0</v>
      </c>
    </row>
    <row r="79" spans="1:7" hidden="1" outlineLevel="2">
      <c r="A79" s="616" t="s">
        <v>638</v>
      </c>
      <c r="B79" s="610">
        <v>121001</v>
      </c>
      <c r="C79" s="610" t="s">
        <v>3171</v>
      </c>
      <c r="D79" s="611">
        <v>0</v>
      </c>
      <c r="E79" s="611">
        <v>7627.2</v>
      </c>
      <c r="F79" s="611">
        <v>7627.2</v>
      </c>
      <c r="G79" s="611">
        <v>0</v>
      </c>
    </row>
    <row r="80" spans="1:7" hidden="1" outlineLevel="2">
      <c r="A80" s="616" t="s">
        <v>638</v>
      </c>
      <c r="B80" s="610">
        <v>121002</v>
      </c>
      <c r="C80" s="610" t="s">
        <v>3172</v>
      </c>
      <c r="D80" s="611">
        <v>0</v>
      </c>
      <c r="E80" s="611">
        <v>0</v>
      </c>
      <c r="F80" s="611">
        <v>0</v>
      </c>
      <c r="G80" s="611">
        <v>0</v>
      </c>
    </row>
    <row r="81" spans="1:7" hidden="1" outlineLevel="2">
      <c r="A81" s="616" t="s">
        <v>638</v>
      </c>
      <c r="B81" s="610">
        <v>121003</v>
      </c>
      <c r="C81" s="610" t="s">
        <v>3173</v>
      </c>
      <c r="D81" s="611">
        <v>0</v>
      </c>
      <c r="E81" s="611">
        <v>15235</v>
      </c>
      <c r="F81" s="611">
        <v>15235</v>
      </c>
      <c r="G81" s="611">
        <v>0</v>
      </c>
    </row>
    <row r="82" spans="1:7" hidden="1" outlineLevel="2">
      <c r="A82" s="616" t="s">
        <v>638</v>
      </c>
      <c r="B82" s="610">
        <v>121004</v>
      </c>
      <c r="C82" s="610" t="s">
        <v>3174</v>
      </c>
      <c r="D82" s="611">
        <v>0</v>
      </c>
      <c r="E82" s="611">
        <v>1855.14</v>
      </c>
      <c r="F82" s="611">
        <v>1855.14</v>
      </c>
      <c r="G82" s="611">
        <v>0</v>
      </c>
    </row>
    <row r="83" spans="1:7" hidden="1" outlineLevel="2">
      <c r="A83" s="616" t="s">
        <v>638</v>
      </c>
      <c r="B83" s="610">
        <v>121005</v>
      </c>
      <c r="C83" s="610" t="s">
        <v>3175</v>
      </c>
      <c r="D83" s="611">
        <v>0</v>
      </c>
      <c r="E83" s="611">
        <v>670.97</v>
      </c>
      <c r="F83" s="611">
        <v>670.97</v>
      </c>
      <c r="G83" s="611">
        <v>0</v>
      </c>
    </row>
    <row r="84" spans="1:7" hidden="1" outlineLevel="2">
      <c r="A84" s="616" t="s">
        <v>638</v>
      </c>
      <c r="B84" s="610">
        <v>121006</v>
      </c>
      <c r="C84" s="610" t="s">
        <v>3176</v>
      </c>
      <c r="D84" s="611">
        <v>0</v>
      </c>
      <c r="E84" s="611">
        <v>0</v>
      </c>
      <c r="F84" s="611">
        <v>0</v>
      </c>
      <c r="G84" s="611">
        <v>0</v>
      </c>
    </row>
    <row r="85" spans="1:7" hidden="1" outlineLevel="2">
      <c r="A85" s="616" t="s">
        <v>638</v>
      </c>
      <c r="B85" s="610">
        <v>121007</v>
      </c>
      <c r="C85" s="610" t="s">
        <v>3177</v>
      </c>
      <c r="D85" s="611">
        <v>0</v>
      </c>
      <c r="E85" s="611">
        <v>0</v>
      </c>
      <c r="F85" s="611">
        <v>0</v>
      </c>
      <c r="G85" s="611">
        <v>0</v>
      </c>
    </row>
    <row r="86" spans="1:7" hidden="1" outlineLevel="2">
      <c r="A86" s="616" t="s">
        <v>638</v>
      </c>
      <c r="B86" s="610">
        <v>121008</v>
      </c>
      <c r="C86" s="610" t="s">
        <v>3178</v>
      </c>
      <c r="D86" s="611">
        <v>0</v>
      </c>
      <c r="E86" s="611">
        <v>0</v>
      </c>
      <c r="F86" s="611">
        <v>0</v>
      </c>
      <c r="G86" s="611">
        <v>0</v>
      </c>
    </row>
    <row r="87" spans="1:7" hidden="1" outlineLevel="2">
      <c r="A87" s="616" t="s">
        <v>638</v>
      </c>
      <c r="B87" s="610">
        <v>121010</v>
      </c>
      <c r="C87" s="610" t="s">
        <v>3179</v>
      </c>
      <c r="D87" s="611">
        <v>0</v>
      </c>
      <c r="E87" s="611">
        <v>0</v>
      </c>
      <c r="F87" s="611">
        <v>0</v>
      </c>
      <c r="G87" s="611">
        <v>0</v>
      </c>
    </row>
    <row r="88" spans="1:7" hidden="1" outlineLevel="2">
      <c r="A88" s="616" t="s">
        <v>638</v>
      </c>
      <c r="B88" s="610">
        <v>121012</v>
      </c>
      <c r="C88" s="610" t="s">
        <v>3180</v>
      </c>
      <c r="D88" s="611">
        <v>0</v>
      </c>
      <c r="E88" s="611">
        <v>1891.24</v>
      </c>
      <c r="F88" s="611">
        <v>1891.24</v>
      </c>
      <c r="G88" s="611">
        <v>0</v>
      </c>
    </row>
    <row r="89" spans="1:7" hidden="1" outlineLevel="2">
      <c r="A89" s="616" t="s">
        <v>638</v>
      </c>
      <c r="B89" s="610">
        <v>121013</v>
      </c>
      <c r="C89" s="610" t="s">
        <v>3181</v>
      </c>
      <c r="D89" s="611">
        <v>0</v>
      </c>
      <c r="E89" s="611">
        <v>682.61</v>
      </c>
      <c r="F89" s="611">
        <v>682.61</v>
      </c>
      <c r="G89" s="611">
        <v>0</v>
      </c>
    </row>
    <row r="90" spans="1:7" hidden="1" outlineLevel="2">
      <c r="A90" s="616" t="s">
        <v>638</v>
      </c>
      <c r="B90" s="610">
        <v>121014</v>
      </c>
      <c r="C90" s="610" t="s">
        <v>3182</v>
      </c>
      <c r="D90" s="611">
        <v>0</v>
      </c>
      <c r="E90" s="611">
        <v>0</v>
      </c>
      <c r="F90" s="611">
        <v>0</v>
      </c>
      <c r="G90" s="611">
        <v>0</v>
      </c>
    </row>
    <row r="91" spans="1:7" hidden="1" outlineLevel="2">
      <c r="A91" s="616" t="s">
        <v>638</v>
      </c>
      <c r="B91" s="610">
        <v>121015</v>
      </c>
      <c r="C91" s="610" t="s">
        <v>3183</v>
      </c>
      <c r="D91" s="611">
        <v>0</v>
      </c>
      <c r="E91" s="611">
        <v>0</v>
      </c>
      <c r="F91" s="611">
        <v>0</v>
      </c>
      <c r="G91" s="611">
        <v>0</v>
      </c>
    </row>
    <row r="92" spans="1:7" hidden="1" outlineLevel="2">
      <c r="A92" s="616" t="s">
        <v>638</v>
      </c>
      <c r="B92" s="610">
        <v>121060</v>
      </c>
      <c r="C92" s="610" t="s">
        <v>3184</v>
      </c>
      <c r="D92" s="611">
        <v>0</v>
      </c>
      <c r="E92" s="611">
        <v>0</v>
      </c>
      <c r="F92" s="611">
        <v>0</v>
      </c>
      <c r="G92" s="611">
        <v>0</v>
      </c>
    </row>
    <row r="93" spans="1:7" hidden="1" outlineLevel="2">
      <c r="A93" s="616" t="s">
        <v>638</v>
      </c>
      <c r="B93" s="610">
        <v>121070</v>
      </c>
      <c r="C93" s="610" t="s">
        <v>3185</v>
      </c>
      <c r="D93" s="611">
        <v>0</v>
      </c>
      <c r="E93" s="611">
        <v>0</v>
      </c>
      <c r="F93" s="611">
        <v>0</v>
      </c>
      <c r="G93" s="611">
        <v>0</v>
      </c>
    </row>
    <row r="94" spans="1:7" outlineLevel="1" collapsed="1">
      <c r="A94" s="620" t="s">
        <v>3848</v>
      </c>
      <c r="B94" s="610"/>
      <c r="C94" s="610"/>
      <c r="D94" s="611">
        <f>SUBTOTAL(9,D79:D93)</f>
        <v>0</v>
      </c>
      <c r="E94" s="611">
        <f>SUBTOTAL(9,E79:E93)</f>
        <v>27962.160000000003</v>
      </c>
      <c r="F94" s="611">
        <f>SUBTOTAL(9,F79:F93)</f>
        <v>27962.160000000003</v>
      </c>
      <c r="G94" s="611">
        <f>SUBTOTAL(9,G79:G93)</f>
        <v>0</v>
      </c>
    </row>
    <row r="95" spans="1:7" hidden="1" outlineLevel="2">
      <c r="A95" s="616" t="s">
        <v>640</v>
      </c>
      <c r="B95" s="610">
        <v>122010</v>
      </c>
      <c r="C95" s="610" t="s">
        <v>3186</v>
      </c>
      <c r="D95" s="611">
        <v>0</v>
      </c>
      <c r="E95" s="611">
        <v>0</v>
      </c>
      <c r="F95" s="611">
        <v>0</v>
      </c>
      <c r="G95" s="611">
        <v>0</v>
      </c>
    </row>
    <row r="96" spans="1:7" outlineLevel="1" collapsed="1">
      <c r="A96" s="620" t="s">
        <v>3849</v>
      </c>
      <c r="B96" s="610"/>
      <c r="C96" s="610"/>
      <c r="D96" s="611">
        <f>SUBTOTAL(9,D95:D95)</f>
        <v>0</v>
      </c>
      <c r="E96" s="611">
        <f>SUBTOTAL(9,E95:E95)</f>
        <v>0</v>
      </c>
      <c r="F96" s="611">
        <f>SUBTOTAL(9,F95:F95)</f>
        <v>0</v>
      </c>
      <c r="G96" s="611">
        <f>SUBTOTAL(9,G95:G95)</f>
        <v>0</v>
      </c>
    </row>
    <row r="97" spans="1:7" hidden="1" outlineLevel="2">
      <c r="A97" s="616" t="s">
        <v>642</v>
      </c>
      <c r="B97" s="610">
        <v>123010</v>
      </c>
      <c r="C97" s="610" t="s">
        <v>3187</v>
      </c>
      <c r="D97" s="611">
        <v>0</v>
      </c>
      <c r="E97" s="611">
        <v>1264181.76</v>
      </c>
      <c r="F97" s="611">
        <v>1264181.76</v>
      </c>
      <c r="G97" s="611">
        <v>0</v>
      </c>
    </row>
    <row r="98" spans="1:7" hidden="1" outlineLevel="2">
      <c r="A98" s="616" t="s">
        <v>642</v>
      </c>
      <c r="B98" s="610">
        <v>123011</v>
      </c>
      <c r="C98" s="610" t="s">
        <v>3188</v>
      </c>
      <c r="D98" s="611">
        <v>0</v>
      </c>
      <c r="E98" s="611">
        <v>0</v>
      </c>
      <c r="F98" s="611">
        <v>0</v>
      </c>
      <c r="G98" s="611">
        <v>0</v>
      </c>
    </row>
    <row r="99" spans="1:7" hidden="1" outlineLevel="2">
      <c r="A99" s="616" t="s">
        <v>642</v>
      </c>
      <c r="B99" s="610">
        <v>123110</v>
      </c>
      <c r="C99" s="610" t="s">
        <v>3189</v>
      </c>
      <c r="D99" s="611">
        <v>0</v>
      </c>
      <c r="E99" s="611">
        <v>0</v>
      </c>
      <c r="F99" s="611">
        <v>0</v>
      </c>
      <c r="G99" s="611">
        <v>0</v>
      </c>
    </row>
    <row r="100" spans="1:7" outlineLevel="1" collapsed="1">
      <c r="A100" s="620" t="s">
        <v>3850</v>
      </c>
      <c r="B100" s="610"/>
      <c r="C100" s="610"/>
      <c r="D100" s="611">
        <f>SUBTOTAL(9,D97:D99)</f>
        <v>0</v>
      </c>
      <c r="E100" s="611">
        <f>SUBTOTAL(9,E97:E99)</f>
        <v>1264181.76</v>
      </c>
      <c r="F100" s="611">
        <f>SUBTOTAL(9,F97:F99)</f>
        <v>1264181.76</v>
      </c>
      <c r="G100" s="611">
        <f>SUBTOTAL(9,G97:G99)</f>
        <v>0</v>
      </c>
    </row>
    <row r="101" spans="1:7" hidden="1" outlineLevel="2">
      <c r="A101" s="616" t="s">
        <v>1702</v>
      </c>
      <c r="B101" s="610">
        <v>131010</v>
      </c>
      <c r="C101" s="610" t="s">
        <v>3190</v>
      </c>
      <c r="D101" s="611">
        <v>0</v>
      </c>
      <c r="E101" s="611">
        <v>0</v>
      </c>
      <c r="F101" s="611">
        <v>0</v>
      </c>
      <c r="G101" s="611">
        <v>0</v>
      </c>
    </row>
    <row r="102" spans="1:7" hidden="1" outlineLevel="2">
      <c r="A102" s="616" t="s">
        <v>1702</v>
      </c>
      <c r="B102" s="610">
        <v>131011</v>
      </c>
      <c r="C102" s="610" t="s">
        <v>3191</v>
      </c>
      <c r="D102" s="611">
        <v>0</v>
      </c>
      <c r="E102" s="611">
        <v>0</v>
      </c>
      <c r="F102" s="611">
        <v>0</v>
      </c>
      <c r="G102" s="611">
        <v>0</v>
      </c>
    </row>
    <row r="103" spans="1:7" hidden="1" outlineLevel="2">
      <c r="A103" s="616" t="s">
        <v>1702</v>
      </c>
      <c r="B103" s="610">
        <v>131012</v>
      </c>
      <c r="C103" s="610" t="s">
        <v>3192</v>
      </c>
      <c r="D103" s="611">
        <v>0</v>
      </c>
      <c r="E103" s="611">
        <v>0</v>
      </c>
      <c r="F103" s="611">
        <v>0</v>
      </c>
      <c r="G103" s="611">
        <v>0</v>
      </c>
    </row>
    <row r="104" spans="1:7" hidden="1" outlineLevel="2">
      <c r="A104" s="616" t="s">
        <v>1702</v>
      </c>
      <c r="B104" s="610">
        <v>131030</v>
      </c>
      <c r="C104" s="610" t="s">
        <v>3193</v>
      </c>
      <c r="D104" s="611">
        <v>0</v>
      </c>
      <c r="E104" s="611">
        <v>17429887.370000001</v>
      </c>
      <c r="F104" s="611">
        <v>17429887.370000001</v>
      </c>
      <c r="G104" s="611">
        <v>0</v>
      </c>
    </row>
    <row r="105" spans="1:7" outlineLevel="1" collapsed="1">
      <c r="A105" s="620" t="s">
        <v>3851</v>
      </c>
      <c r="B105" s="610"/>
      <c r="C105" s="610"/>
      <c r="D105" s="611">
        <f>SUBTOTAL(9,D101:D104)</f>
        <v>0</v>
      </c>
      <c r="E105" s="611">
        <f>SUBTOTAL(9,E101:E104)</f>
        <v>17429887.370000001</v>
      </c>
      <c r="F105" s="611">
        <f>SUBTOTAL(9,F101:F104)</f>
        <v>17429887.370000001</v>
      </c>
      <c r="G105" s="611">
        <f>SUBTOTAL(9,G101:G104)</f>
        <v>0</v>
      </c>
    </row>
    <row r="106" spans="1:7" hidden="1" outlineLevel="2">
      <c r="A106" s="616" t="s">
        <v>1704</v>
      </c>
      <c r="B106" s="610">
        <v>132010</v>
      </c>
      <c r="C106" s="610" t="s">
        <v>3194</v>
      </c>
      <c r="D106" s="611"/>
      <c r="E106" s="611">
        <v>99673.2</v>
      </c>
      <c r="F106" s="611">
        <v>99673.2</v>
      </c>
      <c r="G106" s="611">
        <v>0</v>
      </c>
    </row>
    <row r="107" spans="1:7" hidden="1" outlineLevel="2">
      <c r="A107" s="616" t="s">
        <v>1704</v>
      </c>
      <c r="B107" s="610">
        <v>132011</v>
      </c>
      <c r="C107" s="610" t="s">
        <v>3195</v>
      </c>
      <c r="D107" s="611">
        <v>99673.2</v>
      </c>
      <c r="E107" s="611">
        <v>0</v>
      </c>
      <c r="F107" s="611">
        <v>99673.2</v>
      </c>
      <c r="G107" s="611">
        <v>0</v>
      </c>
    </row>
    <row r="108" spans="1:7" hidden="1" outlineLevel="2">
      <c r="A108" s="616" t="s">
        <v>1704</v>
      </c>
      <c r="B108" s="610">
        <v>132020</v>
      </c>
      <c r="C108" s="610" t="s">
        <v>3196</v>
      </c>
      <c r="D108" s="611">
        <v>0</v>
      </c>
      <c r="E108" s="611">
        <v>0</v>
      </c>
      <c r="F108" s="611">
        <v>0</v>
      </c>
      <c r="G108" s="611">
        <v>0</v>
      </c>
    </row>
    <row r="109" spans="1:7" hidden="1" outlineLevel="2">
      <c r="A109" s="616" t="s">
        <v>1704</v>
      </c>
      <c r="B109" s="610">
        <v>132030</v>
      </c>
      <c r="C109" s="610" t="s">
        <v>3197</v>
      </c>
      <c r="D109" s="611">
        <v>1504</v>
      </c>
      <c r="E109" s="611">
        <v>17429887.34</v>
      </c>
      <c r="F109" s="611">
        <v>17254511.34</v>
      </c>
      <c r="G109" s="611">
        <v>176880</v>
      </c>
    </row>
    <row r="110" spans="1:7" outlineLevel="1" collapsed="1">
      <c r="A110" s="620" t="s">
        <v>3852</v>
      </c>
      <c r="B110" s="610"/>
      <c r="C110" s="610"/>
      <c r="D110" s="611">
        <f>SUBTOTAL(9,D106:D109)</f>
        <v>101177.2</v>
      </c>
      <c r="E110" s="611">
        <f>SUBTOTAL(9,E106:E109)</f>
        <v>17529560.539999999</v>
      </c>
      <c r="F110" s="611">
        <f>SUBTOTAL(9,F106:F109)</f>
        <v>17453857.739999998</v>
      </c>
      <c r="G110" s="611">
        <f>SUBTOTAL(9,G106:G109)</f>
        <v>176880</v>
      </c>
    </row>
    <row r="111" spans="1:7" hidden="1" outlineLevel="2">
      <c r="A111" s="616" t="s">
        <v>1715</v>
      </c>
      <c r="B111" s="610">
        <v>139020</v>
      </c>
      <c r="C111" s="610" t="s">
        <v>3198</v>
      </c>
      <c r="D111" s="611">
        <v>0</v>
      </c>
      <c r="E111" s="611">
        <v>0</v>
      </c>
      <c r="F111" s="611">
        <v>0</v>
      </c>
      <c r="G111" s="611">
        <v>0</v>
      </c>
    </row>
    <row r="112" spans="1:7" outlineLevel="1" collapsed="1">
      <c r="A112" s="620" t="s">
        <v>3853</v>
      </c>
      <c r="B112" s="610"/>
      <c r="C112" s="610"/>
      <c r="D112" s="611">
        <f>SUBTOTAL(9,D111:D111)</f>
        <v>0</v>
      </c>
      <c r="E112" s="611">
        <f>SUBTOTAL(9,E111:E111)</f>
        <v>0</v>
      </c>
      <c r="F112" s="611">
        <f>SUBTOTAL(9,F111:F111)</f>
        <v>0</v>
      </c>
      <c r="G112" s="611">
        <f>SUBTOTAL(9,G111:G111)</f>
        <v>0</v>
      </c>
    </row>
    <row r="113" spans="1:7" hidden="1" outlineLevel="2">
      <c r="A113" s="616" t="s">
        <v>3653</v>
      </c>
      <c r="B113" s="610">
        <v>191010</v>
      </c>
      <c r="C113" s="610" t="s">
        <v>3199</v>
      </c>
      <c r="D113" s="611">
        <v>0</v>
      </c>
      <c r="E113" s="611">
        <v>0</v>
      </c>
      <c r="F113" s="611">
        <v>0</v>
      </c>
      <c r="G113" s="611">
        <v>0</v>
      </c>
    </row>
    <row r="114" spans="1:7" outlineLevel="1" collapsed="1">
      <c r="A114" s="620" t="s">
        <v>3854</v>
      </c>
      <c r="B114" s="610"/>
      <c r="C114" s="610"/>
      <c r="D114" s="611">
        <f>SUBTOTAL(9,D113:D113)</f>
        <v>0</v>
      </c>
      <c r="E114" s="611">
        <f>SUBTOTAL(9,E113:E113)</f>
        <v>0</v>
      </c>
      <c r="F114" s="611">
        <f>SUBTOTAL(9,F113:F113)</f>
        <v>0</v>
      </c>
      <c r="G114" s="611">
        <f>SUBTOTAL(9,G113:G113)</f>
        <v>0</v>
      </c>
    </row>
    <row r="115" spans="1:7" hidden="1" outlineLevel="2">
      <c r="A115" s="616" t="s">
        <v>3654</v>
      </c>
      <c r="B115" s="610">
        <v>193010</v>
      </c>
      <c r="C115" s="610" t="s">
        <v>3200</v>
      </c>
      <c r="D115" s="611">
        <v>0</v>
      </c>
      <c r="E115" s="611">
        <v>0</v>
      </c>
      <c r="F115" s="611">
        <v>0</v>
      </c>
      <c r="G115" s="611">
        <v>0</v>
      </c>
    </row>
    <row r="116" spans="1:7" outlineLevel="1" collapsed="1">
      <c r="A116" s="620" t="s">
        <v>3855</v>
      </c>
      <c r="B116" s="610"/>
      <c r="C116" s="610"/>
      <c r="D116" s="611">
        <f>SUBTOTAL(9,D115:D115)</f>
        <v>0</v>
      </c>
      <c r="E116" s="611">
        <f>SUBTOTAL(9,E115:E115)</f>
        <v>0</v>
      </c>
      <c r="F116" s="611">
        <f>SUBTOTAL(9,F115:F115)</f>
        <v>0</v>
      </c>
      <c r="G116" s="611">
        <f>SUBTOTAL(9,G115:G115)</f>
        <v>0</v>
      </c>
    </row>
    <row r="117" spans="1:7" hidden="1" outlineLevel="2">
      <c r="A117" s="616" t="s">
        <v>3655</v>
      </c>
      <c r="B117" s="610">
        <v>194010</v>
      </c>
      <c r="C117" s="610" t="s">
        <v>3201</v>
      </c>
      <c r="D117" s="611">
        <v>0</v>
      </c>
      <c r="E117" s="611">
        <v>0</v>
      </c>
      <c r="F117" s="611">
        <v>0</v>
      </c>
      <c r="G117" s="611">
        <v>0</v>
      </c>
    </row>
    <row r="118" spans="1:7" outlineLevel="1" collapsed="1">
      <c r="A118" s="620" t="s">
        <v>3856</v>
      </c>
      <c r="B118" s="610"/>
      <c r="C118" s="610"/>
      <c r="D118" s="611">
        <f>SUBTOTAL(9,D117:D117)</f>
        <v>0</v>
      </c>
      <c r="E118" s="611">
        <f>SUBTOTAL(9,E117:E117)</f>
        <v>0</v>
      </c>
      <c r="F118" s="611">
        <f>SUBTOTAL(9,F117:F117)</f>
        <v>0</v>
      </c>
      <c r="G118" s="611">
        <f>SUBTOTAL(9,G117:G117)</f>
        <v>0</v>
      </c>
    </row>
    <row r="119" spans="1:7" hidden="1" outlineLevel="2">
      <c r="A119" s="616" t="s">
        <v>3656</v>
      </c>
      <c r="B119" s="610">
        <v>211010</v>
      </c>
      <c r="C119" s="610" t="s">
        <v>3202</v>
      </c>
      <c r="D119" s="611">
        <v>0</v>
      </c>
      <c r="E119" s="611">
        <v>1000</v>
      </c>
      <c r="F119" s="611">
        <v>1000</v>
      </c>
      <c r="G119" s="611">
        <v>0</v>
      </c>
    </row>
    <row r="120" spans="1:7" hidden="1" outlineLevel="2">
      <c r="A120" s="616" t="s">
        <v>3656</v>
      </c>
      <c r="B120" s="610">
        <v>211020</v>
      </c>
      <c r="C120" s="610" t="s">
        <v>3203</v>
      </c>
      <c r="D120" s="611"/>
      <c r="E120" s="611">
        <v>1604.32</v>
      </c>
      <c r="F120" s="611">
        <v>1573.8</v>
      </c>
      <c r="G120" s="611">
        <v>30.52</v>
      </c>
    </row>
    <row r="121" spans="1:7" hidden="1" outlineLevel="2">
      <c r="A121" s="616" t="s">
        <v>3656</v>
      </c>
      <c r="B121" s="610">
        <v>211100</v>
      </c>
      <c r="C121" s="610" t="s">
        <v>3204</v>
      </c>
      <c r="D121" s="611">
        <v>386.05</v>
      </c>
      <c r="E121" s="611">
        <v>3059.71</v>
      </c>
      <c r="F121" s="611">
        <v>2882.38</v>
      </c>
      <c r="G121" s="611">
        <v>563.38</v>
      </c>
    </row>
    <row r="122" spans="1:7" hidden="1" outlineLevel="2">
      <c r="A122" s="616" t="s">
        <v>3656</v>
      </c>
      <c r="B122" s="610">
        <v>211201</v>
      </c>
      <c r="C122" s="610" t="s">
        <v>3205</v>
      </c>
      <c r="D122" s="611">
        <v>0</v>
      </c>
      <c r="E122" s="611">
        <v>0</v>
      </c>
      <c r="F122" s="611">
        <v>0</v>
      </c>
      <c r="G122" s="611">
        <v>0</v>
      </c>
    </row>
    <row r="123" spans="1:7" hidden="1" outlineLevel="2">
      <c r="A123" s="616" t="s">
        <v>3656</v>
      </c>
      <c r="B123" s="610">
        <v>211202</v>
      </c>
      <c r="C123" s="610" t="s">
        <v>3206</v>
      </c>
      <c r="D123" s="611">
        <v>0</v>
      </c>
      <c r="E123" s="611">
        <v>0</v>
      </c>
      <c r="F123" s="611">
        <v>0</v>
      </c>
      <c r="G123" s="611">
        <v>0</v>
      </c>
    </row>
    <row r="124" spans="1:7" hidden="1" outlineLevel="2">
      <c r="A124" s="616" t="s">
        <v>3656</v>
      </c>
      <c r="B124" s="610">
        <v>211204</v>
      </c>
      <c r="C124" s="610" t="s">
        <v>3207</v>
      </c>
      <c r="D124" s="611">
        <v>0</v>
      </c>
      <c r="E124" s="611">
        <v>0</v>
      </c>
      <c r="F124" s="611">
        <v>0</v>
      </c>
      <c r="G124" s="611">
        <v>0</v>
      </c>
    </row>
    <row r="125" spans="1:7" hidden="1" outlineLevel="2">
      <c r="A125" s="616" t="s">
        <v>3656</v>
      </c>
      <c r="B125" s="610">
        <v>211206</v>
      </c>
      <c r="C125" s="610" t="s">
        <v>3208</v>
      </c>
      <c r="D125" s="611">
        <v>0</v>
      </c>
      <c r="E125" s="611">
        <v>0</v>
      </c>
      <c r="F125" s="611">
        <v>0</v>
      </c>
      <c r="G125" s="611">
        <v>0</v>
      </c>
    </row>
    <row r="126" spans="1:7" hidden="1" outlineLevel="2">
      <c r="A126" s="616" t="s">
        <v>3656</v>
      </c>
      <c r="B126" s="610">
        <v>211500</v>
      </c>
      <c r="C126" s="610" t="s">
        <v>3209</v>
      </c>
      <c r="D126" s="611">
        <v>0</v>
      </c>
      <c r="E126" s="611">
        <v>0</v>
      </c>
      <c r="F126" s="611">
        <v>0</v>
      </c>
      <c r="G126" s="611">
        <v>0</v>
      </c>
    </row>
    <row r="127" spans="1:7" hidden="1" outlineLevel="2">
      <c r="A127" s="616" t="s">
        <v>3656</v>
      </c>
      <c r="B127" s="610">
        <v>211501</v>
      </c>
      <c r="C127" s="610" t="s">
        <v>3210</v>
      </c>
      <c r="D127" s="611">
        <v>0</v>
      </c>
      <c r="E127" s="611">
        <v>0</v>
      </c>
      <c r="F127" s="611">
        <v>0</v>
      </c>
      <c r="G127" s="611">
        <v>0</v>
      </c>
    </row>
    <row r="128" spans="1:7" outlineLevel="1" collapsed="1">
      <c r="A128" s="620" t="s">
        <v>3857</v>
      </c>
      <c r="B128" s="610"/>
      <c r="C128" s="610"/>
      <c r="D128" s="611">
        <f>SUBTOTAL(9,D119:D127)</f>
        <v>386.05</v>
      </c>
      <c r="E128" s="611">
        <f>SUBTOTAL(9,E119:E127)</f>
        <v>5664.03</v>
      </c>
      <c r="F128" s="611">
        <f>SUBTOTAL(9,F119:F127)</f>
        <v>5456.18</v>
      </c>
      <c r="G128" s="611">
        <f>SUBTOTAL(9,G119:G127)</f>
        <v>593.9</v>
      </c>
    </row>
    <row r="129" spans="1:7" hidden="1" outlineLevel="2">
      <c r="A129" s="616" t="s">
        <v>3657</v>
      </c>
      <c r="B129" s="610">
        <v>213010</v>
      </c>
      <c r="C129" s="610" t="s">
        <v>3211</v>
      </c>
      <c r="D129" s="611">
        <v>0</v>
      </c>
      <c r="E129" s="611">
        <v>0</v>
      </c>
      <c r="F129" s="611">
        <v>0</v>
      </c>
      <c r="G129" s="611">
        <v>0</v>
      </c>
    </row>
    <row r="130" spans="1:7" hidden="1" outlineLevel="2">
      <c r="A130" s="616" t="s">
        <v>3657</v>
      </c>
      <c r="B130" s="610">
        <v>213011</v>
      </c>
      <c r="C130" s="610" t="s">
        <v>3212</v>
      </c>
      <c r="D130" s="611">
        <v>0</v>
      </c>
      <c r="E130" s="611">
        <v>0</v>
      </c>
      <c r="F130" s="611">
        <v>0</v>
      </c>
      <c r="G130" s="611">
        <v>0</v>
      </c>
    </row>
    <row r="131" spans="1:7" hidden="1" outlineLevel="2">
      <c r="A131" s="616" t="s">
        <v>3657</v>
      </c>
      <c r="B131" s="610">
        <v>213020</v>
      </c>
      <c r="C131" s="610" t="s">
        <v>3213</v>
      </c>
      <c r="D131" s="611">
        <v>0</v>
      </c>
      <c r="E131" s="611">
        <v>0</v>
      </c>
      <c r="F131" s="611">
        <v>0</v>
      </c>
      <c r="G131" s="611">
        <v>0</v>
      </c>
    </row>
    <row r="132" spans="1:7" hidden="1" outlineLevel="2">
      <c r="A132" s="616" t="s">
        <v>3657</v>
      </c>
      <c r="B132" s="610">
        <v>213030</v>
      </c>
      <c r="C132" s="610" t="s">
        <v>3214</v>
      </c>
      <c r="D132" s="611">
        <v>0</v>
      </c>
      <c r="E132" s="611">
        <v>766.46</v>
      </c>
      <c r="F132" s="611">
        <v>550.16</v>
      </c>
      <c r="G132" s="611">
        <v>216.3</v>
      </c>
    </row>
    <row r="133" spans="1:7" hidden="1" outlineLevel="2">
      <c r="A133" s="616" t="s">
        <v>3657</v>
      </c>
      <c r="B133" s="610">
        <v>213040</v>
      </c>
      <c r="C133" s="610" t="s">
        <v>3215</v>
      </c>
      <c r="D133" s="611">
        <v>0</v>
      </c>
      <c r="E133" s="611">
        <v>0</v>
      </c>
      <c r="F133" s="611">
        <v>0</v>
      </c>
      <c r="G133" s="611">
        <v>0</v>
      </c>
    </row>
    <row r="134" spans="1:7" outlineLevel="1" collapsed="1">
      <c r="A134" s="620" t="s">
        <v>3858</v>
      </c>
      <c r="B134" s="610"/>
      <c r="C134" s="610"/>
      <c r="D134" s="611">
        <f>SUBTOTAL(9,D129:D133)</f>
        <v>0</v>
      </c>
      <c r="E134" s="611">
        <f>SUBTOTAL(9,E129:E133)</f>
        <v>766.46</v>
      </c>
      <c r="F134" s="611">
        <f>SUBTOTAL(9,F129:F133)</f>
        <v>550.16</v>
      </c>
      <c r="G134" s="611">
        <f>SUBTOTAL(9,G129:G133)</f>
        <v>216.3</v>
      </c>
    </row>
    <row r="135" spans="1:7" outlineLevel="2">
      <c r="A135" s="616" t="s">
        <v>3658</v>
      </c>
      <c r="B135" s="610">
        <v>221020</v>
      </c>
      <c r="C135" s="610" t="s">
        <v>3216</v>
      </c>
      <c r="D135" s="611">
        <v>0</v>
      </c>
      <c r="E135" s="611">
        <v>0</v>
      </c>
      <c r="F135" s="611">
        <v>0</v>
      </c>
      <c r="G135" s="611">
        <v>0</v>
      </c>
    </row>
    <row r="136" spans="1:7" outlineLevel="2">
      <c r="A136" s="616" t="s">
        <v>3658</v>
      </c>
      <c r="B136" s="610">
        <v>221030</v>
      </c>
      <c r="C136" s="610" t="s">
        <v>3217</v>
      </c>
      <c r="D136" s="611">
        <v>51.22</v>
      </c>
      <c r="E136" s="611">
        <v>1121.18</v>
      </c>
      <c r="F136" s="611">
        <v>84.41</v>
      </c>
      <c r="G136" s="611">
        <v>1087.99</v>
      </c>
    </row>
    <row r="137" spans="1:7" outlineLevel="2">
      <c r="A137" s="616" t="s">
        <v>3658</v>
      </c>
      <c r="B137" s="610">
        <v>221060</v>
      </c>
      <c r="C137" s="610" t="s">
        <v>3218</v>
      </c>
      <c r="D137" s="611">
        <v>-4790077.05</v>
      </c>
      <c r="E137" s="611">
        <v>8052798.0199999996</v>
      </c>
      <c r="F137" s="611">
        <v>3262720.97</v>
      </c>
      <c r="G137" s="611">
        <v>0</v>
      </c>
    </row>
    <row r="138" spans="1:7" outlineLevel="2">
      <c r="A138" s="616" t="s">
        <v>3658</v>
      </c>
      <c r="B138" s="610">
        <v>221070</v>
      </c>
      <c r="C138" s="610" t="s">
        <v>3219</v>
      </c>
      <c r="D138" s="611">
        <v>0</v>
      </c>
      <c r="E138" s="611">
        <v>0</v>
      </c>
      <c r="F138" s="611">
        <v>0</v>
      </c>
      <c r="G138" s="611">
        <v>0</v>
      </c>
    </row>
    <row r="139" spans="1:7" outlineLevel="2">
      <c r="A139" s="616" t="s">
        <v>3658</v>
      </c>
      <c r="B139" s="610">
        <v>221080</v>
      </c>
      <c r="C139" s="610" t="s">
        <v>3220</v>
      </c>
      <c r="D139" s="611">
        <v>0</v>
      </c>
      <c r="E139" s="611">
        <v>0</v>
      </c>
      <c r="F139" s="611">
        <v>0</v>
      </c>
      <c r="G139" s="611">
        <v>0</v>
      </c>
    </row>
    <row r="140" spans="1:7" outlineLevel="2">
      <c r="A140" s="616" t="s">
        <v>3658</v>
      </c>
      <c r="B140" s="610">
        <v>221090</v>
      </c>
      <c r="C140" s="610" t="s">
        <v>3221</v>
      </c>
      <c r="D140" s="611">
        <v>0</v>
      </c>
      <c r="E140" s="611">
        <v>0</v>
      </c>
      <c r="F140" s="611">
        <v>0</v>
      </c>
      <c r="G140" s="611">
        <v>0</v>
      </c>
    </row>
    <row r="141" spans="1:7" outlineLevel="2">
      <c r="A141" s="616" t="s">
        <v>3658</v>
      </c>
      <c r="B141" s="610">
        <v>221100</v>
      </c>
      <c r="C141" s="610" t="s">
        <v>3222</v>
      </c>
      <c r="D141" s="611">
        <v>2555.4699999999998</v>
      </c>
      <c r="E141" s="611">
        <v>56755159.189999998</v>
      </c>
      <c r="F141" s="611">
        <v>56577040.030000001</v>
      </c>
      <c r="G141" s="611">
        <v>180674.63</v>
      </c>
    </row>
    <row r="142" spans="1:7" outlineLevel="2">
      <c r="A142" s="616" t="s">
        <v>3658</v>
      </c>
      <c r="B142" s="610">
        <v>221110</v>
      </c>
      <c r="C142" s="610" t="s">
        <v>3223</v>
      </c>
      <c r="D142" s="611">
        <v>0</v>
      </c>
      <c r="E142" s="611">
        <v>0</v>
      </c>
      <c r="F142" s="611">
        <v>0</v>
      </c>
      <c r="G142" s="611">
        <v>0</v>
      </c>
    </row>
    <row r="143" spans="1:7" outlineLevel="2">
      <c r="A143" s="616" t="s">
        <v>3658</v>
      </c>
      <c r="B143" s="610">
        <v>221120</v>
      </c>
      <c r="C143" s="610" t="s">
        <v>3224</v>
      </c>
      <c r="D143" s="611">
        <v>473.65</v>
      </c>
      <c r="E143" s="611">
        <v>4.76</v>
      </c>
      <c r="F143" s="611">
        <v>478.41</v>
      </c>
      <c r="G143" s="611">
        <v>0</v>
      </c>
    </row>
    <row r="144" spans="1:7" outlineLevel="2">
      <c r="A144" s="616" t="s">
        <v>3658</v>
      </c>
      <c r="B144" s="610">
        <v>221121</v>
      </c>
      <c r="C144" s="610" t="s">
        <v>3225</v>
      </c>
      <c r="D144" s="611">
        <v>0</v>
      </c>
      <c r="E144" s="611">
        <v>0</v>
      </c>
      <c r="F144" s="611">
        <v>0</v>
      </c>
      <c r="G144" s="611">
        <v>0</v>
      </c>
    </row>
    <row r="145" spans="1:7" outlineLevel="2">
      <c r="A145" s="616" t="s">
        <v>3658</v>
      </c>
      <c r="B145" s="610">
        <v>221122</v>
      </c>
      <c r="C145" s="610" t="s">
        <v>3226</v>
      </c>
      <c r="D145" s="611">
        <v>0</v>
      </c>
      <c r="E145" s="611">
        <v>0</v>
      </c>
      <c r="F145" s="611">
        <v>0</v>
      </c>
      <c r="G145" s="611">
        <v>0</v>
      </c>
    </row>
    <row r="146" spans="1:7" outlineLevel="2">
      <c r="A146" s="616" t="s">
        <v>3658</v>
      </c>
      <c r="B146" s="610">
        <v>221123</v>
      </c>
      <c r="C146" s="610" t="s">
        <v>3227</v>
      </c>
      <c r="D146" s="611">
        <v>0</v>
      </c>
      <c r="E146" s="611">
        <v>0</v>
      </c>
      <c r="F146" s="611">
        <v>0</v>
      </c>
      <c r="G146" s="611">
        <v>0</v>
      </c>
    </row>
    <row r="147" spans="1:7" outlineLevel="2">
      <c r="A147" s="616" t="s">
        <v>3658</v>
      </c>
      <c r="B147" s="610">
        <v>221130</v>
      </c>
      <c r="C147" s="610" t="s">
        <v>3228</v>
      </c>
      <c r="D147" s="611">
        <v>0</v>
      </c>
      <c r="E147" s="611">
        <v>0</v>
      </c>
      <c r="F147" s="611">
        <v>0</v>
      </c>
      <c r="G147" s="611">
        <v>0</v>
      </c>
    </row>
    <row r="148" spans="1:7" outlineLevel="2">
      <c r="A148" s="616" t="s">
        <v>3658</v>
      </c>
      <c r="B148" s="610">
        <v>221140</v>
      </c>
      <c r="C148" s="610" t="s">
        <v>3229</v>
      </c>
      <c r="D148" s="611">
        <v>647.87</v>
      </c>
      <c r="E148" s="611">
        <v>1739.03</v>
      </c>
      <c r="F148" s="611">
        <v>0.03</v>
      </c>
      <c r="G148" s="611">
        <v>2386.87</v>
      </c>
    </row>
    <row r="149" spans="1:7" outlineLevel="2">
      <c r="A149" s="616" t="s">
        <v>3658</v>
      </c>
      <c r="B149" s="610">
        <v>221141</v>
      </c>
      <c r="C149" s="610" t="s">
        <v>3230</v>
      </c>
      <c r="D149" s="611">
        <v>0</v>
      </c>
      <c r="E149" s="611">
        <v>0</v>
      </c>
      <c r="F149" s="611">
        <v>0</v>
      </c>
      <c r="G149" s="611">
        <v>0</v>
      </c>
    </row>
    <row r="150" spans="1:7" outlineLevel="2">
      <c r="A150" s="616" t="s">
        <v>3658</v>
      </c>
      <c r="B150" s="610">
        <v>221150</v>
      </c>
      <c r="C150" s="610" t="s">
        <v>3231</v>
      </c>
      <c r="D150" s="611">
        <v>0</v>
      </c>
      <c r="E150" s="611">
        <v>0</v>
      </c>
      <c r="F150" s="611">
        <v>0</v>
      </c>
      <c r="G150" s="611">
        <v>0</v>
      </c>
    </row>
    <row r="151" spans="1:7" outlineLevel="2">
      <c r="A151" s="616" t="s">
        <v>3658</v>
      </c>
      <c r="B151" s="610">
        <v>221160</v>
      </c>
      <c r="C151" s="610" t="s">
        <v>3232</v>
      </c>
      <c r="D151" s="611">
        <v>168.72</v>
      </c>
      <c r="E151" s="611">
        <v>0</v>
      </c>
      <c r="F151" s="611">
        <v>94.86</v>
      </c>
      <c r="G151" s="611">
        <v>73.86</v>
      </c>
    </row>
    <row r="152" spans="1:7" outlineLevel="2">
      <c r="A152" s="616" t="s">
        <v>3658</v>
      </c>
      <c r="B152" s="610">
        <v>221170</v>
      </c>
      <c r="C152" s="610" t="s">
        <v>3233</v>
      </c>
      <c r="D152" s="611">
        <v>895.66</v>
      </c>
      <c r="E152" s="611">
        <v>0.04</v>
      </c>
      <c r="F152" s="611">
        <v>895.7</v>
      </c>
      <c r="G152" s="611">
        <v>0</v>
      </c>
    </row>
    <row r="153" spans="1:7" outlineLevel="2">
      <c r="A153" s="616" t="s">
        <v>3658</v>
      </c>
      <c r="B153" s="610">
        <v>221180</v>
      </c>
      <c r="C153" s="610" t="s">
        <v>3234</v>
      </c>
      <c r="D153" s="611">
        <v>-6795767.9400000004</v>
      </c>
      <c r="E153" s="611">
        <v>1420452.02</v>
      </c>
      <c r="F153" s="611">
        <v>623665.56000000006</v>
      </c>
      <c r="G153" s="611">
        <v>-5998981.4800000004</v>
      </c>
    </row>
    <row r="154" spans="1:7" outlineLevel="2">
      <c r="A154" s="616" t="s">
        <v>3658</v>
      </c>
      <c r="B154" s="610">
        <v>221190</v>
      </c>
      <c r="C154" s="610" t="s">
        <v>3235</v>
      </c>
      <c r="D154" s="611">
        <v>456.7</v>
      </c>
      <c r="E154" s="611">
        <v>116056.98</v>
      </c>
      <c r="F154" s="611">
        <v>116513.68</v>
      </c>
      <c r="G154" s="611">
        <v>0</v>
      </c>
    </row>
    <row r="155" spans="1:7" outlineLevel="2">
      <c r="A155" s="616" t="s">
        <v>3658</v>
      </c>
      <c r="B155" s="610">
        <v>221200</v>
      </c>
      <c r="C155" s="610" t="s">
        <v>3236</v>
      </c>
      <c r="D155" s="611">
        <v>3988.31</v>
      </c>
      <c r="E155" s="611">
        <v>1083139.1200000001</v>
      </c>
      <c r="F155" s="611">
        <v>1085381.19</v>
      </c>
      <c r="G155" s="611">
        <v>1746.24</v>
      </c>
    </row>
    <row r="156" spans="1:7" outlineLevel="2">
      <c r="A156" s="616" t="s">
        <v>3658</v>
      </c>
      <c r="B156" s="610">
        <v>221201</v>
      </c>
      <c r="C156" s="610" t="s">
        <v>3237</v>
      </c>
      <c r="D156" s="611">
        <v>231.4</v>
      </c>
      <c r="E156" s="611">
        <v>0</v>
      </c>
      <c r="F156" s="611">
        <v>76.09</v>
      </c>
      <c r="G156" s="611">
        <v>155.31</v>
      </c>
    </row>
    <row r="157" spans="1:7" outlineLevel="2">
      <c r="A157" s="616" t="s">
        <v>3658</v>
      </c>
      <c r="B157" s="610">
        <v>221210</v>
      </c>
      <c r="C157" s="610" t="s">
        <v>3238</v>
      </c>
      <c r="D157" s="611">
        <v>99.6</v>
      </c>
      <c r="E157" s="611">
        <v>259415525.81999999</v>
      </c>
      <c r="F157" s="611">
        <v>255004128.34999999</v>
      </c>
      <c r="G157" s="611">
        <v>4411497.07</v>
      </c>
    </row>
    <row r="158" spans="1:7" outlineLevel="2">
      <c r="A158" s="616" t="s">
        <v>3658</v>
      </c>
      <c r="B158" s="610">
        <v>221211</v>
      </c>
      <c r="C158" s="610" t="s">
        <v>3239</v>
      </c>
      <c r="D158" s="611">
        <v>97.61</v>
      </c>
      <c r="E158" s="611">
        <v>188747.7</v>
      </c>
      <c r="F158" s="611">
        <v>6481.46</v>
      </c>
      <c r="G158" s="611">
        <v>182363.85</v>
      </c>
    </row>
    <row r="159" spans="1:7" outlineLevel="2">
      <c r="A159" s="616" t="s">
        <v>3658</v>
      </c>
      <c r="B159" s="610">
        <v>221220</v>
      </c>
      <c r="C159" s="610" t="s">
        <v>3240</v>
      </c>
      <c r="D159" s="611"/>
      <c r="E159" s="611">
        <v>100</v>
      </c>
      <c r="F159" s="611">
        <v>78.2</v>
      </c>
      <c r="G159" s="611">
        <v>21.8</v>
      </c>
    </row>
    <row r="160" spans="1:7" outlineLevel="2">
      <c r="A160" s="616" t="s">
        <v>3658</v>
      </c>
      <c r="B160" s="610">
        <v>221300</v>
      </c>
      <c r="C160" s="610" t="s">
        <v>3241</v>
      </c>
      <c r="D160" s="611">
        <v>3231.75</v>
      </c>
      <c r="E160" s="611">
        <v>106449.25</v>
      </c>
      <c r="F160" s="611">
        <v>104024.18</v>
      </c>
      <c r="G160" s="611">
        <v>5656.82</v>
      </c>
    </row>
    <row r="161" spans="1:7" outlineLevel="2">
      <c r="A161" s="616" t="s">
        <v>3658</v>
      </c>
      <c r="B161" s="610">
        <v>221701</v>
      </c>
      <c r="C161" s="610" t="s">
        <v>3242</v>
      </c>
      <c r="D161" s="611">
        <v>0</v>
      </c>
      <c r="E161" s="611">
        <v>0</v>
      </c>
      <c r="F161" s="611">
        <v>0</v>
      </c>
      <c r="G161" s="611">
        <v>0</v>
      </c>
    </row>
    <row r="162" spans="1:7" outlineLevel="1">
      <c r="A162" s="620" t="s">
        <v>3859</v>
      </c>
      <c r="B162" s="610"/>
      <c r="C162" s="610"/>
      <c r="D162" s="611">
        <f>SUBTOTAL(9,D135:D161)</f>
        <v>-11572947.030000001</v>
      </c>
      <c r="E162" s="611">
        <f>SUBTOTAL(9,E135:E161)</f>
        <v>327141293.10999995</v>
      </c>
      <c r="F162" s="611">
        <f>SUBTOTAL(9,F135:F161)</f>
        <v>316781663.11999995</v>
      </c>
      <c r="G162" s="611">
        <f>SUBTOTAL(9,G135:G161)</f>
        <v>-1213317.0400000005</v>
      </c>
    </row>
    <row r="163" spans="1:7" outlineLevel="2">
      <c r="A163" s="616" t="s">
        <v>3659</v>
      </c>
      <c r="B163" s="610">
        <v>231030</v>
      </c>
      <c r="C163" s="610" t="s">
        <v>3243</v>
      </c>
      <c r="D163" s="611">
        <v>0</v>
      </c>
      <c r="E163" s="611">
        <v>0</v>
      </c>
      <c r="F163" s="611">
        <v>0</v>
      </c>
      <c r="G163" s="611">
        <v>0</v>
      </c>
    </row>
    <row r="164" spans="1:7" outlineLevel="2">
      <c r="A164" s="616" t="s">
        <v>3659</v>
      </c>
      <c r="B164" s="610">
        <v>231050</v>
      </c>
      <c r="C164" s="610" t="s">
        <v>3244</v>
      </c>
      <c r="D164" s="611">
        <v>0</v>
      </c>
      <c r="E164" s="611">
        <v>0</v>
      </c>
      <c r="F164" s="611">
        <v>0</v>
      </c>
      <c r="G164" s="611">
        <v>0</v>
      </c>
    </row>
    <row r="165" spans="1:7" outlineLevel="2">
      <c r="A165" s="616" t="s">
        <v>3659</v>
      </c>
      <c r="B165" s="610">
        <v>231060</v>
      </c>
      <c r="C165" s="610" t="s">
        <v>3245</v>
      </c>
      <c r="D165" s="611">
        <v>0</v>
      </c>
      <c r="E165" s="611">
        <v>0</v>
      </c>
      <c r="F165" s="611">
        <v>0</v>
      </c>
      <c r="G165" s="611">
        <v>0</v>
      </c>
    </row>
    <row r="166" spans="1:7" outlineLevel="2">
      <c r="A166" s="616" t="s">
        <v>3659</v>
      </c>
      <c r="B166" s="610">
        <v>231070</v>
      </c>
      <c r="C166" s="610" t="s">
        <v>3246</v>
      </c>
      <c r="D166" s="611">
        <v>0</v>
      </c>
      <c r="E166" s="611">
        <v>0</v>
      </c>
      <c r="F166" s="611">
        <v>0</v>
      </c>
      <c r="G166" s="611">
        <v>0</v>
      </c>
    </row>
    <row r="167" spans="1:7" outlineLevel="1">
      <c r="A167" s="620" t="s">
        <v>3860</v>
      </c>
      <c r="B167" s="610"/>
      <c r="C167" s="610"/>
      <c r="D167" s="611">
        <f>SUBTOTAL(9,D163:D166)</f>
        <v>0</v>
      </c>
      <c r="E167" s="611">
        <f>SUBTOTAL(9,E163:E166)</f>
        <v>0</v>
      </c>
      <c r="F167" s="611">
        <f>SUBTOTAL(9,F163:F166)</f>
        <v>0</v>
      </c>
      <c r="G167" s="611">
        <f>SUBTOTAL(9,G163:G166)</f>
        <v>0</v>
      </c>
    </row>
    <row r="168" spans="1:7" hidden="1" outlineLevel="2">
      <c r="A168" s="616" t="s">
        <v>3660</v>
      </c>
      <c r="B168" s="610">
        <v>261010</v>
      </c>
      <c r="C168" s="610" t="s">
        <v>3247</v>
      </c>
      <c r="D168" s="611">
        <v>0</v>
      </c>
      <c r="E168" s="611">
        <v>257806672.02000001</v>
      </c>
      <c r="F168" s="611">
        <v>257806672.02000001</v>
      </c>
      <c r="G168" s="611">
        <v>0</v>
      </c>
    </row>
    <row r="169" spans="1:7" hidden="1" outlineLevel="2">
      <c r="A169" s="616" t="s">
        <v>3660</v>
      </c>
      <c r="B169" s="610">
        <v>261020</v>
      </c>
      <c r="C169" s="610" t="s">
        <v>3248</v>
      </c>
      <c r="D169" s="611">
        <v>0</v>
      </c>
      <c r="E169" s="611">
        <v>0</v>
      </c>
      <c r="F169" s="611">
        <v>0</v>
      </c>
      <c r="G169" s="611">
        <v>0</v>
      </c>
    </row>
    <row r="170" spans="1:7" hidden="1" outlineLevel="2">
      <c r="A170" s="616" t="s">
        <v>3660</v>
      </c>
      <c r="B170" s="610">
        <v>261030</v>
      </c>
      <c r="C170" s="610" t="s">
        <v>3249</v>
      </c>
      <c r="D170" s="611">
        <v>0</v>
      </c>
      <c r="E170" s="611">
        <v>0</v>
      </c>
      <c r="F170" s="611">
        <v>0</v>
      </c>
      <c r="G170" s="611">
        <v>0</v>
      </c>
    </row>
    <row r="171" spans="1:7" hidden="1" outlineLevel="2">
      <c r="A171" s="616" t="s">
        <v>3660</v>
      </c>
      <c r="B171" s="610">
        <v>261050</v>
      </c>
      <c r="C171" s="610" t="s">
        <v>3250</v>
      </c>
      <c r="D171" s="611">
        <v>0</v>
      </c>
      <c r="E171" s="611">
        <v>0</v>
      </c>
      <c r="F171" s="611">
        <v>0</v>
      </c>
      <c r="G171" s="611">
        <v>0</v>
      </c>
    </row>
    <row r="172" spans="1:7" hidden="1" outlineLevel="2">
      <c r="A172" s="616" t="s">
        <v>3660</v>
      </c>
      <c r="B172" s="610">
        <v>261070</v>
      </c>
      <c r="C172" s="610" t="s">
        <v>3251</v>
      </c>
      <c r="D172" s="611">
        <v>0</v>
      </c>
      <c r="E172" s="611">
        <v>0</v>
      </c>
      <c r="F172" s="611">
        <v>0</v>
      </c>
      <c r="G172" s="611">
        <v>0</v>
      </c>
    </row>
    <row r="173" spans="1:7" hidden="1" outlineLevel="2">
      <c r="A173" s="616" t="s">
        <v>3660</v>
      </c>
      <c r="B173" s="610">
        <v>261080</v>
      </c>
      <c r="C173" s="610" t="s">
        <v>3252</v>
      </c>
      <c r="D173" s="611">
        <v>0</v>
      </c>
      <c r="E173" s="611">
        <v>0</v>
      </c>
      <c r="F173" s="611">
        <v>0</v>
      </c>
      <c r="G173" s="611">
        <v>0</v>
      </c>
    </row>
    <row r="174" spans="1:7" outlineLevel="1" collapsed="1">
      <c r="A174" s="620" t="s">
        <v>3861</v>
      </c>
      <c r="B174" s="610"/>
      <c r="C174" s="610"/>
      <c r="D174" s="611">
        <f>SUBTOTAL(9,D168:D173)</f>
        <v>0</v>
      </c>
      <c r="E174" s="611">
        <f>SUBTOTAL(9,E168:E173)</f>
        <v>257806672.02000001</v>
      </c>
      <c r="F174" s="611">
        <f>SUBTOTAL(9,F168:F173)</f>
        <v>257806672.02000001</v>
      </c>
      <c r="G174" s="611">
        <f>SUBTOTAL(9,G168:G173)</f>
        <v>0</v>
      </c>
    </row>
    <row r="175" spans="1:7" hidden="1" outlineLevel="2">
      <c r="A175" s="616" t="s">
        <v>3661</v>
      </c>
      <c r="B175" s="610">
        <v>311010</v>
      </c>
      <c r="C175" s="610" t="s">
        <v>3253</v>
      </c>
      <c r="D175" s="611">
        <v>0</v>
      </c>
      <c r="E175" s="611">
        <v>0.18</v>
      </c>
      <c r="F175" s="611">
        <v>0.1</v>
      </c>
      <c r="G175" s="611">
        <v>0.08</v>
      </c>
    </row>
    <row r="176" spans="1:7" hidden="1" outlineLevel="2">
      <c r="A176" s="616" t="s">
        <v>3661</v>
      </c>
      <c r="B176" s="626">
        <v>311011</v>
      </c>
      <c r="C176" s="626" t="s">
        <v>3254</v>
      </c>
      <c r="D176" s="627">
        <v>0</v>
      </c>
      <c r="E176" s="627">
        <v>205.09</v>
      </c>
      <c r="F176" s="627">
        <v>0</v>
      </c>
      <c r="G176" s="627">
        <v>205.09</v>
      </c>
    </row>
    <row r="177" spans="1:7" hidden="1" outlineLevel="2">
      <c r="A177" s="616" t="s">
        <v>3661</v>
      </c>
      <c r="B177" s="610">
        <v>311020</v>
      </c>
      <c r="C177" s="610" t="s">
        <v>3255</v>
      </c>
      <c r="D177" s="611">
        <v>0</v>
      </c>
      <c r="E177" s="611">
        <v>0</v>
      </c>
      <c r="F177" s="611">
        <v>43237.21</v>
      </c>
      <c r="G177" s="611">
        <v>-43237.21</v>
      </c>
    </row>
    <row r="178" spans="1:7" hidden="1" outlineLevel="2">
      <c r="A178" s="616" t="s">
        <v>3661</v>
      </c>
      <c r="B178" s="610">
        <v>311040</v>
      </c>
      <c r="C178" s="610" t="s">
        <v>3256</v>
      </c>
      <c r="D178" s="611">
        <v>6921.38</v>
      </c>
      <c r="E178" s="611">
        <v>50547.82</v>
      </c>
      <c r="F178" s="611">
        <v>38454.94</v>
      </c>
      <c r="G178" s="611">
        <v>19014.259999999998</v>
      </c>
    </row>
    <row r="179" spans="1:7" hidden="1" outlineLevel="2">
      <c r="A179" s="616" t="s">
        <v>3661</v>
      </c>
      <c r="B179" s="626">
        <v>311041</v>
      </c>
      <c r="C179" s="626" t="s">
        <v>3257</v>
      </c>
      <c r="D179" s="627">
        <v>392036.56</v>
      </c>
      <c r="E179" s="627">
        <v>1685890.7</v>
      </c>
      <c r="F179" s="627">
        <v>2057492.32</v>
      </c>
      <c r="G179" s="627">
        <v>20434.939999999999</v>
      </c>
    </row>
    <row r="180" spans="1:7" hidden="1" outlineLevel="2">
      <c r="A180" s="616" t="s">
        <v>3661</v>
      </c>
      <c r="B180" s="610">
        <v>311050</v>
      </c>
      <c r="C180" s="610" t="s">
        <v>3258</v>
      </c>
      <c r="D180" s="611">
        <v>698861.76</v>
      </c>
      <c r="E180" s="611">
        <v>5982092.6299999999</v>
      </c>
      <c r="F180" s="611">
        <v>4823763.7300000004</v>
      </c>
      <c r="G180" s="611">
        <v>1857190.66</v>
      </c>
    </row>
    <row r="181" spans="1:7" hidden="1" outlineLevel="2">
      <c r="A181" s="616" t="s">
        <v>3661</v>
      </c>
      <c r="B181" s="626">
        <v>311051</v>
      </c>
      <c r="C181" s="626" t="s">
        <v>3259</v>
      </c>
      <c r="D181" s="627">
        <v>166416.01999999999</v>
      </c>
      <c r="E181" s="627">
        <v>18443876.760000002</v>
      </c>
      <c r="F181" s="627">
        <v>18543862.289999999</v>
      </c>
      <c r="G181" s="627">
        <v>66430.490000000005</v>
      </c>
    </row>
    <row r="182" spans="1:7" hidden="1" outlineLevel="2">
      <c r="A182" s="616" t="s">
        <v>3661</v>
      </c>
      <c r="B182" s="610">
        <v>311100</v>
      </c>
      <c r="C182" s="610" t="s">
        <v>3260</v>
      </c>
      <c r="D182" s="611">
        <v>69482</v>
      </c>
      <c r="E182" s="611">
        <v>0</v>
      </c>
      <c r="F182" s="611">
        <v>0</v>
      </c>
      <c r="G182" s="611">
        <v>69482</v>
      </c>
    </row>
    <row r="183" spans="1:7" hidden="1" outlineLevel="2">
      <c r="A183" s="616" t="s">
        <v>3661</v>
      </c>
      <c r="B183" s="610">
        <v>311110</v>
      </c>
      <c r="C183" s="610" t="s">
        <v>3261</v>
      </c>
      <c r="D183" s="611">
        <v>27985</v>
      </c>
      <c r="E183" s="611">
        <v>0</v>
      </c>
      <c r="F183" s="611">
        <v>8819.8799999999992</v>
      </c>
      <c r="G183" s="611">
        <v>19165.12</v>
      </c>
    </row>
    <row r="184" spans="1:7" hidden="1" outlineLevel="2">
      <c r="A184" s="616" t="s">
        <v>3661</v>
      </c>
      <c r="B184" s="626">
        <v>311120</v>
      </c>
      <c r="C184" s="626" t="s">
        <v>3262</v>
      </c>
      <c r="D184" s="627">
        <v>114.81</v>
      </c>
      <c r="E184" s="627">
        <v>0</v>
      </c>
      <c r="F184" s="627">
        <v>114.81</v>
      </c>
      <c r="G184" s="627">
        <v>0</v>
      </c>
    </row>
    <row r="185" spans="1:7" hidden="1" outlineLevel="2">
      <c r="A185" s="616" t="s">
        <v>3661</v>
      </c>
      <c r="B185" s="626">
        <v>311130</v>
      </c>
      <c r="C185" s="626" t="s">
        <v>3263</v>
      </c>
      <c r="D185" s="627">
        <v>1000</v>
      </c>
      <c r="E185" s="627">
        <v>3131.35</v>
      </c>
      <c r="F185" s="627">
        <v>0</v>
      </c>
      <c r="G185" s="627">
        <v>4131.3500000000004</v>
      </c>
    </row>
    <row r="186" spans="1:7" outlineLevel="1" collapsed="1">
      <c r="A186" s="620" t="s">
        <v>3862</v>
      </c>
      <c r="B186" s="610"/>
      <c r="C186" s="610"/>
      <c r="D186" s="611">
        <f>SUBTOTAL(9,D175:D185)</f>
        <v>1362817.53</v>
      </c>
      <c r="E186" s="611">
        <f>SUBTOTAL(9,E175:E185)</f>
        <v>26165744.530000001</v>
      </c>
      <c r="F186" s="611">
        <f>SUBTOTAL(9,F175:F185)</f>
        <v>25515745.279999997</v>
      </c>
      <c r="G186" s="611">
        <f>SUBTOTAL(9,G175:G185)</f>
        <v>2012816.78</v>
      </c>
    </row>
    <row r="187" spans="1:7" hidden="1" outlineLevel="2">
      <c r="A187" s="616" t="s">
        <v>3662</v>
      </c>
      <c r="B187" s="610">
        <v>314010</v>
      </c>
      <c r="C187" s="610" t="s">
        <v>3264</v>
      </c>
      <c r="D187" s="611">
        <v>0</v>
      </c>
      <c r="E187" s="611">
        <v>0</v>
      </c>
      <c r="F187" s="611">
        <v>0</v>
      </c>
      <c r="G187" s="611">
        <v>0</v>
      </c>
    </row>
    <row r="188" spans="1:7" hidden="1" outlineLevel="2">
      <c r="A188" s="616" t="s">
        <v>3662</v>
      </c>
      <c r="B188" s="626">
        <v>314011</v>
      </c>
      <c r="C188" s="626" t="s">
        <v>3265</v>
      </c>
      <c r="D188" s="627">
        <v>0</v>
      </c>
      <c r="E188" s="627">
        <v>0</v>
      </c>
      <c r="F188" s="627">
        <v>0</v>
      </c>
      <c r="G188" s="627">
        <v>0</v>
      </c>
    </row>
    <row r="189" spans="1:7" hidden="1" outlineLevel="2">
      <c r="A189" s="616" t="s">
        <v>3662</v>
      </c>
      <c r="B189" s="610">
        <v>314020</v>
      </c>
      <c r="C189" s="610" t="s">
        <v>3266</v>
      </c>
      <c r="D189" s="611">
        <v>0</v>
      </c>
      <c r="E189" s="611">
        <v>5670.46</v>
      </c>
      <c r="F189" s="611">
        <v>0</v>
      </c>
      <c r="G189" s="611">
        <v>5670.46</v>
      </c>
    </row>
    <row r="190" spans="1:7" hidden="1" outlineLevel="2">
      <c r="A190" s="616" t="s">
        <v>3662</v>
      </c>
      <c r="B190" s="610">
        <v>314030</v>
      </c>
      <c r="C190" s="610" t="s">
        <v>3267</v>
      </c>
      <c r="D190" s="611">
        <v>101187.5</v>
      </c>
      <c r="E190" s="611">
        <v>0</v>
      </c>
      <c r="F190" s="611">
        <v>101187.5</v>
      </c>
      <c r="G190" s="611">
        <v>0</v>
      </c>
    </row>
    <row r="191" spans="1:7" hidden="1" outlineLevel="2">
      <c r="A191" s="616" t="s">
        <v>3662</v>
      </c>
      <c r="B191" s="610">
        <v>314040</v>
      </c>
      <c r="C191" s="610" t="s">
        <v>3268</v>
      </c>
      <c r="D191" s="611"/>
      <c r="E191" s="611">
        <v>816.98</v>
      </c>
      <c r="F191" s="611">
        <v>816.98</v>
      </c>
      <c r="G191" s="611">
        <v>0</v>
      </c>
    </row>
    <row r="192" spans="1:7" hidden="1" outlineLevel="2">
      <c r="A192" s="616" t="s">
        <v>3662</v>
      </c>
      <c r="B192" s="610">
        <v>314041</v>
      </c>
      <c r="C192" s="610" t="s">
        <v>3269</v>
      </c>
      <c r="D192" s="611">
        <v>68.94</v>
      </c>
      <c r="E192" s="611">
        <v>1026.9000000000001</v>
      </c>
      <c r="F192" s="611">
        <v>1095.8399999999999</v>
      </c>
      <c r="G192" s="611">
        <v>0</v>
      </c>
    </row>
    <row r="193" spans="1:7" hidden="1" outlineLevel="2">
      <c r="A193" s="616" t="s">
        <v>3662</v>
      </c>
      <c r="B193" s="610">
        <v>314042</v>
      </c>
      <c r="C193" s="610" t="s">
        <v>3270</v>
      </c>
      <c r="D193" s="611"/>
      <c r="E193" s="611">
        <v>84.22</v>
      </c>
      <c r="F193" s="611">
        <v>84.22</v>
      </c>
      <c r="G193" s="611">
        <v>0</v>
      </c>
    </row>
    <row r="194" spans="1:7" hidden="1" outlineLevel="2">
      <c r="A194" s="616" t="s">
        <v>3662</v>
      </c>
      <c r="B194" s="626">
        <v>314043</v>
      </c>
      <c r="C194" s="626" t="s">
        <v>3271</v>
      </c>
      <c r="D194" s="627"/>
      <c r="E194" s="627">
        <v>260785</v>
      </c>
      <c r="F194" s="627">
        <v>260785</v>
      </c>
      <c r="G194" s="627">
        <v>0</v>
      </c>
    </row>
    <row r="195" spans="1:7" hidden="1" outlineLevel="2">
      <c r="A195" s="616" t="s">
        <v>3662</v>
      </c>
      <c r="B195" s="610">
        <v>314051</v>
      </c>
      <c r="C195" s="610" t="s">
        <v>3272</v>
      </c>
      <c r="D195" s="611">
        <v>0</v>
      </c>
      <c r="E195" s="611">
        <v>16095.32</v>
      </c>
      <c r="F195" s="611">
        <v>16047.82</v>
      </c>
      <c r="G195" s="611">
        <v>47.5</v>
      </c>
    </row>
    <row r="196" spans="1:7" hidden="1" outlineLevel="2">
      <c r="A196" s="616" t="s">
        <v>3662</v>
      </c>
      <c r="B196" s="610">
        <v>314052</v>
      </c>
      <c r="C196" s="610" t="s">
        <v>3273</v>
      </c>
      <c r="D196" s="611">
        <v>206644.44</v>
      </c>
      <c r="E196" s="611">
        <v>1171515.79</v>
      </c>
      <c r="F196" s="611">
        <v>1171515.79</v>
      </c>
      <c r="G196" s="611">
        <v>206644.44</v>
      </c>
    </row>
    <row r="197" spans="1:7" hidden="1" outlineLevel="2">
      <c r="A197" s="616" t="s">
        <v>3662</v>
      </c>
      <c r="B197" s="626">
        <v>314056</v>
      </c>
      <c r="C197" s="626" t="s">
        <v>3274</v>
      </c>
      <c r="D197" s="627">
        <v>400000</v>
      </c>
      <c r="E197" s="627">
        <v>708636.8</v>
      </c>
      <c r="F197" s="627">
        <v>1108636.8</v>
      </c>
      <c r="G197" s="627">
        <v>0</v>
      </c>
    </row>
    <row r="198" spans="1:7" hidden="1" outlineLevel="2">
      <c r="A198" s="616" t="s">
        <v>3662</v>
      </c>
      <c r="B198" s="610">
        <v>314057</v>
      </c>
      <c r="C198" s="610" t="s">
        <v>3275</v>
      </c>
      <c r="D198" s="611"/>
      <c r="E198" s="611">
        <v>956.58</v>
      </c>
      <c r="F198" s="611">
        <v>956.58</v>
      </c>
      <c r="G198" s="611">
        <v>0</v>
      </c>
    </row>
    <row r="199" spans="1:7" hidden="1" outlineLevel="2">
      <c r="A199" s="616" t="s">
        <v>3662</v>
      </c>
      <c r="B199" s="610">
        <v>314100</v>
      </c>
      <c r="C199" s="610" t="s">
        <v>3276</v>
      </c>
      <c r="D199" s="611">
        <v>0</v>
      </c>
      <c r="E199" s="611">
        <v>0</v>
      </c>
      <c r="F199" s="611">
        <v>0</v>
      </c>
      <c r="G199" s="611">
        <v>0</v>
      </c>
    </row>
    <row r="200" spans="1:7" hidden="1" outlineLevel="2">
      <c r="A200" s="616" t="s">
        <v>3662</v>
      </c>
      <c r="B200" s="610">
        <v>314101</v>
      </c>
      <c r="C200" s="610" t="s">
        <v>3277</v>
      </c>
      <c r="D200" s="611">
        <v>1340</v>
      </c>
      <c r="E200" s="611">
        <v>0</v>
      </c>
      <c r="F200" s="611">
        <v>1340</v>
      </c>
      <c r="G200" s="611">
        <v>0</v>
      </c>
    </row>
    <row r="201" spans="1:7" hidden="1" outlineLevel="2">
      <c r="A201" s="616" t="s">
        <v>3662</v>
      </c>
      <c r="B201" s="610">
        <v>314102</v>
      </c>
      <c r="C201" s="610" t="s">
        <v>3278</v>
      </c>
      <c r="D201" s="611"/>
      <c r="E201" s="611">
        <v>6755.87</v>
      </c>
      <c r="F201" s="611">
        <v>0</v>
      </c>
      <c r="G201" s="611">
        <v>6755.87</v>
      </c>
    </row>
    <row r="202" spans="1:7" hidden="1" outlineLevel="2">
      <c r="A202" s="616" t="s">
        <v>3662</v>
      </c>
      <c r="B202" s="610">
        <v>314110</v>
      </c>
      <c r="C202" s="610" t="s">
        <v>3279</v>
      </c>
      <c r="D202" s="611">
        <v>0</v>
      </c>
      <c r="E202" s="611">
        <v>0</v>
      </c>
      <c r="F202" s="611">
        <v>0</v>
      </c>
      <c r="G202" s="611">
        <v>0</v>
      </c>
    </row>
    <row r="203" spans="1:7" hidden="1" outlineLevel="2">
      <c r="A203" s="616" t="s">
        <v>3662</v>
      </c>
      <c r="B203" s="610">
        <v>314111</v>
      </c>
      <c r="C203" s="610" t="s">
        <v>3280</v>
      </c>
      <c r="D203" s="611">
        <v>0</v>
      </c>
      <c r="E203" s="611">
        <v>3023</v>
      </c>
      <c r="F203" s="611">
        <v>3023</v>
      </c>
      <c r="G203" s="611">
        <v>0</v>
      </c>
    </row>
    <row r="204" spans="1:7" hidden="1" outlineLevel="2">
      <c r="A204" s="616" t="s">
        <v>3662</v>
      </c>
      <c r="B204" s="610">
        <v>314113</v>
      </c>
      <c r="C204" s="610" t="s">
        <v>3281</v>
      </c>
      <c r="D204" s="611">
        <v>0</v>
      </c>
      <c r="E204" s="611">
        <v>0</v>
      </c>
      <c r="F204" s="611">
        <v>0</v>
      </c>
      <c r="G204" s="611">
        <v>0</v>
      </c>
    </row>
    <row r="205" spans="1:7" hidden="1" outlineLevel="2">
      <c r="A205" s="616" t="s">
        <v>3662</v>
      </c>
      <c r="B205" s="626">
        <v>314114</v>
      </c>
      <c r="C205" s="626" t="s">
        <v>3282</v>
      </c>
      <c r="D205" s="627">
        <v>150000</v>
      </c>
      <c r="E205" s="627">
        <v>0</v>
      </c>
      <c r="F205" s="627">
        <v>150000</v>
      </c>
      <c r="G205" s="627">
        <v>0</v>
      </c>
    </row>
    <row r="206" spans="1:7" hidden="1" outlineLevel="2">
      <c r="A206" s="616" t="s">
        <v>3662</v>
      </c>
      <c r="B206" s="610">
        <v>314120</v>
      </c>
      <c r="C206" s="610" t="s">
        <v>3283</v>
      </c>
      <c r="D206" s="611">
        <v>400</v>
      </c>
      <c r="E206" s="611">
        <v>0</v>
      </c>
      <c r="F206" s="611">
        <v>0</v>
      </c>
      <c r="G206" s="611">
        <v>400</v>
      </c>
    </row>
    <row r="207" spans="1:7" hidden="1" outlineLevel="2">
      <c r="A207" s="616" t="s">
        <v>3662</v>
      </c>
      <c r="B207" s="610">
        <v>314130</v>
      </c>
      <c r="C207" s="610" t="s">
        <v>3284</v>
      </c>
      <c r="D207" s="611">
        <v>49170.47</v>
      </c>
      <c r="E207" s="611">
        <v>0</v>
      </c>
      <c r="F207" s="611">
        <v>49170.47</v>
      </c>
      <c r="G207" s="611">
        <v>0</v>
      </c>
    </row>
    <row r="208" spans="1:7" outlineLevel="1" collapsed="1">
      <c r="A208" s="620" t="s">
        <v>3863</v>
      </c>
      <c r="B208" s="610"/>
      <c r="C208" s="610"/>
      <c r="D208" s="611">
        <f>SUBTOTAL(9,D187:D207)</f>
        <v>908811.35</v>
      </c>
      <c r="E208" s="611">
        <f>SUBTOTAL(9,E187:E207)</f>
        <v>2175366.92</v>
      </c>
      <c r="F208" s="611">
        <f>SUBTOTAL(9,F187:F207)</f>
        <v>2864660.0000000005</v>
      </c>
      <c r="G208" s="611">
        <f>SUBTOTAL(9,G187:G207)</f>
        <v>219518.27</v>
      </c>
    </row>
    <row r="209" spans="1:7" hidden="1" outlineLevel="2">
      <c r="A209" s="616" t="s">
        <v>3663</v>
      </c>
      <c r="B209" s="610">
        <v>315020</v>
      </c>
      <c r="C209" s="610" t="s">
        <v>3285</v>
      </c>
      <c r="D209" s="611">
        <v>282.82</v>
      </c>
      <c r="E209" s="611">
        <v>3277.47</v>
      </c>
      <c r="F209" s="611">
        <v>3560.29</v>
      </c>
      <c r="G209" s="611">
        <v>0</v>
      </c>
    </row>
    <row r="210" spans="1:7" hidden="1" outlineLevel="2">
      <c r="A210" s="616" t="s">
        <v>3663</v>
      </c>
      <c r="B210" s="610">
        <v>315030</v>
      </c>
      <c r="C210" s="610" t="s">
        <v>3286</v>
      </c>
      <c r="D210" s="611">
        <v>0</v>
      </c>
      <c r="E210" s="611">
        <v>0</v>
      </c>
      <c r="F210" s="611">
        <v>0</v>
      </c>
      <c r="G210" s="611">
        <v>0</v>
      </c>
    </row>
    <row r="211" spans="1:7" hidden="1" outlineLevel="2">
      <c r="A211" s="616" t="s">
        <v>3663</v>
      </c>
      <c r="B211" s="610">
        <v>315100</v>
      </c>
      <c r="C211" s="610" t="s">
        <v>3287</v>
      </c>
      <c r="D211" s="611">
        <v>935.27</v>
      </c>
      <c r="E211" s="611">
        <v>0</v>
      </c>
      <c r="F211" s="611">
        <v>935.27</v>
      </c>
      <c r="G211" s="611">
        <v>0</v>
      </c>
    </row>
    <row r="212" spans="1:7" hidden="1" outlineLevel="2">
      <c r="A212" s="616" t="s">
        <v>3663</v>
      </c>
      <c r="B212" s="610">
        <v>315101</v>
      </c>
      <c r="C212" s="610" t="s">
        <v>3288</v>
      </c>
      <c r="D212" s="611">
        <v>145.08000000000001</v>
      </c>
      <c r="E212" s="611">
        <v>0</v>
      </c>
      <c r="F212" s="611">
        <v>0</v>
      </c>
      <c r="G212" s="611">
        <v>145.08000000000001</v>
      </c>
    </row>
    <row r="213" spans="1:7" hidden="1" outlineLevel="2">
      <c r="A213" s="628" t="s">
        <v>3663</v>
      </c>
      <c r="B213" s="626">
        <v>315103</v>
      </c>
      <c r="C213" s="626" t="s">
        <v>3289</v>
      </c>
      <c r="D213" s="627">
        <v>144702.47</v>
      </c>
      <c r="E213" s="627">
        <v>0</v>
      </c>
      <c r="F213" s="627">
        <v>48050.67</v>
      </c>
      <c r="G213" s="627">
        <v>96651.8</v>
      </c>
    </row>
    <row r="214" spans="1:7" hidden="1" outlineLevel="2">
      <c r="A214" s="628" t="s">
        <v>3663</v>
      </c>
      <c r="B214" s="626">
        <v>315104</v>
      </c>
      <c r="C214" s="626" t="s">
        <v>3290</v>
      </c>
      <c r="D214" s="627">
        <v>1056</v>
      </c>
      <c r="E214" s="627">
        <v>1469574</v>
      </c>
      <c r="F214" s="627">
        <v>1470630</v>
      </c>
      <c r="G214" s="627">
        <v>0</v>
      </c>
    </row>
    <row r="215" spans="1:7" hidden="1" outlineLevel="2">
      <c r="A215" s="628" t="s">
        <v>3663</v>
      </c>
      <c r="B215" s="626">
        <v>315107</v>
      </c>
      <c r="C215" s="626" t="s">
        <v>3291</v>
      </c>
      <c r="D215" s="627">
        <v>1787921.6</v>
      </c>
      <c r="E215" s="627">
        <v>110634.56</v>
      </c>
      <c r="F215" s="627">
        <v>0</v>
      </c>
      <c r="G215" s="627">
        <v>1898556.16</v>
      </c>
    </row>
    <row r="216" spans="1:7" outlineLevel="1" collapsed="1">
      <c r="A216" s="620" t="s">
        <v>3864</v>
      </c>
      <c r="B216" s="610"/>
      <c r="C216" s="610"/>
      <c r="D216" s="611">
        <f>SUBTOTAL(9,D209:D215)</f>
        <v>1935043.2400000002</v>
      </c>
      <c r="E216" s="611">
        <f>SUBTOTAL(9,E209:E215)</f>
        <v>1583486.03</v>
      </c>
      <c r="F216" s="611">
        <f>SUBTOTAL(9,F209:F215)</f>
        <v>1523176.23</v>
      </c>
      <c r="G216" s="611">
        <f>SUBTOTAL(9,G209:G215)</f>
        <v>1995353.04</v>
      </c>
    </row>
    <row r="217" spans="1:7" hidden="1" outlineLevel="2">
      <c r="A217" s="616" t="s">
        <v>3664</v>
      </c>
      <c r="B217" s="610">
        <v>321010</v>
      </c>
      <c r="C217" s="610" t="s">
        <v>3292</v>
      </c>
      <c r="D217" s="611">
        <v>6.24</v>
      </c>
      <c r="E217" s="611">
        <v>290.32</v>
      </c>
      <c r="F217" s="611">
        <v>2563.15</v>
      </c>
      <c r="G217" s="611">
        <v>-2266.59</v>
      </c>
    </row>
    <row r="218" spans="1:7" hidden="1" outlineLevel="2">
      <c r="A218" s="628" t="s">
        <v>3664</v>
      </c>
      <c r="B218" s="626">
        <v>321011</v>
      </c>
      <c r="C218" s="626" t="s">
        <v>3293</v>
      </c>
      <c r="D218" s="627">
        <v>0</v>
      </c>
      <c r="E218" s="627">
        <v>0</v>
      </c>
      <c r="F218" s="627">
        <v>95.18</v>
      </c>
      <c r="G218" s="627">
        <v>-95.18</v>
      </c>
    </row>
    <row r="219" spans="1:7" hidden="1" outlineLevel="2">
      <c r="A219" s="616" t="s">
        <v>3664</v>
      </c>
      <c r="B219" s="610">
        <v>321020</v>
      </c>
      <c r="C219" s="610" t="s">
        <v>3294</v>
      </c>
      <c r="D219" s="611">
        <v>0</v>
      </c>
      <c r="E219" s="611">
        <v>3313.66</v>
      </c>
      <c r="F219" s="611">
        <v>4071.55</v>
      </c>
      <c r="G219" s="611">
        <v>-757.89</v>
      </c>
    </row>
    <row r="220" spans="1:7" hidden="1" outlineLevel="2">
      <c r="A220" s="628" t="s">
        <v>3664</v>
      </c>
      <c r="B220" s="626">
        <v>321021</v>
      </c>
      <c r="C220" s="626" t="s">
        <v>3295</v>
      </c>
      <c r="D220" s="627">
        <v>0</v>
      </c>
      <c r="E220" s="627">
        <v>0</v>
      </c>
      <c r="F220" s="627">
        <v>2135.27</v>
      </c>
      <c r="G220" s="627">
        <v>-2135.27</v>
      </c>
    </row>
    <row r="221" spans="1:7" hidden="1" outlineLevel="2">
      <c r="A221" s="616" t="s">
        <v>3664</v>
      </c>
      <c r="B221" s="610">
        <v>321040</v>
      </c>
      <c r="C221" s="610" t="s">
        <v>3296</v>
      </c>
      <c r="D221" s="611">
        <v>-20210.7</v>
      </c>
      <c r="E221" s="611">
        <v>2297236.42</v>
      </c>
      <c r="F221" s="611">
        <v>2281294.34</v>
      </c>
      <c r="G221" s="611">
        <v>-4268.62</v>
      </c>
    </row>
    <row r="222" spans="1:7" hidden="1" outlineLevel="2">
      <c r="A222" s="628" t="s">
        <v>3664</v>
      </c>
      <c r="B222" s="626">
        <v>321041</v>
      </c>
      <c r="C222" s="626" t="s">
        <v>3297</v>
      </c>
      <c r="D222" s="627">
        <v>-1387147.69</v>
      </c>
      <c r="E222" s="627">
        <v>12309223.869999999</v>
      </c>
      <c r="F222" s="627">
        <v>11769230.48</v>
      </c>
      <c r="G222" s="627">
        <v>-847154.3</v>
      </c>
    </row>
    <row r="223" spans="1:7" hidden="1" outlineLevel="2">
      <c r="A223" s="616" t="s">
        <v>3664</v>
      </c>
      <c r="B223" s="610">
        <v>321050</v>
      </c>
      <c r="C223" s="610" t="s">
        <v>3298</v>
      </c>
      <c r="D223" s="611">
        <v>-1533481.92</v>
      </c>
      <c r="E223" s="611">
        <v>10914296.550000001</v>
      </c>
      <c r="F223" s="611">
        <v>9621796.5999999996</v>
      </c>
      <c r="G223" s="611">
        <v>-240981.97</v>
      </c>
    </row>
    <row r="224" spans="1:7" hidden="1" outlineLevel="2">
      <c r="A224" s="628" t="s">
        <v>3664</v>
      </c>
      <c r="B224" s="626">
        <v>321051</v>
      </c>
      <c r="C224" s="626" t="s">
        <v>3299</v>
      </c>
      <c r="D224" s="627">
        <v>-701792.52</v>
      </c>
      <c r="E224" s="627">
        <v>1881808.1</v>
      </c>
      <c r="F224" s="627">
        <v>1342198.87</v>
      </c>
      <c r="G224" s="627">
        <v>-162183.29</v>
      </c>
    </row>
    <row r="225" spans="1:7" hidden="1" outlineLevel="2">
      <c r="A225" s="616" t="s">
        <v>3664</v>
      </c>
      <c r="B225" s="610">
        <v>321100</v>
      </c>
      <c r="C225" s="610" t="s">
        <v>3300</v>
      </c>
      <c r="D225" s="611">
        <v>90.45</v>
      </c>
      <c r="E225" s="611">
        <v>8533.48</v>
      </c>
      <c r="F225" s="611">
        <v>181.38</v>
      </c>
      <c r="G225" s="611">
        <v>8442.5499999999993</v>
      </c>
    </row>
    <row r="226" spans="1:7" hidden="1" outlineLevel="2">
      <c r="A226" s="616" t="s">
        <v>3664</v>
      </c>
      <c r="B226" s="610">
        <v>321110</v>
      </c>
      <c r="C226" s="610" t="s">
        <v>3301</v>
      </c>
      <c r="D226" s="611">
        <v>-42263.98</v>
      </c>
      <c r="E226" s="611">
        <v>44185.01</v>
      </c>
      <c r="F226" s="611">
        <v>139.08000000000001</v>
      </c>
      <c r="G226" s="611">
        <v>1781.95</v>
      </c>
    </row>
    <row r="227" spans="1:7" hidden="1" outlineLevel="2">
      <c r="A227" s="628" t="s">
        <v>3664</v>
      </c>
      <c r="B227" s="626">
        <v>321140</v>
      </c>
      <c r="C227" s="626" t="s">
        <v>3302</v>
      </c>
      <c r="D227" s="627">
        <v>0</v>
      </c>
      <c r="E227" s="627">
        <v>399.31</v>
      </c>
      <c r="F227" s="627">
        <v>611.79</v>
      </c>
      <c r="G227" s="627">
        <v>-212.48</v>
      </c>
    </row>
    <row r="228" spans="1:7" hidden="1" outlineLevel="2">
      <c r="A228" s="616" t="s">
        <v>3664</v>
      </c>
      <c r="B228" s="610">
        <v>321200</v>
      </c>
      <c r="C228" s="610" t="s">
        <v>3303</v>
      </c>
      <c r="D228" s="611">
        <v>0</v>
      </c>
      <c r="E228" s="611">
        <v>8.76</v>
      </c>
      <c r="F228" s="611">
        <v>0</v>
      </c>
      <c r="G228" s="611">
        <v>8.76</v>
      </c>
    </row>
    <row r="229" spans="1:7" hidden="1" outlineLevel="2">
      <c r="A229" s="616" t="s">
        <v>3664</v>
      </c>
      <c r="B229" s="610">
        <v>321210</v>
      </c>
      <c r="C229" s="610" t="s">
        <v>3304</v>
      </c>
      <c r="D229" s="611">
        <v>0</v>
      </c>
      <c r="E229" s="611">
        <v>0</v>
      </c>
      <c r="F229" s="611">
        <v>2.6</v>
      </c>
      <c r="G229" s="611">
        <v>-2.6</v>
      </c>
    </row>
    <row r="230" spans="1:7" outlineLevel="1" collapsed="1">
      <c r="A230" s="620" t="s">
        <v>3865</v>
      </c>
      <c r="B230" s="610"/>
      <c r="C230" s="610"/>
      <c r="D230" s="611">
        <f>SUBTOTAL(9,D217:D229)</f>
        <v>-3684800.1199999996</v>
      </c>
      <c r="E230" s="611">
        <f>SUBTOTAL(9,E217:E229)</f>
        <v>27459295.480000004</v>
      </c>
      <c r="F230" s="611">
        <f>SUBTOTAL(9,F217:F229)</f>
        <v>25024320.289999999</v>
      </c>
      <c r="G230" s="611">
        <f>SUBTOTAL(9,G217:G229)</f>
        <v>-1249824.9300000002</v>
      </c>
    </row>
    <row r="231" spans="1:7" hidden="1" outlineLevel="2">
      <c r="A231" s="616" t="s">
        <v>3665</v>
      </c>
      <c r="B231" s="610">
        <v>323010</v>
      </c>
      <c r="C231" s="610" t="s">
        <v>3305</v>
      </c>
      <c r="D231" s="611">
        <v>-5282.52</v>
      </c>
      <c r="E231" s="611">
        <v>5282.52</v>
      </c>
      <c r="F231" s="611">
        <v>0</v>
      </c>
      <c r="G231" s="611">
        <v>0</v>
      </c>
    </row>
    <row r="232" spans="1:7" hidden="1" outlineLevel="2">
      <c r="A232" s="616" t="s">
        <v>3665</v>
      </c>
      <c r="B232" s="610">
        <v>323020</v>
      </c>
      <c r="C232" s="610" t="s">
        <v>3306</v>
      </c>
      <c r="D232" s="611">
        <v>0</v>
      </c>
      <c r="E232" s="611">
        <v>0</v>
      </c>
      <c r="F232" s="611">
        <v>10650</v>
      </c>
      <c r="G232" s="611">
        <v>-10650</v>
      </c>
    </row>
    <row r="233" spans="1:7" hidden="1" outlineLevel="2">
      <c r="A233" s="616" t="s">
        <v>3665</v>
      </c>
      <c r="B233" s="610">
        <v>323050</v>
      </c>
      <c r="C233" s="610" t="s">
        <v>3307</v>
      </c>
      <c r="D233" s="611">
        <v>0</v>
      </c>
      <c r="E233" s="611">
        <v>0</v>
      </c>
      <c r="F233" s="611">
        <v>0</v>
      </c>
      <c r="G233" s="611">
        <v>0</v>
      </c>
    </row>
    <row r="234" spans="1:7" hidden="1" outlineLevel="2">
      <c r="A234" s="616" t="s">
        <v>3665</v>
      </c>
      <c r="B234" s="610">
        <v>323060</v>
      </c>
      <c r="C234" s="610" t="s">
        <v>3308</v>
      </c>
      <c r="D234" s="611">
        <v>-524236.95</v>
      </c>
      <c r="E234" s="611">
        <v>597557.72</v>
      </c>
      <c r="F234" s="611">
        <v>301111.71999999997</v>
      </c>
      <c r="G234" s="611">
        <v>-227790.95</v>
      </c>
    </row>
    <row r="235" spans="1:7" hidden="1" outlineLevel="2">
      <c r="A235" s="616" t="s">
        <v>3665</v>
      </c>
      <c r="B235" s="610">
        <v>323070</v>
      </c>
      <c r="C235" s="610" t="s">
        <v>3309</v>
      </c>
      <c r="D235" s="611">
        <v>0</v>
      </c>
      <c r="E235" s="611">
        <v>0</v>
      </c>
      <c r="F235" s="611">
        <v>0</v>
      </c>
      <c r="G235" s="611">
        <v>0</v>
      </c>
    </row>
    <row r="236" spans="1:7" hidden="1" outlineLevel="2">
      <c r="A236" s="616" t="s">
        <v>3665</v>
      </c>
      <c r="B236" s="610">
        <v>323071</v>
      </c>
      <c r="C236" s="610" t="s">
        <v>3310</v>
      </c>
      <c r="D236" s="611"/>
      <c r="E236" s="611">
        <v>857749.18</v>
      </c>
      <c r="F236" s="611">
        <v>857749.18</v>
      </c>
      <c r="G236" s="611">
        <v>0</v>
      </c>
    </row>
    <row r="237" spans="1:7" hidden="1" outlineLevel="2">
      <c r="A237" s="616" t="s">
        <v>3665</v>
      </c>
      <c r="B237" s="610">
        <v>323072</v>
      </c>
      <c r="C237" s="610" t="s">
        <v>3311</v>
      </c>
      <c r="D237" s="611">
        <v>0</v>
      </c>
      <c r="E237" s="611">
        <v>405194</v>
      </c>
      <c r="F237" s="611">
        <v>405194</v>
      </c>
      <c r="G237" s="611">
        <v>0</v>
      </c>
    </row>
    <row r="238" spans="1:7" hidden="1" outlineLevel="2">
      <c r="A238" s="616" t="s">
        <v>3665</v>
      </c>
      <c r="B238" s="610">
        <v>323080</v>
      </c>
      <c r="C238" s="610" t="s">
        <v>3312</v>
      </c>
      <c r="D238" s="611">
        <v>0</v>
      </c>
      <c r="E238" s="611">
        <v>0</v>
      </c>
      <c r="F238" s="611">
        <v>0</v>
      </c>
      <c r="G238" s="611">
        <v>0</v>
      </c>
    </row>
    <row r="239" spans="1:7" outlineLevel="1" collapsed="1">
      <c r="A239" s="620" t="s">
        <v>3866</v>
      </c>
      <c r="B239" s="610"/>
      <c r="C239" s="610"/>
      <c r="D239" s="611">
        <f>SUBTOTAL(9,D231:D238)</f>
        <v>-529519.47</v>
      </c>
      <c r="E239" s="611">
        <f>SUBTOTAL(9,E231:E238)</f>
        <v>1865783.42</v>
      </c>
      <c r="F239" s="611">
        <f>SUBTOTAL(9,F231:F238)</f>
        <v>1574704.9</v>
      </c>
      <c r="G239" s="611">
        <f>SUBTOTAL(9,G231:G238)</f>
        <v>-238440.95</v>
      </c>
    </row>
    <row r="240" spans="1:7" hidden="1" outlineLevel="2">
      <c r="A240" s="616" t="s">
        <v>3666</v>
      </c>
      <c r="B240" s="610">
        <v>324010</v>
      </c>
      <c r="C240" s="610" t="s">
        <v>3313</v>
      </c>
      <c r="D240" s="611">
        <v>0</v>
      </c>
      <c r="E240" s="611">
        <v>0</v>
      </c>
      <c r="F240" s="611">
        <v>0</v>
      </c>
      <c r="G240" s="611">
        <v>0</v>
      </c>
    </row>
    <row r="241" spans="1:7" hidden="1" outlineLevel="2">
      <c r="A241" s="616" t="s">
        <v>3666</v>
      </c>
      <c r="B241" s="610">
        <v>324020</v>
      </c>
      <c r="C241" s="610" t="s">
        <v>3314</v>
      </c>
      <c r="D241" s="611">
        <v>0</v>
      </c>
      <c r="E241" s="611">
        <v>0</v>
      </c>
      <c r="F241" s="611">
        <v>0</v>
      </c>
      <c r="G241" s="611">
        <v>0</v>
      </c>
    </row>
    <row r="242" spans="1:7" hidden="1" outlineLevel="2">
      <c r="A242" s="628" t="s">
        <v>3666</v>
      </c>
      <c r="B242" s="626">
        <v>324031</v>
      </c>
      <c r="C242" s="626" t="s">
        <v>3315</v>
      </c>
      <c r="D242" s="627">
        <v>0</v>
      </c>
      <c r="E242" s="627">
        <v>0</v>
      </c>
      <c r="F242" s="627">
        <v>0</v>
      </c>
      <c r="G242" s="627">
        <v>0</v>
      </c>
    </row>
    <row r="243" spans="1:7" hidden="1" outlineLevel="2">
      <c r="A243" s="616" t="s">
        <v>3666</v>
      </c>
      <c r="B243" s="610">
        <v>324040</v>
      </c>
      <c r="C243" s="610" t="s">
        <v>3316</v>
      </c>
      <c r="D243" s="611">
        <v>-1050389.6100000001</v>
      </c>
      <c r="E243" s="611">
        <v>1050389.6100000001</v>
      </c>
      <c r="F243" s="611">
        <v>6400</v>
      </c>
      <c r="G243" s="611">
        <v>-6400</v>
      </c>
    </row>
    <row r="244" spans="1:7" hidden="1" outlineLevel="2">
      <c r="A244" s="628" t="s">
        <v>3666</v>
      </c>
      <c r="B244" s="626">
        <v>324042</v>
      </c>
      <c r="C244" s="626" t="s">
        <v>3317</v>
      </c>
      <c r="D244" s="627"/>
      <c r="E244" s="627">
        <v>7074898.1699999999</v>
      </c>
      <c r="F244" s="627">
        <v>7074898.1699999999</v>
      </c>
      <c r="G244" s="627">
        <v>0</v>
      </c>
    </row>
    <row r="245" spans="1:7" hidden="1" outlineLevel="2">
      <c r="A245" s="616" t="s">
        <v>3666</v>
      </c>
      <c r="B245" s="610">
        <v>324100</v>
      </c>
      <c r="C245" s="610" t="s">
        <v>3318</v>
      </c>
      <c r="D245" s="611">
        <v>0</v>
      </c>
      <c r="E245" s="611">
        <v>0</v>
      </c>
      <c r="F245" s="611">
        <v>0</v>
      </c>
      <c r="G245" s="611">
        <v>0</v>
      </c>
    </row>
    <row r="246" spans="1:7" hidden="1" outlineLevel="2">
      <c r="A246" s="616" t="s">
        <v>3666</v>
      </c>
      <c r="B246" s="610">
        <v>324102</v>
      </c>
      <c r="C246" s="610" t="s">
        <v>3319</v>
      </c>
      <c r="D246" s="611">
        <v>-560873.26</v>
      </c>
      <c r="E246" s="611">
        <v>486460.44</v>
      </c>
      <c r="F246" s="611">
        <v>0</v>
      </c>
      <c r="G246" s="611">
        <v>-74412.820000000007</v>
      </c>
    </row>
    <row r="247" spans="1:7" hidden="1" outlineLevel="2">
      <c r="A247" s="616" t="s">
        <v>3666</v>
      </c>
      <c r="B247" s="610">
        <v>324111</v>
      </c>
      <c r="C247" s="610" t="s">
        <v>3320</v>
      </c>
      <c r="D247" s="611">
        <v>0</v>
      </c>
      <c r="E247" s="611">
        <v>0</v>
      </c>
      <c r="F247" s="611">
        <v>0</v>
      </c>
      <c r="G247" s="611">
        <v>0</v>
      </c>
    </row>
    <row r="248" spans="1:7" outlineLevel="1" collapsed="1">
      <c r="A248" s="620" t="s">
        <v>3867</v>
      </c>
      <c r="B248" s="610"/>
      <c r="C248" s="610"/>
      <c r="D248" s="611">
        <f>SUBTOTAL(9,D240:D247)</f>
        <v>-1611262.87</v>
      </c>
      <c r="E248" s="611">
        <f>SUBTOTAL(9,E240:E247)</f>
        <v>8611748.2200000007</v>
      </c>
      <c r="F248" s="611">
        <f>SUBTOTAL(9,F240:F247)</f>
        <v>7081298.1699999999</v>
      </c>
      <c r="G248" s="611">
        <f>SUBTOTAL(9,G240:G247)</f>
        <v>-80812.820000000007</v>
      </c>
    </row>
    <row r="249" spans="1:7" hidden="1" outlineLevel="2">
      <c r="A249" s="616" t="s">
        <v>3667</v>
      </c>
      <c r="B249" s="610">
        <v>325010</v>
      </c>
      <c r="C249" s="610" t="s">
        <v>3321</v>
      </c>
      <c r="D249" s="611">
        <v>-8050.67</v>
      </c>
      <c r="E249" s="611">
        <v>8050.67</v>
      </c>
      <c r="F249" s="611">
        <v>0</v>
      </c>
      <c r="G249" s="611">
        <v>0</v>
      </c>
    </row>
    <row r="250" spans="1:7" hidden="1" outlineLevel="2">
      <c r="A250" s="616" t="s">
        <v>3667</v>
      </c>
      <c r="B250" s="610">
        <v>325012</v>
      </c>
      <c r="C250" s="610" t="s">
        <v>3322</v>
      </c>
      <c r="D250" s="611">
        <v>0</v>
      </c>
      <c r="E250" s="611">
        <v>0</v>
      </c>
      <c r="F250" s="611">
        <v>0</v>
      </c>
      <c r="G250" s="611">
        <v>0</v>
      </c>
    </row>
    <row r="251" spans="1:7" hidden="1" outlineLevel="2">
      <c r="A251" s="616" t="s">
        <v>3667</v>
      </c>
      <c r="B251" s="610">
        <v>325013</v>
      </c>
      <c r="C251" s="610" t="s">
        <v>3323</v>
      </c>
      <c r="D251" s="611">
        <v>-375406.11</v>
      </c>
      <c r="E251" s="611">
        <v>2711660.07</v>
      </c>
      <c r="F251" s="611">
        <v>2336253.9500000002</v>
      </c>
      <c r="G251" s="611">
        <v>0.01</v>
      </c>
    </row>
    <row r="252" spans="1:7" hidden="1" outlineLevel="2">
      <c r="A252" s="616" t="s">
        <v>3667</v>
      </c>
      <c r="B252" s="610">
        <v>325104</v>
      </c>
      <c r="C252" s="610" t="s">
        <v>3324</v>
      </c>
      <c r="D252" s="611"/>
      <c r="E252" s="611">
        <v>120000</v>
      </c>
      <c r="F252" s="611">
        <v>120000</v>
      </c>
      <c r="G252" s="611">
        <v>0</v>
      </c>
    </row>
    <row r="253" spans="1:7" hidden="1" outlineLevel="2">
      <c r="A253" s="616" t="s">
        <v>3667</v>
      </c>
      <c r="B253" s="610">
        <v>325109</v>
      </c>
      <c r="C253" s="610" t="s">
        <v>3325</v>
      </c>
      <c r="D253" s="611">
        <v>-563553.59</v>
      </c>
      <c r="E253" s="611">
        <v>563553.59</v>
      </c>
      <c r="F253" s="611">
        <v>0</v>
      </c>
      <c r="G253" s="611">
        <v>0</v>
      </c>
    </row>
    <row r="254" spans="1:7" hidden="1" outlineLevel="2">
      <c r="A254" s="616" t="s">
        <v>3667</v>
      </c>
      <c r="B254" s="610">
        <v>325120</v>
      </c>
      <c r="C254" s="610" t="s">
        <v>3326</v>
      </c>
      <c r="D254" s="611">
        <v>0</v>
      </c>
      <c r="E254" s="611">
        <v>0</v>
      </c>
      <c r="F254" s="611">
        <v>0</v>
      </c>
      <c r="G254" s="611">
        <v>0</v>
      </c>
    </row>
    <row r="255" spans="1:7" outlineLevel="1" collapsed="1">
      <c r="A255" s="620" t="s">
        <v>3868</v>
      </c>
      <c r="B255" s="610"/>
      <c r="C255" s="610"/>
      <c r="D255" s="611">
        <f>SUBTOTAL(9,D249:D254)</f>
        <v>-947010.36999999988</v>
      </c>
      <c r="E255" s="611">
        <f>SUBTOTAL(9,E249:E254)</f>
        <v>3403264.3299999996</v>
      </c>
      <c r="F255" s="611">
        <f>SUBTOTAL(9,F249:F254)</f>
        <v>2456253.9500000002</v>
      </c>
      <c r="G255" s="611">
        <f>SUBTOTAL(9,G249:G254)</f>
        <v>0.01</v>
      </c>
    </row>
    <row r="256" spans="1:7" hidden="1" outlineLevel="2">
      <c r="A256" s="616" t="s">
        <v>3668</v>
      </c>
      <c r="B256" s="610">
        <v>326010</v>
      </c>
      <c r="C256" s="610" t="s">
        <v>3327</v>
      </c>
      <c r="D256" s="611">
        <v>-29445.33</v>
      </c>
      <c r="E256" s="611">
        <v>442381.14</v>
      </c>
      <c r="F256" s="611">
        <v>412935.81</v>
      </c>
      <c r="G256" s="611">
        <v>0</v>
      </c>
    </row>
    <row r="257" spans="1:7" hidden="1" outlineLevel="2">
      <c r="A257" s="616" t="s">
        <v>3668</v>
      </c>
      <c r="B257" s="610">
        <v>326011</v>
      </c>
      <c r="C257" s="610" t="s">
        <v>3328</v>
      </c>
      <c r="D257" s="611">
        <v>0</v>
      </c>
      <c r="E257" s="611">
        <v>0</v>
      </c>
      <c r="F257" s="611">
        <v>0</v>
      </c>
      <c r="G257" s="611">
        <v>0</v>
      </c>
    </row>
    <row r="258" spans="1:7" hidden="1" outlineLevel="2">
      <c r="A258" s="616" t="s">
        <v>3668</v>
      </c>
      <c r="B258" s="610">
        <v>326101</v>
      </c>
      <c r="C258" s="610" t="s">
        <v>3329</v>
      </c>
      <c r="D258" s="611">
        <v>0</v>
      </c>
      <c r="E258" s="611">
        <v>0</v>
      </c>
      <c r="F258" s="611">
        <v>0</v>
      </c>
      <c r="G258" s="611">
        <v>0</v>
      </c>
    </row>
    <row r="259" spans="1:7" hidden="1" outlineLevel="2">
      <c r="A259" s="616" t="s">
        <v>3668</v>
      </c>
      <c r="B259" s="610">
        <v>326102</v>
      </c>
      <c r="C259" s="610" t="s">
        <v>3330</v>
      </c>
      <c r="D259" s="611">
        <v>0</v>
      </c>
      <c r="E259" s="611">
        <v>0</v>
      </c>
      <c r="F259" s="611">
        <v>0</v>
      </c>
      <c r="G259" s="611">
        <v>0</v>
      </c>
    </row>
    <row r="260" spans="1:7" hidden="1" outlineLevel="2">
      <c r="A260" s="616" t="s">
        <v>3668</v>
      </c>
      <c r="B260" s="610">
        <v>326103</v>
      </c>
      <c r="C260" s="610" t="s">
        <v>3331</v>
      </c>
      <c r="D260" s="611">
        <v>-8.64</v>
      </c>
      <c r="E260" s="611">
        <v>7877.43</v>
      </c>
      <c r="F260" s="611">
        <v>7868.79</v>
      </c>
      <c r="G260" s="611">
        <v>0</v>
      </c>
    </row>
    <row r="261" spans="1:7" hidden="1" outlineLevel="2">
      <c r="A261" s="616" t="s">
        <v>3668</v>
      </c>
      <c r="B261" s="610">
        <v>326104</v>
      </c>
      <c r="C261" s="610" t="s">
        <v>3332</v>
      </c>
      <c r="D261" s="611">
        <v>-119974.48</v>
      </c>
      <c r="E261" s="611">
        <v>124279.48</v>
      </c>
      <c r="F261" s="611">
        <v>4305</v>
      </c>
      <c r="G261" s="611">
        <v>0</v>
      </c>
    </row>
    <row r="262" spans="1:7" outlineLevel="1" collapsed="1">
      <c r="A262" s="620" t="s">
        <v>3869</v>
      </c>
      <c r="B262" s="610"/>
      <c r="C262" s="610"/>
      <c r="D262" s="611">
        <f>SUBTOTAL(9,D256:D261)</f>
        <v>-149428.45000000001</v>
      </c>
      <c r="E262" s="611">
        <f>SUBTOTAL(9,E256:E261)</f>
        <v>574538.05000000005</v>
      </c>
      <c r="F262" s="611">
        <f>SUBTOTAL(9,F256:F261)</f>
        <v>425109.6</v>
      </c>
      <c r="G262" s="611">
        <f>SUBTOTAL(9,G256:G261)</f>
        <v>0</v>
      </c>
    </row>
    <row r="263" spans="1:7" hidden="1" outlineLevel="2">
      <c r="A263" s="616" t="s">
        <v>3669</v>
      </c>
      <c r="B263" s="610">
        <v>331010</v>
      </c>
      <c r="C263" s="610" t="s">
        <v>3333</v>
      </c>
      <c r="D263" s="611">
        <v>-10034.620000000001</v>
      </c>
      <c r="E263" s="611">
        <v>185686.26</v>
      </c>
      <c r="F263" s="611">
        <v>187309.65</v>
      </c>
      <c r="G263" s="611">
        <v>-11658.01</v>
      </c>
    </row>
    <row r="264" spans="1:7" hidden="1" outlineLevel="2">
      <c r="A264" s="616" t="s">
        <v>3669</v>
      </c>
      <c r="B264" s="610">
        <v>331040</v>
      </c>
      <c r="C264" s="610" t="s">
        <v>3334</v>
      </c>
      <c r="D264" s="611">
        <v>0</v>
      </c>
      <c r="E264" s="611">
        <v>0</v>
      </c>
      <c r="F264" s="611">
        <v>0</v>
      </c>
      <c r="G264" s="611">
        <v>0</v>
      </c>
    </row>
    <row r="265" spans="1:7" hidden="1" outlineLevel="2">
      <c r="A265" s="616" t="s">
        <v>3669</v>
      </c>
      <c r="B265" s="610">
        <v>331110</v>
      </c>
      <c r="C265" s="610" t="s">
        <v>3335</v>
      </c>
      <c r="D265" s="611"/>
      <c r="E265" s="611">
        <v>0</v>
      </c>
      <c r="F265" s="611">
        <v>23</v>
      </c>
      <c r="G265" s="611">
        <v>-23</v>
      </c>
    </row>
    <row r="266" spans="1:7" hidden="1" outlineLevel="2">
      <c r="A266" s="616" t="s">
        <v>3669</v>
      </c>
      <c r="B266" s="610">
        <v>331700</v>
      </c>
      <c r="C266" s="610" t="s">
        <v>3336</v>
      </c>
      <c r="D266" s="611">
        <v>0</v>
      </c>
      <c r="E266" s="611">
        <v>0</v>
      </c>
      <c r="F266" s="611">
        <v>0</v>
      </c>
      <c r="G266" s="611">
        <v>0</v>
      </c>
    </row>
    <row r="267" spans="1:7" outlineLevel="1" collapsed="1">
      <c r="A267" s="620" t="s">
        <v>3870</v>
      </c>
      <c r="B267" s="610"/>
      <c r="C267" s="610"/>
      <c r="D267" s="611">
        <f>SUBTOTAL(9,D263:D266)</f>
        <v>-10034.620000000001</v>
      </c>
      <c r="E267" s="611">
        <f>SUBTOTAL(9,E263:E266)</f>
        <v>185686.26</v>
      </c>
      <c r="F267" s="611">
        <f>SUBTOTAL(9,F263:F266)</f>
        <v>187332.65</v>
      </c>
      <c r="G267" s="611">
        <f>SUBTOTAL(9,G263:G266)</f>
        <v>-11681.01</v>
      </c>
    </row>
    <row r="268" spans="1:7" hidden="1" outlineLevel="2">
      <c r="A268" s="616" t="s">
        <v>3670</v>
      </c>
      <c r="B268" s="610">
        <v>333010</v>
      </c>
      <c r="C268" s="610" t="s">
        <v>3337</v>
      </c>
      <c r="D268" s="611">
        <v>-10.199999999999999</v>
      </c>
      <c r="E268" s="611">
        <v>10.199999999999999</v>
      </c>
      <c r="F268" s="611">
        <v>0</v>
      </c>
      <c r="G268" s="611">
        <v>0</v>
      </c>
    </row>
    <row r="269" spans="1:7" hidden="1" outlineLevel="2">
      <c r="A269" s="616" t="s">
        <v>3670</v>
      </c>
      <c r="B269" s="610">
        <v>333011</v>
      </c>
      <c r="C269" s="610" t="s">
        <v>3338</v>
      </c>
      <c r="D269" s="611"/>
      <c r="E269" s="611">
        <v>1502.49</v>
      </c>
      <c r="F269" s="611">
        <v>1639.33</v>
      </c>
      <c r="G269" s="611">
        <v>-136.84</v>
      </c>
    </row>
    <row r="270" spans="1:7" hidden="1" outlineLevel="2">
      <c r="A270" s="616" t="s">
        <v>3670</v>
      </c>
      <c r="B270" s="610">
        <v>333012</v>
      </c>
      <c r="C270" s="610" t="s">
        <v>3339</v>
      </c>
      <c r="D270" s="611"/>
      <c r="E270" s="611">
        <v>1533.75</v>
      </c>
      <c r="F270" s="611">
        <v>1594.98</v>
      </c>
      <c r="G270" s="611">
        <v>-61.23</v>
      </c>
    </row>
    <row r="271" spans="1:7" hidden="1" outlineLevel="2">
      <c r="A271" s="616" t="s">
        <v>3670</v>
      </c>
      <c r="B271" s="610">
        <v>333013</v>
      </c>
      <c r="C271" s="610" t="s">
        <v>3340</v>
      </c>
      <c r="D271" s="611"/>
      <c r="E271" s="611">
        <v>280.27999999999997</v>
      </c>
      <c r="F271" s="611">
        <v>280.27999999999997</v>
      </c>
      <c r="G271" s="611">
        <v>0</v>
      </c>
    </row>
    <row r="272" spans="1:7" hidden="1" outlineLevel="2">
      <c r="A272" s="616" t="s">
        <v>3670</v>
      </c>
      <c r="B272" s="610">
        <v>333014</v>
      </c>
      <c r="C272" s="610" t="s">
        <v>3341</v>
      </c>
      <c r="D272" s="611"/>
      <c r="E272" s="611">
        <v>954.35</v>
      </c>
      <c r="F272" s="611">
        <v>954.35</v>
      </c>
      <c r="G272" s="611">
        <v>0</v>
      </c>
    </row>
    <row r="273" spans="1:7" hidden="1" outlineLevel="2">
      <c r="A273" s="616" t="s">
        <v>3670</v>
      </c>
      <c r="B273" s="610">
        <v>333015</v>
      </c>
      <c r="C273" s="610" t="s">
        <v>3342</v>
      </c>
      <c r="D273" s="611"/>
      <c r="E273" s="611">
        <v>1522.72</v>
      </c>
      <c r="F273" s="611">
        <v>1672.41</v>
      </c>
      <c r="G273" s="611">
        <v>-149.69</v>
      </c>
    </row>
    <row r="274" spans="1:7" hidden="1" outlineLevel="2">
      <c r="A274" s="616" t="s">
        <v>3670</v>
      </c>
      <c r="B274" s="610">
        <v>333016</v>
      </c>
      <c r="C274" s="610" t="s">
        <v>3343</v>
      </c>
      <c r="D274" s="611"/>
      <c r="E274" s="611">
        <v>109.58</v>
      </c>
      <c r="F274" s="611">
        <v>109.58</v>
      </c>
      <c r="G274" s="611">
        <v>0</v>
      </c>
    </row>
    <row r="275" spans="1:7" hidden="1" outlineLevel="2">
      <c r="A275" s="616" t="s">
        <v>3670</v>
      </c>
      <c r="B275" s="610">
        <v>333017</v>
      </c>
      <c r="C275" s="610" t="s">
        <v>3344</v>
      </c>
      <c r="D275" s="611"/>
      <c r="E275" s="611">
        <v>17.7</v>
      </c>
      <c r="F275" s="611">
        <v>17.7</v>
      </c>
      <c r="G275" s="611">
        <v>0</v>
      </c>
    </row>
    <row r="276" spans="1:7" hidden="1" outlineLevel="2">
      <c r="A276" s="616" t="s">
        <v>3670</v>
      </c>
      <c r="B276" s="610">
        <v>333021</v>
      </c>
      <c r="C276" s="610" t="s">
        <v>3345</v>
      </c>
      <c r="D276" s="611"/>
      <c r="E276" s="611">
        <v>20</v>
      </c>
      <c r="F276" s="611">
        <v>20</v>
      </c>
      <c r="G276" s="611">
        <v>0</v>
      </c>
    </row>
    <row r="277" spans="1:7" hidden="1" outlineLevel="2">
      <c r="A277" s="616" t="s">
        <v>3670</v>
      </c>
      <c r="B277" s="610">
        <v>333100</v>
      </c>
      <c r="C277" s="610" t="s">
        <v>3346</v>
      </c>
      <c r="D277" s="611">
        <v>0</v>
      </c>
      <c r="E277" s="611">
        <v>0</v>
      </c>
      <c r="F277" s="611">
        <v>0</v>
      </c>
      <c r="G277" s="611">
        <v>0</v>
      </c>
    </row>
    <row r="278" spans="1:7" outlineLevel="1" collapsed="1">
      <c r="A278" s="620" t="s">
        <v>3871</v>
      </c>
      <c r="B278" s="610"/>
      <c r="C278" s="610"/>
      <c r="D278" s="611">
        <f>SUBTOTAL(9,D268:D277)</f>
        <v>-10.199999999999999</v>
      </c>
      <c r="E278" s="611">
        <f>SUBTOTAL(9,E268:E277)</f>
        <v>5951.0700000000006</v>
      </c>
      <c r="F278" s="611">
        <f>SUBTOTAL(9,F268:F277)</f>
        <v>6288.63</v>
      </c>
      <c r="G278" s="611">
        <f>SUBTOTAL(9,G268:G277)</f>
        <v>-347.76</v>
      </c>
    </row>
    <row r="279" spans="1:7" hidden="1" outlineLevel="2">
      <c r="A279" s="616" t="s">
        <v>3671</v>
      </c>
      <c r="B279" s="610">
        <v>335010</v>
      </c>
      <c r="C279" s="610" t="s">
        <v>3347</v>
      </c>
      <c r="D279" s="611">
        <v>0</v>
      </c>
      <c r="E279" s="611">
        <v>398.55</v>
      </c>
      <c r="F279" s="611">
        <v>325</v>
      </c>
      <c r="G279" s="611">
        <v>73.55</v>
      </c>
    </row>
    <row r="280" spans="1:7" hidden="1" outlineLevel="2">
      <c r="A280" s="616" t="s">
        <v>3671</v>
      </c>
      <c r="B280" s="610">
        <v>335011</v>
      </c>
      <c r="C280" s="610" t="s">
        <v>3348</v>
      </c>
      <c r="D280" s="611">
        <v>0</v>
      </c>
      <c r="E280" s="611">
        <v>0</v>
      </c>
      <c r="F280" s="611">
        <v>0</v>
      </c>
      <c r="G280" s="611">
        <v>0</v>
      </c>
    </row>
    <row r="281" spans="1:7" hidden="1" outlineLevel="2">
      <c r="A281" s="616" t="s">
        <v>3671</v>
      </c>
      <c r="B281" s="610">
        <v>335012</v>
      </c>
      <c r="C281" s="610" t="s">
        <v>3349</v>
      </c>
      <c r="D281" s="611"/>
      <c r="E281" s="611">
        <v>211</v>
      </c>
      <c r="F281" s="611">
        <v>211</v>
      </c>
      <c r="G281" s="611">
        <v>0</v>
      </c>
    </row>
    <row r="282" spans="1:7" hidden="1" outlineLevel="2">
      <c r="A282" s="616" t="s">
        <v>3671</v>
      </c>
      <c r="B282" s="610">
        <v>335020</v>
      </c>
      <c r="C282" s="610" t="s">
        <v>3350</v>
      </c>
      <c r="D282" s="611">
        <v>0</v>
      </c>
      <c r="E282" s="611">
        <v>1304.55</v>
      </c>
      <c r="F282" s="611">
        <v>1304.55</v>
      </c>
      <c r="G282" s="611">
        <v>0</v>
      </c>
    </row>
    <row r="283" spans="1:7" hidden="1" outlineLevel="2">
      <c r="A283" s="616" t="s">
        <v>3671</v>
      </c>
      <c r="B283" s="610">
        <v>335030</v>
      </c>
      <c r="C283" s="610" t="s">
        <v>3351</v>
      </c>
      <c r="D283" s="611">
        <v>0</v>
      </c>
      <c r="E283" s="611">
        <v>107.16</v>
      </c>
      <c r="F283" s="611">
        <v>301.33</v>
      </c>
      <c r="G283" s="611">
        <v>-194.17</v>
      </c>
    </row>
    <row r="284" spans="1:7" hidden="1" outlineLevel="2">
      <c r="A284" s="616" t="s">
        <v>3671</v>
      </c>
      <c r="B284" s="610">
        <v>335040</v>
      </c>
      <c r="C284" s="610" t="s">
        <v>3352</v>
      </c>
      <c r="D284" s="611">
        <v>0</v>
      </c>
      <c r="E284" s="611">
        <v>0</v>
      </c>
      <c r="F284" s="611">
        <v>0</v>
      </c>
      <c r="G284" s="611">
        <v>0</v>
      </c>
    </row>
    <row r="285" spans="1:7" hidden="1" outlineLevel="2">
      <c r="A285" s="616" t="s">
        <v>3671</v>
      </c>
      <c r="B285" s="610">
        <v>335041</v>
      </c>
      <c r="C285" s="610" t="s">
        <v>3353</v>
      </c>
      <c r="D285" s="611">
        <v>0</v>
      </c>
      <c r="E285" s="611">
        <v>0</v>
      </c>
      <c r="F285" s="611">
        <v>0</v>
      </c>
      <c r="G285" s="611">
        <v>0</v>
      </c>
    </row>
    <row r="286" spans="1:7" hidden="1" outlineLevel="2">
      <c r="A286" s="616" t="s">
        <v>3671</v>
      </c>
      <c r="B286" s="610">
        <v>335050</v>
      </c>
      <c r="C286" s="610" t="s">
        <v>3354</v>
      </c>
      <c r="D286" s="611">
        <v>0</v>
      </c>
      <c r="E286" s="611">
        <v>0</v>
      </c>
      <c r="F286" s="611">
        <v>0</v>
      </c>
      <c r="G286" s="611">
        <v>0</v>
      </c>
    </row>
    <row r="287" spans="1:7" hidden="1" outlineLevel="2">
      <c r="A287" s="616" t="s">
        <v>3671</v>
      </c>
      <c r="B287" s="610">
        <v>335060</v>
      </c>
      <c r="C287" s="610" t="s">
        <v>3355</v>
      </c>
      <c r="D287" s="611">
        <v>-47.25</v>
      </c>
      <c r="E287" s="611">
        <v>1524.31</v>
      </c>
      <c r="F287" s="611">
        <v>1491.76</v>
      </c>
      <c r="G287" s="611">
        <v>-14.7</v>
      </c>
    </row>
    <row r="288" spans="1:7" hidden="1" outlineLevel="2">
      <c r="A288" s="616" t="s">
        <v>3671</v>
      </c>
      <c r="B288" s="610">
        <v>335100</v>
      </c>
      <c r="C288" s="610" t="s">
        <v>3356</v>
      </c>
      <c r="D288" s="611">
        <v>0</v>
      </c>
      <c r="E288" s="611">
        <v>0</v>
      </c>
      <c r="F288" s="611">
        <v>0</v>
      </c>
      <c r="G288" s="611">
        <v>0</v>
      </c>
    </row>
    <row r="289" spans="1:7" hidden="1" outlineLevel="2">
      <c r="A289" s="616" t="s">
        <v>3671</v>
      </c>
      <c r="B289" s="610">
        <v>335110</v>
      </c>
      <c r="C289" s="610" t="s">
        <v>3357</v>
      </c>
      <c r="D289" s="611">
        <v>0</v>
      </c>
      <c r="E289" s="611">
        <v>0</v>
      </c>
      <c r="F289" s="611">
        <v>0</v>
      </c>
      <c r="G289" s="611">
        <v>0</v>
      </c>
    </row>
    <row r="290" spans="1:7" hidden="1" outlineLevel="2">
      <c r="A290" s="616" t="s">
        <v>3671</v>
      </c>
      <c r="B290" s="610">
        <v>335120</v>
      </c>
      <c r="C290" s="610" t="s">
        <v>3358</v>
      </c>
      <c r="D290" s="611">
        <v>0</v>
      </c>
      <c r="E290" s="611">
        <v>0</v>
      </c>
      <c r="F290" s="611">
        <v>0</v>
      </c>
      <c r="G290" s="611">
        <v>0</v>
      </c>
    </row>
    <row r="291" spans="1:7" hidden="1" outlineLevel="2">
      <c r="A291" s="616" t="s">
        <v>3671</v>
      </c>
      <c r="B291" s="610">
        <v>335200</v>
      </c>
      <c r="C291" s="610" t="s">
        <v>3359</v>
      </c>
      <c r="D291" s="611">
        <v>0</v>
      </c>
      <c r="E291" s="611">
        <v>0</v>
      </c>
      <c r="F291" s="611">
        <v>0</v>
      </c>
      <c r="G291" s="611">
        <v>0</v>
      </c>
    </row>
    <row r="292" spans="1:7" outlineLevel="1" collapsed="1">
      <c r="A292" s="620" t="s">
        <v>3872</v>
      </c>
      <c r="B292" s="610"/>
      <c r="C292" s="610"/>
      <c r="D292" s="611">
        <f>SUBTOTAL(9,D279:D291)</f>
        <v>-47.25</v>
      </c>
      <c r="E292" s="611">
        <f>SUBTOTAL(9,E279:E291)</f>
        <v>3545.5699999999997</v>
      </c>
      <c r="F292" s="611">
        <f>SUBTOTAL(9,F279:F291)</f>
        <v>3633.6400000000003</v>
      </c>
      <c r="G292" s="611">
        <f>SUBTOTAL(9,G279:G291)</f>
        <v>-135.32</v>
      </c>
    </row>
    <row r="293" spans="1:7" hidden="1" outlineLevel="2">
      <c r="A293" s="616" t="s">
        <v>3672</v>
      </c>
      <c r="B293" s="610">
        <v>336010</v>
      </c>
      <c r="C293" s="610" t="s">
        <v>3360</v>
      </c>
      <c r="D293" s="611">
        <v>-2274.4699999999998</v>
      </c>
      <c r="E293" s="611">
        <v>17008.68</v>
      </c>
      <c r="F293" s="611">
        <v>16414.75</v>
      </c>
      <c r="G293" s="611">
        <v>-1680.54</v>
      </c>
    </row>
    <row r="294" spans="1:7" hidden="1" outlineLevel="2">
      <c r="A294" s="616" t="s">
        <v>3672</v>
      </c>
      <c r="B294" s="610">
        <v>336020</v>
      </c>
      <c r="C294" s="610" t="s">
        <v>3361</v>
      </c>
      <c r="D294" s="611">
        <v>-553.57000000000005</v>
      </c>
      <c r="E294" s="611">
        <v>3422.7</v>
      </c>
      <c r="F294" s="611">
        <v>3178.6</v>
      </c>
      <c r="G294" s="611">
        <v>-309.47000000000003</v>
      </c>
    </row>
    <row r="295" spans="1:7" hidden="1" outlineLevel="2">
      <c r="A295" s="616" t="s">
        <v>3672</v>
      </c>
      <c r="B295" s="610">
        <v>336030</v>
      </c>
      <c r="C295" s="610" t="s">
        <v>3362</v>
      </c>
      <c r="D295" s="611">
        <v>-542.79</v>
      </c>
      <c r="E295" s="611">
        <v>6522.09</v>
      </c>
      <c r="F295" s="611">
        <v>6516.73</v>
      </c>
      <c r="G295" s="611">
        <v>-537.42999999999995</v>
      </c>
    </row>
    <row r="296" spans="1:7" hidden="1" outlineLevel="2">
      <c r="A296" s="616" t="s">
        <v>3672</v>
      </c>
      <c r="B296" s="610">
        <v>336040</v>
      </c>
      <c r="C296" s="610" t="s">
        <v>3363</v>
      </c>
      <c r="D296" s="611">
        <v>-55607.87</v>
      </c>
      <c r="E296" s="611">
        <v>90791.93</v>
      </c>
      <c r="F296" s="611">
        <v>64477.25</v>
      </c>
      <c r="G296" s="611">
        <v>-29293.19</v>
      </c>
    </row>
    <row r="297" spans="1:7" hidden="1" outlineLevel="2">
      <c r="A297" s="616" t="s">
        <v>3672</v>
      </c>
      <c r="B297" s="610">
        <v>336050</v>
      </c>
      <c r="C297" s="610" t="s">
        <v>3364</v>
      </c>
      <c r="D297" s="611">
        <v>0</v>
      </c>
      <c r="E297" s="611">
        <v>0</v>
      </c>
      <c r="F297" s="611">
        <v>0</v>
      </c>
      <c r="G297" s="611">
        <v>0</v>
      </c>
    </row>
    <row r="298" spans="1:7" hidden="1" outlineLevel="2">
      <c r="A298" s="616" t="s">
        <v>3672</v>
      </c>
      <c r="B298" s="610">
        <v>336060</v>
      </c>
      <c r="C298" s="610" t="s">
        <v>3365</v>
      </c>
      <c r="D298" s="611">
        <v>-468.6</v>
      </c>
      <c r="E298" s="611">
        <v>6043.46</v>
      </c>
      <c r="F298" s="611">
        <v>6136.14</v>
      </c>
      <c r="G298" s="611">
        <v>-561.28</v>
      </c>
    </row>
    <row r="299" spans="1:7" hidden="1" outlineLevel="2">
      <c r="A299" s="616" t="s">
        <v>3672</v>
      </c>
      <c r="B299" s="610">
        <v>336070</v>
      </c>
      <c r="C299" s="610" t="s">
        <v>3366</v>
      </c>
      <c r="D299" s="611">
        <v>0</v>
      </c>
      <c r="E299" s="611">
        <v>0</v>
      </c>
      <c r="F299" s="611">
        <v>0</v>
      </c>
      <c r="G299" s="611">
        <v>0</v>
      </c>
    </row>
    <row r="300" spans="1:7" hidden="1" outlineLevel="2">
      <c r="A300" s="616" t="s">
        <v>3672</v>
      </c>
      <c r="B300" s="610">
        <v>336080</v>
      </c>
      <c r="C300" s="610" t="s">
        <v>3367</v>
      </c>
      <c r="D300" s="611">
        <v>0</v>
      </c>
      <c r="E300" s="611">
        <v>0</v>
      </c>
      <c r="F300" s="611">
        <v>0</v>
      </c>
      <c r="G300" s="611">
        <v>0</v>
      </c>
    </row>
    <row r="301" spans="1:7" hidden="1" outlineLevel="2">
      <c r="A301" s="616" t="s">
        <v>3672</v>
      </c>
      <c r="B301" s="610">
        <v>336090</v>
      </c>
      <c r="C301" s="610" t="s">
        <v>3368</v>
      </c>
      <c r="D301" s="611">
        <v>0</v>
      </c>
      <c r="E301" s="611">
        <v>0</v>
      </c>
      <c r="F301" s="611">
        <v>0</v>
      </c>
      <c r="G301" s="611">
        <v>0</v>
      </c>
    </row>
    <row r="302" spans="1:7" hidden="1" outlineLevel="2">
      <c r="A302" s="616" t="s">
        <v>3672</v>
      </c>
      <c r="B302" s="610">
        <v>336700</v>
      </c>
      <c r="C302" s="610" t="s">
        <v>3369</v>
      </c>
      <c r="D302" s="611">
        <v>0</v>
      </c>
      <c r="E302" s="611">
        <v>0</v>
      </c>
      <c r="F302" s="611">
        <v>0</v>
      </c>
      <c r="G302" s="611">
        <v>0</v>
      </c>
    </row>
    <row r="303" spans="1:7" outlineLevel="1" collapsed="1">
      <c r="A303" s="620" t="s">
        <v>3873</v>
      </c>
      <c r="B303" s="610"/>
      <c r="C303" s="610"/>
      <c r="D303" s="611">
        <f>SUBTOTAL(9,D293:D302)</f>
        <v>-59447.3</v>
      </c>
      <c r="E303" s="611">
        <f>SUBTOTAL(9,E293:E302)</f>
        <v>123788.86</v>
      </c>
      <c r="F303" s="611">
        <f>SUBTOTAL(9,F293:F302)</f>
        <v>96723.47</v>
      </c>
      <c r="G303" s="611">
        <f>SUBTOTAL(9,G293:G302)</f>
        <v>-32381.909999999996</v>
      </c>
    </row>
    <row r="304" spans="1:7" hidden="1" outlineLevel="2">
      <c r="A304" s="616" t="s">
        <v>3673</v>
      </c>
      <c r="B304" s="610">
        <v>341010</v>
      </c>
      <c r="C304" s="610" t="s">
        <v>3370</v>
      </c>
      <c r="D304" s="611">
        <v>302891.40000000002</v>
      </c>
      <c r="E304" s="611">
        <v>544340.57999999996</v>
      </c>
      <c r="F304" s="611">
        <v>302891.40000000002</v>
      </c>
      <c r="G304" s="611">
        <v>544340.57999999996</v>
      </c>
    </row>
    <row r="305" spans="1:7" hidden="1" outlineLevel="2">
      <c r="A305" s="616" t="s">
        <v>3673</v>
      </c>
      <c r="B305" s="610">
        <v>341030</v>
      </c>
      <c r="C305" s="610" t="s">
        <v>3371</v>
      </c>
      <c r="D305" s="611">
        <v>-634173.5</v>
      </c>
      <c r="E305" s="611">
        <v>634173.5</v>
      </c>
      <c r="F305" s="611">
        <v>1043212.2</v>
      </c>
      <c r="G305" s="611">
        <v>-1043212.2</v>
      </c>
    </row>
    <row r="306" spans="1:7" outlineLevel="1" collapsed="1">
      <c r="A306" s="620" t="s">
        <v>3874</v>
      </c>
      <c r="B306" s="610"/>
      <c r="C306" s="610"/>
      <c r="D306" s="611">
        <f>SUBTOTAL(9,D304:D305)</f>
        <v>-331282.09999999998</v>
      </c>
      <c r="E306" s="611">
        <f>SUBTOTAL(9,E304:E305)</f>
        <v>1178514.08</v>
      </c>
      <c r="F306" s="611">
        <f>SUBTOTAL(9,F304:F305)</f>
        <v>1346103.6</v>
      </c>
      <c r="G306" s="611">
        <f>SUBTOTAL(9,G304:G305)</f>
        <v>-498871.62</v>
      </c>
    </row>
    <row r="307" spans="1:7" hidden="1" outlineLevel="2">
      <c r="A307" s="616" t="s">
        <v>3674</v>
      </c>
      <c r="B307" s="610">
        <v>342010</v>
      </c>
      <c r="C307" s="610" t="s">
        <v>3372</v>
      </c>
      <c r="D307" s="611">
        <v>-2143.17</v>
      </c>
      <c r="E307" s="611">
        <v>30168.67</v>
      </c>
      <c r="F307" s="611">
        <v>30686.81</v>
      </c>
      <c r="G307" s="611">
        <v>-2661.31</v>
      </c>
    </row>
    <row r="308" spans="1:7" hidden="1" outlineLevel="2">
      <c r="A308" s="616" t="s">
        <v>3674</v>
      </c>
      <c r="B308" s="610">
        <v>342011</v>
      </c>
      <c r="C308" s="610" t="s">
        <v>3373</v>
      </c>
      <c r="D308" s="611">
        <v>-61125.37</v>
      </c>
      <c r="E308" s="611">
        <v>89497.95</v>
      </c>
      <c r="F308" s="611">
        <v>28372.58</v>
      </c>
      <c r="G308" s="611">
        <v>0</v>
      </c>
    </row>
    <row r="309" spans="1:7" outlineLevel="1" collapsed="1">
      <c r="A309" s="620" t="s">
        <v>3875</v>
      </c>
      <c r="B309" s="610"/>
      <c r="C309" s="610"/>
      <c r="D309" s="611">
        <f>SUBTOTAL(9,D307:D308)</f>
        <v>-63268.54</v>
      </c>
      <c r="E309" s="611">
        <f>SUBTOTAL(9,E307:E308)</f>
        <v>119666.62</v>
      </c>
      <c r="F309" s="611">
        <f>SUBTOTAL(9,F307:F308)</f>
        <v>59059.39</v>
      </c>
      <c r="G309" s="611">
        <f>SUBTOTAL(9,G307:G308)</f>
        <v>-2661.31</v>
      </c>
    </row>
    <row r="310" spans="1:7" hidden="1" outlineLevel="2">
      <c r="A310" s="616" t="s">
        <v>3675</v>
      </c>
      <c r="B310" s="610">
        <v>343100</v>
      </c>
      <c r="C310" s="610" t="s">
        <v>3374</v>
      </c>
      <c r="D310" s="611">
        <v>475.04</v>
      </c>
      <c r="E310" s="611">
        <v>395866.19</v>
      </c>
      <c r="F310" s="611">
        <v>395866.19</v>
      </c>
      <c r="G310" s="611">
        <v>475.04</v>
      </c>
    </row>
    <row r="311" spans="1:7" hidden="1" outlineLevel="2">
      <c r="A311" s="616" t="s">
        <v>3675</v>
      </c>
      <c r="B311" s="610">
        <v>343200</v>
      </c>
      <c r="C311" s="610" t="s">
        <v>3375</v>
      </c>
      <c r="D311" s="611">
        <v>0</v>
      </c>
      <c r="E311" s="611">
        <v>204369.74</v>
      </c>
      <c r="F311" s="611">
        <v>204389.74</v>
      </c>
      <c r="G311" s="611">
        <v>-20</v>
      </c>
    </row>
    <row r="312" spans="1:7" hidden="1" outlineLevel="2">
      <c r="A312" s="616" t="s">
        <v>3675</v>
      </c>
      <c r="B312" s="610">
        <v>343810</v>
      </c>
      <c r="C312" s="610" t="s">
        <v>3376</v>
      </c>
      <c r="D312" s="611"/>
      <c r="E312" s="611">
        <v>10.11</v>
      </c>
      <c r="F312" s="611">
        <v>10.11</v>
      </c>
      <c r="G312" s="611">
        <v>0</v>
      </c>
    </row>
    <row r="313" spans="1:7" hidden="1" outlineLevel="2">
      <c r="A313" s="616" t="s">
        <v>3675</v>
      </c>
      <c r="B313" s="610">
        <v>343841</v>
      </c>
      <c r="C313" s="610" t="s">
        <v>3377</v>
      </c>
      <c r="D313" s="611"/>
      <c r="E313" s="611">
        <v>1701838.81</v>
      </c>
      <c r="F313" s="611">
        <v>1701838.81</v>
      </c>
      <c r="G313" s="611">
        <v>0</v>
      </c>
    </row>
    <row r="314" spans="1:7" hidden="1" outlineLevel="2">
      <c r="A314" s="616" t="s">
        <v>3675</v>
      </c>
      <c r="B314" s="610">
        <v>343860</v>
      </c>
      <c r="C314" s="610" t="s">
        <v>3378</v>
      </c>
      <c r="D314" s="611"/>
      <c r="E314" s="611">
        <v>399790.86</v>
      </c>
      <c r="F314" s="611">
        <v>399790.86</v>
      </c>
      <c r="G314" s="611">
        <v>0</v>
      </c>
    </row>
    <row r="315" spans="1:7" hidden="1" outlineLevel="2">
      <c r="A315" s="616" t="s">
        <v>3675</v>
      </c>
      <c r="B315" s="610">
        <v>343903</v>
      </c>
      <c r="C315" s="610" t="s">
        <v>3379</v>
      </c>
      <c r="D315" s="611"/>
      <c r="E315" s="611">
        <v>472802.14</v>
      </c>
      <c r="F315" s="611">
        <v>472802.14</v>
      </c>
      <c r="G315" s="611">
        <v>0</v>
      </c>
    </row>
    <row r="316" spans="1:7" hidden="1" outlineLevel="2">
      <c r="A316" s="616" t="s">
        <v>3675</v>
      </c>
      <c r="B316" s="610">
        <v>343910</v>
      </c>
      <c r="C316" s="610" t="s">
        <v>3380</v>
      </c>
      <c r="D316" s="611"/>
      <c r="E316" s="611">
        <v>10.11</v>
      </c>
      <c r="F316" s="611">
        <v>10.11</v>
      </c>
      <c r="G316" s="611">
        <v>0</v>
      </c>
    </row>
    <row r="317" spans="1:7" hidden="1" outlineLevel="2">
      <c r="A317" s="616" t="s">
        <v>3675</v>
      </c>
      <c r="B317" s="610">
        <v>343915</v>
      </c>
      <c r="C317" s="610" t="s">
        <v>3381</v>
      </c>
      <c r="D317" s="611"/>
      <c r="E317" s="611">
        <v>281324.78000000003</v>
      </c>
      <c r="F317" s="611">
        <v>281304.78000000003</v>
      </c>
      <c r="G317" s="611">
        <v>20</v>
      </c>
    </row>
    <row r="318" spans="1:7" hidden="1" outlineLevel="2">
      <c r="A318" s="616" t="s">
        <v>3675</v>
      </c>
      <c r="B318" s="610">
        <v>343916</v>
      </c>
      <c r="C318" s="610" t="s">
        <v>3382</v>
      </c>
      <c r="D318" s="611"/>
      <c r="E318" s="611">
        <v>52.91</v>
      </c>
      <c r="F318" s="611">
        <v>52.91</v>
      </c>
      <c r="G318" s="611">
        <v>0</v>
      </c>
    </row>
    <row r="319" spans="1:7" hidden="1" outlineLevel="2">
      <c r="A319" s="616" t="s">
        <v>3675</v>
      </c>
      <c r="B319" s="610">
        <v>343941</v>
      </c>
      <c r="C319" s="610" t="s">
        <v>3383</v>
      </c>
      <c r="D319" s="611"/>
      <c r="E319" s="611">
        <v>1701838.81</v>
      </c>
      <c r="F319" s="611">
        <v>1701838.81</v>
      </c>
      <c r="G319" s="611">
        <v>0</v>
      </c>
    </row>
    <row r="320" spans="1:7" hidden="1" outlineLevel="2">
      <c r="A320" s="616" t="s">
        <v>3675</v>
      </c>
      <c r="B320" s="610">
        <v>343954</v>
      </c>
      <c r="C320" s="610" t="s">
        <v>3384</v>
      </c>
      <c r="D320" s="611"/>
      <c r="E320" s="611">
        <v>-1437.9</v>
      </c>
      <c r="F320" s="611">
        <v>-1437.9</v>
      </c>
      <c r="G320" s="611">
        <v>0</v>
      </c>
    </row>
    <row r="321" spans="1:7" hidden="1" outlineLevel="2">
      <c r="A321" s="616" t="s">
        <v>3675</v>
      </c>
      <c r="B321" s="610">
        <v>343955</v>
      </c>
      <c r="C321" s="610" t="s">
        <v>3385</v>
      </c>
      <c r="D321" s="611"/>
      <c r="E321" s="611">
        <v>-1437.9</v>
      </c>
      <c r="F321" s="611">
        <v>-1437.9</v>
      </c>
      <c r="G321" s="611">
        <v>0</v>
      </c>
    </row>
    <row r="322" spans="1:7" hidden="1" outlineLevel="2">
      <c r="A322" s="616" t="s">
        <v>3675</v>
      </c>
      <c r="B322" s="610">
        <v>343956</v>
      </c>
      <c r="C322" s="610" t="s">
        <v>3386</v>
      </c>
      <c r="D322" s="611"/>
      <c r="E322" s="611">
        <v>-52</v>
      </c>
      <c r="F322" s="611">
        <v>-52</v>
      </c>
      <c r="G322" s="611">
        <v>0</v>
      </c>
    </row>
    <row r="323" spans="1:7" hidden="1" outlineLevel="2">
      <c r="A323" s="616" t="s">
        <v>3675</v>
      </c>
      <c r="B323" s="610">
        <v>343960</v>
      </c>
      <c r="C323" s="610" t="s">
        <v>3387</v>
      </c>
      <c r="D323" s="611"/>
      <c r="E323" s="611">
        <v>399790.86</v>
      </c>
      <c r="F323" s="611">
        <v>399790.86</v>
      </c>
      <c r="G323" s="611">
        <v>0</v>
      </c>
    </row>
    <row r="324" spans="1:7" outlineLevel="1" collapsed="1">
      <c r="A324" s="620" t="s">
        <v>3876</v>
      </c>
      <c r="B324" s="610"/>
      <c r="C324" s="610"/>
      <c r="D324" s="611">
        <f>SUBTOTAL(9,D310:D323)</f>
        <v>475.04</v>
      </c>
      <c r="E324" s="611">
        <f>SUBTOTAL(9,E310:E323)</f>
        <v>5554767.5200000005</v>
      </c>
      <c r="F324" s="611">
        <f>SUBTOTAL(9,F310:F323)</f>
        <v>5554767.5200000005</v>
      </c>
      <c r="G324" s="611">
        <f>SUBTOTAL(9,G310:G323)</f>
        <v>475.04</v>
      </c>
    </row>
    <row r="325" spans="1:7" hidden="1" outlineLevel="2">
      <c r="A325" s="616" t="s">
        <v>3676</v>
      </c>
      <c r="B325" s="610">
        <v>345010</v>
      </c>
      <c r="C325" s="610" t="s">
        <v>3388</v>
      </c>
      <c r="D325" s="611">
        <v>2000.71</v>
      </c>
      <c r="E325" s="611">
        <v>14.8</v>
      </c>
      <c r="F325" s="611">
        <v>2015.51</v>
      </c>
      <c r="G325" s="611">
        <v>0</v>
      </c>
    </row>
    <row r="326" spans="1:7" hidden="1" outlineLevel="2">
      <c r="A326" s="616" t="s">
        <v>3676</v>
      </c>
      <c r="B326" s="610">
        <v>345030</v>
      </c>
      <c r="C326" s="610" t="s">
        <v>3389</v>
      </c>
      <c r="D326" s="611">
        <v>-27.84</v>
      </c>
      <c r="E326" s="611">
        <v>47.95</v>
      </c>
      <c r="F326" s="611">
        <v>29.39</v>
      </c>
      <c r="G326" s="611">
        <v>-9.2799999999999994</v>
      </c>
    </row>
    <row r="327" spans="1:7" hidden="1" outlineLevel="2">
      <c r="A327" s="616" t="s">
        <v>3676</v>
      </c>
      <c r="B327" s="610">
        <v>345040</v>
      </c>
      <c r="C327" s="610" t="s">
        <v>3390</v>
      </c>
      <c r="D327" s="611">
        <v>0</v>
      </c>
      <c r="E327" s="611">
        <v>34866</v>
      </c>
      <c r="F327" s="611">
        <v>34849.5</v>
      </c>
      <c r="G327" s="611">
        <v>16.5</v>
      </c>
    </row>
    <row r="328" spans="1:7" hidden="1" outlineLevel="2">
      <c r="A328" s="616" t="s">
        <v>3676</v>
      </c>
      <c r="B328" s="610">
        <v>345100</v>
      </c>
      <c r="C328" s="610" t="s">
        <v>3391</v>
      </c>
      <c r="D328" s="611">
        <v>0</v>
      </c>
      <c r="E328" s="611">
        <v>0</v>
      </c>
      <c r="F328" s="611">
        <v>0</v>
      </c>
      <c r="G328" s="611">
        <v>0</v>
      </c>
    </row>
    <row r="329" spans="1:7" outlineLevel="1" collapsed="1">
      <c r="A329" s="620" t="s">
        <v>3877</v>
      </c>
      <c r="B329" s="610"/>
      <c r="C329" s="610"/>
      <c r="D329" s="611">
        <f>SUBTOTAL(9,D325:D328)</f>
        <v>1972.8700000000001</v>
      </c>
      <c r="E329" s="611">
        <f>SUBTOTAL(9,E325:E328)</f>
        <v>34928.75</v>
      </c>
      <c r="F329" s="611">
        <f>SUBTOTAL(9,F325:F328)</f>
        <v>36894.400000000001</v>
      </c>
      <c r="G329" s="611">
        <f>SUBTOTAL(9,G325:G328)</f>
        <v>7.2200000000000006</v>
      </c>
    </row>
    <row r="330" spans="1:7" outlineLevel="2">
      <c r="A330" s="616" t="s">
        <v>3677</v>
      </c>
      <c r="B330" s="610">
        <v>346010</v>
      </c>
      <c r="C330" s="610" t="s">
        <v>3392</v>
      </c>
      <c r="D330" s="611">
        <v>0</v>
      </c>
      <c r="E330" s="611">
        <v>0</v>
      </c>
      <c r="F330" s="611">
        <v>0</v>
      </c>
      <c r="G330" s="611">
        <v>0</v>
      </c>
    </row>
    <row r="331" spans="1:7" outlineLevel="1">
      <c r="A331" s="620" t="s">
        <v>3878</v>
      </c>
      <c r="B331" s="610"/>
      <c r="C331" s="610"/>
      <c r="D331" s="611">
        <f>SUBTOTAL(9,D330:D330)</f>
        <v>0</v>
      </c>
      <c r="E331" s="611">
        <f>SUBTOTAL(9,E330:E330)</f>
        <v>0</v>
      </c>
      <c r="F331" s="611">
        <f>SUBTOTAL(9,F330:F330)</f>
        <v>0</v>
      </c>
      <c r="G331" s="611">
        <f>SUBTOTAL(9,G330:G330)</f>
        <v>0</v>
      </c>
    </row>
    <row r="332" spans="1:7" outlineLevel="2">
      <c r="A332" s="616" t="s">
        <v>3678</v>
      </c>
      <c r="B332" s="610">
        <v>351030</v>
      </c>
      <c r="C332" s="610" t="s">
        <v>3393</v>
      </c>
      <c r="D332" s="611">
        <v>12163870.029999999</v>
      </c>
      <c r="E332" s="611">
        <v>3901018.98</v>
      </c>
      <c r="F332" s="611">
        <v>3054000</v>
      </c>
      <c r="G332" s="611">
        <v>13010889.01</v>
      </c>
    </row>
    <row r="333" spans="1:7" outlineLevel="2">
      <c r="A333" s="616" t="s">
        <v>3678</v>
      </c>
      <c r="B333" s="610">
        <v>351031</v>
      </c>
      <c r="C333" s="610" t="s">
        <v>3394</v>
      </c>
      <c r="D333" s="611">
        <v>0</v>
      </c>
      <c r="E333" s="611">
        <v>0</v>
      </c>
      <c r="F333" s="611">
        <v>0</v>
      </c>
      <c r="G333" s="611">
        <v>0</v>
      </c>
    </row>
    <row r="334" spans="1:7" outlineLevel="2">
      <c r="A334" s="616" t="s">
        <v>3678</v>
      </c>
      <c r="B334" s="610">
        <v>351040</v>
      </c>
      <c r="C334" s="610" t="s">
        <v>3395</v>
      </c>
      <c r="D334" s="611">
        <v>1097.95</v>
      </c>
      <c r="E334" s="611">
        <v>0</v>
      </c>
      <c r="F334" s="611">
        <v>0</v>
      </c>
      <c r="G334" s="611">
        <v>1097.95</v>
      </c>
    </row>
    <row r="335" spans="1:7" outlineLevel="2">
      <c r="A335" s="616" t="s">
        <v>3678</v>
      </c>
      <c r="B335" s="610">
        <v>351050</v>
      </c>
      <c r="C335" s="610" t="s">
        <v>3396</v>
      </c>
      <c r="D335" s="611">
        <v>3262024.09</v>
      </c>
      <c r="E335" s="611">
        <v>0</v>
      </c>
      <c r="F335" s="611">
        <v>2190000</v>
      </c>
      <c r="G335" s="611">
        <v>1072024.0900000001</v>
      </c>
    </row>
    <row r="336" spans="1:7" outlineLevel="2">
      <c r="A336" s="616" t="s">
        <v>3678</v>
      </c>
      <c r="B336" s="610">
        <v>351080</v>
      </c>
      <c r="C336" s="610" t="s">
        <v>3397</v>
      </c>
      <c r="D336" s="611">
        <v>0</v>
      </c>
      <c r="E336" s="611">
        <v>0</v>
      </c>
      <c r="F336" s="611">
        <v>0</v>
      </c>
      <c r="G336" s="611">
        <v>0</v>
      </c>
    </row>
    <row r="337" spans="1:7" outlineLevel="2">
      <c r="A337" s="616" t="s">
        <v>3678</v>
      </c>
      <c r="B337" s="610">
        <v>351090</v>
      </c>
      <c r="C337" s="610" t="s">
        <v>3398</v>
      </c>
      <c r="D337" s="611">
        <v>0</v>
      </c>
      <c r="E337" s="611">
        <v>0</v>
      </c>
      <c r="F337" s="611">
        <v>0</v>
      </c>
      <c r="G337" s="611">
        <v>0</v>
      </c>
    </row>
    <row r="338" spans="1:7" outlineLevel="2">
      <c r="A338" s="616" t="s">
        <v>3678</v>
      </c>
      <c r="B338" s="610">
        <v>351102</v>
      </c>
      <c r="C338" s="610" t="s">
        <v>3399</v>
      </c>
      <c r="D338" s="611">
        <v>21.6</v>
      </c>
      <c r="E338" s="611">
        <v>0</v>
      </c>
      <c r="F338" s="611">
        <v>0</v>
      </c>
      <c r="G338" s="611">
        <v>21.6</v>
      </c>
    </row>
    <row r="339" spans="1:7" outlineLevel="2">
      <c r="A339" s="616" t="s">
        <v>3678</v>
      </c>
      <c r="B339" s="610">
        <v>351104</v>
      </c>
      <c r="C339" s="610" t="s">
        <v>3400</v>
      </c>
      <c r="D339" s="611">
        <v>0</v>
      </c>
      <c r="E339" s="611">
        <v>0</v>
      </c>
      <c r="F339" s="611">
        <v>0</v>
      </c>
      <c r="G339" s="611">
        <v>0</v>
      </c>
    </row>
    <row r="340" spans="1:7" outlineLevel="2">
      <c r="A340" s="616" t="s">
        <v>3678</v>
      </c>
      <c r="B340" s="610">
        <v>351106</v>
      </c>
      <c r="C340" s="610" t="s">
        <v>3401</v>
      </c>
      <c r="D340" s="611">
        <v>0</v>
      </c>
      <c r="E340" s="611">
        <v>0</v>
      </c>
      <c r="F340" s="611">
        <v>0</v>
      </c>
      <c r="G340" s="611">
        <v>0</v>
      </c>
    </row>
    <row r="341" spans="1:7" outlineLevel="2">
      <c r="A341" s="616" t="s">
        <v>3678</v>
      </c>
      <c r="B341" s="610">
        <v>351116</v>
      </c>
      <c r="C341" s="610" t="s">
        <v>3402</v>
      </c>
      <c r="D341" s="611">
        <v>34715.699999999997</v>
      </c>
      <c r="E341" s="611">
        <v>115516.83</v>
      </c>
      <c r="F341" s="611">
        <v>150232.53</v>
      </c>
      <c r="G341" s="611">
        <v>0</v>
      </c>
    </row>
    <row r="342" spans="1:7" outlineLevel="2">
      <c r="A342" s="616" t="s">
        <v>3678</v>
      </c>
      <c r="B342" s="610">
        <v>351118</v>
      </c>
      <c r="C342" s="610" t="s">
        <v>3403</v>
      </c>
      <c r="D342" s="611"/>
      <c r="E342" s="611">
        <v>88872.91</v>
      </c>
      <c r="F342" s="611">
        <v>30377.88</v>
      </c>
      <c r="G342" s="611">
        <v>58495.03</v>
      </c>
    </row>
    <row r="343" spans="1:7" outlineLevel="1">
      <c r="A343" s="620" t="s">
        <v>3879</v>
      </c>
      <c r="B343" s="610"/>
      <c r="C343" s="610"/>
      <c r="D343" s="611">
        <f>SUBTOTAL(9,D332:D342)</f>
        <v>15461729.369999997</v>
      </c>
      <c r="E343" s="611">
        <f>SUBTOTAL(9,E332:E342)</f>
        <v>4105408.72</v>
      </c>
      <c r="F343" s="611">
        <f>SUBTOTAL(9,F332:F342)</f>
        <v>5424610.4100000001</v>
      </c>
      <c r="G343" s="611">
        <f>SUBTOTAL(9,G332:G342)</f>
        <v>14142527.679999998</v>
      </c>
    </row>
    <row r="344" spans="1:7" outlineLevel="2">
      <c r="A344" s="616" t="s">
        <v>3679</v>
      </c>
      <c r="B344" s="610">
        <v>361010</v>
      </c>
      <c r="C344" s="610" t="s">
        <v>3404</v>
      </c>
      <c r="D344" s="611">
        <v>0</v>
      </c>
      <c r="E344" s="611">
        <v>0</v>
      </c>
      <c r="F344" s="611">
        <v>0</v>
      </c>
      <c r="G344" s="611">
        <v>0</v>
      </c>
    </row>
    <row r="345" spans="1:7" outlineLevel="2">
      <c r="A345" s="616" t="s">
        <v>3679</v>
      </c>
      <c r="B345" s="610">
        <v>361060</v>
      </c>
      <c r="C345" s="610" t="s">
        <v>3405</v>
      </c>
      <c r="D345" s="611">
        <v>0</v>
      </c>
      <c r="E345" s="611">
        <v>0</v>
      </c>
      <c r="F345" s="611">
        <v>0</v>
      </c>
      <c r="G345" s="611">
        <v>0</v>
      </c>
    </row>
    <row r="346" spans="1:7" outlineLevel="2">
      <c r="A346" s="616" t="s">
        <v>3679</v>
      </c>
      <c r="B346" s="610">
        <v>361061</v>
      </c>
      <c r="C346" s="610" t="s">
        <v>3406</v>
      </c>
      <c r="D346" s="611">
        <v>0</v>
      </c>
      <c r="E346" s="611">
        <v>0</v>
      </c>
      <c r="F346" s="611">
        <v>0</v>
      </c>
      <c r="G346" s="611">
        <v>0</v>
      </c>
    </row>
    <row r="347" spans="1:7" outlineLevel="2">
      <c r="A347" s="616" t="s">
        <v>3679</v>
      </c>
      <c r="B347" s="610">
        <v>361070</v>
      </c>
      <c r="C347" s="610" t="s">
        <v>3407</v>
      </c>
      <c r="D347" s="611">
        <v>0</v>
      </c>
      <c r="E347" s="611">
        <v>0</v>
      </c>
      <c r="F347" s="611">
        <v>0</v>
      </c>
      <c r="G347" s="611">
        <v>0</v>
      </c>
    </row>
    <row r="348" spans="1:7" outlineLevel="2">
      <c r="A348" s="616" t="s">
        <v>3679</v>
      </c>
      <c r="B348" s="610">
        <v>361080</v>
      </c>
      <c r="C348" s="610" t="s">
        <v>3408</v>
      </c>
      <c r="D348" s="611"/>
      <c r="E348" s="611">
        <v>12068934.23</v>
      </c>
      <c r="F348" s="611">
        <v>12068934.23</v>
      </c>
      <c r="G348" s="611">
        <v>0</v>
      </c>
    </row>
    <row r="349" spans="1:7" outlineLevel="2">
      <c r="A349" s="616" t="s">
        <v>3679</v>
      </c>
      <c r="B349" s="610">
        <v>361081</v>
      </c>
      <c r="C349" s="610" t="s">
        <v>3409</v>
      </c>
      <c r="D349" s="611"/>
      <c r="E349" s="611">
        <v>0</v>
      </c>
      <c r="F349" s="611">
        <v>39968.65</v>
      </c>
      <c r="G349" s="611">
        <v>-39968.65</v>
      </c>
    </row>
    <row r="350" spans="1:7" outlineLevel="2">
      <c r="A350" s="616" t="s">
        <v>3679</v>
      </c>
      <c r="B350" s="610">
        <v>361101</v>
      </c>
      <c r="C350" s="610" t="s">
        <v>3410</v>
      </c>
      <c r="D350" s="611">
        <v>-37.67</v>
      </c>
      <c r="E350" s="611">
        <v>37.67</v>
      </c>
      <c r="F350" s="611">
        <v>0</v>
      </c>
      <c r="G350" s="611">
        <v>0</v>
      </c>
    </row>
    <row r="351" spans="1:7" outlineLevel="2">
      <c r="A351" s="616" t="s">
        <v>3679</v>
      </c>
      <c r="B351" s="610">
        <v>361106</v>
      </c>
      <c r="C351" s="610" t="s">
        <v>3411</v>
      </c>
      <c r="D351" s="611">
        <v>0</v>
      </c>
      <c r="E351" s="611">
        <v>0</v>
      </c>
      <c r="F351" s="611">
        <v>0</v>
      </c>
      <c r="G351" s="611">
        <v>0</v>
      </c>
    </row>
    <row r="352" spans="1:7" outlineLevel="2">
      <c r="A352" s="616" t="s">
        <v>3679</v>
      </c>
      <c r="B352" s="610">
        <v>361111</v>
      </c>
      <c r="C352" s="610" t="s">
        <v>3412</v>
      </c>
      <c r="D352" s="611">
        <v>-27390.1</v>
      </c>
      <c r="E352" s="611">
        <v>27390.1</v>
      </c>
      <c r="F352" s="611">
        <v>395866.19</v>
      </c>
      <c r="G352" s="611">
        <v>-395866.19</v>
      </c>
    </row>
    <row r="353" spans="1:7" outlineLevel="2">
      <c r="A353" s="616" t="s">
        <v>3679</v>
      </c>
      <c r="B353" s="610">
        <v>361112</v>
      </c>
      <c r="C353" s="610" t="s">
        <v>3413</v>
      </c>
      <c r="D353" s="611"/>
      <c r="E353" s="611">
        <v>12132954.4</v>
      </c>
      <c r="F353" s="611">
        <v>18281620.34</v>
      </c>
      <c r="G353" s="611">
        <v>-6148665.9400000004</v>
      </c>
    </row>
    <row r="354" spans="1:7" outlineLevel="1">
      <c r="A354" s="620" t="s">
        <v>3880</v>
      </c>
      <c r="B354" s="610"/>
      <c r="C354" s="610"/>
      <c r="D354" s="611">
        <f>SUBTOTAL(9,D344:D353)</f>
        <v>-27427.769999999997</v>
      </c>
      <c r="E354" s="611">
        <f>SUBTOTAL(9,E344:E353)</f>
        <v>24229316.399999999</v>
      </c>
      <c r="F354" s="611">
        <f>SUBTOTAL(9,F344:F353)</f>
        <v>30786389.41</v>
      </c>
      <c r="G354" s="611">
        <f>SUBTOTAL(9,G344:G353)</f>
        <v>-6584500.7800000003</v>
      </c>
    </row>
    <row r="355" spans="1:7" hidden="1" outlineLevel="2">
      <c r="A355" s="616" t="s">
        <v>3680</v>
      </c>
      <c r="B355" s="610">
        <v>367010</v>
      </c>
      <c r="C355" s="610" t="s">
        <v>3414</v>
      </c>
      <c r="D355" s="611">
        <v>0</v>
      </c>
      <c r="E355" s="611">
        <v>0</v>
      </c>
      <c r="F355" s="611">
        <v>0</v>
      </c>
      <c r="G355" s="611">
        <v>0</v>
      </c>
    </row>
    <row r="356" spans="1:7" hidden="1" outlineLevel="2">
      <c r="A356" s="616" t="s">
        <v>3680</v>
      </c>
      <c r="B356" s="610">
        <v>367020</v>
      </c>
      <c r="C356" s="610" t="s">
        <v>3415</v>
      </c>
      <c r="D356" s="611">
        <v>0</v>
      </c>
      <c r="E356" s="611">
        <v>0</v>
      </c>
      <c r="F356" s="611">
        <v>0</v>
      </c>
      <c r="G356" s="611">
        <v>0</v>
      </c>
    </row>
    <row r="357" spans="1:7" hidden="1" outlineLevel="2">
      <c r="A357" s="616" t="s">
        <v>3680</v>
      </c>
      <c r="B357" s="610">
        <v>367030</v>
      </c>
      <c r="C357" s="610" t="s">
        <v>3416</v>
      </c>
      <c r="D357" s="611">
        <v>0</v>
      </c>
      <c r="E357" s="611">
        <v>0</v>
      </c>
      <c r="F357" s="611">
        <v>0</v>
      </c>
      <c r="G357" s="611">
        <v>0</v>
      </c>
    </row>
    <row r="358" spans="1:7" hidden="1" outlineLevel="2">
      <c r="A358" s="616" t="s">
        <v>3680</v>
      </c>
      <c r="B358" s="610">
        <v>367040</v>
      </c>
      <c r="C358" s="610" t="s">
        <v>3417</v>
      </c>
      <c r="D358" s="611">
        <v>0</v>
      </c>
      <c r="E358" s="611">
        <v>0</v>
      </c>
      <c r="F358" s="611">
        <v>0</v>
      </c>
      <c r="G358" s="611">
        <v>0</v>
      </c>
    </row>
    <row r="359" spans="1:7" outlineLevel="1" collapsed="1">
      <c r="A359" s="620" t="s">
        <v>3881</v>
      </c>
      <c r="B359" s="610"/>
      <c r="C359" s="610"/>
      <c r="D359" s="611">
        <f>SUBTOTAL(9,D355:D358)</f>
        <v>0</v>
      </c>
      <c r="E359" s="611">
        <f>SUBTOTAL(9,E355:E358)</f>
        <v>0</v>
      </c>
      <c r="F359" s="611">
        <f>SUBTOTAL(9,F355:F358)</f>
        <v>0</v>
      </c>
      <c r="G359" s="611">
        <f>SUBTOTAL(9,G355:G358)</f>
        <v>0</v>
      </c>
    </row>
    <row r="360" spans="1:7" hidden="1" outlineLevel="2">
      <c r="A360" s="616" t="s">
        <v>3681</v>
      </c>
      <c r="B360" s="610">
        <v>378010</v>
      </c>
      <c r="C360" s="610" t="s">
        <v>3418</v>
      </c>
      <c r="D360" s="611">
        <v>0</v>
      </c>
      <c r="E360" s="611">
        <v>0</v>
      </c>
      <c r="F360" s="611">
        <v>0</v>
      </c>
      <c r="G360" s="611">
        <v>0</v>
      </c>
    </row>
    <row r="361" spans="1:7" hidden="1" outlineLevel="2">
      <c r="A361" s="616" t="s">
        <v>3681</v>
      </c>
      <c r="B361" s="610">
        <v>378011</v>
      </c>
      <c r="C361" s="610" t="s">
        <v>3419</v>
      </c>
      <c r="D361" s="611">
        <v>-60</v>
      </c>
      <c r="E361" s="611">
        <v>579.82000000000005</v>
      </c>
      <c r="F361" s="611">
        <v>2135.71</v>
      </c>
      <c r="G361" s="611">
        <v>-1615.89</v>
      </c>
    </row>
    <row r="362" spans="1:7" hidden="1" outlineLevel="2">
      <c r="A362" s="616" t="s">
        <v>3681</v>
      </c>
      <c r="B362" s="610">
        <v>378012</v>
      </c>
      <c r="C362" s="610" t="s">
        <v>3420</v>
      </c>
      <c r="D362" s="611"/>
      <c r="E362" s="611">
        <v>1577.51</v>
      </c>
      <c r="F362" s="611">
        <v>1506.51</v>
      </c>
      <c r="G362" s="611">
        <v>71</v>
      </c>
    </row>
    <row r="363" spans="1:7" hidden="1" outlineLevel="2">
      <c r="A363" s="616" t="s">
        <v>3681</v>
      </c>
      <c r="B363" s="610">
        <v>378013</v>
      </c>
      <c r="C363" s="610" t="s">
        <v>3421</v>
      </c>
      <c r="D363" s="611">
        <v>0</v>
      </c>
      <c r="E363" s="611">
        <v>3999.2</v>
      </c>
      <c r="F363" s="611">
        <v>3999.2</v>
      </c>
      <c r="G363" s="611">
        <v>0</v>
      </c>
    </row>
    <row r="364" spans="1:7" hidden="1" outlineLevel="2">
      <c r="A364" s="616" t="s">
        <v>3681</v>
      </c>
      <c r="B364" s="610">
        <v>378020</v>
      </c>
      <c r="C364" s="610" t="s">
        <v>3422</v>
      </c>
      <c r="D364" s="611">
        <v>0</v>
      </c>
      <c r="E364" s="611">
        <v>0</v>
      </c>
      <c r="F364" s="611">
        <v>0</v>
      </c>
      <c r="G364" s="611">
        <v>0</v>
      </c>
    </row>
    <row r="365" spans="1:7" hidden="1" outlineLevel="2">
      <c r="A365" s="616" t="s">
        <v>3681</v>
      </c>
      <c r="B365" s="610">
        <v>378021</v>
      </c>
      <c r="C365" s="610" t="s">
        <v>3423</v>
      </c>
      <c r="D365" s="611">
        <v>0</v>
      </c>
      <c r="E365" s="611">
        <v>0</v>
      </c>
      <c r="F365" s="611">
        <v>0</v>
      </c>
      <c r="G365" s="611">
        <v>0</v>
      </c>
    </row>
    <row r="366" spans="1:7" hidden="1" outlineLevel="2">
      <c r="A366" s="616" t="s">
        <v>3681</v>
      </c>
      <c r="B366" s="610">
        <v>378024</v>
      </c>
      <c r="C366" s="610" t="s">
        <v>3424</v>
      </c>
      <c r="D366" s="611">
        <v>35589.129999999997</v>
      </c>
      <c r="E366" s="611">
        <v>0</v>
      </c>
      <c r="F366" s="611">
        <v>0</v>
      </c>
      <c r="G366" s="611">
        <v>35589.129999999997</v>
      </c>
    </row>
    <row r="367" spans="1:7" hidden="1" outlineLevel="2">
      <c r="A367" s="616" t="s">
        <v>3681</v>
      </c>
      <c r="B367" s="610">
        <v>378030</v>
      </c>
      <c r="C367" s="610" t="s">
        <v>3425</v>
      </c>
      <c r="D367" s="611">
        <v>0</v>
      </c>
      <c r="E367" s="611">
        <v>1258220.28</v>
      </c>
      <c r="F367" s="611">
        <v>1258220.28</v>
      </c>
      <c r="G367" s="611">
        <v>0</v>
      </c>
    </row>
    <row r="368" spans="1:7" hidden="1" outlineLevel="2">
      <c r="A368" s="616" t="s">
        <v>3681</v>
      </c>
      <c r="B368" s="610">
        <v>378080</v>
      </c>
      <c r="C368" s="610" t="s">
        <v>3426</v>
      </c>
      <c r="D368" s="611">
        <v>6899070.4500000002</v>
      </c>
      <c r="E368" s="611">
        <v>0</v>
      </c>
      <c r="F368" s="611">
        <v>6899070.4500000002</v>
      </c>
      <c r="G368" s="611">
        <v>0</v>
      </c>
    </row>
    <row r="369" spans="1:7" hidden="1" outlineLevel="2">
      <c r="A369" s="616" t="s">
        <v>3681</v>
      </c>
      <c r="B369" s="610">
        <v>378090</v>
      </c>
      <c r="C369" s="610" t="s">
        <v>3427</v>
      </c>
      <c r="D369" s="611">
        <v>38945.019999999997</v>
      </c>
      <c r="E369" s="611">
        <v>0</v>
      </c>
      <c r="F369" s="611">
        <v>38945.019999999997</v>
      </c>
      <c r="G369" s="611">
        <v>0</v>
      </c>
    </row>
    <row r="370" spans="1:7" hidden="1" outlineLevel="2">
      <c r="A370" s="616" t="s">
        <v>3681</v>
      </c>
      <c r="B370" s="610">
        <v>378091</v>
      </c>
      <c r="C370" s="610" t="s">
        <v>3428</v>
      </c>
      <c r="D370" s="611">
        <v>0</v>
      </c>
      <c r="E370" s="611">
        <v>5843.77</v>
      </c>
      <c r="F370" s="611">
        <v>0</v>
      </c>
      <c r="G370" s="611">
        <v>5843.77</v>
      </c>
    </row>
    <row r="371" spans="1:7" outlineLevel="1" collapsed="1">
      <c r="A371" s="620" t="s">
        <v>3882</v>
      </c>
      <c r="B371" s="610"/>
      <c r="C371" s="610"/>
      <c r="D371" s="611">
        <f>SUBTOTAL(9,D360:D370)</f>
        <v>6973544.5999999996</v>
      </c>
      <c r="E371" s="611">
        <f>SUBTOTAL(9,E360:E370)</f>
        <v>1270220.58</v>
      </c>
      <c r="F371" s="611">
        <f>SUBTOTAL(9,F360:F370)</f>
        <v>8203877.1699999999</v>
      </c>
      <c r="G371" s="611">
        <f>SUBTOTAL(9,G360:G370)</f>
        <v>39888.009999999995</v>
      </c>
    </row>
    <row r="372" spans="1:7" hidden="1" outlineLevel="2">
      <c r="A372" s="616" t="s">
        <v>3682</v>
      </c>
      <c r="B372" s="610">
        <v>379010</v>
      </c>
      <c r="C372" s="610" t="s">
        <v>3429</v>
      </c>
      <c r="D372" s="611">
        <v>-4000</v>
      </c>
      <c r="E372" s="611">
        <v>4000</v>
      </c>
      <c r="F372" s="611">
        <v>250</v>
      </c>
      <c r="G372" s="611">
        <v>-250</v>
      </c>
    </row>
    <row r="373" spans="1:7" hidden="1" outlineLevel="2">
      <c r="A373" s="616" t="s">
        <v>3682</v>
      </c>
      <c r="B373" s="610">
        <v>379011</v>
      </c>
      <c r="C373" s="610" t="s">
        <v>3430</v>
      </c>
      <c r="D373" s="611">
        <v>0</v>
      </c>
      <c r="E373" s="611">
        <v>70230.89</v>
      </c>
      <c r="F373" s="611">
        <v>70290.89</v>
      </c>
      <c r="G373" s="611">
        <v>-60</v>
      </c>
    </row>
    <row r="374" spans="1:7" hidden="1" outlineLevel="2">
      <c r="A374" s="616" t="s">
        <v>3682</v>
      </c>
      <c r="B374" s="610">
        <v>379013</v>
      </c>
      <c r="C374" s="610" t="s">
        <v>3431</v>
      </c>
      <c r="D374" s="611">
        <v>0</v>
      </c>
      <c r="E374" s="611">
        <v>0</v>
      </c>
      <c r="F374" s="611">
        <v>0</v>
      </c>
      <c r="G374" s="611">
        <v>0</v>
      </c>
    </row>
    <row r="375" spans="1:7" hidden="1" outlineLevel="2">
      <c r="A375" s="616" t="s">
        <v>3682</v>
      </c>
      <c r="B375" s="610">
        <v>379014</v>
      </c>
      <c r="C375" s="610" t="s">
        <v>3432</v>
      </c>
      <c r="D375" s="611"/>
      <c r="E375" s="611">
        <v>0</v>
      </c>
      <c r="F375" s="611">
        <v>291.13</v>
      </c>
      <c r="G375" s="611">
        <v>-291.13</v>
      </c>
    </row>
    <row r="376" spans="1:7" hidden="1" outlineLevel="2">
      <c r="A376" s="616" t="s">
        <v>3682</v>
      </c>
      <c r="B376" s="610">
        <v>379020</v>
      </c>
      <c r="C376" s="610" t="s">
        <v>3433</v>
      </c>
      <c r="D376" s="611">
        <v>0</v>
      </c>
      <c r="E376" s="611">
        <v>0</v>
      </c>
      <c r="F376" s="611">
        <v>0</v>
      </c>
      <c r="G376" s="611">
        <v>0</v>
      </c>
    </row>
    <row r="377" spans="1:7" hidden="1" outlineLevel="2">
      <c r="A377" s="616" t="s">
        <v>3682</v>
      </c>
      <c r="B377" s="610">
        <v>379030</v>
      </c>
      <c r="C377" s="610" t="s">
        <v>3434</v>
      </c>
      <c r="D377" s="611">
        <v>0</v>
      </c>
      <c r="E377" s="611">
        <v>0</v>
      </c>
      <c r="F377" s="611">
        <v>0</v>
      </c>
      <c r="G377" s="611">
        <v>0</v>
      </c>
    </row>
    <row r="378" spans="1:7" hidden="1" outlineLevel="2">
      <c r="A378" s="616" t="s">
        <v>3682</v>
      </c>
      <c r="B378" s="610">
        <v>379040</v>
      </c>
      <c r="C378" s="610" t="s">
        <v>3435</v>
      </c>
      <c r="D378" s="611">
        <v>0</v>
      </c>
      <c r="E378" s="611">
        <v>0</v>
      </c>
      <c r="F378" s="611">
        <v>0</v>
      </c>
      <c r="G378" s="611">
        <v>0</v>
      </c>
    </row>
    <row r="379" spans="1:7" hidden="1" outlineLevel="2">
      <c r="A379" s="616" t="s">
        <v>3682</v>
      </c>
      <c r="B379" s="610">
        <v>379060</v>
      </c>
      <c r="C379" s="610" t="s">
        <v>3436</v>
      </c>
      <c r="D379" s="611">
        <v>0</v>
      </c>
      <c r="E379" s="611">
        <v>0</v>
      </c>
      <c r="F379" s="611">
        <v>0</v>
      </c>
      <c r="G379" s="611">
        <v>0</v>
      </c>
    </row>
    <row r="380" spans="1:7" hidden="1" outlineLevel="2">
      <c r="A380" s="616" t="s">
        <v>3682</v>
      </c>
      <c r="B380" s="610">
        <v>379071</v>
      </c>
      <c r="C380" s="610" t="s">
        <v>3437</v>
      </c>
      <c r="D380" s="611">
        <v>-294.3</v>
      </c>
      <c r="E380" s="611">
        <v>420.64</v>
      </c>
      <c r="F380" s="611">
        <v>6213.17</v>
      </c>
      <c r="G380" s="611">
        <v>-6086.83</v>
      </c>
    </row>
    <row r="381" spans="1:7" hidden="1" outlineLevel="2">
      <c r="A381" s="616" t="s">
        <v>3682</v>
      </c>
      <c r="B381" s="610">
        <v>379073</v>
      </c>
      <c r="C381" s="610" t="s">
        <v>3438</v>
      </c>
      <c r="D381" s="611">
        <v>0</v>
      </c>
      <c r="E381" s="611">
        <v>417286.46</v>
      </c>
      <c r="F381" s="611">
        <v>501965.09</v>
      </c>
      <c r="G381" s="611">
        <v>-84678.63</v>
      </c>
    </row>
    <row r="382" spans="1:7" hidden="1" outlineLevel="2">
      <c r="A382" s="616" t="s">
        <v>3682</v>
      </c>
      <c r="B382" s="610">
        <v>379080</v>
      </c>
      <c r="C382" s="610" t="s">
        <v>3439</v>
      </c>
      <c r="D382" s="611">
        <v>-35589.129999999997</v>
      </c>
      <c r="E382" s="611">
        <v>0</v>
      </c>
      <c r="F382" s="611">
        <v>0</v>
      </c>
      <c r="G382" s="611">
        <v>-35589.129999999997</v>
      </c>
    </row>
    <row r="383" spans="1:7" hidden="1" outlineLevel="2">
      <c r="A383" s="616" t="s">
        <v>3682</v>
      </c>
      <c r="B383" s="610">
        <v>379081</v>
      </c>
      <c r="C383" s="610" t="s">
        <v>3440</v>
      </c>
      <c r="D383" s="611">
        <v>0</v>
      </c>
      <c r="E383" s="611">
        <v>13470</v>
      </c>
      <c r="F383" s="611">
        <v>13470</v>
      </c>
      <c r="G383" s="611">
        <v>0</v>
      </c>
    </row>
    <row r="384" spans="1:7" hidden="1" outlineLevel="2">
      <c r="A384" s="616" t="s">
        <v>3682</v>
      </c>
      <c r="B384" s="610">
        <v>379083</v>
      </c>
      <c r="C384" s="610" t="s">
        <v>3441</v>
      </c>
      <c r="D384" s="611">
        <v>0</v>
      </c>
      <c r="E384" s="611">
        <v>0</v>
      </c>
      <c r="F384" s="611">
        <v>41069.39</v>
      </c>
      <c r="G384" s="611">
        <v>-41069.39</v>
      </c>
    </row>
    <row r="385" spans="1:7" hidden="1" outlineLevel="2">
      <c r="A385" s="616" t="s">
        <v>3682</v>
      </c>
      <c r="B385" s="610">
        <v>379090</v>
      </c>
      <c r="C385" s="610" t="s">
        <v>3442</v>
      </c>
      <c r="D385" s="611">
        <v>-253276.15</v>
      </c>
      <c r="E385" s="611">
        <v>253276.15</v>
      </c>
      <c r="F385" s="611">
        <v>5843.77</v>
      </c>
      <c r="G385" s="611">
        <v>-5843.77</v>
      </c>
    </row>
    <row r="386" spans="1:7" hidden="1" outlineLevel="2">
      <c r="A386" s="616" t="s">
        <v>3682</v>
      </c>
      <c r="B386" s="610">
        <v>379092</v>
      </c>
      <c r="C386" s="610" t="s">
        <v>3443</v>
      </c>
      <c r="D386" s="611"/>
      <c r="E386" s="611">
        <v>133591.66</v>
      </c>
      <c r="F386" s="611">
        <v>140605.66</v>
      </c>
      <c r="G386" s="611">
        <v>-7014</v>
      </c>
    </row>
    <row r="387" spans="1:7" outlineLevel="1" collapsed="1">
      <c r="A387" s="620" t="s">
        <v>3883</v>
      </c>
      <c r="B387" s="610"/>
      <c r="C387" s="610"/>
      <c r="D387" s="611">
        <f>SUBTOTAL(9,D372:D386)</f>
        <v>-293159.58</v>
      </c>
      <c r="E387" s="611">
        <f>SUBTOTAL(9,E372:E386)</f>
        <v>892275.8</v>
      </c>
      <c r="F387" s="611">
        <f>SUBTOTAL(9,F372:F386)</f>
        <v>779999.10000000009</v>
      </c>
      <c r="G387" s="611">
        <f>SUBTOTAL(9,G372:G386)</f>
        <v>-180882.87999999998</v>
      </c>
    </row>
    <row r="388" spans="1:7" hidden="1" outlineLevel="2">
      <c r="A388" s="616" t="s">
        <v>3683</v>
      </c>
      <c r="B388" s="610">
        <v>381010</v>
      </c>
      <c r="C388" s="610" t="s">
        <v>3444</v>
      </c>
      <c r="D388" s="611">
        <v>301.91000000000003</v>
      </c>
      <c r="E388" s="611">
        <v>33593.800000000003</v>
      </c>
      <c r="F388" s="611">
        <v>31714.42</v>
      </c>
      <c r="G388" s="611">
        <v>2181.29</v>
      </c>
    </row>
    <row r="389" spans="1:7" hidden="1" outlineLevel="2">
      <c r="A389" s="616" t="s">
        <v>3683</v>
      </c>
      <c r="B389" s="610">
        <v>381020</v>
      </c>
      <c r="C389" s="610" t="s">
        <v>3445</v>
      </c>
      <c r="D389" s="611">
        <v>0</v>
      </c>
      <c r="E389" s="611">
        <v>0</v>
      </c>
      <c r="F389" s="611">
        <v>0</v>
      </c>
      <c r="G389" s="611">
        <v>0</v>
      </c>
    </row>
    <row r="390" spans="1:7" outlineLevel="1" collapsed="1">
      <c r="A390" s="620" t="s">
        <v>3884</v>
      </c>
      <c r="B390" s="610"/>
      <c r="C390" s="610"/>
      <c r="D390" s="611">
        <f>SUBTOTAL(9,D388:D389)</f>
        <v>301.91000000000003</v>
      </c>
      <c r="E390" s="611">
        <f>SUBTOTAL(9,E388:E389)</f>
        <v>33593.800000000003</v>
      </c>
      <c r="F390" s="611">
        <f>SUBTOTAL(9,F388:F389)</f>
        <v>31714.42</v>
      </c>
      <c r="G390" s="611">
        <f>SUBTOTAL(9,G388:G389)</f>
        <v>2181.29</v>
      </c>
    </row>
    <row r="391" spans="1:7" hidden="1" outlineLevel="2">
      <c r="A391" s="616" t="s">
        <v>3684</v>
      </c>
      <c r="B391" s="610">
        <v>383010</v>
      </c>
      <c r="C391" s="610" t="s">
        <v>3446</v>
      </c>
      <c r="D391" s="611">
        <v>0</v>
      </c>
      <c r="E391" s="611">
        <v>0</v>
      </c>
      <c r="F391" s="611">
        <v>20832.14</v>
      </c>
      <c r="G391" s="611">
        <v>-20832.14</v>
      </c>
    </row>
    <row r="392" spans="1:7" hidden="1" outlineLevel="2">
      <c r="A392" s="616" t="s">
        <v>3684</v>
      </c>
      <c r="B392" s="610">
        <v>383100</v>
      </c>
      <c r="C392" s="610" t="s">
        <v>3447</v>
      </c>
      <c r="D392" s="611">
        <v>0</v>
      </c>
      <c r="E392" s="611">
        <v>0</v>
      </c>
      <c r="F392" s="611">
        <v>0</v>
      </c>
      <c r="G392" s="611">
        <v>0</v>
      </c>
    </row>
    <row r="393" spans="1:7" outlineLevel="1" collapsed="1">
      <c r="A393" s="620" t="s">
        <v>3885</v>
      </c>
      <c r="B393" s="610"/>
      <c r="C393" s="610"/>
      <c r="D393" s="611">
        <f>SUBTOTAL(9,D391:D392)</f>
        <v>0</v>
      </c>
      <c r="E393" s="611">
        <f>SUBTOTAL(9,E391:E392)</f>
        <v>0</v>
      </c>
      <c r="F393" s="611">
        <f>SUBTOTAL(9,F391:F392)</f>
        <v>20832.14</v>
      </c>
      <c r="G393" s="611">
        <f>SUBTOTAL(9,G391:G392)</f>
        <v>-20832.14</v>
      </c>
    </row>
    <row r="394" spans="1:7" hidden="1" outlineLevel="2">
      <c r="A394" s="616" t="s">
        <v>3685</v>
      </c>
      <c r="B394" s="610">
        <v>384100</v>
      </c>
      <c r="C394" s="610" t="s">
        <v>3448</v>
      </c>
      <c r="D394" s="611">
        <v>0</v>
      </c>
      <c r="E394" s="611">
        <v>0</v>
      </c>
      <c r="F394" s="611">
        <v>0</v>
      </c>
      <c r="G394" s="611">
        <v>0</v>
      </c>
    </row>
    <row r="395" spans="1:7" outlineLevel="1" collapsed="1">
      <c r="A395" s="620" t="s">
        <v>3886</v>
      </c>
      <c r="B395" s="610"/>
      <c r="C395" s="610"/>
      <c r="D395" s="611">
        <f>SUBTOTAL(9,D394:D394)</f>
        <v>0</v>
      </c>
      <c r="E395" s="611">
        <f>SUBTOTAL(9,E394:E394)</f>
        <v>0</v>
      </c>
      <c r="F395" s="611">
        <f>SUBTOTAL(9,F394:F394)</f>
        <v>0</v>
      </c>
      <c r="G395" s="611">
        <f>SUBTOTAL(9,G394:G394)</f>
        <v>0</v>
      </c>
    </row>
    <row r="396" spans="1:7" hidden="1" outlineLevel="2">
      <c r="A396" s="616" t="s">
        <v>3686</v>
      </c>
      <c r="B396" s="610">
        <v>385010</v>
      </c>
      <c r="C396" s="610" t="s">
        <v>3449</v>
      </c>
      <c r="D396" s="611">
        <v>55000</v>
      </c>
      <c r="E396" s="611">
        <v>1622120.28</v>
      </c>
      <c r="F396" s="611">
        <v>1621534.8</v>
      </c>
      <c r="G396" s="611">
        <v>55585.48</v>
      </c>
    </row>
    <row r="397" spans="1:7" hidden="1" outlineLevel="2">
      <c r="A397" s="616" t="s">
        <v>3686</v>
      </c>
      <c r="B397" s="610">
        <v>385100</v>
      </c>
      <c r="C397" s="610" t="s">
        <v>3450</v>
      </c>
      <c r="D397" s="611">
        <v>182029.11</v>
      </c>
      <c r="E397" s="611">
        <v>0</v>
      </c>
      <c r="F397" s="611">
        <v>193731.31</v>
      </c>
      <c r="G397" s="611">
        <v>-11702.2</v>
      </c>
    </row>
    <row r="398" spans="1:7" outlineLevel="1" collapsed="1">
      <c r="A398" s="620" t="s">
        <v>3887</v>
      </c>
      <c r="B398" s="610"/>
      <c r="C398" s="610"/>
      <c r="D398" s="611">
        <f>SUBTOTAL(9,D396:D397)</f>
        <v>237029.11</v>
      </c>
      <c r="E398" s="611">
        <f>SUBTOTAL(9,E396:E397)</f>
        <v>1622120.28</v>
      </c>
      <c r="F398" s="611">
        <f>SUBTOTAL(9,F396:F397)</f>
        <v>1815266.11</v>
      </c>
      <c r="G398" s="611">
        <f>SUBTOTAL(9,G396:G397)</f>
        <v>43883.28</v>
      </c>
    </row>
    <row r="399" spans="1:7" hidden="1" outlineLevel="2">
      <c r="A399" s="616" t="s">
        <v>3687</v>
      </c>
      <c r="B399" s="610">
        <v>391010</v>
      </c>
      <c r="C399" s="610" t="s">
        <v>3451</v>
      </c>
      <c r="D399" s="611">
        <v>-184827.89</v>
      </c>
      <c r="E399" s="611">
        <v>0</v>
      </c>
      <c r="F399" s="611">
        <v>0</v>
      </c>
      <c r="G399" s="611">
        <v>-184827.89</v>
      </c>
    </row>
    <row r="400" spans="1:7" hidden="1" outlineLevel="2">
      <c r="A400" s="616" t="s">
        <v>3687</v>
      </c>
      <c r="B400" s="610">
        <v>391020</v>
      </c>
      <c r="C400" s="610" t="s">
        <v>3452</v>
      </c>
      <c r="D400" s="611">
        <v>-522103.6</v>
      </c>
      <c r="E400" s="611">
        <v>0</v>
      </c>
      <c r="F400" s="611">
        <v>1898556.16</v>
      </c>
      <c r="G400" s="611">
        <v>-2420659.7599999998</v>
      </c>
    </row>
    <row r="401" spans="1:7" hidden="1" outlineLevel="2">
      <c r="A401" s="616" t="s">
        <v>3687</v>
      </c>
      <c r="B401" s="610">
        <v>391030</v>
      </c>
      <c r="C401" s="610" t="s">
        <v>3453</v>
      </c>
      <c r="D401" s="611">
        <v>637449.49</v>
      </c>
      <c r="E401" s="611">
        <v>0</v>
      </c>
      <c r="F401" s="611">
        <v>0</v>
      </c>
      <c r="G401" s="611">
        <v>637449.49</v>
      </c>
    </row>
    <row r="402" spans="1:7" outlineLevel="1" collapsed="1">
      <c r="A402" s="620" t="s">
        <v>3888</v>
      </c>
      <c r="B402" s="610"/>
      <c r="C402" s="610"/>
      <c r="D402" s="611">
        <f>SUBTOTAL(9,D399:D401)</f>
        <v>-69482</v>
      </c>
      <c r="E402" s="611">
        <f>SUBTOTAL(9,E399:E401)</f>
        <v>0</v>
      </c>
      <c r="F402" s="611">
        <f>SUBTOTAL(9,F399:F401)</f>
        <v>1898556.16</v>
      </c>
      <c r="G402" s="611">
        <f>SUBTOTAL(9,G399:G401)</f>
        <v>-1968038.16</v>
      </c>
    </row>
    <row r="403" spans="1:7" hidden="1" outlineLevel="2">
      <c r="A403" s="616" t="s">
        <v>3688</v>
      </c>
      <c r="B403" s="610">
        <v>395010</v>
      </c>
      <c r="C403" s="610" t="s">
        <v>3454</v>
      </c>
      <c r="D403" s="611">
        <v>0</v>
      </c>
      <c r="E403" s="611">
        <v>5516.74</v>
      </c>
      <c r="F403" s="611">
        <v>5516.74</v>
      </c>
      <c r="G403" s="611">
        <v>0</v>
      </c>
    </row>
    <row r="404" spans="1:7" hidden="1" outlineLevel="2">
      <c r="A404" s="616" t="s">
        <v>3688</v>
      </c>
      <c r="B404" s="610">
        <v>395020</v>
      </c>
      <c r="C404" s="610" t="s">
        <v>3455</v>
      </c>
      <c r="D404" s="611">
        <v>0</v>
      </c>
      <c r="E404" s="611">
        <v>0</v>
      </c>
      <c r="F404" s="611">
        <v>0</v>
      </c>
      <c r="G404" s="611">
        <v>0</v>
      </c>
    </row>
    <row r="405" spans="1:7" hidden="1" outlineLevel="2">
      <c r="A405" s="616" t="s">
        <v>3688</v>
      </c>
      <c r="B405" s="610">
        <v>395100</v>
      </c>
      <c r="C405" s="610" t="s">
        <v>3456</v>
      </c>
      <c r="D405" s="611">
        <v>0</v>
      </c>
      <c r="E405" s="611">
        <v>99673.2</v>
      </c>
      <c r="F405" s="611">
        <v>99673.2</v>
      </c>
      <c r="G405" s="611">
        <v>0</v>
      </c>
    </row>
    <row r="406" spans="1:7" hidden="1" outlineLevel="2">
      <c r="A406" s="616" t="s">
        <v>3688</v>
      </c>
      <c r="B406" s="610">
        <v>395200</v>
      </c>
      <c r="C406" s="610" t="s">
        <v>3457</v>
      </c>
      <c r="D406" s="611">
        <v>0</v>
      </c>
      <c r="E406" s="611">
        <v>0</v>
      </c>
      <c r="F406" s="611">
        <v>0</v>
      </c>
      <c r="G406" s="611">
        <v>0</v>
      </c>
    </row>
    <row r="407" spans="1:7" outlineLevel="1" collapsed="1">
      <c r="A407" s="620" t="s">
        <v>3889</v>
      </c>
      <c r="B407" s="610"/>
      <c r="C407" s="610"/>
      <c r="D407" s="611">
        <f>SUBTOTAL(9,D403:D406)</f>
        <v>0</v>
      </c>
      <c r="E407" s="611">
        <f>SUBTOTAL(9,E403:E406)</f>
        <v>105189.94</v>
      </c>
      <c r="F407" s="611">
        <f>SUBTOTAL(9,F403:F406)</f>
        <v>105189.94</v>
      </c>
      <c r="G407" s="611">
        <f>SUBTOTAL(9,G403:G406)</f>
        <v>0</v>
      </c>
    </row>
    <row r="408" spans="1:7" hidden="1" outlineLevel="2">
      <c r="A408" s="616" t="s">
        <v>3689</v>
      </c>
      <c r="B408" s="610">
        <v>411030</v>
      </c>
      <c r="C408" s="610" t="s">
        <v>3458</v>
      </c>
      <c r="D408" s="611">
        <v>-179249</v>
      </c>
      <c r="E408" s="611">
        <v>0</v>
      </c>
      <c r="F408" s="611">
        <v>0</v>
      </c>
      <c r="G408" s="611">
        <v>-179249</v>
      </c>
    </row>
    <row r="409" spans="1:7" outlineLevel="1" collapsed="1">
      <c r="A409" s="620" t="s">
        <v>3890</v>
      </c>
      <c r="B409" s="610"/>
      <c r="C409" s="610"/>
      <c r="D409" s="611">
        <f>SUBTOTAL(9,D408:D408)</f>
        <v>-179249</v>
      </c>
      <c r="E409" s="611">
        <f>SUBTOTAL(9,E408:E408)</f>
        <v>0</v>
      </c>
      <c r="F409" s="611">
        <f>SUBTOTAL(9,F408:F408)</f>
        <v>0</v>
      </c>
      <c r="G409" s="611">
        <f>SUBTOTAL(9,G408:G408)</f>
        <v>-179249</v>
      </c>
    </row>
    <row r="410" spans="1:7" hidden="1" outlineLevel="2">
      <c r="A410" s="616" t="s">
        <v>3690</v>
      </c>
      <c r="B410" s="610">
        <v>413010</v>
      </c>
      <c r="C410" s="610" t="s">
        <v>3459</v>
      </c>
      <c r="D410" s="611">
        <v>-1500000</v>
      </c>
      <c r="E410" s="611">
        <v>0</v>
      </c>
      <c r="F410" s="611">
        <v>0</v>
      </c>
      <c r="G410" s="611">
        <v>-1500000</v>
      </c>
    </row>
    <row r="411" spans="1:7" outlineLevel="1" collapsed="1">
      <c r="A411" s="620" t="s">
        <v>3891</v>
      </c>
      <c r="B411" s="610"/>
      <c r="C411" s="610"/>
      <c r="D411" s="611">
        <f>SUBTOTAL(9,D410:D410)</f>
        <v>-1500000</v>
      </c>
      <c r="E411" s="611">
        <f>SUBTOTAL(9,E410:E410)</f>
        <v>0</v>
      </c>
      <c r="F411" s="611">
        <f>SUBTOTAL(9,F410:F410)</f>
        <v>0</v>
      </c>
      <c r="G411" s="611">
        <f>SUBTOTAL(9,G410:G410)</f>
        <v>-1500000</v>
      </c>
    </row>
    <row r="412" spans="1:7" hidden="1" outlineLevel="2">
      <c r="A412" s="616" t="s">
        <v>3691</v>
      </c>
      <c r="B412" s="610">
        <v>414010</v>
      </c>
      <c r="C412" s="610" t="s">
        <v>3460</v>
      </c>
      <c r="D412" s="611">
        <v>2260240.31</v>
      </c>
      <c r="E412" s="611">
        <v>0</v>
      </c>
      <c r="F412" s="611">
        <v>21648364.25</v>
      </c>
      <c r="G412" s="611">
        <v>-19388123.940000001</v>
      </c>
    </row>
    <row r="413" spans="1:7" outlineLevel="1" collapsed="1">
      <c r="A413" s="620" t="s">
        <v>3892</v>
      </c>
      <c r="B413" s="610"/>
      <c r="C413" s="610"/>
      <c r="D413" s="611">
        <f>SUBTOTAL(9,D412:D412)</f>
        <v>2260240.31</v>
      </c>
      <c r="E413" s="611">
        <f>SUBTOTAL(9,E412:E412)</f>
        <v>0</v>
      </c>
      <c r="F413" s="611">
        <f>SUBTOTAL(9,F412:F412)</f>
        <v>21648364.25</v>
      </c>
      <c r="G413" s="611">
        <f>SUBTOTAL(9,G412:G412)</f>
        <v>-19388123.940000001</v>
      </c>
    </row>
    <row r="414" spans="1:7" hidden="1" outlineLevel="2">
      <c r="A414" s="616" t="s">
        <v>3692</v>
      </c>
      <c r="B414" s="610">
        <v>421010</v>
      </c>
      <c r="C414" s="610" t="s">
        <v>3461</v>
      </c>
      <c r="D414" s="611">
        <v>-17930</v>
      </c>
      <c r="E414" s="611">
        <v>0</v>
      </c>
      <c r="F414" s="611">
        <v>0</v>
      </c>
      <c r="G414" s="611">
        <v>-17930</v>
      </c>
    </row>
    <row r="415" spans="1:7" outlineLevel="1" collapsed="1">
      <c r="A415" s="620" t="s">
        <v>3893</v>
      </c>
      <c r="B415" s="610"/>
      <c r="C415" s="610"/>
      <c r="D415" s="611">
        <f>SUBTOTAL(9,D414:D414)</f>
        <v>-17930</v>
      </c>
      <c r="E415" s="611">
        <f>SUBTOTAL(9,E414:E414)</f>
        <v>0</v>
      </c>
      <c r="F415" s="611">
        <f>SUBTOTAL(9,F414:F414)</f>
        <v>0</v>
      </c>
      <c r="G415" s="611">
        <f>SUBTOTAL(9,G414:G414)</f>
        <v>-17930</v>
      </c>
    </row>
    <row r="416" spans="1:7" hidden="1" outlineLevel="2">
      <c r="A416" s="616" t="s">
        <v>3693</v>
      </c>
      <c r="B416" s="610">
        <v>428010</v>
      </c>
      <c r="C416" s="610" t="s">
        <v>3462</v>
      </c>
      <c r="D416" s="611">
        <v>-14500926.859999999</v>
      </c>
      <c r="E416" s="611">
        <v>0</v>
      </c>
      <c r="F416" s="611">
        <v>0</v>
      </c>
      <c r="G416" s="611">
        <v>-14500926.859999999</v>
      </c>
    </row>
    <row r="417" spans="1:7" hidden="1" outlineLevel="2">
      <c r="A417" s="616" t="s">
        <v>3693</v>
      </c>
      <c r="B417" s="610">
        <v>428011</v>
      </c>
      <c r="C417" s="610" t="s">
        <v>3463</v>
      </c>
      <c r="D417" s="611">
        <v>-12363669.48</v>
      </c>
      <c r="E417" s="611">
        <v>0</v>
      </c>
      <c r="F417" s="611">
        <v>0</v>
      </c>
      <c r="G417" s="611">
        <v>-12363669.48</v>
      </c>
    </row>
    <row r="418" spans="1:7" outlineLevel="1" collapsed="1">
      <c r="A418" s="620" t="s">
        <v>3894</v>
      </c>
      <c r="B418" s="610"/>
      <c r="C418" s="610"/>
      <c r="D418" s="611">
        <f>SUBTOTAL(9,D416:D417)</f>
        <v>-26864596.34</v>
      </c>
      <c r="E418" s="611">
        <f>SUBTOTAL(9,E416:E417)</f>
        <v>0</v>
      </c>
      <c r="F418" s="611">
        <f>SUBTOTAL(9,F416:F417)</f>
        <v>0</v>
      </c>
      <c r="G418" s="611">
        <f>SUBTOTAL(9,G416:G417)</f>
        <v>-26864596.34</v>
      </c>
    </row>
    <row r="419" spans="1:7" hidden="1" outlineLevel="2">
      <c r="A419" s="616" t="s">
        <v>3694</v>
      </c>
      <c r="B419" s="610">
        <v>429010</v>
      </c>
      <c r="C419" s="610" t="s">
        <v>3464</v>
      </c>
      <c r="D419" s="611">
        <v>1137535.02</v>
      </c>
      <c r="E419" s="611">
        <v>0</v>
      </c>
      <c r="F419" s="611">
        <v>1099197.23</v>
      </c>
      <c r="G419" s="611">
        <v>38337.79</v>
      </c>
    </row>
    <row r="420" spans="1:7" outlineLevel="1" collapsed="1">
      <c r="A420" s="620" t="s">
        <v>3895</v>
      </c>
      <c r="B420" s="610"/>
      <c r="C420" s="610"/>
      <c r="D420" s="611">
        <f>SUBTOTAL(9,D419:D419)</f>
        <v>1137535.02</v>
      </c>
      <c r="E420" s="611">
        <f>SUBTOTAL(9,E419:E419)</f>
        <v>0</v>
      </c>
      <c r="F420" s="611">
        <f>SUBTOTAL(9,F419:F419)</f>
        <v>1099197.23</v>
      </c>
      <c r="G420" s="611">
        <f>SUBTOTAL(9,G419:G419)</f>
        <v>38337.79</v>
      </c>
    </row>
    <row r="421" spans="1:7" hidden="1" outlineLevel="2">
      <c r="A421" s="616" t="s">
        <v>3695</v>
      </c>
      <c r="B421" s="610">
        <v>431010</v>
      </c>
      <c r="C421" s="610" t="s">
        <v>3465</v>
      </c>
      <c r="D421" s="611">
        <v>-1099197.23</v>
      </c>
      <c r="E421" s="611">
        <v>1099197.23</v>
      </c>
      <c r="F421" s="611">
        <v>0</v>
      </c>
      <c r="G421" s="611">
        <v>0</v>
      </c>
    </row>
    <row r="422" spans="1:7" outlineLevel="1" collapsed="1">
      <c r="A422" s="620" t="s">
        <v>3896</v>
      </c>
      <c r="B422" s="610"/>
      <c r="C422" s="610"/>
      <c r="D422" s="611">
        <f>SUBTOTAL(9,D421:D421)</f>
        <v>-1099197.23</v>
      </c>
      <c r="E422" s="611">
        <f>SUBTOTAL(9,E421:E421)</f>
        <v>1099197.23</v>
      </c>
      <c r="F422" s="611">
        <f>SUBTOTAL(9,F421:F421)</f>
        <v>0</v>
      </c>
      <c r="G422" s="611">
        <f>SUBTOTAL(9,G421:G421)</f>
        <v>0</v>
      </c>
    </row>
    <row r="423" spans="1:7" hidden="1" outlineLevel="2">
      <c r="A423" s="616" t="s">
        <v>3696</v>
      </c>
      <c r="B423" s="610">
        <v>459010</v>
      </c>
      <c r="C423" s="610" t="s">
        <v>3466</v>
      </c>
      <c r="D423" s="611">
        <v>0</v>
      </c>
      <c r="E423" s="611">
        <v>0</v>
      </c>
      <c r="F423" s="611">
        <v>0</v>
      </c>
      <c r="G423" s="611">
        <v>0</v>
      </c>
    </row>
    <row r="424" spans="1:7" outlineLevel="1" collapsed="1">
      <c r="A424" s="620" t="s">
        <v>3897</v>
      </c>
      <c r="B424" s="610"/>
      <c r="C424" s="610"/>
      <c r="D424" s="611">
        <f>SUBTOTAL(9,D423:D423)</f>
        <v>0</v>
      </c>
      <c r="E424" s="611">
        <f>SUBTOTAL(9,E423:E423)</f>
        <v>0</v>
      </c>
      <c r="F424" s="611">
        <f>SUBTOTAL(9,F423:F423)</f>
        <v>0</v>
      </c>
      <c r="G424" s="611">
        <f>SUBTOTAL(9,G423:G423)</f>
        <v>0</v>
      </c>
    </row>
    <row r="425" spans="1:7" outlineLevel="2">
      <c r="A425" s="616" t="s">
        <v>3697</v>
      </c>
      <c r="B425" s="610">
        <v>461061</v>
      </c>
      <c r="C425" s="610" t="s">
        <v>3467</v>
      </c>
      <c r="D425" s="611">
        <v>-79731.710000000006</v>
      </c>
      <c r="E425" s="611">
        <v>79731.710000000006</v>
      </c>
      <c r="F425" s="611">
        <v>0</v>
      </c>
      <c r="G425" s="611">
        <v>0</v>
      </c>
    </row>
    <row r="426" spans="1:7" outlineLevel="2">
      <c r="A426" s="616" t="s">
        <v>3697</v>
      </c>
      <c r="B426" s="610">
        <v>461062</v>
      </c>
      <c r="C426" s="610" t="s">
        <v>3468</v>
      </c>
      <c r="D426" s="611">
        <v>-63785.36</v>
      </c>
      <c r="E426" s="611">
        <v>63785.36</v>
      </c>
      <c r="F426" s="611">
        <v>0</v>
      </c>
      <c r="G426" s="611">
        <v>0</v>
      </c>
    </row>
    <row r="427" spans="1:7" outlineLevel="1">
      <c r="A427" s="620" t="s">
        <v>3898</v>
      </c>
      <c r="B427" s="610"/>
      <c r="C427" s="610"/>
      <c r="D427" s="611">
        <f>SUBTOTAL(9,D425:D426)</f>
        <v>-143517.07</v>
      </c>
      <c r="E427" s="611">
        <f>SUBTOTAL(9,E425:E426)</f>
        <v>143517.07</v>
      </c>
      <c r="F427" s="611">
        <f>SUBTOTAL(9,F425:F426)</f>
        <v>0</v>
      </c>
      <c r="G427" s="611">
        <f>SUBTOTAL(9,G425:G426)</f>
        <v>0</v>
      </c>
    </row>
    <row r="428" spans="1:7" hidden="1" outlineLevel="2">
      <c r="A428" s="616" t="s">
        <v>3698</v>
      </c>
      <c r="B428" s="610">
        <v>472020</v>
      </c>
      <c r="C428" s="610" t="s">
        <v>3469</v>
      </c>
      <c r="D428" s="611">
        <v>-141.94999999999999</v>
      </c>
      <c r="E428" s="611">
        <v>569</v>
      </c>
      <c r="F428" s="611">
        <v>918.64</v>
      </c>
      <c r="G428" s="611">
        <v>-491.59</v>
      </c>
    </row>
    <row r="429" spans="1:7" hidden="1" outlineLevel="2">
      <c r="A429" s="616" t="s">
        <v>3698</v>
      </c>
      <c r="B429" s="610">
        <v>472030</v>
      </c>
      <c r="C429" s="610" t="s">
        <v>3470</v>
      </c>
      <c r="D429" s="611">
        <v>0</v>
      </c>
      <c r="E429" s="611">
        <v>13.3</v>
      </c>
      <c r="F429" s="611">
        <v>0</v>
      </c>
      <c r="G429" s="611">
        <v>13.3</v>
      </c>
    </row>
    <row r="430" spans="1:7" hidden="1" outlineLevel="2">
      <c r="A430" s="616" t="s">
        <v>3698</v>
      </c>
      <c r="B430" s="610">
        <v>472120</v>
      </c>
      <c r="C430" s="610" t="s">
        <v>3471</v>
      </c>
      <c r="D430" s="611">
        <v>-85.43</v>
      </c>
      <c r="E430" s="611">
        <v>0</v>
      </c>
      <c r="F430" s="611">
        <v>11.83</v>
      </c>
      <c r="G430" s="611">
        <v>-97.26</v>
      </c>
    </row>
    <row r="431" spans="1:7" hidden="1" outlineLevel="2">
      <c r="A431" s="616" t="s">
        <v>3698</v>
      </c>
      <c r="B431" s="610">
        <v>472130</v>
      </c>
      <c r="C431" s="610" t="s">
        <v>3472</v>
      </c>
      <c r="D431" s="611">
        <v>0</v>
      </c>
      <c r="E431" s="611">
        <v>0</v>
      </c>
      <c r="F431" s="611">
        <v>0</v>
      </c>
      <c r="G431" s="611">
        <v>0</v>
      </c>
    </row>
    <row r="432" spans="1:7" hidden="1" outlineLevel="2">
      <c r="A432" s="616" t="s">
        <v>3698</v>
      </c>
      <c r="B432" s="610">
        <v>472131</v>
      </c>
      <c r="C432" s="610" t="s">
        <v>3473</v>
      </c>
      <c r="D432" s="611">
        <v>0</v>
      </c>
      <c r="E432" s="611">
        <v>0</v>
      </c>
      <c r="F432" s="611">
        <v>0</v>
      </c>
      <c r="G432" s="611">
        <v>0</v>
      </c>
    </row>
    <row r="433" spans="1:7" hidden="1" outlineLevel="2">
      <c r="A433" s="616" t="s">
        <v>3698</v>
      </c>
      <c r="B433" s="610">
        <v>472220</v>
      </c>
      <c r="C433" s="610" t="s">
        <v>3474</v>
      </c>
      <c r="D433" s="611">
        <v>0</v>
      </c>
      <c r="E433" s="611">
        <v>0</v>
      </c>
      <c r="F433" s="611">
        <v>0</v>
      </c>
      <c r="G433" s="611">
        <v>0</v>
      </c>
    </row>
    <row r="434" spans="1:7" outlineLevel="1" collapsed="1">
      <c r="A434" s="620" t="s">
        <v>3899</v>
      </c>
      <c r="B434" s="610"/>
      <c r="C434" s="610"/>
      <c r="D434" s="611">
        <f>SUBTOTAL(9,D428:D433)</f>
        <v>-227.38</v>
      </c>
      <c r="E434" s="611">
        <f>SUBTOTAL(9,E428:E433)</f>
        <v>582.29999999999995</v>
      </c>
      <c r="F434" s="611">
        <f>SUBTOTAL(9,F428:F433)</f>
        <v>930.47</v>
      </c>
      <c r="G434" s="611">
        <f>SUBTOTAL(9,G428:G433)</f>
        <v>-575.54999999999995</v>
      </c>
    </row>
    <row r="435" spans="1:7" hidden="1" outlineLevel="2">
      <c r="A435" s="616" t="s">
        <v>3699</v>
      </c>
      <c r="B435" s="610">
        <v>474021</v>
      </c>
      <c r="C435" s="610" t="s">
        <v>3475</v>
      </c>
      <c r="D435" s="611">
        <v>0</v>
      </c>
      <c r="E435" s="611">
        <v>0</v>
      </c>
      <c r="F435" s="611">
        <v>0</v>
      </c>
      <c r="G435" s="611">
        <v>0</v>
      </c>
    </row>
    <row r="436" spans="1:7" hidden="1" outlineLevel="2">
      <c r="A436" s="616" t="s">
        <v>3699</v>
      </c>
      <c r="B436" s="610">
        <v>474031</v>
      </c>
      <c r="C436" s="610" t="s">
        <v>3476</v>
      </c>
      <c r="D436" s="611">
        <v>0</v>
      </c>
      <c r="E436" s="611">
        <v>0</v>
      </c>
      <c r="F436" s="611">
        <v>0</v>
      </c>
      <c r="G436" s="611">
        <v>0</v>
      </c>
    </row>
    <row r="437" spans="1:7" hidden="1" outlineLevel="2">
      <c r="A437" s="616" t="s">
        <v>3699</v>
      </c>
      <c r="B437" s="610">
        <v>474052</v>
      </c>
      <c r="C437" s="610" t="s">
        <v>3477</v>
      </c>
      <c r="D437" s="611">
        <v>0</v>
      </c>
      <c r="E437" s="611">
        <v>0</v>
      </c>
      <c r="F437" s="611">
        <v>0</v>
      </c>
      <c r="G437" s="611">
        <v>0</v>
      </c>
    </row>
    <row r="438" spans="1:7" hidden="1" outlineLevel="2">
      <c r="A438" s="616" t="s">
        <v>3699</v>
      </c>
      <c r="B438" s="610">
        <v>474053</v>
      </c>
      <c r="C438" s="610" t="s">
        <v>3478</v>
      </c>
      <c r="D438" s="611">
        <v>0</v>
      </c>
      <c r="E438" s="611">
        <v>0</v>
      </c>
      <c r="F438" s="611">
        <v>0</v>
      </c>
      <c r="G438" s="611">
        <v>0</v>
      </c>
    </row>
    <row r="439" spans="1:7" hidden="1" outlineLevel="2">
      <c r="A439" s="616" t="s">
        <v>3699</v>
      </c>
      <c r="B439" s="610">
        <v>474060</v>
      </c>
      <c r="C439" s="610" t="s">
        <v>3479</v>
      </c>
      <c r="D439" s="611">
        <v>0</v>
      </c>
      <c r="E439" s="611">
        <v>0</v>
      </c>
      <c r="F439" s="611">
        <v>0</v>
      </c>
      <c r="G439" s="611">
        <v>0</v>
      </c>
    </row>
    <row r="440" spans="1:7" hidden="1" outlineLevel="2">
      <c r="A440" s="616" t="s">
        <v>3699</v>
      </c>
      <c r="B440" s="610">
        <v>474061</v>
      </c>
      <c r="C440" s="610" t="s">
        <v>3480</v>
      </c>
      <c r="D440" s="611">
        <v>0</v>
      </c>
      <c r="E440" s="611">
        <v>0</v>
      </c>
      <c r="F440" s="611">
        <v>0</v>
      </c>
      <c r="G440" s="611">
        <v>0</v>
      </c>
    </row>
    <row r="441" spans="1:7" hidden="1" outlineLevel="2">
      <c r="A441" s="616" t="s">
        <v>3699</v>
      </c>
      <c r="B441" s="610">
        <v>474070</v>
      </c>
      <c r="C441" s="610" t="s">
        <v>3481</v>
      </c>
      <c r="D441" s="611">
        <v>0</v>
      </c>
      <c r="E441" s="611">
        <v>0</v>
      </c>
      <c r="F441" s="611">
        <v>0</v>
      </c>
      <c r="G441" s="611">
        <v>0</v>
      </c>
    </row>
    <row r="442" spans="1:7" hidden="1" outlineLevel="2">
      <c r="A442" s="616" t="s">
        <v>3699</v>
      </c>
      <c r="B442" s="610">
        <v>474071</v>
      </c>
      <c r="C442" s="610" t="s">
        <v>3482</v>
      </c>
      <c r="D442" s="611">
        <v>0</v>
      </c>
      <c r="E442" s="611">
        <v>0</v>
      </c>
      <c r="F442" s="611">
        <v>0</v>
      </c>
      <c r="G442" s="611">
        <v>0</v>
      </c>
    </row>
    <row r="443" spans="1:7" hidden="1" outlineLevel="2">
      <c r="A443" s="616" t="s">
        <v>3699</v>
      </c>
      <c r="B443" s="610">
        <v>474080</v>
      </c>
      <c r="C443" s="610" t="s">
        <v>3483</v>
      </c>
      <c r="D443" s="611">
        <v>0</v>
      </c>
      <c r="E443" s="611">
        <v>0</v>
      </c>
      <c r="F443" s="611">
        <v>0</v>
      </c>
      <c r="G443" s="611">
        <v>0</v>
      </c>
    </row>
    <row r="444" spans="1:7" hidden="1" outlineLevel="2">
      <c r="A444" s="616" t="s">
        <v>3699</v>
      </c>
      <c r="B444" s="610">
        <v>474081</v>
      </c>
      <c r="C444" s="610" t="s">
        <v>3484</v>
      </c>
      <c r="D444" s="611">
        <v>0</v>
      </c>
      <c r="E444" s="611">
        <v>0</v>
      </c>
      <c r="F444" s="611">
        <v>0</v>
      </c>
      <c r="G444" s="611">
        <v>0</v>
      </c>
    </row>
    <row r="445" spans="1:7" hidden="1" outlineLevel="2">
      <c r="A445" s="616" t="s">
        <v>3699</v>
      </c>
      <c r="B445" s="610">
        <v>474090</v>
      </c>
      <c r="C445" s="610" t="s">
        <v>3485</v>
      </c>
      <c r="D445" s="611">
        <v>0</v>
      </c>
      <c r="E445" s="611">
        <v>0</v>
      </c>
      <c r="F445" s="611">
        <v>0</v>
      </c>
      <c r="G445" s="611">
        <v>0</v>
      </c>
    </row>
    <row r="446" spans="1:7" hidden="1" outlineLevel="2">
      <c r="A446" s="616" t="s">
        <v>3699</v>
      </c>
      <c r="B446" s="610">
        <v>474091</v>
      </c>
      <c r="C446" s="610" t="s">
        <v>3486</v>
      </c>
      <c r="D446" s="611">
        <v>0</v>
      </c>
      <c r="E446" s="611">
        <v>0</v>
      </c>
      <c r="F446" s="611">
        <v>0</v>
      </c>
      <c r="G446" s="611">
        <v>0</v>
      </c>
    </row>
    <row r="447" spans="1:7" hidden="1" outlineLevel="2">
      <c r="A447" s="616" t="s">
        <v>3699</v>
      </c>
      <c r="B447" s="610">
        <v>474100</v>
      </c>
      <c r="C447" s="610" t="s">
        <v>3487</v>
      </c>
      <c r="D447" s="611">
        <v>0</v>
      </c>
      <c r="E447" s="611">
        <v>0</v>
      </c>
      <c r="F447" s="611">
        <v>0</v>
      </c>
      <c r="G447" s="611">
        <v>0</v>
      </c>
    </row>
    <row r="448" spans="1:7" hidden="1" outlineLevel="2">
      <c r="A448" s="616" t="s">
        <v>3699</v>
      </c>
      <c r="B448" s="610">
        <v>474101</v>
      </c>
      <c r="C448" s="610" t="s">
        <v>3488</v>
      </c>
      <c r="D448" s="611">
        <v>0</v>
      </c>
      <c r="E448" s="611">
        <v>0</v>
      </c>
      <c r="F448" s="611">
        <v>0</v>
      </c>
      <c r="G448" s="611">
        <v>0</v>
      </c>
    </row>
    <row r="449" spans="1:7" hidden="1" outlineLevel="2">
      <c r="A449" s="616" t="s">
        <v>3699</v>
      </c>
      <c r="B449" s="610">
        <v>474110</v>
      </c>
      <c r="C449" s="610" t="s">
        <v>3489</v>
      </c>
      <c r="D449" s="611">
        <v>0</v>
      </c>
      <c r="E449" s="611">
        <v>0</v>
      </c>
      <c r="F449" s="611">
        <v>0</v>
      </c>
      <c r="G449" s="611">
        <v>0</v>
      </c>
    </row>
    <row r="450" spans="1:7" hidden="1" outlineLevel="2">
      <c r="A450" s="616" t="s">
        <v>3699</v>
      </c>
      <c r="B450" s="610">
        <v>474111</v>
      </c>
      <c r="C450" s="610" t="s">
        <v>3490</v>
      </c>
      <c r="D450" s="611">
        <v>0</v>
      </c>
      <c r="E450" s="611">
        <v>0</v>
      </c>
      <c r="F450" s="611">
        <v>0</v>
      </c>
      <c r="G450" s="611">
        <v>0</v>
      </c>
    </row>
    <row r="451" spans="1:7" hidden="1" outlineLevel="2">
      <c r="A451" s="616" t="s">
        <v>3699</v>
      </c>
      <c r="B451" s="610">
        <v>474120</v>
      </c>
      <c r="C451" s="610" t="s">
        <v>3491</v>
      </c>
      <c r="D451" s="611">
        <v>0</v>
      </c>
      <c r="E451" s="611">
        <v>0</v>
      </c>
      <c r="F451" s="611">
        <v>0</v>
      </c>
      <c r="G451" s="611">
        <v>0</v>
      </c>
    </row>
    <row r="452" spans="1:7" hidden="1" outlineLevel="2">
      <c r="A452" s="616" t="s">
        <v>3699</v>
      </c>
      <c r="B452" s="610">
        <v>474121</v>
      </c>
      <c r="C452" s="610" t="s">
        <v>3492</v>
      </c>
      <c r="D452" s="611">
        <v>0</v>
      </c>
      <c r="E452" s="611">
        <v>0</v>
      </c>
      <c r="F452" s="611">
        <v>0</v>
      </c>
      <c r="G452" s="611">
        <v>0</v>
      </c>
    </row>
    <row r="453" spans="1:7" hidden="1" outlineLevel="2">
      <c r="A453" s="616" t="s">
        <v>3699</v>
      </c>
      <c r="B453" s="610">
        <v>474130</v>
      </c>
      <c r="C453" s="610" t="s">
        <v>3493</v>
      </c>
      <c r="D453" s="611">
        <v>0</v>
      </c>
      <c r="E453" s="611">
        <v>0</v>
      </c>
      <c r="F453" s="611">
        <v>0</v>
      </c>
      <c r="G453" s="611">
        <v>0</v>
      </c>
    </row>
    <row r="454" spans="1:7" hidden="1" outlineLevel="2">
      <c r="A454" s="616" t="s">
        <v>3699</v>
      </c>
      <c r="B454" s="610">
        <v>474131</v>
      </c>
      <c r="C454" s="610" t="s">
        <v>3494</v>
      </c>
      <c r="D454" s="611">
        <v>0</v>
      </c>
      <c r="E454" s="611">
        <v>0</v>
      </c>
      <c r="F454" s="611">
        <v>0</v>
      </c>
      <c r="G454" s="611">
        <v>0</v>
      </c>
    </row>
    <row r="455" spans="1:7" hidden="1" outlineLevel="2">
      <c r="A455" s="616" t="s">
        <v>3699</v>
      </c>
      <c r="B455" s="610">
        <v>474140</v>
      </c>
      <c r="C455" s="610" t="s">
        <v>3495</v>
      </c>
      <c r="D455" s="611">
        <v>0</v>
      </c>
      <c r="E455" s="611">
        <v>0</v>
      </c>
      <c r="F455" s="611">
        <v>0</v>
      </c>
      <c r="G455" s="611">
        <v>0</v>
      </c>
    </row>
    <row r="456" spans="1:7" hidden="1" outlineLevel="2">
      <c r="A456" s="616" t="s">
        <v>3699</v>
      </c>
      <c r="B456" s="610">
        <v>474141</v>
      </c>
      <c r="C456" s="610" t="s">
        <v>3496</v>
      </c>
      <c r="D456" s="611">
        <v>0</v>
      </c>
      <c r="E456" s="611">
        <v>0</v>
      </c>
      <c r="F456" s="611">
        <v>0</v>
      </c>
      <c r="G456" s="611">
        <v>0</v>
      </c>
    </row>
    <row r="457" spans="1:7" hidden="1" outlineLevel="2">
      <c r="A457" s="616" t="s">
        <v>3699</v>
      </c>
      <c r="B457" s="610">
        <v>474150</v>
      </c>
      <c r="C457" s="610" t="s">
        <v>3497</v>
      </c>
      <c r="D457" s="611">
        <v>0</v>
      </c>
      <c r="E457" s="611">
        <v>0</v>
      </c>
      <c r="F457" s="611">
        <v>0</v>
      </c>
      <c r="G457" s="611">
        <v>0</v>
      </c>
    </row>
    <row r="458" spans="1:7" hidden="1" outlineLevel="2">
      <c r="A458" s="616" t="s">
        <v>3699</v>
      </c>
      <c r="B458" s="610">
        <v>474151</v>
      </c>
      <c r="C458" s="610" t="s">
        <v>3498</v>
      </c>
      <c r="D458" s="611">
        <v>0</v>
      </c>
      <c r="E458" s="611">
        <v>0</v>
      </c>
      <c r="F458" s="611">
        <v>0</v>
      </c>
      <c r="G458" s="611">
        <v>0</v>
      </c>
    </row>
    <row r="459" spans="1:7" hidden="1" outlineLevel="2">
      <c r="A459" s="616" t="s">
        <v>3699</v>
      </c>
      <c r="B459" s="610">
        <v>474160</v>
      </c>
      <c r="C459" s="610" t="s">
        <v>3499</v>
      </c>
      <c r="D459" s="611">
        <v>0</v>
      </c>
      <c r="E459" s="611">
        <v>0</v>
      </c>
      <c r="F459" s="611">
        <v>0</v>
      </c>
      <c r="G459" s="611">
        <v>0</v>
      </c>
    </row>
    <row r="460" spans="1:7" hidden="1" outlineLevel="2">
      <c r="A460" s="616" t="s">
        <v>3699</v>
      </c>
      <c r="B460" s="610">
        <v>474161</v>
      </c>
      <c r="C460" s="610" t="s">
        <v>3500</v>
      </c>
      <c r="D460" s="611">
        <v>0</v>
      </c>
      <c r="E460" s="611">
        <v>0</v>
      </c>
      <c r="F460" s="611">
        <v>0</v>
      </c>
      <c r="G460" s="611">
        <v>0</v>
      </c>
    </row>
    <row r="461" spans="1:7" hidden="1" outlineLevel="2">
      <c r="A461" s="616" t="s">
        <v>3699</v>
      </c>
      <c r="B461" s="610">
        <v>474170</v>
      </c>
      <c r="C461" s="610" t="s">
        <v>3501</v>
      </c>
      <c r="D461" s="611">
        <v>0</v>
      </c>
      <c r="E461" s="611">
        <v>0</v>
      </c>
      <c r="F461" s="611">
        <v>0</v>
      </c>
      <c r="G461" s="611">
        <v>0</v>
      </c>
    </row>
    <row r="462" spans="1:7" hidden="1" outlineLevel="2">
      <c r="A462" s="616" t="s">
        <v>3699</v>
      </c>
      <c r="B462" s="610">
        <v>474171</v>
      </c>
      <c r="C462" s="610" t="s">
        <v>3502</v>
      </c>
      <c r="D462" s="611">
        <v>0</v>
      </c>
      <c r="E462" s="611">
        <v>0</v>
      </c>
      <c r="F462" s="611">
        <v>0</v>
      </c>
      <c r="G462" s="611">
        <v>0</v>
      </c>
    </row>
    <row r="463" spans="1:7" hidden="1" outlineLevel="2">
      <c r="A463" s="616" t="s">
        <v>3699</v>
      </c>
      <c r="B463" s="610">
        <v>474190</v>
      </c>
      <c r="C463" s="610" t="s">
        <v>3503</v>
      </c>
      <c r="D463" s="611">
        <v>0</v>
      </c>
      <c r="E463" s="611">
        <v>0</v>
      </c>
      <c r="F463" s="611">
        <v>0</v>
      </c>
      <c r="G463" s="611">
        <v>0</v>
      </c>
    </row>
    <row r="464" spans="1:7" hidden="1" outlineLevel="2">
      <c r="A464" s="616" t="s">
        <v>3699</v>
      </c>
      <c r="B464" s="610">
        <v>474191</v>
      </c>
      <c r="C464" s="610" t="s">
        <v>3504</v>
      </c>
      <c r="D464" s="611">
        <v>0</v>
      </c>
      <c r="E464" s="611">
        <v>0</v>
      </c>
      <c r="F464" s="611">
        <v>0</v>
      </c>
      <c r="G464" s="611">
        <v>0</v>
      </c>
    </row>
    <row r="465" spans="1:7" hidden="1" outlineLevel="2">
      <c r="A465" s="616" t="s">
        <v>3699</v>
      </c>
      <c r="B465" s="610">
        <v>474200</v>
      </c>
      <c r="C465" s="610" t="s">
        <v>3505</v>
      </c>
      <c r="D465" s="611">
        <v>0</v>
      </c>
      <c r="E465" s="611">
        <v>0</v>
      </c>
      <c r="F465" s="611">
        <v>0</v>
      </c>
      <c r="G465" s="611">
        <v>0</v>
      </c>
    </row>
    <row r="466" spans="1:7" hidden="1" outlineLevel="2">
      <c r="A466" s="616" t="s">
        <v>3699</v>
      </c>
      <c r="B466" s="610">
        <v>474201</v>
      </c>
      <c r="C466" s="610" t="s">
        <v>3506</v>
      </c>
      <c r="D466" s="611">
        <v>0</v>
      </c>
      <c r="E466" s="611">
        <v>0</v>
      </c>
      <c r="F466" s="611">
        <v>0</v>
      </c>
      <c r="G466" s="611">
        <v>0</v>
      </c>
    </row>
    <row r="467" spans="1:7" hidden="1" outlineLevel="2">
      <c r="A467" s="616" t="s">
        <v>3699</v>
      </c>
      <c r="B467" s="610">
        <v>474210</v>
      </c>
      <c r="C467" s="610" t="s">
        <v>3507</v>
      </c>
      <c r="D467" s="611">
        <v>0</v>
      </c>
      <c r="E467" s="611">
        <v>0</v>
      </c>
      <c r="F467" s="611">
        <v>0</v>
      </c>
      <c r="G467" s="611">
        <v>0</v>
      </c>
    </row>
    <row r="468" spans="1:7" hidden="1" outlineLevel="2">
      <c r="A468" s="616" t="s">
        <v>3699</v>
      </c>
      <c r="B468" s="610">
        <v>474211</v>
      </c>
      <c r="C468" s="610" t="s">
        <v>3508</v>
      </c>
      <c r="D468" s="611">
        <v>0</v>
      </c>
      <c r="E468" s="611">
        <v>0</v>
      </c>
      <c r="F468" s="611">
        <v>0</v>
      </c>
      <c r="G468" s="611">
        <v>0</v>
      </c>
    </row>
    <row r="469" spans="1:7" hidden="1" outlineLevel="2">
      <c r="A469" s="616" t="s">
        <v>3699</v>
      </c>
      <c r="B469" s="610">
        <v>474220</v>
      </c>
      <c r="C469" s="610" t="s">
        <v>3509</v>
      </c>
      <c r="D469" s="611">
        <v>0</v>
      </c>
      <c r="E469" s="611">
        <v>0</v>
      </c>
      <c r="F469" s="611">
        <v>0</v>
      </c>
      <c r="G469" s="611">
        <v>0</v>
      </c>
    </row>
    <row r="470" spans="1:7" hidden="1" outlineLevel="2">
      <c r="A470" s="616" t="s">
        <v>3699</v>
      </c>
      <c r="B470" s="610">
        <v>474221</v>
      </c>
      <c r="C470" s="610" t="s">
        <v>3510</v>
      </c>
      <c r="D470" s="611">
        <v>0</v>
      </c>
      <c r="E470" s="611">
        <v>0</v>
      </c>
      <c r="F470" s="611">
        <v>0</v>
      </c>
      <c r="G470" s="611">
        <v>0</v>
      </c>
    </row>
    <row r="471" spans="1:7" hidden="1" outlineLevel="2">
      <c r="A471" s="616" t="s">
        <v>3699</v>
      </c>
      <c r="B471" s="610">
        <v>474230</v>
      </c>
      <c r="C471" s="610" t="s">
        <v>3511</v>
      </c>
      <c r="D471" s="611">
        <v>0</v>
      </c>
      <c r="E471" s="611">
        <v>0</v>
      </c>
      <c r="F471" s="611">
        <v>0</v>
      </c>
      <c r="G471" s="611">
        <v>0</v>
      </c>
    </row>
    <row r="472" spans="1:7" hidden="1" outlineLevel="2">
      <c r="A472" s="616" t="s">
        <v>3699</v>
      </c>
      <c r="B472" s="610">
        <v>474231</v>
      </c>
      <c r="C472" s="610" t="s">
        <v>3512</v>
      </c>
      <c r="D472" s="611">
        <v>0</v>
      </c>
      <c r="E472" s="611">
        <v>0</v>
      </c>
      <c r="F472" s="611">
        <v>0</v>
      </c>
      <c r="G472" s="611">
        <v>0</v>
      </c>
    </row>
    <row r="473" spans="1:7" hidden="1" outlineLevel="2">
      <c r="A473" s="616" t="s">
        <v>3699</v>
      </c>
      <c r="B473" s="610">
        <v>474240</v>
      </c>
      <c r="C473" s="610" t="s">
        <v>3513</v>
      </c>
      <c r="D473" s="611">
        <v>0</v>
      </c>
      <c r="E473" s="611">
        <v>0</v>
      </c>
      <c r="F473" s="611">
        <v>0</v>
      </c>
      <c r="G473" s="611">
        <v>0</v>
      </c>
    </row>
    <row r="474" spans="1:7" hidden="1" outlineLevel="2">
      <c r="A474" s="616" t="s">
        <v>3699</v>
      </c>
      <c r="B474" s="610">
        <v>474241</v>
      </c>
      <c r="C474" s="610" t="s">
        <v>3514</v>
      </c>
      <c r="D474" s="611">
        <v>0</v>
      </c>
      <c r="E474" s="611">
        <v>0</v>
      </c>
      <c r="F474" s="611">
        <v>0</v>
      </c>
      <c r="G474" s="611">
        <v>0</v>
      </c>
    </row>
    <row r="475" spans="1:7" hidden="1" outlineLevel="2">
      <c r="A475" s="616" t="s">
        <v>3699</v>
      </c>
      <c r="B475" s="610">
        <v>474250</v>
      </c>
      <c r="C475" s="610" t="s">
        <v>3515</v>
      </c>
      <c r="D475" s="611">
        <v>0</v>
      </c>
      <c r="E475" s="611">
        <v>0</v>
      </c>
      <c r="F475" s="611">
        <v>0</v>
      </c>
      <c r="G475" s="611">
        <v>0</v>
      </c>
    </row>
    <row r="476" spans="1:7" hidden="1" outlineLevel="2">
      <c r="A476" s="616" t="s">
        <v>3699</v>
      </c>
      <c r="B476" s="610">
        <v>474251</v>
      </c>
      <c r="C476" s="610" t="s">
        <v>3516</v>
      </c>
      <c r="D476" s="611">
        <v>0</v>
      </c>
      <c r="E476" s="611">
        <v>0</v>
      </c>
      <c r="F476" s="611">
        <v>0</v>
      </c>
      <c r="G476" s="611">
        <v>0</v>
      </c>
    </row>
    <row r="477" spans="1:7" hidden="1" outlineLevel="2">
      <c r="A477" s="616" t="s">
        <v>3699</v>
      </c>
      <c r="B477" s="610">
        <v>474260</v>
      </c>
      <c r="C477" s="610" t="s">
        <v>3517</v>
      </c>
      <c r="D477" s="611">
        <v>0</v>
      </c>
      <c r="E477" s="611">
        <v>0</v>
      </c>
      <c r="F477" s="611">
        <v>0</v>
      </c>
      <c r="G477" s="611">
        <v>0</v>
      </c>
    </row>
    <row r="478" spans="1:7" hidden="1" outlineLevel="2">
      <c r="A478" s="616" t="s">
        <v>3699</v>
      </c>
      <c r="B478" s="610">
        <v>474261</v>
      </c>
      <c r="C478" s="610" t="s">
        <v>3518</v>
      </c>
      <c r="D478" s="611">
        <v>0</v>
      </c>
      <c r="E478" s="611">
        <v>0</v>
      </c>
      <c r="F478" s="611">
        <v>0</v>
      </c>
      <c r="G478" s="611">
        <v>0</v>
      </c>
    </row>
    <row r="479" spans="1:7" hidden="1" outlineLevel="2">
      <c r="A479" s="616" t="s">
        <v>3699</v>
      </c>
      <c r="B479" s="610">
        <v>474270</v>
      </c>
      <c r="C479" s="610" t="s">
        <v>3519</v>
      </c>
      <c r="D479" s="611">
        <v>0</v>
      </c>
      <c r="E479" s="611">
        <v>0</v>
      </c>
      <c r="F479" s="611">
        <v>0</v>
      </c>
      <c r="G479" s="611">
        <v>0</v>
      </c>
    </row>
    <row r="480" spans="1:7" hidden="1" outlineLevel="2">
      <c r="A480" s="616" t="s">
        <v>3699</v>
      </c>
      <c r="B480" s="610">
        <v>474271</v>
      </c>
      <c r="C480" s="610" t="s">
        <v>3520</v>
      </c>
      <c r="D480" s="611">
        <v>0</v>
      </c>
      <c r="E480" s="611">
        <v>0</v>
      </c>
      <c r="F480" s="611">
        <v>0</v>
      </c>
      <c r="G480" s="611">
        <v>0</v>
      </c>
    </row>
    <row r="481" spans="1:7" outlineLevel="1" collapsed="1">
      <c r="A481" s="620" t="s">
        <v>3900</v>
      </c>
      <c r="B481" s="610"/>
      <c r="C481" s="610"/>
      <c r="D481" s="611">
        <f>SUBTOTAL(9,D435:D480)</f>
        <v>0</v>
      </c>
      <c r="E481" s="611">
        <f>SUBTOTAL(9,E435:E480)</f>
        <v>0</v>
      </c>
      <c r="F481" s="611">
        <f>SUBTOTAL(9,F435:F480)</f>
        <v>0</v>
      </c>
      <c r="G481" s="611">
        <f>SUBTOTAL(9,G435:G480)</f>
        <v>0</v>
      </c>
    </row>
    <row r="482" spans="1:7" hidden="1" outlineLevel="2">
      <c r="A482" s="616" t="s">
        <v>3700</v>
      </c>
      <c r="B482" s="610">
        <v>479011</v>
      </c>
      <c r="C482" s="610" t="s">
        <v>3521</v>
      </c>
      <c r="D482" s="611">
        <v>0</v>
      </c>
      <c r="E482" s="611">
        <v>0</v>
      </c>
      <c r="F482" s="611">
        <v>0</v>
      </c>
      <c r="G482" s="611">
        <v>0</v>
      </c>
    </row>
    <row r="483" spans="1:7" hidden="1" outlineLevel="2">
      <c r="A483" s="616" t="s">
        <v>3700</v>
      </c>
      <c r="B483" s="610">
        <v>479021</v>
      </c>
      <c r="C483" s="610" t="s">
        <v>3522</v>
      </c>
      <c r="D483" s="611">
        <v>0</v>
      </c>
      <c r="E483" s="611">
        <v>0</v>
      </c>
      <c r="F483" s="611">
        <v>0</v>
      </c>
      <c r="G483" s="611">
        <v>0</v>
      </c>
    </row>
    <row r="484" spans="1:7" hidden="1" outlineLevel="2">
      <c r="A484" s="616" t="s">
        <v>3700</v>
      </c>
      <c r="B484" s="610">
        <v>479031</v>
      </c>
      <c r="C484" s="610" t="s">
        <v>3523</v>
      </c>
      <c r="D484" s="611">
        <v>0</v>
      </c>
      <c r="E484" s="611">
        <v>0</v>
      </c>
      <c r="F484" s="611">
        <v>0</v>
      </c>
      <c r="G484" s="611">
        <v>0</v>
      </c>
    </row>
    <row r="485" spans="1:7" hidden="1" outlineLevel="2">
      <c r="A485" s="616" t="s">
        <v>3700</v>
      </c>
      <c r="B485" s="610">
        <v>479050</v>
      </c>
      <c r="C485" s="610" t="s">
        <v>3524</v>
      </c>
      <c r="D485" s="611">
        <v>-650</v>
      </c>
      <c r="E485" s="611">
        <v>0</v>
      </c>
      <c r="F485" s="611">
        <v>0</v>
      </c>
      <c r="G485" s="611">
        <v>-650</v>
      </c>
    </row>
    <row r="486" spans="1:7" hidden="1" outlineLevel="2">
      <c r="A486" s="616" t="s">
        <v>3700</v>
      </c>
      <c r="B486" s="610">
        <v>479070</v>
      </c>
      <c r="C486" s="610" t="s">
        <v>3525</v>
      </c>
      <c r="D486" s="611">
        <v>0</v>
      </c>
      <c r="E486" s="611">
        <v>0</v>
      </c>
      <c r="F486" s="611">
        <v>0</v>
      </c>
      <c r="G486" s="611">
        <v>0</v>
      </c>
    </row>
    <row r="487" spans="1:7" hidden="1" outlineLevel="2">
      <c r="A487" s="616" t="s">
        <v>3700</v>
      </c>
      <c r="B487" s="610">
        <v>479080</v>
      </c>
      <c r="C487" s="610" t="s">
        <v>3526</v>
      </c>
      <c r="D487" s="611">
        <v>0</v>
      </c>
      <c r="E487" s="611">
        <v>0</v>
      </c>
      <c r="F487" s="611">
        <v>0</v>
      </c>
      <c r="G487" s="611">
        <v>0</v>
      </c>
    </row>
    <row r="488" spans="1:7" hidden="1" outlineLevel="2">
      <c r="A488" s="616" t="s">
        <v>3700</v>
      </c>
      <c r="B488" s="610">
        <v>479090</v>
      </c>
      <c r="C488" s="610" t="s">
        <v>3527</v>
      </c>
      <c r="D488" s="611">
        <v>0</v>
      </c>
      <c r="E488" s="611">
        <v>0</v>
      </c>
      <c r="F488" s="611">
        <v>0</v>
      </c>
      <c r="G488" s="611">
        <v>0</v>
      </c>
    </row>
    <row r="489" spans="1:7" hidden="1" outlineLevel="2">
      <c r="A489" s="616" t="s">
        <v>3700</v>
      </c>
      <c r="B489" s="610">
        <v>479100</v>
      </c>
      <c r="C489" s="610" t="s">
        <v>3528</v>
      </c>
      <c r="D489" s="611">
        <v>0</v>
      </c>
      <c r="E489" s="611">
        <v>0</v>
      </c>
      <c r="F489" s="611">
        <v>0</v>
      </c>
      <c r="G489" s="611">
        <v>0</v>
      </c>
    </row>
    <row r="490" spans="1:7" hidden="1" outlineLevel="2">
      <c r="A490" s="616" t="s">
        <v>3700</v>
      </c>
      <c r="B490" s="610">
        <v>479110</v>
      </c>
      <c r="C490" s="610" t="s">
        <v>3529</v>
      </c>
      <c r="D490" s="611">
        <v>0</v>
      </c>
      <c r="E490" s="611">
        <v>0</v>
      </c>
      <c r="F490" s="611">
        <v>0</v>
      </c>
      <c r="G490" s="611">
        <v>0</v>
      </c>
    </row>
    <row r="491" spans="1:7" hidden="1" outlineLevel="2">
      <c r="A491" s="616" t="s">
        <v>3700</v>
      </c>
      <c r="B491" s="610">
        <v>479120</v>
      </c>
      <c r="C491" s="610" t="s">
        <v>3530</v>
      </c>
      <c r="D491" s="611">
        <v>0</v>
      </c>
      <c r="E491" s="611">
        <v>0</v>
      </c>
      <c r="F491" s="611">
        <v>0</v>
      </c>
      <c r="G491" s="611">
        <v>0</v>
      </c>
    </row>
    <row r="492" spans="1:7" hidden="1" outlineLevel="2">
      <c r="A492" s="616" t="s">
        <v>3700</v>
      </c>
      <c r="B492" s="610">
        <v>479130</v>
      </c>
      <c r="C492" s="610" t="s">
        <v>3531</v>
      </c>
      <c r="D492" s="611">
        <v>0</v>
      </c>
      <c r="E492" s="611">
        <v>0</v>
      </c>
      <c r="F492" s="611">
        <v>0</v>
      </c>
      <c r="G492" s="611">
        <v>0</v>
      </c>
    </row>
    <row r="493" spans="1:7" outlineLevel="1" collapsed="1">
      <c r="A493" s="620" t="s">
        <v>3901</v>
      </c>
      <c r="B493" s="610"/>
      <c r="C493" s="610"/>
      <c r="D493" s="611">
        <f>SUBTOTAL(9,D482:D492)</f>
        <v>-650</v>
      </c>
      <c r="E493" s="611">
        <f>SUBTOTAL(9,E482:E492)</f>
        <v>0</v>
      </c>
      <c r="F493" s="611">
        <f>SUBTOTAL(9,F482:F492)</f>
        <v>0</v>
      </c>
      <c r="G493" s="611">
        <f>SUBTOTAL(9,G482:G492)</f>
        <v>-650</v>
      </c>
    </row>
    <row r="494" spans="1:7" hidden="1" outlineLevel="2">
      <c r="A494" s="616" t="s">
        <v>3701</v>
      </c>
      <c r="B494" s="610">
        <v>481010</v>
      </c>
      <c r="C494" s="610" t="s">
        <v>3532</v>
      </c>
      <c r="D494" s="611">
        <v>-1557648.79</v>
      </c>
      <c r="E494" s="611">
        <v>894011.68</v>
      </c>
      <c r="F494" s="611">
        <v>0</v>
      </c>
      <c r="G494" s="611">
        <v>-663637.11</v>
      </c>
    </row>
    <row r="495" spans="1:7" hidden="1" outlineLevel="2">
      <c r="A495" s="616" t="s">
        <v>3701</v>
      </c>
      <c r="B495" s="610">
        <v>481020</v>
      </c>
      <c r="C495" s="610" t="s">
        <v>3533</v>
      </c>
      <c r="D495" s="611">
        <v>0</v>
      </c>
      <c r="E495" s="611">
        <v>0</v>
      </c>
      <c r="F495" s="611">
        <v>0</v>
      </c>
      <c r="G495" s="611">
        <v>0</v>
      </c>
    </row>
    <row r="496" spans="1:7" outlineLevel="1" collapsed="1">
      <c r="A496" s="620" t="s">
        <v>3902</v>
      </c>
      <c r="B496" s="610"/>
      <c r="C496" s="610"/>
      <c r="D496" s="611">
        <f>SUBTOTAL(9,D494:D495)</f>
        <v>-1557648.79</v>
      </c>
      <c r="E496" s="611">
        <f>SUBTOTAL(9,E494:E495)</f>
        <v>894011.68</v>
      </c>
      <c r="F496" s="611">
        <f>SUBTOTAL(9,F494:F495)</f>
        <v>0</v>
      </c>
      <c r="G496" s="611">
        <f>SUBTOTAL(9,G494:G495)</f>
        <v>-663637.11</v>
      </c>
    </row>
    <row r="497" spans="1:7" hidden="1" outlineLevel="2">
      <c r="A497" s="616" t="s">
        <v>3702</v>
      </c>
      <c r="B497" s="610">
        <v>501003</v>
      </c>
      <c r="C497" s="610" t="s">
        <v>3534</v>
      </c>
      <c r="D497" s="611"/>
      <c r="E497" s="611">
        <v>61.29</v>
      </c>
      <c r="F497" s="611">
        <v>0</v>
      </c>
      <c r="G497" s="611">
        <v>61.29</v>
      </c>
    </row>
    <row r="498" spans="1:7" hidden="1" outlineLevel="2">
      <c r="A498" s="616" t="s">
        <v>3702</v>
      </c>
      <c r="B498" s="610">
        <v>501004</v>
      </c>
      <c r="C498" s="610" t="s">
        <v>3535</v>
      </c>
      <c r="D498" s="611"/>
      <c r="E498" s="611">
        <v>7627.2</v>
      </c>
      <c r="F498" s="611">
        <v>0</v>
      </c>
      <c r="G498" s="611">
        <v>7627.2</v>
      </c>
    </row>
    <row r="499" spans="1:7" hidden="1" outlineLevel="2">
      <c r="A499" s="616" t="s">
        <v>3702</v>
      </c>
      <c r="B499" s="610">
        <v>501005</v>
      </c>
      <c r="C499" s="610" t="s">
        <v>3536</v>
      </c>
      <c r="D499" s="611"/>
      <c r="E499" s="611">
        <v>239197.46</v>
      </c>
      <c r="F499" s="611">
        <v>0</v>
      </c>
      <c r="G499" s="611">
        <v>239197.46</v>
      </c>
    </row>
    <row r="500" spans="1:7" hidden="1" outlineLevel="2">
      <c r="A500" s="616" t="s">
        <v>3702</v>
      </c>
      <c r="B500" s="610">
        <v>501006</v>
      </c>
      <c r="C500" s="610" t="s">
        <v>3537</v>
      </c>
      <c r="D500" s="611"/>
      <c r="E500" s="611">
        <v>93737.73</v>
      </c>
      <c r="F500" s="611">
        <v>0</v>
      </c>
      <c r="G500" s="611">
        <v>93737.73</v>
      </c>
    </row>
    <row r="501" spans="1:7" hidden="1" outlineLevel="2">
      <c r="A501" s="616" t="s">
        <v>3702</v>
      </c>
      <c r="B501" s="610">
        <v>501010</v>
      </c>
      <c r="C501" s="610" t="s">
        <v>3538</v>
      </c>
      <c r="D501" s="611"/>
      <c r="E501" s="611">
        <v>716676.01</v>
      </c>
      <c r="F501" s="611">
        <v>0</v>
      </c>
      <c r="G501" s="611">
        <v>716676.01</v>
      </c>
    </row>
    <row r="502" spans="1:7" hidden="1" outlineLevel="2">
      <c r="A502" s="616" t="s">
        <v>3702</v>
      </c>
      <c r="B502" s="610">
        <v>501013</v>
      </c>
      <c r="C502" s="610" t="s">
        <v>3539</v>
      </c>
      <c r="D502" s="611"/>
      <c r="E502" s="611">
        <v>7713.26</v>
      </c>
      <c r="F502" s="611">
        <v>0</v>
      </c>
      <c r="G502" s="611">
        <v>7713.26</v>
      </c>
    </row>
    <row r="503" spans="1:7" hidden="1" outlineLevel="2">
      <c r="A503" s="616" t="s">
        <v>3702</v>
      </c>
      <c r="B503" s="610">
        <v>501016</v>
      </c>
      <c r="C503" s="610" t="s">
        <v>3540</v>
      </c>
      <c r="D503" s="611"/>
      <c r="E503" s="611">
        <v>504.65</v>
      </c>
      <c r="F503" s="611">
        <v>0</v>
      </c>
      <c r="G503" s="611">
        <v>504.65</v>
      </c>
    </row>
    <row r="504" spans="1:7" hidden="1" outlineLevel="2">
      <c r="A504" s="616" t="s">
        <v>3702</v>
      </c>
      <c r="B504" s="610">
        <v>501030</v>
      </c>
      <c r="C504" s="610" t="s">
        <v>3541</v>
      </c>
      <c r="D504" s="611"/>
      <c r="E504" s="611">
        <v>167.91</v>
      </c>
      <c r="F504" s="611">
        <v>0</v>
      </c>
      <c r="G504" s="611">
        <v>167.91</v>
      </c>
    </row>
    <row r="505" spans="1:7" hidden="1" outlineLevel="2">
      <c r="A505" s="616" t="s">
        <v>3702</v>
      </c>
      <c r="B505" s="610">
        <v>501040</v>
      </c>
      <c r="C505" s="610" t="s">
        <v>3542</v>
      </c>
      <c r="D505" s="611"/>
      <c r="E505" s="611">
        <v>1091.29</v>
      </c>
      <c r="F505" s="611">
        <v>0</v>
      </c>
      <c r="G505" s="611">
        <v>1091.29</v>
      </c>
    </row>
    <row r="506" spans="1:7" hidden="1" outlineLevel="2">
      <c r="A506" s="616" t="s">
        <v>3702</v>
      </c>
      <c r="B506" s="610">
        <v>501050</v>
      </c>
      <c r="C506" s="610" t="s">
        <v>3543</v>
      </c>
      <c r="D506" s="611"/>
      <c r="E506" s="611">
        <v>3166.42</v>
      </c>
      <c r="F506" s="611">
        <v>0</v>
      </c>
      <c r="G506" s="611">
        <v>3166.42</v>
      </c>
    </row>
    <row r="507" spans="1:7" hidden="1" outlineLevel="2">
      <c r="A507" s="616" t="s">
        <v>3702</v>
      </c>
      <c r="B507" s="610">
        <v>501060</v>
      </c>
      <c r="C507" s="610" t="s">
        <v>3544</v>
      </c>
      <c r="D507" s="611"/>
      <c r="E507" s="611">
        <v>192.76</v>
      </c>
      <c r="F507" s="611">
        <v>0</v>
      </c>
      <c r="G507" s="611">
        <v>192.76</v>
      </c>
    </row>
    <row r="508" spans="1:7" hidden="1" outlineLevel="2">
      <c r="A508" s="616" t="s">
        <v>3702</v>
      </c>
      <c r="B508" s="610">
        <v>501070</v>
      </c>
      <c r="C508" s="610" t="s">
        <v>3545</v>
      </c>
      <c r="D508" s="611"/>
      <c r="E508" s="611">
        <v>109.78</v>
      </c>
      <c r="F508" s="611">
        <v>0</v>
      </c>
      <c r="G508" s="611">
        <v>109.78</v>
      </c>
    </row>
    <row r="509" spans="1:7" hidden="1" outlineLevel="2">
      <c r="A509" s="616" t="s">
        <v>3702</v>
      </c>
      <c r="B509" s="610">
        <v>501100</v>
      </c>
      <c r="C509" s="610" t="s">
        <v>3546</v>
      </c>
      <c r="D509" s="611"/>
      <c r="E509" s="611">
        <v>10.26</v>
      </c>
      <c r="F509" s="611">
        <v>0</v>
      </c>
      <c r="G509" s="611">
        <v>10.26</v>
      </c>
    </row>
    <row r="510" spans="1:7" hidden="1" outlineLevel="2">
      <c r="A510" s="616" t="s">
        <v>3702</v>
      </c>
      <c r="B510" s="610">
        <v>501120</v>
      </c>
      <c r="C510" s="610" t="s">
        <v>3547</v>
      </c>
      <c r="D510" s="611"/>
      <c r="E510" s="611">
        <v>308.41000000000003</v>
      </c>
      <c r="F510" s="611">
        <v>0</v>
      </c>
      <c r="G510" s="611">
        <v>308.41000000000003</v>
      </c>
    </row>
    <row r="511" spans="1:7" hidden="1" outlineLevel="2">
      <c r="A511" s="616" t="s">
        <v>3702</v>
      </c>
      <c r="B511" s="610">
        <v>501130</v>
      </c>
      <c r="C511" s="610" t="s">
        <v>3548</v>
      </c>
      <c r="D511" s="611"/>
      <c r="E511" s="611">
        <v>9041.69</v>
      </c>
      <c r="F511" s="611">
        <v>470.47</v>
      </c>
      <c r="G511" s="611">
        <v>8571.2199999999993</v>
      </c>
    </row>
    <row r="512" spans="1:7" outlineLevel="1" collapsed="1">
      <c r="A512" s="620" t="s">
        <v>3903</v>
      </c>
      <c r="B512" s="610"/>
      <c r="C512" s="610"/>
      <c r="D512" s="611">
        <f>SUBTOTAL(9,D497:D511)</f>
        <v>0</v>
      </c>
      <c r="E512" s="611">
        <f>SUBTOTAL(9,E497:E511)</f>
        <v>1079606.1199999996</v>
      </c>
      <c r="F512" s="611">
        <f>SUBTOTAL(9,F497:F511)</f>
        <v>470.47</v>
      </c>
      <c r="G512" s="611">
        <f>SUBTOTAL(9,G497:G511)</f>
        <v>1079135.6499999997</v>
      </c>
    </row>
    <row r="513" spans="1:7" hidden="1" outlineLevel="2">
      <c r="A513" s="616" t="s">
        <v>3703</v>
      </c>
      <c r="B513" s="610">
        <v>504010</v>
      </c>
      <c r="C513" s="610" t="s">
        <v>3549</v>
      </c>
      <c r="D513" s="611"/>
      <c r="E513" s="611">
        <v>17253007.34</v>
      </c>
      <c r="F513" s="611">
        <v>0</v>
      </c>
      <c r="G513" s="611">
        <v>17253007.34</v>
      </c>
    </row>
    <row r="514" spans="1:7" hidden="1" outlineLevel="2">
      <c r="A514" s="616" t="s">
        <v>3703</v>
      </c>
      <c r="B514" s="610">
        <v>504028</v>
      </c>
      <c r="C514" s="610" t="s">
        <v>3550</v>
      </c>
      <c r="D514" s="611"/>
      <c r="E514" s="611">
        <v>1504</v>
      </c>
      <c r="F514" s="611">
        <v>0</v>
      </c>
      <c r="G514" s="611">
        <v>1504</v>
      </c>
    </row>
    <row r="515" spans="1:7" outlineLevel="1" collapsed="1">
      <c r="A515" s="620" t="s">
        <v>3904</v>
      </c>
      <c r="B515" s="610"/>
      <c r="C515" s="610"/>
      <c r="D515" s="611">
        <f>SUBTOTAL(9,D513:D514)</f>
        <v>0</v>
      </c>
      <c r="E515" s="611">
        <f>SUBTOTAL(9,E513:E514)</f>
        <v>17254511.34</v>
      </c>
      <c r="F515" s="611">
        <f>SUBTOTAL(9,F513:F514)</f>
        <v>0</v>
      </c>
      <c r="G515" s="611">
        <f>SUBTOTAL(9,G513:G514)</f>
        <v>17254511.34</v>
      </c>
    </row>
    <row r="516" spans="1:7" hidden="1" outlineLevel="2">
      <c r="A516" s="616" t="s">
        <v>3704</v>
      </c>
      <c r="B516" s="610">
        <v>511010</v>
      </c>
      <c r="C516" s="610" t="s">
        <v>3551</v>
      </c>
      <c r="D516" s="611"/>
      <c r="E516" s="611">
        <v>-15108</v>
      </c>
      <c r="F516" s="611">
        <v>0</v>
      </c>
      <c r="G516" s="611">
        <v>-15108</v>
      </c>
    </row>
    <row r="517" spans="1:7" outlineLevel="1" collapsed="1">
      <c r="A517" s="620" t="s">
        <v>3905</v>
      </c>
      <c r="B517" s="610"/>
      <c r="C517" s="610"/>
      <c r="D517" s="611">
        <f>SUBTOTAL(9,D516:D516)</f>
        <v>0</v>
      </c>
      <c r="E517" s="611">
        <f>SUBTOTAL(9,E516:E516)</f>
        <v>-15108</v>
      </c>
      <c r="F517" s="611">
        <f>SUBTOTAL(9,F516:F516)</f>
        <v>0</v>
      </c>
      <c r="G517" s="611">
        <f>SUBTOTAL(9,G516:G516)</f>
        <v>-15108</v>
      </c>
    </row>
    <row r="518" spans="1:7" hidden="1" outlineLevel="2">
      <c r="A518" s="616" t="s">
        <v>3705</v>
      </c>
      <c r="B518" s="610">
        <v>512010</v>
      </c>
      <c r="C518" s="610" t="s">
        <v>3552</v>
      </c>
      <c r="D518" s="611"/>
      <c r="E518" s="611">
        <v>1566.55</v>
      </c>
      <c r="F518" s="611">
        <v>0</v>
      </c>
      <c r="G518" s="611">
        <v>1566.55</v>
      </c>
    </row>
    <row r="519" spans="1:7" hidden="1" outlineLevel="2">
      <c r="A519" s="616" t="s">
        <v>3705</v>
      </c>
      <c r="B519" s="610">
        <v>512020</v>
      </c>
      <c r="C519" s="610" t="s">
        <v>3553</v>
      </c>
      <c r="D519" s="611"/>
      <c r="E519" s="611">
        <v>9440.4699999999993</v>
      </c>
      <c r="F519" s="611">
        <v>0</v>
      </c>
      <c r="G519" s="611">
        <v>9440.4699999999993</v>
      </c>
    </row>
    <row r="520" spans="1:7" hidden="1" outlineLevel="2">
      <c r="A520" s="616" t="s">
        <v>3705</v>
      </c>
      <c r="B520" s="610">
        <v>512026</v>
      </c>
      <c r="C520" s="610" t="s">
        <v>3554</v>
      </c>
      <c r="D520" s="611"/>
      <c r="E520" s="611">
        <v>713.2</v>
      </c>
      <c r="F520" s="611">
        <v>0</v>
      </c>
      <c r="G520" s="611">
        <v>713.2</v>
      </c>
    </row>
    <row r="521" spans="1:7" outlineLevel="1" collapsed="1">
      <c r="A521" s="620" t="s">
        <v>3906</v>
      </c>
      <c r="B521" s="610"/>
      <c r="C521" s="610"/>
      <c r="D521" s="611">
        <f>SUBTOTAL(9,D518:D520)</f>
        <v>0</v>
      </c>
      <c r="E521" s="611">
        <f>SUBTOTAL(9,E518:E520)</f>
        <v>11720.22</v>
      </c>
      <c r="F521" s="611">
        <f>SUBTOTAL(9,F518:F520)</f>
        <v>0</v>
      </c>
      <c r="G521" s="611">
        <f>SUBTOTAL(9,G518:G520)</f>
        <v>11720.22</v>
      </c>
    </row>
    <row r="522" spans="1:7" hidden="1" outlineLevel="2">
      <c r="A522" s="616" t="s">
        <v>3706</v>
      </c>
      <c r="B522" s="610">
        <v>513010</v>
      </c>
      <c r="C522" s="610" t="s">
        <v>3555</v>
      </c>
      <c r="D522" s="611"/>
      <c r="E522" s="611">
        <v>271.36</v>
      </c>
      <c r="F522" s="611">
        <v>0</v>
      </c>
      <c r="G522" s="611">
        <v>271.36</v>
      </c>
    </row>
    <row r="523" spans="1:7" outlineLevel="1" collapsed="1">
      <c r="A523" s="620" t="s">
        <v>3907</v>
      </c>
      <c r="B523" s="610"/>
      <c r="C523" s="610"/>
      <c r="D523" s="611">
        <f>SUBTOTAL(9,D522:D522)</f>
        <v>0</v>
      </c>
      <c r="E523" s="611">
        <f>SUBTOTAL(9,E522:E522)</f>
        <v>271.36</v>
      </c>
      <c r="F523" s="611">
        <f>SUBTOTAL(9,F522:F522)</f>
        <v>0</v>
      </c>
      <c r="G523" s="611">
        <f>SUBTOTAL(9,G522:G522)</f>
        <v>271.36</v>
      </c>
    </row>
    <row r="524" spans="1:7" hidden="1" outlineLevel="2">
      <c r="A524" s="616" t="s">
        <v>3707</v>
      </c>
      <c r="B524" s="610">
        <v>518001</v>
      </c>
      <c r="C524" s="610" t="s">
        <v>3556</v>
      </c>
      <c r="D524" s="611"/>
      <c r="E524" s="611">
        <v>614220.69999999995</v>
      </c>
      <c r="F524" s="611">
        <v>0</v>
      </c>
      <c r="G524" s="611">
        <v>614220.69999999995</v>
      </c>
    </row>
    <row r="525" spans="1:7" hidden="1" outlineLevel="2">
      <c r="A525" s="616" t="s">
        <v>3707</v>
      </c>
      <c r="B525" s="610">
        <v>518026</v>
      </c>
      <c r="C525" s="610" t="s">
        <v>3557</v>
      </c>
      <c r="D525" s="611"/>
      <c r="E525" s="611">
        <v>30208.1</v>
      </c>
      <c r="F525" s="611">
        <v>0</v>
      </c>
      <c r="G525" s="611">
        <v>30208.1</v>
      </c>
    </row>
    <row r="526" spans="1:7" hidden="1" outlineLevel="2">
      <c r="A526" s="616" t="s">
        <v>3707</v>
      </c>
      <c r="B526" s="610">
        <v>518040</v>
      </c>
      <c r="C526" s="610" t="s">
        <v>3558</v>
      </c>
      <c r="D526" s="611"/>
      <c r="E526" s="611">
        <v>1569</v>
      </c>
      <c r="F526" s="611">
        <v>0</v>
      </c>
      <c r="G526" s="611">
        <v>1569</v>
      </c>
    </row>
    <row r="527" spans="1:7" hidden="1" outlineLevel="2">
      <c r="A527" s="616" t="s">
        <v>3707</v>
      </c>
      <c r="B527" s="610">
        <v>518041</v>
      </c>
      <c r="C527" s="610" t="s">
        <v>3559</v>
      </c>
      <c r="D527" s="611"/>
      <c r="E527" s="611">
        <v>3278.93</v>
      </c>
      <c r="F527" s="611">
        <v>0</v>
      </c>
      <c r="G527" s="611">
        <v>3278.93</v>
      </c>
    </row>
    <row r="528" spans="1:7" hidden="1" outlineLevel="2">
      <c r="A528" s="616" t="s">
        <v>3707</v>
      </c>
      <c r="B528" s="610">
        <v>518050</v>
      </c>
      <c r="C528" s="610" t="s">
        <v>3560</v>
      </c>
      <c r="D528" s="611"/>
      <c r="E528" s="611">
        <v>57435</v>
      </c>
      <c r="F528" s="611">
        <v>0</v>
      </c>
      <c r="G528" s="611">
        <v>57435</v>
      </c>
    </row>
    <row r="529" spans="1:7" hidden="1" outlineLevel="2">
      <c r="A529" s="616" t="s">
        <v>3707</v>
      </c>
      <c r="B529" s="610">
        <v>518060</v>
      </c>
      <c r="C529" s="610" t="s">
        <v>3561</v>
      </c>
      <c r="D529" s="611"/>
      <c r="E529" s="611">
        <v>290.85000000000002</v>
      </c>
      <c r="F529" s="611">
        <v>0</v>
      </c>
      <c r="G529" s="611">
        <v>290.85000000000002</v>
      </c>
    </row>
    <row r="530" spans="1:7" hidden="1" outlineLevel="2">
      <c r="A530" s="616" t="s">
        <v>3707</v>
      </c>
      <c r="B530" s="610">
        <v>518065</v>
      </c>
      <c r="C530" s="610" t="s">
        <v>3562</v>
      </c>
      <c r="D530" s="611"/>
      <c r="E530" s="611">
        <v>186128.9</v>
      </c>
      <c r="F530" s="611">
        <v>0</v>
      </c>
      <c r="G530" s="611">
        <v>186128.9</v>
      </c>
    </row>
    <row r="531" spans="1:7" hidden="1" outlineLevel="2">
      <c r="A531" s="616" t="s">
        <v>3707</v>
      </c>
      <c r="B531" s="610">
        <v>518080</v>
      </c>
      <c r="C531" s="610" t="s">
        <v>3563</v>
      </c>
      <c r="D531" s="611"/>
      <c r="E531" s="611">
        <v>1257.73</v>
      </c>
      <c r="F531" s="611">
        <v>0</v>
      </c>
      <c r="G531" s="611">
        <v>1257.73</v>
      </c>
    </row>
    <row r="532" spans="1:7" hidden="1" outlineLevel="2">
      <c r="A532" s="616" t="s">
        <v>3707</v>
      </c>
      <c r="B532" s="610">
        <v>518090</v>
      </c>
      <c r="C532" s="610" t="s">
        <v>3564</v>
      </c>
      <c r="D532" s="611"/>
      <c r="E532" s="611">
        <v>494778.97</v>
      </c>
      <c r="F532" s="611">
        <v>9814</v>
      </c>
      <c r="G532" s="611">
        <v>484964.97</v>
      </c>
    </row>
    <row r="533" spans="1:7" hidden="1" outlineLevel="2">
      <c r="A533" s="616" t="s">
        <v>3707</v>
      </c>
      <c r="B533" s="610">
        <v>518091</v>
      </c>
      <c r="C533" s="610" t="s">
        <v>3565</v>
      </c>
      <c r="D533" s="611"/>
      <c r="E533" s="611">
        <v>1164.67</v>
      </c>
      <c r="F533" s="611">
        <v>0</v>
      </c>
      <c r="G533" s="611">
        <v>1164.67</v>
      </c>
    </row>
    <row r="534" spans="1:7" hidden="1" outlineLevel="2">
      <c r="A534" s="616" t="s">
        <v>3707</v>
      </c>
      <c r="B534" s="610">
        <v>518092</v>
      </c>
      <c r="C534" s="610" t="s">
        <v>3566</v>
      </c>
      <c r="D534" s="611"/>
      <c r="E534" s="611">
        <v>265735.5</v>
      </c>
      <c r="F534" s="611">
        <v>0</v>
      </c>
      <c r="G534" s="611">
        <v>265735.5</v>
      </c>
    </row>
    <row r="535" spans="1:7" hidden="1" outlineLevel="2">
      <c r="A535" s="616" t="s">
        <v>3707</v>
      </c>
      <c r="B535" s="610">
        <v>518093</v>
      </c>
      <c r="C535" s="610" t="s">
        <v>3567</v>
      </c>
      <c r="D535" s="611"/>
      <c r="E535" s="611">
        <v>530355.72</v>
      </c>
      <c r="F535" s="611">
        <v>0</v>
      </c>
      <c r="G535" s="611">
        <v>530355.72</v>
      </c>
    </row>
    <row r="536" spans="1:7" hidden="1" outlineLevel="2">
      <c r="A536" s="616" t="s">
        <v>3707</v>
      </c>
      <c r="B536" s="610">
        <v>518105</v>
      </c>
      <c r="C536" s="610" t="s">
        <v>3568</v>
      </c>
      <c r="D536" s="611"/>
      <c r="E536" s="611">
        <v>-133.91999999999999</v>
      </c>
      <c r="F536" s="611">
        <v>0</v>
      </c>
      <c r="G536" s="611">
        <v>-133.91999999999999</v>
      </c>
    </row>
    <row r="537" spans="1:7" hidden="1" outlineLevel="2">
      <c r="A537" s="616" t="s">
        <v>3707</v>
      </c>
      <c r="B537" s="610">
        <v>518106</v>
      </c>
      <c r="C537" s="610" t="s">
        <v>3569</v>
      </c>
      <c r="D537" s="611"/>
      <c r="E537" s="611">
        <v>0</v>
      </c>
      <c r="F537" s="611">
        <v>0</v>
      </c>
      <c r="G537" s="611">
        <v>0</v>
      </c>
    </row>
    <row r="538" spans="1:7" hidden="1" outlineLevel="2">
      <c r="A538" s="616" t="s">
        <v>3707</v>
      </c>
      <c r="B538" s="610">
        <v>518110</v>
      </c>
      <c r="C538" s="610" t="s">
        <v>3570</v>
      </c>
      <c r="D538" s="611"/>
      <c r="E538" s="611">
        <v>136569.07</v>
      </c>
      <c r="F538" s="611">
        <v>0</v>
      </c>
      <c r="G538" s="611">
        <v>136569.07</v>
      </c>
    </row>
    <row r="539" spans="1:7" hidden="1" outlineLevel="2">
      <c r="A539" s="616" t="s">
        <v>3707</v>
      </c>
      <c r="B539" s="610">
        <v>518120</v>
      </c>
      <c r="C539" s="610" t="s">
        <v>3571</v>
      </c>
      <c r="D539" s="611"/>
      <c r="E539" s="611">
        <v>10.76</v>
      </c>
      <c r="F539" s="611">
        <v>0</v>
      </c>
      <c r="G539" s="611">
        <v>10.76</v>
      </c>
    </row>
    <row r="540" spans="1:7" hidden="1" outlineLevel="2">
      <c r="A540" s="616" t="s">
        <v>3707</v>
      </c>
      <c r="B540" s="610">
        <v>518160</v>
      </c>
      <c r="C540" s="610" t="s">
        <v>3572</v>
      </c>
      <c r="D540" s="611"/>
      <c r="E540" s="611">
        <v>239.8</v>
      </c>
      <c r="F540" s="611">
        <v>0</v>
      </c>
      <c r="G540" s="611">
        <v>239.8</v>
      </c>
    </row>
    <row r="541" spans="1:7" hidden="1" outlineLevel="2">
      <c r="A541" s="616" t="s">
        <v>3707</v>
      </c>
      <c r="B541" s="610">
        <v>518170</v>
      </c>
      <c r="C541" s="610" t="s">
        <v>3573</v>
      </c>
      <c r="D541" s="611"/>
      <c r="E541" s="611">
        <v>29191.83</v>
      </c>
      <c r="F541" s="611">
        <v>0</v>
      </c>
      <c r="G541" s="611">
        <v>29191.83</v>
      </c>
    </row>
    <row r="542" spans="1:7" hidden="1" outlineLevel="2">
      <c r="A542" s="616" t="s">
        <v>3707</v>
      </c>
      <c r="B542" s="610">
        <v>518171</v>
      </c>
      <c r="C542" s="610" t="s">
        <v>3574</v>
      </c>
      <c r="D542" s="611"/>
      <c r="E542" s="611">
        <v>23730</v>
      </c>
      <c r="F542" s="611">
        <v>0</v>
      </c>
      <c r="G542" s="611">
        <v>23730</v>
      </c>
    </row>
    <row r="543" spans="1:7" hidden="1" outlineLevel="2">
      <c r="A543" s="616" t="s">
        <v>3707</v>
      </c>
      <c r="B543" s="610">
        <v>518172</v>
      </c>
      <c r="C543" s="610" t="s">
        <v>3575</v>
      </c>
      <c r="D543" s="611"/>
      <c r="E543" s="611">
        <v>418109.82</v>
      </c>
      <c r="F543" s="611">
        <v>0</v>
      </c>
      <c r="G543" s="611">
        <v>418109.82</v>
      </c>
    </row>
    <row r="544" spans="1:7" hidden="1" outlineLevel="2">
      <c r="A544" s="616" t="s">
        <v>3707</v>
      </c>
      <c r="B544" s="610">
        <v>518173</v>
      </c>
      <c r="C544" s="610" t="s">
        <v>3576</v>
      </c>
      <c r="D544" s="611"/>
      <c r="E544" s="611">
        <v>850780.11</v>
      </c>
      <c r="F544" s="611">
        <v>46129.73</v>
      </c>
      <c r="G544" s="611">
        <v>804650.38</v>
      </c>
    </row>
    <row r="545" spans="1:7" hidden="1" outlineLevel="2">
      <c r="A545" s="616" t="s">
        <v>3707</v>
      </c>
      <c r="B545" s="610">
        <v>518175</v>
      </c>
      <c r="C545" s="610" t="s">
        <v>3577</v>
      </c>
      <c r="D545" s="611"/>
      <c r="E545" s="611">
        <v>74250.19</v>
      </c>
      <c r="F545" s="611">
        <v>0</v>
      </c>
      <c r="G545" s="611">
        <v>74250.19</v>
      </c>
    </row>
    <row r="546" spans="1:7" hidden="1" outlineLevel="2">
      <c r="A546" s="616" t="s">
        <v>3707</v>
      </c>
      <c r="B546" s="610">
        <v>518176</v>
      </c>
      <c r="C546" s="610" t="s">
        <v>3578</v>
      </c>
      <c r="D546" s="611"/>
      <c r="E546" s="611">
        <v>21525.7</v>
      </c>
      <c r="F546" s="611">
        <v>0</v>
      </c>
      <c r="G546" s="611">
        <v>21525.7</v>
      </c>
    </row>
    <row r="547" spans="1:7" hidden="1" outlineLevel="2">
      <c r="A547" s="616" t="s">
        <v>3707</v>
      </c>
      <c r="B547" s="610">
        <v>518180</v>
      </c>
      <c r="C547" s="610" t="s">
        <v>3579</v>
      </c>
      <c r="D547" s="611"/>
      <c r="E547" s="611">
        <v>72.930000000000007</v>
      </c>
      <c r="F547" s="611">
        <v>0</v>
      </c>
      <c r="G547" s="611">
        <v>72.930000000000007</v>
      </c>
    </row>
    <row r="548" spans="1:7" hidden="1" outlineLevel="2">
      <c r="A548" s="616" t="s">
        <v>3707</v>
      </c>
      <c r="B548" s="610">
        <v>518995</v>
      </c>
      <c r="C548" s="610" t="s">
        <v>3580</v>
      </c>
      <c r="D548" s="611"/>
      <c r="E548" s="611">
        <v>23.88</v>
      </c>
      <c r="F548" s="611">
        <v>0</v>
      </c>
      <c r="G548" s="611">
        <v>23.88</v>
      </c>
    </row>
    <row r="549" spans="1:7" outlineLevel="1" collapsed="1">
      <c r="A549" s="620" t="s">
        <v>3908</v>
      </c>
      <c r="B549" s="610"/>
      <c r="C549" s="610"/>
      <c r="D549" s="611">
        <f>SUBTOTAL(9,D524:D548)</f>
        <v>0</v>
      </c>
      <c r="E549" s="611">
        <f>SUBTOTAL(9,E524:E548)</f>
        <v>3740794.2399999993</v>
      </c>
      <c r="F549" s="611">
        <f>SUBTOTAL(9,F524:F548)</f>
        <v>55943.73</v>
      </c>
      <c r="G549" s="611">
        <f>SUBTOTAL(9,G524:G548)</f>
        <v>3684850.5099999993</v>
      </c>
    </row>
    <row r="550" spans="1:7" hidden="1" outlineLevel="2">
      <c r="A550" s="616" t="s">
        <v>3708</v>
      </c>
      <c r="B550" s="610">
        <v>521020</v>
      </c>
      <c r="C550" s="610" t="s">
        <v>3581</v>
      </c>
      <c r="D550" s="611"/>
      <c r="E550" s="611">
        <v>145407.21</v>
      </c>
      <c r="F550" s="611">
        <v>17039.54</v>
      </c>
      <c r="G550" s="611">
        <v>128367.67</v>
      </c>
    </row>
    <row r="551" spans="1:7" hidden="1" outlineLevel="2">
      <c r="A551" s="616" t="s">
        <v>3708</v>
      </c>
      <c r="B551" s="610">
        <v>521026</v>
      </c>
      <c r="C551" s="610" t="s">
        <v>3582</v>
      </c>
      <c r="D551" s="611"/>
      <c r="E551" s="611">
        <v>26891.85</v>
      </c>
      <c r="F551" s="611">
        <v>0</v>
      </c>
      <c r="G551" s="611">
        <v>26891.85</v>
      </c>
    </row>
    <row r="552" spans="1:7" hidden="1" outlineLevel="2">
      <c r="A552" s="616" t="s">
        <v>3708</v>
      </c>
      <c r="B552" s="610">
        <v>521027</v>
      </c>
      <c r="C552" s="610" t="s">
        <v>3583</v>
      </c>
      <c r="D552" s="611"/>
      <c r="E552" s="611">
        <v>3773.63</v>
      </c>
      <c r="F552" s="611">
        <v>0</v>
      </c>
      <c r="G552" s="611">
        <v>3773.63</v>
      </c>
    </row>
    <row r="553" spans="1:7" hidden="1" outlineLevel="2">
      <c r="A553" s="616" t="s">
        <v>3708</v>
      </c>
      <c r="B553" s="610">
        <v>521028</v>
      </c>
      <c r="C553" s="610" t="s">
        <v>3584</v>
      </c>
      <c r="D553" s="611"/>
      <c r="E553" s="611">
        <v>95.92</v>
      </c>
      <c r="F553" s="611">
        <v>0</v>
      </c>
      <c r="G553" s="611">
        <v>95.92</v>
      </c>
    </row>
    <row r="554" spans="1:7" hidden="1" outlineLevel="2">
      <c r="A554" s="616" t="s">
        <v>3708</v>
      </c>
      <c r="B554" s="610">
        <v>521029</v>
      </c>
      <c r="C554" s="610" t="s">
        <v>3585</v>
      </c>
      <c r="D554" s="611"/>
      <c r="E554" s="611">
        <v>2202.61</v>
      </c>
      <c r="F554" s="611">
        <v>0</v>
      </c>
      <c r="G554" s="611">
        <v>2202.61</v>
      </c>
    </row>
    <row r="555" spans="1:7" hidden="1" outlineLevel="2">
      <c r="A555" s="616" t="s">
        <v>3708</v>
      </c>
      <c r="B555" s="610">
        <v>521030</v>
      </c>
      <c r="C555" s="610" t="s">
        <v>3586</v>
      </c>
      <c r="D555" s="611"/>
      <c r="E555" s="611">
        <v>4086.12</v>
      </c>
      <c r="F555" s="611">
        <v>0</v>
      </c>
      <c r="G555" s="611">
        <v>4086.12</v>
      </c>
    </row>
    <row r="556" spans="1:7" hidden="1" outlineLevel="2">
      <c r="A556" s="616" t="s">
        <v>3708</v>
      </c>
      <c r="B556" s="610">
        <v>521032</v>
      </c>
      <c r="C556" s="610" t="s">
        <v>3587</v>
      </c>
      <c r="D556" s="611"/>
      <c r="E556" s="611">
        <v>6823.65</v>
      </c>
      <c r="F556" s="611">
        <v>0</v>
      </c>
      <c r="G556" s="611">
        <v>6823.65</v>
      </c>
    </row>
    <row r="557" spans="1:7" hidden="1" outlineLevel="2">
      <c r="A557" s="616" t="s">
        <v>3708</v>
      </c>
      <c r="B557" s="610">
        <v>521040</v>
      </c>
      <c r="C557" s="610" t="s">
        <v>3588</v>
      </c>
      <c r="D557" s="611"/>
      <c r="E557" s="611">
        <v>9225</v>
      </c>
      <c r="F557" s="611">
        <v>1170</v>
      </c>
      <c r="G557" s="611">
        <v>8055</v>
      </c>
    </row>
    <row r="558" spans="1:7" hidden="1" outlineLevel="2">
      <c r="A558" s="616" t="s">
        <v>3708</v>
      </c>
      <c r="B558" s="610">
        <v>521110</v>
      </c>
      <c r="C558" s="610" t="s">
        <v>3589</v>
      </c>
      <c r="D558" s="611"/>
      <c r="E558" s="611">
        <v>23</v>
      </c>
      <c r="F558" s="611">
        <v>0</v>
      </c>
      <c r="G558" s="611">
        <v>23</v>
      </c>
    </row>
    <row r="559" spans="1:7" outlineLevel="1" collapsed="1">
      <c r="A559" s="620" t="s">
        <v>3909</v>
      </c>
      <c r="B559" s="610"/>
      <c r="C559" s="610"/>
      <c r="D559" s="611">
        <f>SUBTOTAL(9,D550:D558)</f>
        <v>0</v>
      </c>
      <c r="E559" s="611">
        <f>SUBTOTAL(9,E550:E558)</f>
        <v>198528.99</v>
      </c>
      <c r="F559" s="611">
        <f>SUBTOTAL(9,F550:F558)</f>
        <v>18209.54</v>
      </c>
      <c r="G559" s="611">
        <f>SUBTOTAL(9,G550:G558)</f>
        <v>180319.44999999998</v>
      </c>
    </row>
    <row r="560" spans="1:7" hidden="1" outlineLevel="2">
      <c r="A560" s="616" t="s">
        <v>3709</v>
      </c>
      <c r="B560" s="610">
        <v>524010</v>
      </c>
      <c r="C560" s="610" t="s">
        <v>3590</v>
      </c>
      <c r="D560" s="611"/>
      <c r="E560" s="611">
        <v>-620.24</v>
      </c>
      <c r="F560" s="611">
        <v>31.27</v>
      </c>
      <c r="G560" s="611">
        <v>-651.51</v>
      </c>
    </row>
    <row r="561" spans="1:7" hidden="1" outlineLevel="2">
      <c r="A561" s="616" t="s">
        <v>3709</v>
      </c>
      <c r="B561" s="610">
        <v>524020</v>
      </c>
      <c r="C561" s="610" t="s">
        <v>3591</v>
      </c>
      <c r="D561" s="611"/>
      <c r="E561" s="611">
        <v>61582.97</v>
      </c>
      <c r="F561" s="611">
        <v>6410.61</v>
      </c>
      <c r="G561" s="611">
        <v>55172.36</v>
      </c>
    </row>
    <row r="562" spans="1:7" hidden="1" outlineLevel="2">
      <c r="A562" s="616" t="s">
        <v>3709</v>
      </c>
      <c r="B562" s="610">
        <v>524026</v>
      </c>
      <c r="C562" s="610" t="s">
        <v>3592</v>
      </c>
      <c r="D562" s="611"/>
      <c r="E562" s="611">
        <v>6033.46</v>
      </c>
      <c r="F562" s="611">
        <v>0</v>
      </c>
      <c r="G562" s="611">
        <v>6033.46</v>
      </c>
    </row>
    <row r="563" spans="1:7" hidden="1" outlineLevel="2">
      <c r="A563" s="616" t="s">
        <v>3709</v>
      </c>
      <c r="B563" s="610">
        <v>524027</v>
      </c>
      <c r="C563" s="610" t="s">
        <v>3593</v>
      </c>
      <c r="D563" s="611"/>
      <c r="E563" s="611">
        <v>960.15</v>
      </c>
      <c r="F563" s="611">
        <v>0</v>
      </c>
      <c r="G563" s="611">
        <v>960.15</v>
      </c>
    </row>
    <row r="564" spans="1:7" hidden="1" outlineLevel="2">
      <c r="A564" s="616" t="s">
        <v>3709</v>
      </c>
      <c r="B564" s="610">
        <v>524029</v>
      </c>
      <c r="C564" s="610" t="s">
        <v>3594</v>
      </c>
      <c r="D564" s="611"/>
      <c r="E564" s="611">
        <v>340.95</v>
      </c>
      <c r="F564" s="611">
        <v>0</v>
      </c>
      <c r="G564" s="611">
        <v>340.95</v>
      </c>
    </row>
    <row r="565" spans="1:7" hidden="1" outlineLevel="2">
      <c r="A565" s="616" t="s">
        <v>3709</v>
      </c>
      <c r="B565" s="610">
        <v>524032</v>
      </c>
      <c r="C565" s="610" t="s">
        <v>3595</v>
      </c>
      <c r="D565" s="611"/>
      <c r="E565" s="611">
        <v>2529.58</v>
      </c>
      <c r="F565" s="611">
        <v>0</v>
      </c>
      <c r="G565" s="611">
        <v>2529.58</v>
      </c>
    </row>
    <row r="566" spans="1:7" outlineLevel="1" collapsed="1">
      <c r="A566" s="620" t="s">
        <v>3910</v>
      </c>
      <c r="B566" s="610"/>
      <c r="C566" s="610"/>
      <c r="D566" s="611">
        <f>SUBTOTAL(9,D560:D565)</f>
        <v>0</v>
      </c>
      <c r="E566" s="611">
        <f>SUBTOTAL(9,E560:E565)</f>
        <v>70826.87</v>
      </c>
      <c r="F566" s="611">
        <f>SUBTOTAL(9,F560:F565)</f>
        <v>6441.88</v>
      </c>
      <c r="G566" s="611">
        <f>SUBTOTAL(9,G560:G565)</f>
        <v>64384.99</v>
      </c>
    </row>
    <row r="567" spans="1:7" hidden="1" outlineLevel="2">
      <c r="A567" s="616" t="s">
        <v>3710</v>
      </c>
      <c r="B567" s="610">
        <v>525010</v>
      </c>
      <c r="C567" s="610" t="s">
        <v>3365</v>
      </c>
      <c r="D567" s="611"/>
      <c r="E567" s="611">
        <v>3307.07</v>
      </c>
      <c r="F567" s="611">
        <v>239</v>
      </c>
      <c r="G567" s="611">
        <v>3068.07</v>
      </c>
    </row>
    <row r="568" spans="1:7" outlineLevel="1" collapsed="1">
      <c r="A568" s="620" t="s">
        <v>3911</v>
      </c>
      <c r="B568" s="610"/>
      <c r="C568" s="610"/>
      <c r="D568" s="611">
        <f>SUBTOTAL(9,D567:D567)</f>
        <v>0</v>
      </c>
      <c r="E568" s="611">
        <f>SUBTOTAL(9,E567:E567)</f>
        <v>3307.07</v>
      </c>
      <c r="F568" s="611">
        <f>SUBTOTAL(9,F567:F567)</f>
        <v>239</v>
      </c>
      <c r="G568" s="611">
        <f>SUBTOTAL(9,G567:G567)</f>
        <v>3068.07</v>
      </c>
    </row>
    <row r="569" spans="1:7" hidden="1" outlineLevel="2">
      <c r="A569" s="616" t="s">
        <v>3711</v>
      </c>
      <c r="B569" s="610">
        <v>527010</v>
      </c>
      <c r="C569" s="610" t="s">
        <v>3596</v>
      </c>
      <c r="D569" s="611"/>
      <c r="E569" s="611">
        <v>1004.32</v>
      </c>
      <c r="F569" s="611">
        <v>0</v>
      </c>
      <c r="G569" s="611">
        <v>1004.32</v>
      </c>
    </row>
    <row r="570" spans="1:7" hidden="1" outlineLevel="2">
      <c r="A570" s="616" t="s">
        <v>3711</v>
      </c>
      <c r="B570" s="610">
        <v>527020</v>
      </c>
      <c r="C570" s="610" t="s">
        <v>3597</v>
      </c>
      <c r="D570" s="611"/>
      <c r="E570" s="611">
        <v>350.39</v>
      </c>
      <c r="F570" s="611">
        <v>0</v>
      </c>
      <c r="G570" s="611">
        <v>350.39</v>
      </c>
    </row>
    <row r="571" spans="1:7" hidden="1" outlineLevel="2">
      <c r="A571" s="616" t="s">
        <v>3711</v>
      </c>
      <c r="B571" s="610">
        <v>527030</v>
      </c>
      <c r="C571" s="610" t="s">
        <v>3598</v>
      </c>
      <c r="D571" s="611"/>
      <c r="E571" s="611">
        <v>1819.97</v>
      </c>
      <c r="F571" s="611">
        <v>0</v>
      </c>
      <c r="G571" s="611">
        <v>1819.97</v>
      </c>
    </row>
    <row r="572" spans="1:7" hidden="1" outlineLevel="2">
      <c r="A572" s="616" t="s">
        <v>3711</v>
      </c>
      <c r="B572" s="610">
        <v>527060</v>
      </c>
      <c r="C572" s="610" t="s">
        <v>3599</v>
      </c>
      <c r="D572" s="611"/>
      <c r="E572" s="611">
        <v>20</v>
      </c>
      <c r="F572" s="611">
        <v>0</v>
      </c>
      <c r="G572" s="611">
        <v>20</v>
      </c>
    </row>
    <row r="573" spans="1:7" outlineLevel="1" collapsed="1">
      <c r="A573" s="620" t="s">
        <v>3912</v>
      </c>
      <c r="B573" s="610"/>
      <c r="C573" s="610"/>
      <c r="D573" s="611">
        <f>SUBTOTAL(9,D569:D572)</f>
        <v>0</v>
      </c>
      <c r="E573" s="611">
        <f>SUBTOTAL(9,E569:E572)</f>
        <v>3194.6800000000003</v>
      </c>
      <c r="F573" s="611">
        <f>SUBTOTAL(9,F569:F572)</f>
        <v>0</v>
      </c>
      <c r="G573" s="611">
        <f>SUBTOTAL(9,G569:G572)</f>
        <v>3194.6800000000003</v>
      </c>
    </row>
    <row r="574" spans="1:7" hidden="1" outlineLevel="2">
      <c r="A574" s="616" t="s">
        <v>3712</v>
      </c>
      <c r="B574" s="610">
        <v>528010</v>
      </c>
      <c r="C574" s="610" t="s">
        <v>3600</v>
      </c>
      <c r="D574" s="611"/>
      <c r="E574" s="611">
        <v>1239.68</v>
      </c>
      <c r="F574" s="611">
        <v>99.78</v>
      </c>
      <c r="G574" s="611">
        <v>1139.9000000000001</v>
      </c>
    </row>
    <row r="575" spans="1:7" hidden="1" outlineLevel="2">
      <c r="A575" s="616" t="s">
        <v>3712</v>
      </c>
      <c r="B575" s="610">
        <v>528020</v>
      </c>
      <c r="C575" s="610" t="s">
        <v>3601</v>
      </c>
      <c r="D575" s="611"/>
      <c r="E575" s="611">
        <v>5.78</v>
      </c>
      <c r="F575" s="611">
        <v>0</v>
      </c>
      <c r="G575" s="611">
        <v>5.78</v>
      </c>
    </row>
    <row r="576" spans="1:7" outlineLevel="1" collapsed="1">
      <c r="A576" s="620" t="s">
        <v>3913</v>
      </c>
      <c r="B576" s="610"/>
      <c r="C576" s="610"/>
      <c r="D576" s="611">
        <f>SUBTOTAL(9,D574:D575)</f>
        <v>0</v>
      </c>
      <c r="E576" s="611">
        <f>SUBTOTAL(9,E574:E575)</f>
        <v>1245.46</v>
      </c>
      <c r="F576" s="611">
        <f>SUBTOTAL(9,F574:F575)</f>
        <v>99.78</v>
      </c>
      <c r="G576" s="611">
        <f>SUBTOTAL(9,G574:G575)</f>
        <v>1145.68</v>
      </c>
    </row>
    <row r="577" spans="1:7" hidden="1" outlineLevel="2">
      <c r="A577" s="616" t="s">
        <v>3713</v>
      </c>
      <c r="B577" s="610">
        <v>538020</v>
      </c>
      <c r="C577" s="610" t="s">
        <v>3602</v>
      </c>
      <c r="D577" s="611"/>
      <c r="E577" s="611">
        <v>42850</v>
      </c>
      <c r="F577" s="611">
        <v>0</v>
      </c>
      <c r="G577" s="611">
        <v>42850</v>
      </c>
    </row>
    <row r="578" spans="1:7" hidden="1" outlineLevel="2">
      <c r="A578" s="616" t="s">
        <v>3713</v>
      </c>
      <c r="B578" s="610">
        <v>538030</v>
      </c>
      <c r="C578" s="610" t="s">
        <v>3603</v>
      </c>
      <c r="D578" s="611"/>
      <c r="E578" s="611">
        <v>81.84</v>
      </c>
      <c r="F578" s="611">
        <v>0</v>
      </c>
      <c r="G578" s="611">
        <v>81.84</v>
      </c>
    </row>
    <row r="579" spans="1:7" outlineLevel="1" collapsed="1">
      <c r="A579" s="620" t="s">
        <v>3914</v>
      </c>
      <c r="B579" s="610"/>
      <c r="C579" s="610"/>
      <c r="D579" s="611">
        <f>SUBTOTAL(9,D577:D578)</f>
        <v>0</v>
      </c>
      <c r="E579" s="611">
        <f>SUBTOTAL(9,E577:E578)</f>
        <v>42931.839999999997</v>
      </c>
      <c r="F579" s="611">
        <f>SUBTOTAL(9,F577:F578)</f>
        <v>0</v>
      </c>
      <c r="G579" s="611">
        <f>SUBTOTAL(9,G577:G578)</f>
        <v>42931.839999999997</v>
      </c>
    </row>
    <row r="580" spans="1:7" hidden="1" outlineLevel="2">
      <c r="A580" s="616" t="s">
        <v>3714</v>
      </c>
      <c r="B580" s="610">
        <v>542010</v>
      </c>
      <c r="C580" s="610" t="s">
        <v>3604</v>
      </c>
      <c r="D580" s="611"/>
      <c r="E580" s="611">
        <v>44293.13</v>
      </c>
      <c r="F580" s="611">
        <v>0</v>
      </c>
      <c r="G580" s="611">
        <v>44293.13</v>
      </c>
    </row>
    <row r="581" spans="1:7" outlineLevel="1" collapsed="1">
      <c r="A581" s="620" t="s">
        <v>3915</v>
      </c>
      <c r="B581" s="610"/>
      <c r="C581" s="610"/>
      <c r="D581" s="611">
        <f>SUBTOTAL(9,D580:D580)</f>
        <v>0</v>
      </c>
      <c r="E581" s="611">
        <f>SUBTOTAL(9,E580:E580)</f>
        <v>44293.13</v>
      </c>
      <c r="F581" s="611">
        <f>SUBTOTAL(9,F580:F580)</f>
        <v>0</v>
      </c>
      <c r="G581" s="611">
        <f>SUBTOTAL(9,G580:G580)</f>
        <v>44293.13</v>
      </c>
    </row>
    <row r="582" spans="1:7" hidden="1" outlineLevel="2">
      <c r="A582" s="616" t="s">
        <v>3715</v>
      </c>
      <c r="B582" s="610">
        <v>544010</v>
      </c>
      <c r="C582" s="610" t="s">
        <v>3605</v>
      </c>
      <c r="D582" s="611"/>
      <c r="E582" s="611">
        <v>85.18</v>
      </c>
      <c r="F582" s="611">
        <v>0</v>
      </c>
      <c r="G582" s="611">
        <v>85.18</v>
      </c>
    </row>
    <row r="583" spans="1:7" outlineLevel="1" collapsed="1">
      <c r="A583" s="620" t="s">
        <v>3916</v>
      </c>
      <c r="B583" s="610"/>
      <c r="C583" s="610"/>
      <c r="D583" s="611">
        <f>SUBTOTAL(9,D582:D582)</f>
        <v>0</v>
      </c>
      <c r="E583" s="611">
        <f>SUBTOTAL(9,E582:E582)</f>
        <v>85.18</v>
      </c>
      <c r="F583" s="611">
        <f>SUBTOTAL(9,F582:F582)</f>
        <v>0</v>
      </c>
      <c r="G583" s="611">
        <f>SUBTOTAL(9,G582:G582)</f>
        <v>85.18</v>
      </c>
    </row>
    <row r="584" spans="1:7" hidden="1" outlineLevel="2">
      <c r="A584" s="616" t="s">
        <v>3716</v>
      </c>
      <c r="B584" s="610">
        <v>545020</v>
      </c>
      <c r="C584" s="610" t="s">
        <v>3606</v>
      </c>
      <c r="D584" s="611"/>
      <c r="E584" s="611">
        <v>302.3</v>
      </c>
      <c r="F584" s="611">
        <v>0</v>
      </c>
      <c r="G584" s="611">
        <v>302.3</v>
      </c>
    </row>
    <row r="585" spans="1:7" hidden="1" outlineLevel="2">
      <c r="A585" s="616" t="s">
        <v>3716</v>
      </c>
      <c r="B585" s="610">
        <v>545030</v>
      </c>
      <c r="C585" s="610" t="s">
        <v>3607</v>
      </c>
      <c r="D585" s="611"/>
      <c r="E585" s="611">
        <v>150.21</v>
      </c>
      <c r="F585" s="611">
        <v>0</v>
      </c>
      <c r="G585" s="611">
        <v>150.21</v>
      </c>
    </row>
    <row r="586" spans="1:7" outlineLevel="1" collapsed="1">
      <c r="A586" s="620" t="s">
        <v>3917</v>
      </c>
      <c r="B586" s="610"/>
      <c r="C586" s="610"/>
      <c r="D586" s="611">
        <f>SUBTOTAL(9,D584:D585)</f>
        <v>0</v>
      </c>
      <c r="E586" s="611">
        <f>SUBTOTAL(9,E584:E585)</f>
        <v>452.51</v>
      </c>
      <c r="F586" s="611">
        <f>SUBTOTAL(9,F584:F585)</f>
        <v>0</v>
      </c>
      <c r="G586" s="611">
        <f>SUBTOTAL(9,G584:G585)</f>
        <v>452.51</v>
      </c>
    </row>
    <row r="587" spans="1:7" hidden="1" outlineLevel="2">
      <c r="A587" s="616" t="s">
        <v>3717</v>
      </c>
      <c r="B587" s="610">
        <v>547020</v>
      </c>
      <c r="C587" s="610" t="s">
        <v>3608</v>
      </c>
      <c r="D587" s="611"/>
      <c r="E587" s="611">
        <v>1898556.16</v>
      </c>
      <c r="F587" s="611">
        <v>0</v>
      </c>
      <c r="G587" s="611">
        <v>1898556.16</v>
      </c>
    </row>
    <row r="588" spans="1:7" outlineLevel="1" collapsed="1">
      <c r="A588" s="620" t="s">
        <v>3918</v>
      </c>
      <c r="B588" s="610"/>
      <c r="C588" s="610"/>
      <c r="D588" s="611">
        <f>SUBTOTAL(9,D587:D587)</f>
        <v>0</v>
      </c>
      <c r="E588" s="611">
        <f>SUBTOTAL(9,E587:E587)</f>
        <v>1898556.16</v>
      </c>
      <c r="F588" s="611">
        <f>SUBTOTAL(9,F587:F587)</f>
        <v>0</v>
      </c>
      <c r="G588" s="611">
        <f>SUBTOTAL(9,G587:G587)</f>
        <v>1898556.16</v>
      </c>
    </row>
    <row r="589" spans="1:7" hidden="1" outlineLevel="2">
      <c r="A589" s="616" t="s">
        <v>3718</v>
      </c>
      <c r="B589" s="610">
        <v>548020</v>
      </c>
      <c r="C589" s="610" t="s">
        <v>3609</v>
      </c>
      <c r="D589" s="611"/>
      <c r="E589" s="611">
        <v>6.54</v>
      </c>
      <c r="F589" s="611">
        <v>0</v>
      </c>
      <c r="G589" s="611">
        <v>6.54</v>
      </c>
    </row>
    <row r="590" spans="1:7" hidden="1" outlineLevel="2">
      <c r="A590" s="616" t="s">
        <v>3718</v>
      </c>
      <c r="B590" s="610">
        <v>548041</v>
      </c>
      <c r="C590" s="610" t="s">
        <v>3610</v>
      </c>
      <c r="D590" s="611"/>
      <c r="E590" s="611">
        <v>90.83</v>
      </c>
      <c r="F590" s="611">
        <v>0</v>
      </c>
      <c r="G590" s="611">
        <v>90.83</v>
      </c>
    </row>
    <row r="591" spans="1:7" hidden="1" outlineLevel="2">
      <c r="A591" s="616" t="s">
        <v>3718</v>
      </c>
      <c r="B591" s="610">
        <v>548050</v>
      </c>
      <c r="C591" s="610" t="s">
        <v>3611</v>
      </c>
      <c r="D591" s="611"/>
      <c r="E591" s="611">
        <v>706.14</v>
      </c>
      <c r="F591" s="611">
        <v>0</v>
      </c>
      <c r="G591" s="611">
        <v>706.14</v>
      </c>
    </row>
    <row r="592" spans="1:7" hidden="1" outlineLevel="2">
      <c r="A592" s="616" t="s">
        <v>3718</v>
      </c>
      <c r="B592" s="610">
        <v>548080</v>
      </c>
      <c r="C592" s="610" t="s">
        <v>3612</v>
      </c>
      <c r="D592" s="611"/>
      <c r="E592" s="611">
        <v>850</v>
      </c>
      <c r="F592" s="611">
        <v>0</v>
      </c>
      <c r="G592" s="611">
        <v>850</v>
      </c>
    </row>
    <row r="593" spans="1:7" hidden="1" outlineLevel="2">
      <c r="A593" s="616" t="s">
        <v>3718</v>
      </c>
      <c r="B593" s="610">
        <v>548090</v>
      </c>
      <c r="C593" s="610" t="s">
        <v>3613</v>
      </c>
      <c r="D593" s="611"/>
      <c r="E593" s="611">
        <v>31541.9</v>
      </c>
      <c r="F593" s="611">
        <v>0</v>
      </c>
      <c r="G593" s="611">
        <v>31541.9</v>
      </c>
    </row>
    <row r="594" spans="1:7" outlineLevel="1" collapsed="1">
      <c r="A594" s="620" t="s">
        <v>3919</v>
      </c>
      <c r="B594" s="610"/>
      <c r="C594" s="610"/>
      <c r="D594" s="611">
        <f>SUBTOTAL(9,D589:D593)</f>
        <v>0</v>
      </c>
      <c r="E594" s="611">
        <f>SUBTOTAL(9,E589:E593)</f>
        <v>33195.410000000003</v>
      </c>
      <c r="F594" s="611">
        <f>SUBTOTAL(9,F589:F593)</f>
        <v>0</v>
      </c>
      <c r="G594" s="611">
        <f>SUBTOTAL(9,G589:G593)</f>
        <v>33195.410000000003</v>
      </c>
    </row>
    <row r="595" spans="1:7" hidden="1" outlineLevel="2">
      <c r="A595" s="616" t="s">
        <v>3719</v>
      </c>
      <c r="B595" s="610">
        <v>551010</v>
      </c>
      <c r="C595" s="610" t="s">
        <v>3614</v>
      </c>
      <c r="D595" s="611"/>
      <c r="E595" s="611">
        <v>5777.56</v>
      </c>
      <c r="F595" s="611">
        <v>0</v>
      </c>
      <c r="G595" s="611">
        <v>5777.56</v>
      </c>
    </row>
    <row r="596" spans="1:7" hidden="1" outlineLevel="2">
      <c r="A596" s="616" t="s">
        <v>3719</v>
      </c>
      <c r="B596" s="610">
        <v>551020</v>
      </c>
      <c r="C596" s="610" t="s">
        <v>3615</v>
      </c>
      <c r="D596" s="611"/>
      <c r="E596" s="611">
        <v>3773.55</v>
      </c>
      <c r="F596" s="611">
        <v>0</v>
      </c>
      <c r="G596" s="611">
        <v>3773.55</v>
      </c>
    </row>
    <row r="597" spans="1:7" outlineLevel="1" collapsed="1">
      <c r="A597" s="620" t="s">
        <v>3920</v>
      </c>
      <c r="B597" s="610"/>
      <c r="C597" s="610"/>
      <c r="D597" s="611">
        <f>SUBTOTAL(9,D595:D596)</f>
        <v>0</v>
      </c>
      <c r="E597" s="611">
        <f>SUBTOTAL(9,E595:E596)</f>
        <v>9551.11</v>
      </c>
      <c r="F597" s="611">
        <f>SUBTOTAL(9,F595:F596)</f>
        <v>0</v>
      </c>
      <c r="G597" s="611">
        <f>SUBTOTAL(9,G595:G596)</f>
        <v>9551.11</v>
      </c>
    </row>
    <row r="598" spans="1:7" hidden="1" outlineLevel="2">
      <c r="A598" s="616" t="s">
        <v>3720</v>
      </c>
      <c r="B598" s="610">
        <v>562010</v>
      </c>
      <c r="C598" s="610" t="s">
        <v>3616</v>
      </c>
      <c r="D598" s="611"/>
      <c r="E598" s="611">
        <v>173881.04</v>
      </c>
      <c r="F598" s="611">
        <v>183.33</v>
      </c>
      <c r="G598" s="611">
        <v>173697.71</v>
      </c>
    </row>
    <row r="599" spans="1:7" hidden="1" outlineLevel="2">
      <c r="A599" s="616" t="s">
        <v>3720</v>
      </c>
      <c r="B599" s="610">
        <v>562020</v>
      </c>
      <c r="C599" s="610" t="s">
        <v>3617</v>
      </c>
      <c r="D599" s="611"/>
      <c r="E599" s="611">
        <v>0</v>
      </c>
      <c r="F599" s="611">
        <v>0</v>
      </c>
      <c r="G599" s="611">
        <v>0</v>
      </c>
    </row>
    <row r="600" spans="1:7" hidden="1" outlineLevel="2">
      <c r="A600" s="616" t="s">
        <v>3720</v>
      </c>
      <c r="B600" s="610">
        <v>562040</v>
      </c>
      <c r="C600" s="610" t="s">
        <v>3618</v>
      </c>
      <c r="D600" s="611"/>
      <c r="E600" s="611">
        <v>114972.54</v>
      </c>
      <c r="F600" s="611">
        <v>0</v>
      </c>
      <c r="G600" s="611">
        <v>114972.54</v>
      </c>
    </row>
    <row r="601" spans="1:7" outlineLevel="1" collapsed="1">
      <c r="A601" s="620" t="s">
        <v>3921</v>
      </c>
      <c r="B601" s="610"/>
      <c r="C601" s="610"/>
      <c r="D601" s="611">
        <f>SUBTOTAL(9,D598:D600)</f>
        <v>0</v>
      </c>
      <c r="E601" s="611">
        <f>SUBTOTAL(9,E598:E600)</f>
        <v>288853.58</v>
      </c>
      <c r="F601" s="611">
        <f>SUBTOTAL(9,F598:F600)</f>
        <v>183.33</v>
      </c>
      <c r="G601" s="611">
        <f>SUBTOTAL(9,G598:G600)</f>
        <v>288670.25</v>
      </c>
    </row>
    <row r="602" spans="1:7" hidden="1" outlineLevel="2">
      <c r="A602" s="616" t="s">
        <v>3721</v>
      </c>
      <c r="B602" s="610">
        <v>563010</v>
      </c>
      <c r="C602" s="610" t="s">
        <v>3619</v>
      </c>
      <c r="D602" s="611"/>
      <c r="E602" s="611">
        <v>249568.05</v>
      </c>
      <c r="F602" s="611">
        <v>0</v>
      </c>
      <c r="G602" s="611">
        <v>249568.05</v>
      </c>
    </row>
    <row r="603" spans="1:7" hidden="1" outlineLevel="2">
      <c r="A603" s="616" t="s">
        <v>3721</v>
      </c>
      <c r="B603" s="610">
        <v>563020</v>
      </c>
      <c r="C603" s="610" t="s">
        <v>3620</v>
      </c>
      <c r="D603" s="611"/>
      <c r="E603" s="611">
        <v>31902.5</v>
      </c>
      <c r="F603" s="611">
        <v>0</v>
      </c>
      <c r="G603" s="611">
        <v>31902.5</v>
      </c>
    </row>
    <row r="604" spans="1:7" outlineLevel="1" collapsed="1">
      <c r="A604" s="620" t="s">
        <v>3922</v>
      </c>
      <c r="B604" s="610"/>
      <c r="C604" s="610"/>
      <c r="D604" s="611">
        <f>SUBTOTAL(9,D602:D603)</f>
        <v>0</v>
      </c>
      <c r="E604" s="611">
        <f>SUBTOTAL(9,E602:E603)</f>
        <v>281470.55</v>
      </c>
      <c r="F604" s="611">
        <f>SUBTOTAL(9,F602:F603)</f>
        <v>0</v>
      </c>
      <c r="G604" s="611">
        <f>SUBTOTAL(9,G602:G603)</f>
        <v>281470.55</v>
      </c>
    </row>
    <row r="605" spans="1:7" hidden="1" outlineLevel="2">
      <c r="A605" s="616" t="s">
        <v>3722</v>
      </c>
      <c r="B605" s="610">
        <v>568010</v>
      </c>
      <c r="C605" s="610" t="s">
        <v>3621</v>
      </c>
      <c r="D605" s="611"/>
      <c r="E605" s="611">
        <v>225223.95</v>
      </c>
      <c r="F605" s="611">
        <v>8.1</v>
      </c>
      <c r="G605" s="611">
        <v>225215.85</v>
      </c>
    </row>
    <row r="606" spans="1:7" hidden="1" outlineLevel="2">
      <c r="A606" s="616" t="s">
        <v>3722</v>
      </c>
      <c r="B606" s="610">
        <v>568013</v>
      </c>
      <c r="C606" s="610" t="s">
        <v>3622</v>
      </c>
      <c r="D606" s="611"/>
      <c r="E606" s="611">
        <v>1633.57</v>
      </c>
      <c r="F606" s="611">
        <v>0</v>
      </c>
      <c r="G606" s="611">
        <v>1633.57</v>
      </c>
    </row>
    <row r="607" spans="1:7" outlineLevel="1" collapsed="1">
      <c r="A607" s="620" t="s">
        <v>3923</v>
      </c>
      <c r="B607" s="610"/>
      <c r="C607" s="610"/>
      <c r="D607" s="611">
        <f>SUBTOTAL(9,D605:D606)</f>
        <v>0</v>
      </c>
      <c r="E607" s="611">
        <f>SUBTOTAL(9,E605:E606)</f>
        <v>226857.52000000002</v>
      </c>
      <c r="F607" s="611">
        <f>SUBTOTAL(9,F605:F606)</f>
        <v>8.1</v>
      </c>
      <c r="G607" s="611">
        <f>SUBTOTAL(9,G605:G606)</f>
        <v>226849.42</v>
      </c>
    </row>
    <row r="608" spans="1:7" hidden="1" outlineLevel="2">
      <c r="A608" s="616" t="s">
        <v>3723</v>
      </c>
      <c r="B608" s="610">
        <v>591010</v>
      </c>
      <c r="C608" s="610" t="s">
        <v>3623</v>
      </c>
      <c r="D608" s="611"/>
      <c r="E608" s="611">
        <v>1043212.2</v>
      </c>
      <c r="F608" s="611">
        <v>0</v>
      </c>
      <c r="G608" s="611">
        <v>1043212.2</v>
      </c>
    </row>
    <row r="609" spans="1:7" hidden="1" outlineLevel="2">
      <c r="A609" s="616" t="s">
        <v>3723</v>
      </c>
      <c r="B609" s="610">
        <v>591020</v>
      </c>
      <c r="C609" s="610" t="s">
        <v>3624</v>
      </c>
      <c r="D609" s="611"/>
      <c r="E609" s="611">
        <v>0.93</v>
      </c>
      <c r="F609" s="611">
        <v>0</v>
      </c>
      <c r="G609" s="611">
        <v>0.93</v>
      </c>
    </row>
    <row r="610" spans="1:7" outlineLevel="1" collapsed="1">
      <c r="A610" s="620" t="s">
        <v>3924</v>
      </c>
      <c r="B610" s="610"/>
      <c r="C610" s="610"/>
      <c r="D610" s="611">
        <f>SUBTOTAL(9,D608:D609)</f>
        <v>0</v>
      </c>
      <c r="E610" s="611">
        <f>SUBTOTAL(9,E608:E609)</f>
        <v>1043213.13</v>
      </c>
      <c r="F610" s="611">
        <f>SUBTOTAL(9,F608:F609)</f>
        <v>0</v>
      </c>
      <c r="G610" s="611">
        <f>SUBTOTAL(9,G608:G609)</f>
        <v>1043213.13</v>
      </c>
    </row>
    <row r="611" spans="1:7" hidden="1" outlineLevel="2">
      <c r="A611" s="616" t="s">
        <v>3724</v>
      </c>
      <c r="B611" s="610">
        <v>592010</v>
      </c>
      <c r="C611" s="610" t="s">
        <v>3625</v>
      </c>
      <c r="D611" s="611"/>
      <c r="E611" s="611">
        <v>0</v>
      </c>
      <c r="F611" s="611">
        <v>894011.68</v>
      </c>
      <c r="G611" s="611">
        <v>-894011.68</v>
      </c>
    </row>
    <row r="612" spans="1:7" outlineLevel="1" collapsed="1">
      <c r="A612" s="620" t="s">
        <v>3925</v>
      </c>
      <c r="B612" s="610"/>
      <c r="C612" s="610"/>
      <c r="D612" s="611">
        <f>SUBTOTAL(9,D611:D611)</f>
        <v>0</v>
      </c>
      <c r="E612" s="611">
        <f>SUBTOTAL(9,E611:E611)</f>
        <v>0</v>
      </c>
      <c r="F612" s="611">
        <f>SUBTOTAL(9,F611:F611)</f>
        <v>894011.68</v>
      </c>
      <c r="G612" s="611">
        <f>SUBTOTAL(9,G611:G611)</f>
        <v>-894011.68</v>
      </c>
    </row>
    <row r="613" spans="1:7" hidden="1" outlineLevel="2">
      <c r="A613" s="616" t="s">
        <v>3725</v>
      </c>
      <c r="B613" s="610">
        <v>601050</v>
      </c>
      <c r="C613" s="610" t="s">
        <v>3626</v>
      </c>
      <c r="D613" s="611"/>
      <c r="E613" s="611">
        <v>0</v>
      </c>
      <c r="F613" s="611">
        <v>1782193.25</v>
      </c>
      <c r="G613" s="611">
        <v>-1782193.25</v>
      </c>
    </row>
    <row r="614" spans="1:7" hidden="1" outlineLevel="2">
      <c r="A614" s="616" t="s">
        <v>3725</v>
      </c>
      <c r="B614" s="610">
        <v>601120</v>
      </c>
      <c r="C614" s="610" t="s">
        <v>3627</v>
      </c>
      <c r="D614" s="611"/>
      <c r="E614" s="611">
        <v>0</v>
      </c>
      <c r="F614" s="611">
        <v>37805</v>
      </c>
      <c r="G614" s="611">
        <v>-37805</v>
      </c>
    </row>
    <row r="615" spans="1:7" outlineLevel="1" collapsed="1">
      <c r="A615" s="620" t="s">
        <v>3926</v>
      </c>
      <c r="B615" s="610"/>
      <c r="C615" s="610"/>
      <c r="D615" s="611">
        <f>SUBTOTAL(9,D613:D614)</f>
        <v>0</v>
      </c>
      <c r="E615" s="611">
        <f>SUBTOTAL(9,E613:E614)</f>
        <v>0</v>
      </c>
      <c r="F615" s="611">
        <f>SUBTOTAL(9,F613:F614)</f>
        <v>1819998.25</v>
      </c>
      <c r="G615" s="611">
        <f>SUBTOTAL(9,G613:G614)</f>
        <v>-1819998.25</v>
      </c>
    </row>
    <row r="616" spans="1:7" hidden="1" outlineLevel="2">
      <c r="A616" s="616" t="s">
        <v>3726</v>
      </c>
      <c r="B616" s="610">
        <v>602050</v>
      </c>
      <c r="C616" s="610" t="s">
        <v>3628</v>
      </c>
      <c r="D616" s="611"/>
      <c r="E616" s="611">
        <v>0</v>
      </c>
      <c r="F616" s="611">
        <v>3000</v>
      </c>
      <c r="G616" s="611">
        <v>-3000</v>
      </c>
    </row>
    <row r="617" spans="1:7" hidden="1" outlineLevel="2">
      <c r="A617" s="616" t="s">
        <v>3726</v>
      </c>
      <c r="B617" s="610">
        <v>602080</v>
      </c>
      <c r="C617" s="610" t="s">
        <v>3629</v>
      </c>
      <c r="D617" s="611"/>
      <c r="E617" s="611">
        <v>0</v>
      </c>
      <c r="F617" s="611">
        <v>291527.21999999997</v>
      </c>
      <c r="G617" s="611">
        <v>-291527.21999999997</v>
      </c>
    </row>
    <row r="618" spans="1:7" hidden="1" outlineLevel="2">
      <c r="A618" s="616" t="s">
        <v>3726</v>
      </c>
      <c r="B618" s="610">
        <v>602103</v>
      </c>
      <c r="C618" s="610" t="s">
        <v>3630</v>
      </c>
      <c r="D618" s="611"/>
      <c r="E618" s="611">
        <v>0</v>
      </c>
      <c r="F618" s="611">
        <v>35</v>
      </c>
      <c r="G618" s="611">
        <v>-35</v>
      </c>
    </row>
    <row r="619" spans="1:7" outlineLevel="1" collapsed="1">
      <c r="A619" s="620" t="s">
        <v>3927</v>
      </c>
      <c r="B619" s="610"/>
      <c r="C619" s="610"/>
      <c r="D619" s="611">
        <f>SUBTOTAL(9,D616:D618)</f>
        <v>0</v>
      </c>
      <c r="E619" s="611">
        <f>SUBTOTAL(9,E616:E618)</f>
        <v>0</v>
      </c>
      <c r="F619" s="611">
        <f>SUBTOTAL(9,F616:F618)</f>
        <v>294562.21999999997</v>
      </c>
      <c r="G619" s="611">
        <f>SUBTOTAL(9,G616:G618)</f>
        <v>-294562.21999999997</v>
      </c>
    </row>
    <row r="620" spans="1:7" hidden="1" outlineLevel="2">
      <c r="A620" s="616" t="s">
        <v>3727</v>
      </c>
      <c r="B620" s="610">
        <v>604012</v>
      </c>
      <c r="C620" s="610" t="s">
        <v>3631</v>
      </c>
      <c r="D620" s="611"/>
      <c r="E620" s="611">
        <v>0</v>
      </c>
      <c r="F620" s="611">
        <v>3498298.7</v>
      </c>
      <c r="G620" s="611">
        <v>-3498298.7</v>
      </c>
    </row>
    <row r="621" spans="1:7" hidden="1" outlineLevel="2">
      <c r="A621" s="616" t="s">
        <v>3727</v>
      </c>
      <c r="B621" s="610">
        <v>604013</v>
      </c>
      <c r="C621" s="610" t="s">
        <v>3632</v>
      </c>
      <c r="D621" s="611"/>
      <c r="E621" s="611">
        <v>0</v>
      </c>
      <c r="F621" s="611">
        <v>11905.82</v>
      </c>
      <c r="G621" s="611">
        <v>-11905.82</v>
      </c>
    </row>
    <row r="622" spans="1:7" hidden="1" outlineLevel="2">
      <c r="A622" s="616" t="s">
        <v>3727</v>
      </c>
      <c r="B622" s="610">
        <v>604014</v>
      </c>
      <c r="C622" s="610" t="s">
        <v>3633</v>
      </c>
      <c r="D622" s="611"/>
      <c r="E622" s="611">
        <v>0</v>
      </c>
      <c r="F622" s="611">
        <v>18435876.760000002</v>
      </c>
      <c r="G622" s="611">
        <v>-18435876.760000002</v>
      </c>
    </row>
    <row r="623" spans="1:7" hidden="1" outlineLevel="2">
      <c r="A623" s="616" t="s">
        <v>3727</v>
      </c>
      <c r="B623" s="610">
        <v>604999</v>
      </c>
      <c r="C623" s="610" t="s">
        <v>3634</v>
      </c>
      <c r="D623" s="611"/>
      <c r="E623" s="611">
        <v>0</v>
      </c>
      <c r="F623" s="611">
        <v>-19000</v>
      </c>
      <c r="G623" s="611">
        <v>19000</v>
      </c>
    </row>
    <row r="624" spans="1:7" outlineLevel="1" collapsed="1">
      <c r="A624" s="620" t="s">
        <v>3928</v>
      </c>
      <c r="B624" s="610"/>
      <c r="C624" s="610"/>
      <c r="D624" s="611">
        <f>SUBTOTAL(9,D620:D623)</f>
        <v>0</v>
      </c>
      <c r="E624" s="611">
        <f>SUBTOTAL(9,E620:E623)</f>
        <v>0</v>
      </c>
      <c r="F624" s="611">
        <f>SUBTOTAL(9,F620:F623)</f>
        <v>21927081.280000001</v>
      </c>
      <c r="G624" s="611">
        <f>SUBTOTAL(9,G620:G623)</f>
        <v>-21927081.280000001</v>
      </c>
    </row>
    <row r="625" spans="1:7" hidden="1" outlineLevel="2">
      <c r="A625" s="616" t="s">
        <v>3728</v>
      </c>
      <c r="B625" s="610">
        <v>611001</v>
      </c>
      <c r="C625" s="610" t="s">
        <v>3635</v>
      </c>
      <c r="D625" s="611"/>
      <c r="E625" s="611">
        <v>7627.2</v>
      </c>
      <c r="F625" s="611">
        <v>7627.2</v>
      </c>
      <c r="G625" s="611">
        <v>0</v>
      </c>
    </row>
    <row r="626" spans="1:7" hidden="1" outlineLevel="2">
      <c r="A626" s="616" t="s">
        <v>3728</v>
      </c>
      <c r="B626" s="610">
        <v>611004</v>
      </c>
      <c r="C626" s="610" t="s">
        <v>3636</v>
      </c>
      <c r="D626" s="611"/>
      <c r="E626" s="611">
        <v>15235</v>
      </c>
      <c r="F626" s="611">
        <v>15235</v>
      </c>
      <c r="G626" s="611">
        <v>0</v>
      </c>
    </row>
    <row r="627" spans="1:7" hidden="1" outlineLevel="2">
      <c r="A627" s="616" t="s">
        <v>3728</v>
      </c>
      <c r="B627" s="610">
        <v>611006</v>
      </c>
      <c r="C627" s="610" t="s">
        <v>3637</v>
      </c>
      <c r="D627" s="611"/>
      <c r="E627" s="611">
        <v>1353.58</v>
      </c>
      <c r="F627" s="611">
        <v>1353.58</v>
      </c>
      <c r="G627" s="611">
        <v>0</v>
      </c>
    </row>
    <row r="628" spans="1:7" hidden="1" outlineLevel="2">
      <c r="A628" s="616" t="s">
        <v>3728</v>
      </c>
      <c r="B628" s="610">
        <v>611012</v>
      </c>
      <c r="C628" s="610" t="s">
        <v>3638</v>
      </c>
      <c r="D628" s="611"/>
      <c r="E628" s="611">
        <v>3746.38</v>
      </c>
      <c r="F628" s="611">
        <v>3746.38</v>
      </c>
      <c r="G628" s="611">
        <v>0</v>
      </c>
    </row>
    <row r="629" spans="1:7" outlineLevel="1" collapsed="1">
      <c r="A629" s="620" t="s">
        <v>3929</v>
      </c>
      <c r="B629" s="610"/>
      <c r="C629" s="610"/>
      <c r="D629" s="611">
        <f>SUBTOTAL(9,D625:D628)</f>
        <v>0</v>
      </c>
      <c r="E629" s="611">
        <f>SUBTOTAL(9,E625:E628)</f>
        <v>27962.16</v>
      </c>
      <c r="F629" s="611">
        <f>SUBTOTAL(9,F625:F628)</f>
        <v>27962.16</v>
      </c>
      <c r="G629" s="611">
        <f>SUBTOTAL(9,G625:G628)</f>
        <v>0</v>
      </c>
    </row>
    <row r="630" spans="1:7" hidden="1" outlineLevel="2">
      <c r="A630" s="616" t="s">
        <v>3729</v>
      </c>
      <c r="B630" s="610">
        <v>613001</v>
      </c>
      <c r="C630" s="610" t="s">
        <v>3639</v>
      </c>
      <c r="D630" s="611"/>
      <c r="E630" s="611">
        <v>7627.2</v>
      </c>
      <c r="F630" s="611">
        <v>7627.2</v>
      </c>
      <c r="G630" s="611">
        <v>0</v>
      </c>
    </row>
    <row r="631" spans="1:7" hidden="1" outlineLevel="2">
      <c r="A631" s="616" t="s">
        <v>3729</v>
      </c>
      <c r="B631" s="610">
        <v>613004</v>
      </c>
      <c r="C631" s="610" t="s">
        <v>3640</v>
      </c>
      <c r="D631" s="611"/>
      <c r="E631" s="611">
        <v>1251454.6000000001</v>
      </c>
      <c r="F631" s="611">
        <v>1251454.6000000001</v>
      </c>
      <c r="G631" s="611">
        <v>0</v>
      </c>
    </row>
    <row r="632" spans="1:7" hidden="1" outlineLevel="2">
      <c r="A632" s="616" t="s">
        <v>3729</v>
      </c>
      <c r="B632" s="610">
        <v>613005</v>
      </c>
      <c r="C632" s="610" t="s">
        <v>3641</v>
      </c>
      <c r="D632" s="611"/>
      <c r="E632" s="611">
        <v>3746.38</v>
      </c>
      <c r="F632" s="611">
        <v>3746.38</v>
      </c>
      <c r="G632" s="611">
        <v>0</v>
      </c>
    </row>
    <row r="633" spans="1:7" hidden="1" outlineLevel="2">
      <c r="A633" s="616" t="s">
        <v>3729</v>
      </c>
      <c r="B633" s="610">
        <v>613006</v>
      </c>
      <c r="C633" s="610" t="s">
        <v>3642</v>
      </c>
      <c r="D633" s="611"/>
      <c r="E633" s="611">
        <v>1353.58</v>
      </c>
      <c r="F633" s="611">
        <v>1353.58</v>
      </c>
      <c r="G633" s="611">
        <v>0</v>
      </c>
    </row>
    <row r="634" spans="1:7" outlineLevel="1" collapsed="1">
      <c r="A634" s="620" t="s">
        <v>3930</v>
      </c>
      <c r="B634" s="610"/>
      <c r="C634" s="610"/>
      <c r="D634" s="611">
        <f>SUBTOTAL(9,D630:D633)</f>
        <v>0</v>
      </c>
      <c r="E634" s="611">
        <f>SUBTOTAL(9,E630:E633)</f>
        <v>1264181.76</v>
      </c>
      <c r="F634" s="611">
        <f>SUBTOTAL(9,F630:F633)</f>
        <v>1264181.76</v>
      </c>
      <c r="G634" s="611">
        <f>SUBTOTAL(9,G630:G633)</f>
        <v>0</v>
      </c>
    </row>
    <row r="635" spans="1:7" hidden="1" outlineLevel="2">
      <c r="A635" s="616" t="s">
        <v>3730</v>
      </c>
      <c r="B635" s="610">
        <v>623020</v>
      </c>
      <c r="C635" s="610" t="s">
        <v>3643</v>
      </c>
      <c r="D635" s="611"/>
      <c r="E635" s="611">
        <v>0</v>
      </c>
      <c r="F635" s="611">
        <v>681002.74</v>
      </c>
      <c r="G635" s="611">
        <v>-681002.74</v>
      </c>
    </row>
    <row r="636" spans="1:7" outlineLevel="1" collapsed="1">
      <c r="A636" s="620" t="s">
        <v>3931</v>
      </c>
      <c r="B636" s="610"/>
      <c r="C636" s="610"/>
      <c r="D636" s="611">
        <f>SUBTOTAL(9,D635:D635)</f>
        <v>0</v>
      </c>
      <c r="E636" s="611">
        <f>SUBTOTAL(9,E635:E635)</f>
        <v>0</v>
      </c>
      <c r="F636" s="611">
        <f>SUBTOTAL(9,F635:F635)</f>
        <v>681002.74</v>
      </c>
      <c r="G636" s="611">
        <f>SUBTOTAL(9,G635:G635)</f>
        <v>-681002.74</v>
      </c>
    </row>
    <row r="637" spans="1:7" hidden="1" outlineLevel="2">
      <c r="A637" s="616" t="s">
        <v>3731</v>
      </c>
      <c r="B637" s="610">
        <v>642012</v>
      </c>
      <c r="C637" s="610" t="s">
        <v>3644</v>
      </c>
      <c r="D637" s="611"/>
      <c r="E637" s="611">
        <v>0</v>
      </c>
      <c r="F637" s="611">
        <v>7942</v>
      </c>
      <c r="G637" s="611">
        <v>-7942</v>
      </c>
    </row>
    <row r="638" spans="1:7" hidden="1" outlineLevel="2">
      <c r="A638" s="616" t="s">
        <v>3731</v>
      </c>
      <c r="B638" s="610">
        <v>642013</v>
      </c>
      <c r="C638" s="610" t="s">
        <v>3645</v>
      </c>
      <c r="D638" s="611"/>
      <c r="E638" s="611">
        <v>0</v>
      </c>
      <c r="F638" s="611">
        <v>35272.32</v>
      </c>
      <c r="G638" s="611">
        <v>-35272.32</v>
      </c>
    </row>
    <row r="639" spans="1:7" outlineLevel="1" collapsed="1">
      <c r="A639" s="620" t="s">
        <v>3932</v>
      </c>
      <c r="B639" s="610"/>
      <c r="C639" s="610"/>
      <c r="D639" s="611">
        <f>SUBTOTAL(9,D637:D638)</f>
        <v>0</v>
      </c>
      <c r="E639" s="611">
        <f>SUBTOTAL(9,E637:E638)</f>
        <v>0</v>
      </c>
      <c r="F639" s="611">
        <f>SUBTOTAL(9,F637:F638)</f>
        <v>43214.32</v>
      </c>
      <c r="G639" s="611">
        <f>SUBTOTAL(9,G637:G638)</f>
        <v>-43214.32</v>
      </c>
    </row>
    <row r="640" spans="1:7" hidden="1" outlineLevel="2">
      <c r="A640" s="616" t="s">
        <v>3732</v>
      </c>
      <c r="B640" s="610">
        <v>648030</v>
      </c>
      <c r="C640" s="610" t="s">
        <v>3646</v>
      </c>
      <c r="D640" s="611"/>
      <c r="E640" s="611">
        <v>-0.01</v>
      </c>
      <c r="F640" s="611">
        <v>0.31</v>
      </c>
      <c r="G640" s="611">
        <v>-0.32</v>
      </c>
    </row>
    <row r="641" spans="1:7" hidden="1" outlineLevel="2">
      <c r="A641" s="616" t="s">
        <v>3732</v>
      </c>
      <c r="B641" s="610">
        <v>648040</v>
      </c>
      <c r="C641" s="610" t="s">
        <v>3647</v>
      </c>
      <c r="D641" s="611"/>
      <c r="E641" s="611">
        <v>0</v>
      </c>
      <c r="F641" s="611">
        <v>2716.28</v>
      </c>
      <c r="G641" s="611">
        <v>-2716.28</v>
      </c>
    </row>
    <row r="642" spans="1:7" outlineLevel="1" collapsed="1">
      <c r="A642" s="620" t="s">
        <v>3933</v>
      </c>
      <c r="B642" s="610"/>
      <c r="C642" s="610"/>
      <c r="D642" s="611">
        <f>SUBTOTAL(9,D640:D641)</f>
        <v>0</v>
      </c>
      <c r="E642" s="611">
        <f>SUBTOTAL(9,E640:E641)</f>
        <v>-0.01</v>
      </c>
      <c r="F642" s="611">
        <f>SUBTOTAL(9,F640:F641)</f>
        <v>2716.59</v>
      </c>
      <c r="G642" s="611">
        <f>SUBTOTAL(9,G640:G641)</f>
        <v>-2716.6000000000004</v>
      </c>
    </row>
    <row r="643" spans="1:7" hidden="1" outlineLevel="2">
      <c r="A643" s="616" t="s">
        <v>3733</v>
      </c>
      <c r="B643" s="610">
        <v>662010</v>
      </c>
      <c r="C643" s="610" t="s">
        <v>3616</v>
      </c>
      <c r="D643" s="611"/>
      <c r="E643" s="611">
        <v>0</v>
      </c>
      <c r="F643" s="611">
        <v>89157.09</v>
      </c>
      <c r="G643" s="611">
        <v>-89157.09</v>
      </c>
    </row>
    <row r="644" spans="1:7" hidden="1" outlineLevel="2">
      <c r="A644" s="616" t="s">
        <v>3733</v>
      </c>
      <c r="B644" s="610">
        <v>662030</v>
      </c>
      <c r="C644" s="610" t="s">
        <v>3648</v>
      </c>
      <c r="D644" s="611"/>
      <c r="E644" s="611">
        <v>0</v>
      </c>
      <c r="F644" s="611">
        <v>566018.98</v>
      </c>
      <c r="G644" s="611">
        <v>-566018.98</v>
      </c>
    </row>
    <row r="645" spans="1:7" outlineLevel="1" collapsed="1">
      <c r="A645" s="620" t="s">
        <v>3934</v>
      </c>
      <c r="B645" s="610"/>
      <c r="C645" s="610"/>
      <c r="D645" s="611">
        <f>SUBTOTAL(9,D643:D644)</f>
        <v>0</v>
      </c>
      <c r="E645" s="611">
        <f>SUBTOTAL(9,E643:E644)</f>
        <v>0</v>
      </c>
      <c r="F645" s="611">
        <f>SUBTOTAL(9,F643:F644)</f>
        <v>655176.06999999995</v>
      </c>
      <c r="G645" s="611">
        <f>SUBTOTAL(9,G643:G644)</f>
        <v>-655176.06999999995</v>
      </c>
    </row>
    <row r="646" spans="1:7" hidden="1" outlineLevel="2">
      <c r="A646" s="616" t="s">
        <v>3734</v>
      </c>
      <c r="B646" s="610">
        <v>663010</v>
      </c>
      <c r="C646" s="610" t="s">
        <v>3649</v>
      </c>
      <c r="D646" s="611"/>
      <c r="E646" s="611">
        <v>0</v>
      </c>
      <c r="F646" s="611">
        <v>181864.61</v>
      </c>
      <c r="G646" s="611">
        <v>-181864.61</v>
      </c>
    </row>
    <row r="647" spans="1:7" hidden="1" outlineLevel="2">
      <c r="A647" s="616" t="s">
        <v>3734</v>
      </c>
      <c r="B647" s="610">
        <v>663020</v>
      </c>
      <c r="C647" s="610" t="s">
        <v>3650</v>
      </c>
      <c r="D647" s="611"/>
      <c r="E647" s="611">
        <v>0</v>
      </c>
      <c r="F647" s="611">
        <v>3465.37</v>
      </c>
      <c r="G647" s="611">
        <v>-3465.37</v>
      </c>
    </row>
    <row r="648" spans="1:7" outlineLevel="1" collapsed="1">
      <c r="A648" s="620" t="s">
        <v>3935</v>
      </c>
      <c r="B648" s="610"/>
      <c r="C648" s="610"/>
      <c r="D648" s="611">
        <f>SUBTOTAL(9,D646:D647)</f>
        <v>0</v>
      </c>
      <c r="E648" s="611">
        <f>SUBTOTAL(9,E646:E647)</f>
        <v>0</v>
      </c>
      <c r="F648" s="611">
        <f>SUBTOTAL(9,F646:F647)</f>
        <v>185329.97999999998</v>
      </c>
      <c r="G648" s="611">
        <f>SUBTOTAL(9,G646:G647)</f>
        <v>-185329.97999999998</v>
      </c>
    </row>
    <row r="649" spans="1:7" hidden="1" outlineLevel="2">
      <c r="A649" s="616" t="s">
        <v>3735</v>
      </c>
      <c r="B649" s="610">
        <v>668010</v>
      </c>
      <c r="C649" s="610" t="s">
        <v>3651</v>
      </c>
      <c r="D649" s="611"/>
      <c r="E649" s="611">
        <v>0</v>
      </c>
      <c r="F649" s="611">
        <v>89416.07</v>
      </c>
      <c r="G649" s="611">
        <v>-89416.07</v>
      </c>
    </row>
    <row r="650" spans="1:7" outlineLevel="1" collapsed="1">
      <c r="A650" s="620" t="s">
        <v>3936</v>
      </c>
      <c r="B650" s="610"/>
      <c r="C650" s="610"/>
      <c r="D650" s="611">
        <f>SUBTOTAL(9,D649:D649)</f>
        <v>0</v>
      </c>
      <c r="E650" s="611">
        <f>SUBTOTAL(9,E649:E649)</f>
        <v>0</v>
      </c>
      <c r="F650" s="611">
        <f>SUBTOTAL(9,F649:F649)</f>
        <v>89416.07</v>
      </c>
      <c r="G650" s="611">
        <f>SUBTOTAL(9,G649:G649)</f>
        <v>-89416.07</v>
      </c>
    </row>
    <row r="651" spans="1:7">
      <c r="A651" s="620" t="s">
        <v>3937</v>
      </c>
      <c r="B651" s="610"/>
      <c r="C651" s="610"/>
      <c r="D651" s="611">
        <f>SUBTOTAL(9,D3:D649)</f>
        <v>-4.4237822294235229E-9</v>
      </c>
      <c r="E651" s="611">
        <f>SUBTOTAL(9,E3:E649)</f>
        <v>787357882.76000035</v>
      </c>
      <c r="F651" s="611">
        <f>SUBTOTAL(9,F3:F649)</f>
        <v>787357882.76000035</v>
      </c>
      <c r="G651" s="611">
        <f>SUBTOTAL(9,G3:G649)</f>
        <v>-3.9639417082071304E-8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5">
    <tabColor theme="1" tint="0.14999847407452621"/>
  </sheetPr>
  <dimension ref="A2:F439"/>
  <sheetViews>
    <sheetView zoomScale="90" zoomScaleNormal="90" workbookViewId="0">
      <pane ySplit="5" topLeftCell="A6" activePane="bottomLeft" state="frozen"/>
      <selection activeCell="C31" sqref="C31"/>
      <selection pane="bottomLeft" activeCell="C31" sqref="C31"/>
    </sheetView>
  </sheetViews>
  <sheetFormatPr defaultColWidth="9.140625" defaultRowHeight="9.75" outlineLevelCol="1"/>
  <cols>
    <col min="1" max="1" width="5.42578125" style="21" customWidth="1"/>
    <col min="2" max="2" width="6" style="21" customWidth="1"/>
    <col min="3" max="3" width="66" style="21" customWidth="1"/>
    <col min="4" max="4" width="64.85546875" style="21" customWidth="1"/>
    <col min="5" max="5" width="83.28515625" style="21" customWidth="1" outlineLevel="1"/>
    <col min="6" max="6" width="98.85546875" style="21" customWidth="1" outlineLevel="1"/>
    <col min="7" max="16384" width="9.140625" style="21"/>
  </cols>
  <sheetData>
    <row r="2" spans="1:6">
      <c r="B2" s="22" t="s">
        <v>939</v>
      </c>
    </row>
    <row r="4" spans="1:6">
      <c r="B4" s="16" t="s">
        <v>867</v>
      </c>
      <c r="C4" s="16" t="s">
        <v>885</v>
      </c>
      <c r="D4" s="16" t="s">
        <v>868</v>
      </c>
      <c r="E4" s="16" t="s">
        <v>825</v>
      </c>
      <c r="F4" s="16" t="s">
        <v>888</v>
      </c>
    </row>
    <row r="5" spans="1:6">
      <c r="B5" s="14">
        <v>1</v>
      </c>
      <c r="C5" s="14">
        <v>2</v>
      </c>
      <c r="D5" s="14">
        <v>3</v>
      </c>
      <c r="E5" s="14">
        <v>4</v>
      </c>
      <c r="F5" s="14">
        <v>5</v>
      </c>
    </row>
    <row r="6" spans="1:6">
      <c r="B6" s="14"/>
      <c r="C6" s="14"/>
      <c r="D6" s="14"/>
      <c r="E6" s="14"/>
      <c r="F6" s="14"/>
    </row>
    <row r="7" spans="1:6">
      <c r="A7" s="93" t="s">
        <v>1466</v>
      </c>
      <c r="B7" s="11">
        <v>7</v>
      </c>
      <c r="C7" s="10" t="str">
        <f>VLOOKUP(B7,B:F,HLOOKUP(Cover!$B$3,$B$4:$F$5,2,0),0)</f>
        <v>1.1.2016</v>
      </c>
      <c r="D7" s="94" t="s">
        <v>3072</v>
      </c>
      <c r="E7" s="94" t="s">
        <v>3072</v>
      </c>
      <c r="F7" s="94" t="s">
        <v>3072</v>
      </c>
    </row>
    <row r="8" spans="1:6">
      <c r="B8" s="11">
        <f>B7+1</f>
        <v>8</v>
      </c>
      <c r="C8" s="10" t="str">
        <f>VLOOKUP(B8,B:F,HLOOKUP(Cover!$B$3,$B$4:$F$5,2,0),0)</f>
        <v>1.1.2015</v>
      </c>
      <c r="D8" s="94" t="s">
        <v>3073</v>
      </c>
      <c r="E8" s="94" t="s">
        <v>3073</v>
      </c>
      <c r="F8" s="94" t="s">
        <v>3073</v>
      </c>
    </row>
    <row r="9" spans="1:6">
      <c r="B9" s="11">
        <f>B8+1</f>
        <v>9</v>
      </c>
      <c r="C9" s="13" t="s">
        <v>913</v>
      </c>
      <c r="D9" s="13"/>
      <c r="E9" s="13"/>
      <c r="F9" s="13"/>
    </row>
    <row r="10" spans="1:6">
      <c r="B10" s="11">
        <f t="shared" ref="B10:B27" si="0">B9+1</f>
        <v>10</v>
      </c>
      <c r="C10" s="10" t="str">
        <f>VLOOKUP(B10,B:F,HLOOKUP(Cover!$B$3,$B$4:$F$5,2,0),0)</f>
        <v>Daňové identifikačné číslo</v>
      </c>
      <c r="D10" s="15" t="s">
        <v>889</v>
      </c>
      <c r="E10" s="15" t="s">
        <v>914</v>
      </c>
      <c r="F10" s="465" t="s">
        <v>984</v>
      </c>
    </row>
    <row r="11" spans="1:6">
      <c r="B11" s="11">
        <f t="shared" si="0"/>
        <v>11</v>
      </c>
      <c r="C11" s="10" t="str">
        <f>VLOOKUP(B11,B:F,HLOOKUP(Cover!$B$3,$B$4:$F$5,2,0),0)</f>
        <v>IČO</v>
      </c>
      <c r="D11" s="15" t="s">
        <v>890</v>
      </c>
      <c r="E11" s="15" t="s">
        <v>915</v>
      </c>
      <c r="F11" s="465" t="s">
        <v>985</v>
      </c>
    </row>
    <row r="12" spans="1:6">
      <c r="B12" s="11">
        <f t="shared" si="0"/>
        <v>12</v>
      </c>
      <c r="C12" s="10" t="str">
        <f>VLOOKUP(B12,B:F,HLOOKUP(Cover!$B$3,$B$4:$F$5,2,0),0)</f>
        <v>SK NACE</v>
      </c>
      <c r="D12" s="15" t="s">
        <v>891</v>
      </c>
      <c r="E12" s="15" t="s">
        <v>891</v>
      </c>
      <c r="F12" s="15" t="s">
        <v>891</v>
      </c>
    </row>
    <row r="13" spans="1:6" ht="10.5">
      <c r="B13" s="11">
        <f t="shared" si="0"/>
        <v>13</v>
      </c>
      <c r="C13" s="10" t="str">
        <f>VLOOKUP(B13,B:F,HLOOKUP(Cover!$B$3,$B$4:$F$5,2,0),0)</f>
        <v>Obchodné meno (názov) účtovnej jednotky</v>
      </c>
      <c r="D13" s="15" t="s">
        <v>904</v>
      </c>
      <c r="E13" s="15" t="s">
        <v>916</v>
      </c>
      <c r="F13" s="15" t="s">
        <v>986</v>
      </c>
    </row>
    <row r="14" spans="1:6">
      <c r="B14" s="11">
        <f t="shared" si="0"/>
        <v>14</v>
      </c>
      <c r="C14" s="10" t="str">
        <f>VLOOKUP(B14,B:F,HLOOKUP(Cover!$B$3,$B$4:$F$5,2,0),0)</f>
        <v>Ulica</v>
      </c>
      <c r="D14" s="15" t="s">
        <v>892</v>
      </c>
      <c r="E14" s="15" t="s">
        <v>917</v>
      </c>
      <c r="F14" s="15" t="s">
        <v>1007</v>
      </c>
    </row>
    <row r="15" spans="1:6">
      <c r="B15" s="11">
        <f t="shared" si="0"/>
        <v>15</v>
      </c>
      <c r="C15" s="10" t="str">
        <f>VLOOKUP(B15,B:F,HLOOKUP(Cover!$B$3,$B$4:$F$5,2,0),0)</f>
        <v>Číslo</v>
      </c>
      <c r="D15" s="15" t="s">
        <v>893</v>
      </c>
      <c r="E15" s="15" t="s">
        <v>886</v>
      </c>
      <c r="F15" s="15" t="s">
        <v>987</v>
      </c>
    </row>
    <row r="16" spans="1:6">
      <c r="B16" s="11">
        <f t="shared" si="0"/>
        <v>16</v>
      </c>
      <c r="C16" s="10" t="str">
        <f>VLOOKUP(B16,B:F,HLOOKUP(Cover!$B$3,$B$4:$F$5,2,0),0)</f>
        <v>PSČ</v>
      </c>
      <c r="D16" s="15" t="s">
        <v>894</v>
      </c>
      <c r="E16" s="15" t="s">
        <v>918</v>
      </c>
      <c r="F16" s="15" t="s">
        <v>988</v>
      </c>
    </row>
    <row r="17" spans="2:6">
      <c r="B17" s="11">
        <f t="shared" si="0"/>
        <v>17</v>
      </c>
      <c r="C17" s="10" t="str">
        <f>VLOOKUP(B17,B:F,HLOOKUP(Cover!$B$3,$B$4:$F$5,2,0),0)</f>
        <v>Obec</v>
      </c>
      <c r="D17" s="15" t="s">
        <v>895</v>
      </c>
      <c r="E17" s="15" t="s">
        <v>919</v>
      </c>
      <c r="F17" s="15" t="s">
        <v>989</v>
      </c>
    </row>
    <row r="18" spans="2:6">
      <c r="B18" s="11">
        <f t="shared" si="0"/>
        <v>18</v>
      </c>
      <c r="C18" s="10" t="str">
        <f>VLOOKUP(B18,B:F,HLOOKUP(Cover!$B$3,$B$4:$F$5,2,0),0)</f>
        <v>Číslo telefónu</v>
      </c>
      <c r="D18" s="15" t="s">
        <v>896</v>
      </c>
      <c r="E18" s="15" t="s">
        <v>920</v>
      </c>
      <c r="F18" s="15" t="s">
        <v>990</v>
      </c>
    </row>
    <row r="19" spans="2:6">
      <c r="B19" s="11">
        <f t="shared" si="0"/>
        <v>19</v>
      </c>
      <c r="C19" s="10" t="str">
        <f>VLOOKUP(B19,B:F,HLOOKUP(Cover!$B$3,$B$4:$F$5,2,0),0)</f>
        <v>Číslo faxu</v>
      </c>
      <c r="D19" s="15" t="s">
        <v>897</v>
      </c>
      <c r="E19" s="15" t="s">
        <v>921</v>
      </c>
      <c r="F19" s="15" t="s">
        <v>991</v>
      </c>
    </row>
    <row r="20" spans="2:6">
      <c r="B20" s="11">
        <f t="shared" si="0"/>
        <v>20</v>
      </c>
      <c r="C20" s="10" t="str">
        <f>VLOOKUP(B20,B:F,HLOOKUP(Cover!$B$3,$B$4:$F$5,2,0),0)</f>
        <v>E-mailová adresa</v>
      </c>
      <c r="D20" s="15" t="s">
        <v>898</v>
      </c>
      <c r="E20" s="15" t="s">
        <v>922</v>
      </c>
      <c r="F20" s="15" t="s">
        <v>992</v>
      </c>
    </row>
    <row r="21" spans="2:6">
      <c r="B21" s="11">
        <f t="shared" si="0"/>
        <v>21</v>
      </c>
      <c r="C21" s="10" t="str">
        <f>VLOOKUP(B21,B:F,HLOOKUP(Cover!$B$3,$B$4:$F$5,2,0),0)</f>
        <v>Účtovná závierka</v>
      </c>
      <c r="D21" s="17" t="s">
        <v>901</v>
      </c>
      <c r="E21" s="17" t="s">
        <v>923</v>
      </c>
      <c r="F21" s="17" t="s">
        <v>993</v>
      </c>
    </row>
    <row r="22" spans="2:6">
      <c r="B22" s="11">
        <f t="shared" si="0"/>
        <v>22</v>
      </c>
      <c r="C22" s="10" t="str">
        <f>VLOOKUP(B22,B:F,HLOOKUP(Cover!$B$3,$B$4:$F$5,2,0),0)</f>
        <v>Za obdobie:</v>
      </c>
      <c r="D22" s="15" t="s">
        <v>903</v>
      </c>
      <c r="E22" s="15" t="s">
        <v>924</v>
      </c>
      <c r="F22" s="15" t="s">
        <v>994</v>
      </c>
    </row>
    <row r="23" spans="2:6">
      <c r="B23" s="11">
        <f t="shared" si="0"/>
        <v>23</v>
      </c>
      <c r="C23" s="10" t="str">
        <f>VLOOKUP(B23,B:F,HLOOKUP(Cover!$B$3,$B$4:$F$5,2,0),0)</f>
        <v>od</v>
      </c>
      <c r="D23" s="15" t="s">
        <v>908</v>
      </c>
      <c r="E23" s="15" t="s">
        <v>925</v>
      </c>
      <c r="F23" s="15" t="s">
        <v>995</v>
      </c>
    </row>
    <row r="24" spans="2:6">
      <c r="B24" s="11">
        <f t="shared" si="0"/>
        <v>24</v>
      </c>
      <c r="C24" s="10" t="str">
        <f>VLOOKUP(B24,B:F,HLOOKUP(Cover!$B$3,$B$4:$F$5,2,0),0)</f>
        <v>do</v>
      </c>
      <c r="D24" s="15" t="s">
        <v>909</v>
      </c>
      <c r="E24" s="15" t="s">
        <v>926</v>
      </c>
      <c r="F24" s="15" t="s">
        <v>996</v>
      </c>
    </row>
    <row r="25" spans="2:6">
      <c r="B25" s="11">
        <f t="shared" si="0"/>
        <v>25</v>
      </c>
      <c r="C25" s="10" t="str">
        <f>VLOOKUP(B25,B:F,HLOOKUP(Cover!$B$3,$B$4:$F$5,2,0),0)</f>
        <v>Mesiac</v>
      </c>
      <c r="D25" s="15" t="s">
        <v>911</v>
      </c>
      <c r="E25" s="15" t="s">
        <v>927</v>
      </c>
      <c r="F25" s="15" t="s">
        <v>997</v>
      </c>
    </row>
    <row r="26" spans="2:6">
      <c r="B26" s="11">
        <f t="shared" si="0"/>
        <v>26</v>
      </c>
      <c r="C26" s="10" t="str">
        <f>VLOOKUP(B26,B:F,HLOOKUP(Cover!$B$3,$B$4:$F$5,2,0),0)</f>
        <v>Rok</v>
      </c>
      <c r="D26" s="15" t="s">
        <v>912</v>
      </c>
      <c r="E26" s="15" t="s">
        <v>928</v>
      </c>
      <c r="F26" s="15" t="s">
        <v>998</v>
      </c>
    </row>
    <row r="27" spans="2:6">
      <c r="B27" s="11">
        <f t="shared" si="0"/>
        <v>27</v>
      </c>
      <c r="C27" s="10" t="str">
        <f>VLOOKUP(B27,B:F,HLOOKUP(Cover!$B$3,$B$4:$F$5,2,0),0)</f>
        <v>Bezprostredne predchádzajúce obdobie:</v>
      </c>
      <c r="D27" s="15" t="s">
        <v>910</v>
      </c>
      <c r="E27" s="15" t="s">
        <v>929</v>
      </c>
      <c r="F27" s="15" t="s">
        <v>999</v>
      </c>
    </row>
    <row r="28" spans="2:6">
      <c r="B28" s="11">
        <f t="shared" ref="B28:B91" si="1">B27+1</f>
        <v>28</v>
      </c>
      <c r="C28" s="10" t="str">
        <f>VLOOKUP(B28,B:F,HLOOKUP(Cover!$B$3,$B$4:$F$5,2,0),0)</f>
        <v>Zostavená dňa:</v>
      </c>
      <c r="D28" s="15" t="s">
        <v>899</v>
      </c>
      <c r="E28" s="15" t="s">
        <v>933</v>
      </c>
      <c r="F28" s="15" t="s">
        <v>1000</v>
      </c>
    </row>
    <row r="29" spans="2:6">
      <c r="B29" s="11">
        <f t="shared" si="1"/>
        <v>29</v>
      </c>
      <c r="C29" s="10" t="str">
        <f>VLOOKUP(B29,B:F,HLOOKUP(Cover!$B$3,$B$4:$F$5,2,0),0)</f>
        <v>Schválená dňa:</v>
      </c>
      <c r="D29" s="15" t="s">
        <v>900</v>
      </c>
      <c r="E29" s="15" t="s">
        <v>934</v>
      </c>
      <c r="F29" s="15" t="s">
        <v>1001</v>
      </c>
    </row>
    <row r="30" spans="2:6">
      <c r="B30" s="11">
        <f t="shared" si="1"/>
        <v>30</v>
      </c>
      <c r="C30" s="10" t="str">
        <f>VLOOKUP(B30,B:F,HLOOKUP(Cover!$B$3,$B$4:$F$5,2,0),0)</f>
        <v>- riadna</v>
      </c>
      <c r="D30" s="15" t="s">
        <v>902</v>
      </c>
      <c r="E30" s="15" t="s">
        <v>935</v>
      </c>
      <c r="F30" s="15" t="s">
        <v>1002</v>
      </c>
    </row>
    <row r="31" spans="2:6">
      <c r="B31" s="11">
        <f t="shared" si="1"/>
        <v>31</v>
      </c>
      <c r="C31" s="10" t="str">
        <f>VLOOKUP(B31,B:F,HLOOKUP(Cover!$B$3,$B$4:$F$5,2,0),0)</f>
        <v>- mimoriadna</v>
      </c>
      <c r="D31" s="15" t="s">
        <v>905</v>
      </c>
      <c r="E31" s="15" t="s">
        <v>936</v>
      </c>
      <c r="F31" s="15" t="s">
        <v>1003</v>
      </c>
    </row>
    <row r="32" spans="2:6">
      <c r="B32" s="11">
        <f t="shared" si="1"/>
        <v>32</v>
      </c>
      <c r="C32" s="10" t="str">
        <f>VLOOKUP(B32,B:F,HLOOKUP(Cover!$B$3,$B$4:$F$5,2,0),0)</f>
        <v>- zostavená</v>
      </c>
      <c r="D32" s="15" t="s">
        <v>906</v>
      </c>
      <c r="E32" s="15" t="s">
        <v>937</v>
      </c>
      <c r="F32" s="15" t="s">
        <v>1004</v>
      </c>
    </row>
    <row r="33" spans="2:6">
      <c r="B33" s="11">
        <f t="shared" si="1"/>
        <v>33</v>
      </c>
      <c r="C33" s="10" t="str">
        <f>VLOOKUP(B33,B:F,HLOOKUP(Cover!$B$3,$B$4:$F$5,2,0),0)</f>
        <v>- schválená</v>
      </c>
      <c r="D33" s="15" t="s">
        <v>907</v>
      </c>
      <c r="E33" s="15" t="s">
        <v>938</v>
      </c>
      <c r="F33" s="15" t="s">
        <v>1005</v>
      </c>
    </row>
    <row r="34" spans="2:6">
      <c r="B34" s="11">
        <f t="shared" si="1"/>
        <v>34</v>
      </c>
      <c r="C34" s="10" t="str">
        <f>VLOOKUP(B34,B:F,HLOOKUP(Cover!$B$3,$B$4:$F$5,2,0),0)</f>
        <v>Koniec obdobia (DD.MM.RRRR)</v>
      </c>
      <c r="D34" s="15" t="s">
        <v>971</v>
      </c>
      <c r="E34" s="15" t="s">
        <v>932</v>
      </c>
      <c r="F34" s="15" t="s">
        <v>1382</v>
      </c>
    </row>
    <row r="35" spans="2:6">
      <c r="B35" s="11">
        <f t="shared" si="1"/>
        <v>35</v>
      </c>
      <c r="C35" s="10" t="str">
        <f>VLOOKUP(B35,B:F,HLOOKUP(Cover!$B$3,$B$4:$F$5,2,0),0)</f>
        <v>(vyznačí sa X)</v>
      </c>
      <c r="D35" s="15" t="s">
        <v>931</v>
      </c>
      <c r="E35" s="15" t="s">
        <v>930</v>
      </c>
      <c r="F35" s="15" t="s">
        <v>1006</v>
      </c>
    </row>
    <row r="36" spans="2:6">
      <c r="B36" s="11">
        <f t="shared" si="1"/>
        <v>36</v>
      </c>
      <c r="C36" s="10" t="str">
        <f>VLOOKUP(B36,B:F,HLOOKUP(Cover!$B$3,$B$4:$F$5,2,0),0)</f>
        <v>zadaj bez medzier, lomítka, pomĺčky</v>
      </c>
      <c r="D36" s="15" t="s">
        <v>1455</v>
      </c>
      <c r="E36" s="15" t="s">
        <v>1456</v>
      </c>
      <c r="F36" s="15"/>
    </row>
    <row r="37" spans="2:6">
      <c r="B37" s="12">
        <f t="shared" si="1"/>
        <v>37</v>
      </c>
      <c r="C37" s="13" t="s">
        <v>953</v>
      </c>
      <c r="D37" s="13"/>
      <c r="E37" s="13"/>
      <c r="F37" s="13"/>
    </row>
    <row r="38" spans="2:6">
      <c r="B38" s="11">
        <f t="shared" si="1"/>
        <v>38</v>
      </c>
      <c r="C38" s="10" t="str">
        <f>VLOOKUP(B38,B:F,HLOOKUP(Cover!$B$3,$B$4:$F$5,2,0),0)</f>
        <v xml:space="preserve">Názov spoločnosti, DIČ: </v>
      </c>
      <c r="D38" s="465" t="s">
        <v>712</v>
      </c>
      <c r="E38" s="465" t="s">
        <v>712</v>
      </c>
      <c r="F38" s="465" t="s">
        <v>712</v>
      </c>
    </row>
    <row r="39" spans="2:6">
      <c r="B39" s="11">
        <f t="shared" si="1"/>
        <v>39</v>
      </c>
      <c r="C39" s="10" t="str">
        <f>VLOOKUP(B39,B:F,HLOOKUP(Cover!$B$3,$B$4:$F$5,2,0),0)</f>
        <v>Súvaha k 31. decembru 2016</v>
      </c>
      <c r="D39" s="465" t="s">
        <v>3077</v>
      </c>
      <c r="E39" s="465" t="s">
        <v>3078</v>
      </c>
      <c r="F39" s="465" t="s">
        <v>3079</v>
      </c>
    </row>
    <row r="40" spans="2:6">
      <c r="B40" s="11">
        <f t="shared" si="1"/>
        <v>40</v>
      </c>
      <c r="C40" s="10" t="str">
        <f>VLOOKUP(B40,B:F,HLOOKUP(Cover!$B$3,$B$4:$F$5,2,0),0)</f>
        <v>Označenie</v>
      </c>
      <c r="D40" s="465" t="s">
        <v>973</v>
      </c>
      <c r="E40" s="465" t="s">
        <v>481</v>
      </c>
      <c r="F40" s="465" t="s">
        <v>974</v>
      </c>
    </row>
    <row r="41" spans="2:6">
      <c r="B41" s="11">
        <f t="shared" si="1"/>
        <v>41</v>
      </c>
      <c r="C41" s="10" t="str">
        <f>VLOOKUP(B41,B:F,HLOOKUP(Cover!$B$3,$B$4:$F$5,2,0),0)</f>
        <v>STRANA AKTÍV</v>
      </c>
      <c r="D41" s="465" t="s">
        <v>484</v>
      </c>
      <c r="E41" s="465" t="s">
        <v>943</v>
      </c>
      <c r="F41" s="465" t="s">
        <v>975</v>
      </c>
    </row>
    <row r="42" spans="2:6">
      <c r="B42" s="11">
        <f t="shared" si="1"/>
        <v>42</v>
      </c>
      <c r="C42" s="10" t="str">
        <f>VLOOKUP(B42,B:F,HLOOKUP(Cover!$B$3,$B$4:$F$5,2,0),0)</f>
        <v>č.r.</v>
      </c>
      <c r="D42" s="465" t="s">
        <v>485</v>
      </c>
      <c r="E42" s="465" t="s">
        <v>884</v>
      </c>
      <c r="F42" s="465" t="s">
        <v>976</v>
      </c>
    </row>
    <row r="43" spans="2:6">
      <c r="B43" s="11">
        <f t="shared" si="1"/>
        <v>43</v>
      </c>
      <c r="C43" s="10" t="str">
        <f>VLOOKUP(B43,B:F,HLOOKUP(Cover!$B$3,$B$4:$F$5,2,0),0)</f>
        <v>Bežné účtovné obdobie</v>
      </c>
      <c r="D43" s="465" t="s">
        <v>486</v>
      </c>
      <c r="E43" s="465" t="s">
        <v>944</v>
      </c>
      <c r="F43" s="465" t="s">
        <v>977</v>
      </c>
    </row>
    <row r="44" spans="2:6">
      <c r="B44" s="11">
        <f t="shared" si="1"/>
        <v>44</v>
      </c>
      <c r="C44" s="10" t="str">
        <f>VLOOKUP(B44,B:F,HLOOKUP(Cover!$B$3,$B$4:$F$5,2,0),0)</f>
        <v>Bezprostredne predchádzajúce účtovné obdobie</v>
      </c>
      <c r="D44" s="465" t="s">
        <v>487</v>
      </c>
      <c r="E44" s="465" t="s">
        <v>945</v>
      </c>
      <c r="F44" s="465" t="s">
        <v>978</v>
      </c>
    </row>
    <row r="45" spans="2:6">
      <c r="B45" s="11">
        <f t="shared" si="1"/>
        <v>45</v>
      </c>
      <c r="C45" s="10" t="str">
        <f>VLOOKUP(B45,B:F,HLOOKUP(Cover!$B$3,$B$4:$F$5,2,0),0)</f>
        <v>Brutto</v>
      </c>
      <c r="D45" s="465" t="s">
        <v>488</v>
      </c>
      <c r="E45" s="465" t="s">
        <v>946</v>
      </c>
      <c r="F45" s="465" t="s">
        <v>488</v>
      </c>
    </row>
    <row r="46" spans="2:6">
      <c r="B46" s="11">
        <f t="shared" si="1"/>
        <v>46</v>
      </c>
      <c r="C46" s="10" t="str">
        <f>VLOOKUP(B46,B:F,HLOOKUP(Cover!$B$3,$B$4:$F$5,2,0),0)</f>
        <v>Korekcia</v>
      </c>
      <c r="D46" s="465" t="s">
        <v>489</v>
      </c>
      <c r="E46" s="465" t="s">
        <v>947</v>
      </c>
      <c r="F46" s="465" t="s">
        <v>979</v>
      </c>
    </row>
    <row r="47" spans="2:6">
      <c r="B47" s="11">
        <f t="shared" si="1"/>
        <v>47</v>
      </c>
      <c r="C47" s="10" t="str">
        <f>VLOOKUP(B47,B:F,HLOOKUP(Cover!$B$3,$B$4:$F$5,2,0),0)</f>
        <v>Netto</v>
      </c>
      <c r="D47" s="465" t="s">
        <v>490</v>
      </c>
      <c r="E47" s="465" t="s">
        <v>948</v>
      </c>
      <c r="F47" s="465" t="s">
        <v>490</v>
      </c>
    </row>
    <row r="48" spans="2:6">
      <c r="B48" s="11">
        <f t="shared" si="1"/>
        <v>48</v>
      </c>
      <c r="C48" s="10" t="str">
        <f>VLOOKUP(B48,B:F,HLOOKUP(Cover!$B$3,$B$4:$F$5,2,0),0)</f>
        <v>1 (časť 1)</v>
      </c>
      <c r="D48" s="465" t="s">
        <v>941</v>
      </c>
      <c r="E48" s="465" t="s">
        <v>949</v>
      </c>
      <c r="F48" s="465" t="s">
        <v>980</v>
      </c>
    </row>
    <row r="49" spans="2:6">
      <c r="B49" s="11">
        <f t="shared" si="1"/>
        <v>49</v>
      </c>
      <c r="C49" s="10" t="str">
        <f>VLOOKUP(B49,B:F,HLOOKUP(Cover!$B$3,$B$4:$F$5,2,0),0)</f>
        <v>1 (časť 2)</v>
      </c>
      <c r="D49" s="465" t="s">
        <v>942</v>
      </c>
      <c r="E49" s="465" t="s">
        <v>950</v>
      </c>
      <c r="F49" s="465" t="s">
        <v>981</v>
      </c>
    </row>
    <row r="50" spans="2:6">
      <c r="B50" s="11">
        <f t="shared" si="1"/>
        <v>50</v>
      </c>
      <c r="C50" s="10" t="str">
        <f>VLOOKUP(B50,B:F,HLOOKUP(Cover!$B$3,$B$4:$F$5,2,0),0)</f>
        <v>(v eurách)</v>
      </c>
      <c r="D50" s="465" t="s">
        <v>494</v>
      </c>
      <c r="E50" s="465" t="s">
        <v>883</v>
      </c>
      <c r="F50" s="465" t="s">
        <v>883</v>
      </c>
    </row>
    <row r="51" spans="2:6">
      <c r="B51" s="11">
        <f t="shared" si="1"/>
        <v>51</v>
      </c>
      <c r="C51" s="10" t="str">
        <f>VLOOKUP(B51,B:F,HLOOKUP(Cover!$B$3,$B$4:$F$5,2,0),0)</f>
        <v>STRANA PASÍV</v>
      </c>
      <c r="D51" s="465" t="s">
        <v>585</v>
      </c>
      <c r="E51" s="465" t="s">
        <v>1854</v>
      </c>
      <c r="F51" s="465" t="s">
        <v>982</v>
      </c>
    </row>
    <row r="52" spans="2:6">
      <c r="B52" s="390">
        <f t="shared" si="1"/>
        <v>52</v>
      </c>
      <c r="C52" s="391" t="str">
        <f>VLOOKUP(B52,B:F,HLOOKUP(Cover!$B$3,$B$4:$F$5,2,0),0)</f>
        <v>Spolu majetok (r. 02 + r. 33 + r. 74)</v>
      </c>
      <c r="D52" s="465" t="s">
        <v>1919</v>
      </c>
      <c r="E52" s="465" t="s">
        <v>1993</v>
      </c>
      <c r="F52" s="465" t="s">
        <v>2392</v>
      </c>
    </row>
    <row r="53" spans="2:6">
      <c r="B53" s="390">
        <f t="shared" si="1"/>
        <v>53</v>
      </c>
      <c r="C53" s="391" t="str">
        <f>VLOOKUP(B53,B:F,HLOOKUP(Cover!$B$3,$B$4:$F$5,2,0),0)</f>
        <v>Neobežný majetok (r. 03 + r. 11 + r. 21)</v>
      </c>
      <c r="D53" s="465" t="s">
        <v>1920</v>
      </c>
      <c r="E53" s="465" t="s">
        <v>1994</v>
      </c>
      <c r="F53" s="465" t="s">
        <v>2393</v>
      </c>
    </row>
    <row r="54" spans="2:6">
      <c r="B54" s="390">
        <f t="shared" si="1"/>
        <v>54</v>
      </c>
      <c r="C54" s="391" t="str">
        <f>VLOOKUP(B54,B:F,HLOOKUP(Cover!$B$3,$B$4:$F$5,2,0),0)</f>
        <v>Dlhodobý nehmotný majetok súčet (r. 04 až r. 10)</v>
      </c>
      <c r="D54" s="465" t="s">
        <v>1921</v>
      </c>
      <c r="E54" s="465" t="s">
        <v>1995</v>
      </c>
      <c r="F54" s="465" t="s">
        <v>2394</v>
      </c>
    </row>
    <row r="55" spans="2:6">
      <c r="B55" s="390">
        <f t="shared" si="1"/>
        <v>55</v>
      </c>
      <c r="C55" s="391" t="str">
        <f>VLOOKUP(B55,B:F,HLOOKUP(Cover!$B$3,$B$4:$F$5,2,0),0)</f>
        <v>Aktivované náklady na vývoj (012) - /072, 091A/</v>
      </c>
      <c r="D55" s="465" t="s">
        <v>498</v>
      </c>
      <c r="E55" s="465" t="s">
        <v>1996</v>
      </c>
      <c r="F55" s="465" t="s">
        <v>2395</v>
      </c>
    </row>
    <row r="56" spans="2:6">
      <c r="B56" s="390">
        <f t="shared" si="1"/>
        <v>56</v>
      </c>
      <c r="C56" s="391" t="str">
        <f>VLOOKUP(B56,B:F,HLOOKUP(Cover!$B$3,$B$4:$F$5,2,0),0)</f>
        <v>Softvér (013) - /073, 091A/</v>
      </c>
      <c r="D56" s="465" t="s">
        <v>500</v>
      </c>
      <c r="E56" s="465" t="s">
        <v>1997</v>
      </c>
      <c r="F56" s="465" t="s">
        <v>1997</v>
      </c>
    </row>
    <row r="57" spans="2:6">
      <c r="B57" s="390">
        <f t="shared" si="1"/>
        <v>57</v>
      </c>
      <c r="C57" s="391" t="str">
        <f>VLOOKUP(B57,B:F,HLOOKUP(Cover!$B$3,$B$4:$F$5,2,0),0)</f>
        <v>Oceniteľné práva (014) - /074, 091A/</v>
      </c>
      <c r="D57" s="465" t="s">
        <v>502</v>
      </c>
      <c r="E57" s="465" t="s">
        <v>1998</v>
      </c>
      <c r="F57" s="465" t="s">
        <v>2396</v>
      </c>
    </row>
    <row r="58" spans="2:6">
      <c r="B58" s="390">
        <f t="shared" si="1"/>
        <v>58</v>
      </c>
      <c r="C58" s="391" t="str">
        <f>VLOOKUP(B58,B:F,HLOOKUP(Cover!$B$3,$B$4:$F$5,2,0),0)</f>
        <v>Goodwill (015) - /075, 091A/</v>
      </c>
      <c r="D58" s="465" t="s">
        <v>504</v>
      </c>
      <c r="E58" s="465" t="s">
        <v>504</v>
      </c>
      <c r="F58" s="465" t="s">
        <v>504</v>
      </c>
    </row>
    <row r="59" spans="2:6">
      <c r="B59" s="390">
        <f t="shared" si="1"/>
        <v>59</v>
      </c>
      <c r="C59" s="391" t="str">
        <f>VLOOKUP(B59,B:F,HLOOKUP(Cover!$B$3,$B$4:$F$5,2,0),0)</f>
        <v>Ostatný dlhodobý nehmotný majetok (019, 01X) - /079, 07X, 091A/</v>
      </c>
      <c r="D59" s="465" t="s">
        <v>506</v>
      </c>
      <c r="E59" s="465" t="s">
        <v>1999</v>
      </c>
      <c r="F59" s="465" t="s">
        <v>2397</v>
      </c>
    </row>
    <row r="60" spans="2:6">
      <c r="B60" s="390">
        <f t="shared" si="1"/>
        <v>60</v>
      </c>
      <c r="C60" s="391" t="str">
        <f>VLOOKUP(B60,B:F,HLOOKUP(Cover!$B$3,$B$4:$F$5,2,0),0)</f>
        <v>Obstarávaný dlhodobý nehmotný majetok (041) - 093</v>
      </c>
      <c r="D60" s="465" t="s">
        <v>508</v>
      </c>
      <c r="E60" s="465" t="s">
        <v>2000</v>
      </c>
      <c r="F60" s="465" t="s">
        <v>2398</v>
      </c>
    </row>
    <row r="61" spans="2:6">
      <c r="B61" s="390">
        <f t="shared" si="1"/>
        <v>61</v>
      </c>
      <c r="C61" s="391" t="str">
        <f>VLOOKUP(B61,B:F,HLOOKUP(Cover!$B$3,$B$4:$F$5,2,0),0)</f>
        <v>Poskytnuté preddavky na dlhodobý nehmotný majetok (051) - /095A/</v>
      </c>
      <c r="D61" s="465" t="s">
        <v>2399</v>
      </c>
      <c r="E61" s="465" t="s">
        <v>2400</v>
      </c>
      <c r="F61" s="465" t="s">
        <v>2401</v>
      </c>
    </row>
    <row r="62" spans="2:6">
      <c r="B62" s="390">
        <f t="shared" si="1"/>
        <v>62</v>
      </c>
      <c r="C62" s="391" t="str">
        <f>VLOOKUP(B62,B:F,HLOOKUP(Cover!$B$3,$B$4:$F$5,2,0),0)</f>
        <v>Dlhodobý hmotný majetok súčet (r. 12 až r. 20)</v>
      </c>
      <c r="D62" s="465" t="s">
        <v>1922</v>
      </c>
      <c r="E62" s="465" t="s">
        <v>2001</v>
      </c>
      <c r="F62" s="465" t="s">
        <v>2402</v>
      </c>
    </row>
    <row r="63" spans="2:6">
      <c r="B63" s="390">
        <f t="shared" si="1"/>
        <v>63</v>
      </c>
      <c r="C63" s="391" t="str">
        <f>VLOOKUP(B63,B:F,HLOOKUP(Cover!$B$3,$B$4:$F$5,2,0),0)</f>
        <v>Pozemky (031) - 092A</v>
      </c>
      <c r="D63" s="465" t="s">
        <v>511</v>
      </c>
      <c r="E63" s="465" t="s">
        <v>2002</v>
      </c>
      <c r="F63" s="465" t="s">
        <v>2403</v>
      </c>
    </row>
    <row r="64" spans="2:6">
      <c r="B64" s="390">
        <f t="shared" si="1"/>
        <v>64</v>
      </c>
      <c r="C64" s="391" t="str">
        <f>VLOOKUP(B64,B:F,HLOOKUP(Cover!$B$3,$B$4:$F$5,2,0),0)</f>
        <v>Stavby (021) - /081, 092A/</v>
      </c>
      <c r="D64" s="465" t="s">
        <v>513</v>
      </c>
      <c r="E64" s="465" t="s">
        <v>2003</v>
      </c>
      <c r="F64" s="465" t="s">
        <v>2404</v>
      </c>
    </row>
    <row r="65" spans="2:6">
      <c r="B65" s="390">
        <f t="shared" si="1"/>
        <v>65</v>
      </c>
      <c r="C65" s="391" t="str">
        <f>VLOOKUP(B65,B:F,HLOOKUP(Cover!$B$3,$B$4:$F$5,2,0),0)</f>
        <v>Samostatné hnuteľné veci a súbory hnuteľných vecí (022) - /082, 092A/</v>
      </c>
      <c r="D65" s="465" t="s">
        <v>515</v>
      </c>
      <c r="E65" s="465" t="s">
        <v>2004</v>
      </c>
      <c r="F65" s="465" t="s">
        <v>2405</v>
      </c>
    </row>
    <row r="66" spans="2:6">
      <c r="B66" s="390">
        <f t="shared" si="1"/>
        <v>66</v>
      </c>
      <c r="C66" s="391" t="str">
        <f>VLOOKUP(B66,B:F,HLOOKUP(Cover!$B$3,$B$4:$F$5,2,0),0)</f>
        <v>Pestovateľské celky trvalých porastov (025) - /085, 092A/</v>
      </c>
      <c r="D66" s="465" t="s">
        <v>517</v>
      </c>
      <c r="E66" s="465" t="s">
        <v>2005</v>
      </c>
      <c r="F66" s="465" t="s">
        <v>2406</v>
      </c>
    </row>
    <row r="67" spans="2:6">
      <c r="B67" s="390">
        <f t="shared" si="1"/>
        <v>67</v>
      </c>
      <c r="C67" s="391" t="str">
        <f>VLOOKUP(B67,B:F,HLOOKUP(Cover!$B$3,$B$4:$F$5,2,0),0)</f>
        <v>Základné stádo a ťažné zvieratá (026) - /086, 092A/</v>
      </c>
      <c r="D67" s="465" t="s">
        <v>519</v>
      </c>
      <c r="E67" s="465" t="s">
        <v>2006</v>
      </c>
      <c r="F67" s="465" t="s">
        <v>2407</v>
      </c>
    </row>
    <row r="68" spans="2:6">
      <c r="B68" s="390">
        <f t="shared" si="1"/>
        <v>68</v>
      </c>
      <c r="C68" s="391" t="str">
        <f>VLOOKUP(B68,B:F,HLOOKUP(Cover!$B$3,$B$4:$F$5,2,0),0)</f>
        <v>Ostatný dlhodobý hmotný majetok (029, 02X, 032) - /089, 08X, 092A/</v>
      </c>
      <c r="D68" s="465" t="s">
        <v>521</v>
      </c>
      <c r="E68" s="465" t="s">
        <v>2007</v>
      </c>
      <c r="F68" s="465" t="s">
        <v>2408</v>
      </c>
    </row>
    <row r="69" spans="2:6">
      <c r="B69" s="390">
        <f t="shared" si="1"/>
        <v>69</v>
      </c>
      <c r="C69" s="391" t="str">
        <f>VLOOKUP(B69,B:F,HLOOKUP(Cover!$B$3,$B$4:$F$5,2,0),0)</f>
        <v>Obstarávaný dlhodobý hmotný majetok (042) - 094</v>
      </c>
      <c r="D69" s="465" t="s">
        <v>523</v>
      </c>
      <c r="E69" s="465" t="s">
        <v>2008</v>
      </c>
      <c r="F69" s="465" t="s">
        <v>2409</v>
      </c>
    </row>
    <row r="70" spans="2:6">
      <c r="B70" s="390">
        <f t="shared" si="1"/>
        <v>70</v>
      </c>
      <c r="C70" s="391" t="str">
        <f>VLOOKUP(B70,B:F,HLOOKUP(Cover!$B$3,$B$4:$F$5,2,0),0)</f>
        <v>Poskytnuté preddavky na dlhodobý hmotný majetok (052) - /095A/</v>
      </c>
      <c r="D70" s="465" t="s">
        <v>2410</v>
      </c>
      <c r="E70" s="465" t="s">
        <v>2411</v>
      </c>
      <c r="F70" s="465" t="s">
        <v>2412</v>
      </c>
    </row>
    <row r="71" spans="2:6">
      <c r="B71" s="390">
        <f t="shared" si="1"/>
        <v>71</v>
      </c>
      <c r="C71" s="391" t="str">
        <f>VLOOKUP(B71,B:F,HLOOKUP(Cover!$B$3,$B$4:$F$5,2,0),0)</f>
        <v>Opravná položka k nadobudnutému majetku (+/- 097) +/- 098</v>
      </c>
      <c r="D71" s="465" t="s">
        <v>526</v>
      </c>
      <c r="E71" s="465" t="s">
        <v>2009</v>
      </c>
      <c r="F71" s="465" t="s">
        <v>2413</v>
      </c>
    </row>
    <row r="72" spans="2:6">
      <c r="B72" s="390">
        <f t="shared" si="1"/>
        <v>72</v>
      </c>
      <c r="C72" s="391" t="str">
        <f>VLOOKUP(B72,B:F,HLOOKUP(Cover!$B$3,$B$4:$F$5,2,0),0)</f>
        <v>Dlhodobý finančný majetok súčet (r. 22 až r. 32)</v>
      </c>
      <c r="D72" s="465" t="s">
        <v>1923</v>
      </c>
      <c r="E72" s="465" t="s">
        <v>2010</v>
      </c>
      <c r="F72" s="465" t="s">
        <v>2414</v>
      </c>
    </row>
    <row r="73" spans="2:6">
      <c r="B73" s="390">
        <f t="shared" si="1"/>
        <v>73</v>
      </c>
      <c r="C73" s="391" t="str">
        <f>VLOOKUP(B73,B:F,HLOOKUP(Cover!$B$3,$B$4:$F$5,2,0),0)</f>
        <v>Podielové cenné papiere a podiely v prepojených účtovných jednotkách (061A, 062A, 063A) - /096A/</v>
      </c>
      <c r="D73" s="465" t="s">
        <v>2415</v>
      </c>
      <c r="E73" s="466" t="s">
        <v>2416</v>
      </c>
      <c r="F73" s="466" t="s">
        <v>2417</v>
      </c>
    </row>
    <row r="74" spans="2:6">
      <c r="B74" s="390">
        <f t="shared" si="1"/>
        <v>74</v>
      </c>
      <c r="C74" s="391" t="str">
        <f>VLOOKUP(B74,B:F,HLOOKUP(Cover!$B$3,$B$4:$F$5,2,0),0)</f>
        <v>Podielové cenné papiere a podiely s podielovou účasťou okrem v prepojených účtovných jednotkách (062) - /096A/</v>
      </c>
      <c r="D74" s="465" t="s">
        <v>2418</v>
      </c>
      <c r="E74" s="466" t="s">
        <v>2419</v>
      </c>
      <c r="F74" s="466" t="s">
        <v>2420</v>
      </c>
    </row>
    <row r="75" spans="2:6">
      <c r="B75" s="390">
        <f t="shared" si="1"/>
        <v>75</v>
      </c>
      <c r="C75" s="391" t="str">
        <f>VLOOKUP(B75,B:F,HLOOKUP(Cover!$B$3,$B$4:$F$5,2,0),0)</f>
        <v>Ostatné realizovateľné cenné papiere a podiely (063A) - 096A</v>
      </c>
      <c r="D75" s="465" t="s">
        <v>1767</v>
      </c>
      <c r="E75" s="465" t="s">
        <v>2011</v>
      </c>
      <c r="F75" s="465" t="s">
        <v>2421</v>
      </c>
    </row>
    <row r="76" spans="2:6">
      <c r="B76" s="390">
        <f t="shared" si="1"/>
        <v>76</v>
      </c>
      <c r="C76" s="391" t="str">
        <f>VLOOKUP(B76,B:F,HLOOKUP(Cover!$B$3,$B$4:$F$5,2,0),0)</f>
        <v>Pôžičky prepojeným účtovným jednotkám (066A) - 096A</v>
      </c>
      <c r="D76" s="465" t="s">
        <v>1768</v>
      </c>
      <c r="E76" s="466" t="s">
        <v>2422</v>
      </c>
      <c r="F76" s="466" t="s">
        <v>2423</v>
      </c>
    </row>
    <row r="77" spans="2:6">
      <c r="B77" s="390">
        <f t="shared" si="1"/>
        <v>77</v>
      </c>
      <c r="C77" s="391" t="str">
        <f>VLOOKUP(B77,B:F,HLOOKUP(Cover!$B$3,$B$4:$F$5,2,0),0)</f>
        <v>Pôžičky v rámci podielovej účasti okrem prepojeným účtovným jednotkám (066A) - 096A</v>
      </c>
      <c r="D77" s="465" t="s">
        <v>1769</v>
      </c>
      <c r="E77" s="466" t="s">
        <v>2424</v>
      </c>
      <c r="F77" s="466" t="s">
        <v>2425</v>
      </c>
    </row>
    <row r="78" spans="2:6">
      <c r="B78" s="390">
        <f t="shared" si="1"/>
        <v>78</v>
      </c>
      <c r="C78" s="391" t="str">
        <f>VLOOKUP(B78,B:F,HLOOKUP(Cover!$B$3,$B$4:$F$5,2,0),0)</f>
        <v>Ostatné pôžičky (067A) - /096A/</v>
      </c>
      <c r="D78" s="465" t="s">
        <v>2426</v>
      </c>
      <c r="E78" s="465" t="s">
        <v>2427</v>
      </c>
      <c r="F78" s="465" t="s">
        <v>2428</v>
      </c>
    </row>
    <row r="79" spans="2:6">
      <c r="B79" s="390">
        <f t="shared" si="1"/>
        <v>79</v>
      </c>
      <c r="C79" s="391" t="str">
        <f>VLOOKUP(B79,B:F,HLOOKUP(Cover!$B$3,$B$4:$F$5,2,0),0)</f>
        <v>Dlhové cenné papiere a ostatný dlhodobý finančný majetok (065A, 069A, 06XA) - 096A</v>
      </c>
      <c r="D79" s="465" t="s">
        <v>1770</v>
      </c>
      <c r="E79" s="465" t="s">
        <v>2012</v>
      </c>
      <c r="F79" s="465" t="s">
        <v>2429</v>
      </c>
    </row>
    <row r="80" spans="2:6">
      <c r="B80" s="390">
        <f t="shared" si="1"/>
        <v>80</v>
      </c>
      <c r="C80" s="391" t="str">
        <f>VLOOKUP(B80,B:F,HLOOKUP(Cover!$B$3,$B$4:$F$5,2,0),0)</f>
        <v>Pôžičky a ostatný dlhodobý finančný majetok so zostatkovou dobou splatnosti najviac jeden rok (066A, 067A, 069A, 06XA) - 096A</v>
      </c>
      <c r="D80" s="465" t="s">
        <v>1771</v>
      </c>
      <c r="E80" s="465" t="s">
        <v>2013</v>
      </c>
      <c r="F80" s="465" t="s">
        <v>2430</v>
      </c>
    </row>
    <row r="81" spans="2:6">
      <c r="B81" s="390">
        <f t="shared" si="1"/>
        <v>81</v>
      </c>
      <c r="C81" s="391" t="str">
        <f>VLOOKUP(B81,B:F,HLOOKUP(Cover!$B$3,$B$4:$F$5,2,0),0)</f>
        <v>Účty v bankách s dobou viazanosti dlhšou ako jeden rok (22XA)</v>
      </c>
      <c r="D81" s="465" t="s">
        <v>1576</v>
      </c>
      <c r="E81" s="465" t="s">
        <v>2014</v>
      </c>
      <c r="F81" s="465" t="s">
        <v>2431</v>
      </c>
    </row>
    <row r="82" spans="2:6">
      <c r="B82" s="390">
        <f t="shared" si="1"/>
        <v>82</v>
      </c>
      <c r="C82" s="391" t="str">
        <f>VLOOKUP(B82,B:F,HLOOKUP(Cover!$B$3,$B$4:$F$5,2,0),0)</f>
        <v>Obstarávaný dlhodobý finančný majetok (043) - /096A/</v>
      </c>
      <c r="D82" s="465" t="s">
        <v>2432</v>
      </c>
      <c r="E82" s="465" t="s">
        <v>2433</v>
      </c>
      <c r="F82" s="465" t="s">
        <v>2434</v>
      </c>
    </row>
    <row r="83" spans="2:6">
      <c r="B83" s="390">
        <f t="shared" si="1"/>
        <v>83</v>
      </c>
      <c r="C83" s="391" t="str">
        <f>VLOOKUP(B83,B:F,HLOOKUP(Cover!$B$3,$B$4:$F$5,2,0),0)</f>
        <v>Poskytnuté preddavky na dlhodobý finančný majetok (053) - /095A/</v>
      </c>
      <c r="D83" s="465" t="s">
        <v>2435</v>
      </c>
      <c r="E83" s="465" t="s">
        <v>2436</v>
      </c>
      <c r="F83" s="465" t="s">
        <v>2437</v>
      </c>
    </row>
    <row r="84" spans="2:6">
      <c r="B84" s="390">
        <f t="shared" si="1"/>
        <v>84</v>
      </c>
      <c r="C84" s="391" t="str">
        <f>VLOOKUP(B84,B:F,HLOOKUP(Cover!$B$3,$B$4:$F$5,2,0),0)</f>
        <v>Obežný majetok (r. 34 + r. 41 + r. 53 + r. 66 + r. 71)</v>
      </c>
      <c r="D84" s="465" t="s">
        <v>2438</v>
      </c>
      <c r="E84" s="465" t="s">
        <v>2439</v>
      </c>
      <c r="F84" s="465" t="s">
        <v>2440</v>
      </c>
    </row>
    <row r="85" spans="2:6">
      <c r="B85" s="390">
        <f t="shared" si="1"/>
        <v>85</v>
      </c>
      <c r="C85" s="391" t="str">
        <f>VLOOKUP(B85,B:F,HLOOKUP(Cover!$B$3,$B$4:$F$5,2,0),0)</f>
        <v>Zásoby súčet (r. 35 až r. 40)</v>
      </c>
      <c r="D85" s="465" t="s">
        <v>1924</v>
      </c>
      <c r="E85" s="465" t="s">
        <v>2015</v>
      </c>
      <c r="F85" s="465" t="s">
        <v>2441</v>
      </c>
    </row>
    <row r="86" spans="2:6">
      <c r="B86" s="390">
        <f t="shared" si="1"/>
        <v>86</v>
      </c>
      <c r="C86" s="391" t="str">
        <f>VLOOKUP(B86,B:F,HLOOKUP(Cover!$B$3,$B$4:$F$5,2,0),0)</f>
        <v>Materiál (112, 119, 11X) - /191, 19X/</v>
      </c>
      <c r="D86" s="465" t="s">
        <v>539</v>
      </c>
      <c r="E86" s="465" t="s">
        <v>2016</v>
      </c>
      <c r="F86" s="465" t="s">
        <v>2442</v>
      </c>
    </row>
    <row r="87" spans="2:6">
      <c r="B87" s="390">
        <f t="shared" si="1"/>
        <v>87</v>
      </c>
      <c r="C87" s="391" t="str">
        <f>VLOOKUP(B87,B:F,HLOOKUP(Cover!$B$3,$B$4:$F$5,2,0),0)</f>
        <v>Nedokončená výroba a polotovary vlastnej výroby (121, 122, 12X) - /192, 193, 19X/</v>
      </c>
      <c r="D87" s="465" t="s">
        <v>541</v>
      </c>
      <c r="E87" s="465" t="s">
        <v>2017</v>
      </c>
      <c r="F87" s="465" t="s">
        <v>2443</v>
      </c>
    </row>
    <row r="88" spans="2:6">
      <c r="B88" s="390">
        <f t="shared" si="1"/>
        <v>88</v>
      </c>
      <c r="C88" s="391" t="str">
        <f>VLOOKUP(B88,B:F,HLOOKUP(Cover!$B$3,$B$4:$F$5,2,0),0)</f>
        <v>Výrobky (123) - 194</v>
      </c>
      <c r="D88" s="465" t="s">
        <v>543</v>
      </c>
      <c r="E88" s="465" t="s">
        <v>2018</v>
      </c>
      <c r="F88" s="465" t="s">
        <v>2444</v>
      </c>
    </row>
    <row r="89" spans="2:6">
      <c r="B89" s="390">
        <f t="shared" si="1"/>
        <v>89</v>
      </c>
      <c r="C89" s="391" t="str">
        <f>VLOOKUP(B89,B:F,HLOOKUP(Cover!$B$3,$B$4:$F$5,2,0),0)</f>
        <v>Zvieratá (124) - 195</v>
      </c>
      <c r="D89" s="465" t="s">
        <v>545</v>
      </c>
      <c r="E89" s="465" t="s">
        <v>2019</v>
      </c>
      <c r="F89" s="465" t="s">
        <v>2445</v>
      </c>
    </row>
    <row r="90" spans="2:6">
      <c r="B90" s="390">
        <f t="shared" si="1"/>
        <v>90</v>
      </c>
      <c r="C90" s="391" t="str">
        <f>VLOOKUP(B90,B:F,HLOOKUP(Cover!$B$3,$B$4:$F$5,2,0),0)</f>
        <v>Tovar (132, 133, 13X, 139) - /196, 19X/</v>
      </c>
      <c r="D90" s="465" t="s">
        <v>547</v>
      </c>
      <c r="E90" s="465" t="s">
        <v>2020</v>
      </c>
      <c r="F90" s="465" t="s">
        <v>2446</v>
      </c>
    </row>
    <row r="91" spans="2:6">
      <c r="B91" s="390">
        <f t="shared" si="1"/>
        <v>91</v>
      </c>
      <c r="C91" s="391" t="str">
        <f>VLOOKUP(B91,B:F,HLOOKUP(Cover!$B$3,$B$4:$F$5,2,0),0)</f>
        <v>Poskytnuté preddavky na zásoby (314A) - /391A/</v>
      </c>
      <c r="D91" s="465" t="s">
        <v>2447</v>
      </c>
      <c r="E91" s="465" t="s">
        <v>2448</v>
      </c>
      <c r="F91" s="465" t="s">
        <v>2449</v>
      </c>
    </row>
    <row r="92" spans="2:6">
      <c r="B92" s="390">
        <f t="shared" ref="B92:B155" si="2">B91+1</f>
        <v>92</v>
      </c>
      <c r="C92" s="391" t="str">
        <f>VLOOKUP(B92,B:F,HLOOKUP(Cover!$B$3,$B$4:$F$5,2,0),0)</f>
        <v>Dlhodobé pohľadávky súčet (r. 42 + r. 46 až r. 52)</v>
      </c>
      <c r="D92" s="465" t="s">
        <v>1925</v>
      </c>
      <c r="E92" s="465" t="s">
        <v>2021</v>
      </c>
      <c r="F92" s="465" t="s">
        <v>2450</v>
      </c>
    </row>
    <row r="93" spans="2:6">
      <c r="B93" s="390">
        <f t="shared" si="2"/>
        <v>93</v>
      </c>
      <c r="C93" s="391" t="str">
        <f>VLOOKUP(B93,B:F,HLOOKUP(Cover!$B$3,$B$4:$F$5,2,0),0)</f>
        <v>Pohľadávky z obchodného styku súčet (r. 43 až r. 45)</v>
      </c>
      <c r="D93" s="465" t="s">
        <v>1592</v>
      </c>
      <c r="E93" s="465" t="s">
        <v>2022</v>
      </c>
      <c r="F93" s="465" t="s">
        <v>2451</v>
      </c>
    </row>
    <row r="94" spans="2:6">
      <c r="B94" s="390">
        <f t="shared" si="2"/>
        <v>94</v>
      </c>
      <c r="C94" s="391" t="str">
        <f>VLOOKUP(B94,B:F,HLOOKUP(Cover!$B$3,$B$4:$F$5,2,0),0)</f>
        <v>Pohľadávky z obchodného styku voči prepojeným účtovným jednotkám (311A, 312A, 313A, 314A, 315A, 31XA) - /391A/</v>
      </c>
      <c r="D94" s="465" t="s">
        <v>2452</v>
      </c>
      <c r="E94" s="466" t="s">
        <v>2453</v>
      </c>
      <c r="F94" s="466" t="s">
        <v>2454</v>
      </c>
    </row>
    <row r="95" spans="2:6">
      <c r="B95" s="390">
        <f t="shared" si="2"/>
        <v>95</v>
      </c>
      <c r="C95" s="391" t="str">
        <f>VLOOKUP(B95,B:F,HLOOKUP(Cover!$B$3,$B$4:$F$5,2,0),0)</f>
        <v>Pohľadávky z obchodného styku v rámci podielovej účasti okrem pohľadávok voči prepojeným účtovným jednotkám (311A, 312A, 313A, 314A, 315A, 31XA) - /391A/</v>
      </c>
      <c r="D95" s="465" t="s">
        <v>2455</v>
      </c>
      <c r="E95" s="466" t="s">
        <v>2456</v>
      </c>
      <c r="F95" s="466" t="s">
        <v>2457</v>
      </c>
    </row>
    <row r="96" spans="2:6">
      <c r="B96" s="390">
        <f t="shared" si="2"/>
        <v>96</v>
      </c>
      <c r="C96" s="391" t="str">
        <f>VLOOKUP(B96,B:F,HLOOKUP(Cover!$B$3,$B$4:$F$5,2,0),0)</f>
        <v>Ostatné pohľadávky z obchodného styku (311A, 312A, 313A, 314A, 315A, 31XA) - /391A/</v>
      </c>
      <c r="D96" s="465" t="s">
        <v>2458</v>
      </c>
      <c r="E96" s="465" t="s">
        <v>2023</v>
      </c>
      <c r="F96" s="465" t="s">
        <v>2459</v>
      </c>
    </row>
    <row r="97" spans="2:6">
      <c r="B97" s="390">
        <f t="shared" si="2"/>
        <v>97</v>
      </c>
      <c r="C97" s="391" t="str">
        <f>VLOOKUP(B97,B:F,HLOOKUP(Cover!$B$3,$B$4:$F$5,2,0),0)</f>
        <v>Čistá hodnota zákazky (316A)</v>
      </c>
      <c r="D97" s="465" t="s">
        <v>552</v>
      </c>
      <c r="E97" s="465" t="s">
        <v>2788</v>
      </c>
      <c r="F97" s="465" t="s">
        <v>2460</v>
      </c>
    </row>
    <row r="98" spans="2:6">
      <c r="B98" s="390">
        <f t="shared" si="2"/>
        <v>98</v>
      </c>
      <c r="C98" s="391" t="str">
        <f>VLOOKUP(B98,B:F,HLOOKUP(Cover!$B$3,$B$4:$F$5,2,0),0)</f>
        <v>Ostatné pohľadávky voči prepojeným účtovným jednotkám (351A) - /391A/</v>
      </c>
      <c r="D98" s="465" t="s">
        <v>2461</v>
      </c>
      <c r="E98" s="466" t="s">
        <v>2462</v>
      </c>
      <c r="F98" s="466" t="s">
        <v>2463</v>
      </c>
    </row>
    <row r="99" spans="2:6">
      <c r="B99" s="390">
        <f t="shared" si="2"/>
        <v>99</v>
      </c>
      <c r="C99" s="391" t="str">
        <f>VLOOKUP(B99,B:F,HLOOKUP(Cover!$B$3,$B$4:$F$5,2,0),0)</f>
        <v>Ostatné pohľadávky v rámci podielovej účasti okrem pohľadávok voči prepojeným účtovným jednotkám (351A) - /391A/</v>
      </c>
      <c r="D99" s="465" t="s">
        <v>2464</v>
      </c>
      <c r="E99" s="466" t="s">
        <v>2465</v>
      </c>
      <c r="F99" s="466" t="s">
        <v>2466</v>
      </c>
    </row>
    <row r="100" spans="2:6">
      <c r="B100" s="390">
        <f t="shared" si="2"/>
        <v>100</v>
      </c>
      <c r="C100" s="391" t="str">
        <f>VLOOKUP(B100,B:F,HLOOKUP(Cover!$B$3,$B$4:$F$5,2,0),0)</f>
        <v>Pohľadávky voči spoločníkom, členom a združeniu (354A, 355A, 358A, 35XA) - /391A/</v>
      </c>
      <c r="D100" s="465" t="s">
        <v>2467</v>
      </c>
      <c r="E100" s="465" t="s">
        <v>2468</v>
      </c>
      <c r="F100" s="465" t="s">
        <v>2469</v>
      </c>
    </row>
    <row r="101" spans="2:6">
      <c r="B101" s="390">
        <f t="shared" si="2"/>
        <v>101</v>
      </c>
      <c r="C101" s="391" t="str">
        <f>VLOOKUP(B101,B:F,HLOOKUP(Cover!$B$3,$B$4:$F$5,2,0),0)</f>
        <v>Pohľadávky z derivátových operácií (373A, 376A)</v>
      </c>
      <c r="D101" s="465" t="s">
        <v>1606</v>
      </c>
      <c r="E101" s="465" t="s">
        <v>2024</v>
      </c>
      <c r="F101" s="465" t="s">
        <v>2470</v>
      </c>
    </row>
    <row r="102" spans="2:6">
      <c r="B102" s="390">
        <f t="shared" si="2"/>
        <v>102</v>
      </c>
      <c r="C102" s="391" t="str">
        <f>VLOOKUP(B102,B:F,HLOOKUP(Cover!$B$3,$B$4:$F$5,2,0),0)</f>
        <v>Iné pohľadávky (335A, 336A, 33XA, 371A, 374A, 375A, 378A) - /391A/</v>
      </c>
      <c r="D102" s="465" t="s">
        <v>2471</v>
      </c>
      <c r="E102" s="465" t="s">
        <v>2025</v>
      </c>
      <c r="F102" s="465" t="s">
        <v>2472</v>
      </c>
    </row>
    <row r="103" spans="2:6">
      <c r="B103" s="390">
        <f t="shared" si="2"/>
        <v>103</v>
      </c>
      <c r="C103" s="391" t="str">
        <f>VLOOKUP(B103,B:F,HLOOKUP(Cover!$B$3,$B$4:$F$5,2,0),0)</f>
        <v>Odložená daňová pohľadávka (481A)</v>
      </c>
      <c r="D103" s="465" t="s">
        <v>558</v>
      </c>
      <c r="E103" s="465" t="s">
        <v>2026</v>
      </c>
      <c r="F103" s="465" t="s">
        <v>2473</v>
      </c>
    </row>
    <row r="104" spans="2:6">
      <c r="B104" s="390">
        <f t="shared" si="2"/>
        <v>104</v>
      </c>
      <c r="C104" s="391" t="str">
        <f>VLOOKUP(B104,B:F,HLOOKUP(Cover!$B$3,$B$4:$F$5,2,0),0)</f>
        <v>Krátkodobé pohľadávky súčet (r. 54 + r. 58 až r. 65)</v>
      </c>
      <c r="D104" s="465" t="s">
        <v>1926</v>
      </c>
      <c r="E104" s="465" t="s">
        <v>2474</v>
      </c>
      <c r="F104" s="465" t="s">
        <v>2475</v>
      </c>
    </row>
    <row r="105" spans="2:6">
      <c r="B105" s="390">
        <f t="shared" si="2"/>
        <v>105</v>
      </c>
      <c r="C105" s="391" t="str">
        <f>VLOOKUP(B105,B:F,HLOOKUP(Cover!$B$3,$B$4:$F$5,2,0),0)</f>
        <v>Pohľadávky z obchodného styku súčet (r. 55 až r. 57)</v>
      </c>
      <c r="D105" s="465" t="s">
        <v>1611</v>
      </c>
      <c r="E105" s="465" t="s">
        <v>2027</v>
      </c>
      <c r="F105" s="465" t="s">
        <v>2476</v>
      </c>
    </row>
    <row r="106" spans="2:6">
      <c r="B106" s="390">
        <f t="shared" si="2"/>
        <v>106</v>
      </c>
      <c r="C106" s="391" t="str">
        <f>VLOOKUP(B106,B:F,HLOOKUP(Cover!$B$3,$B$4:$F$5,2,0),0)</f>
        <v>Pohľadávky z obchodného styku voči prepojeným účtovným jednotkám (311A, 312A, 313A, 314A, 315A, 31XA) - /391A/</v>
      </c>
      <c r="D106" s="465" t="s">
        <v>2452</v>
      </c>
      <c r="E106" s="466" t="s">
        <v>2453</v>
      </c>
      <c r="F106" s="466" t="s">
        <v>2454</v>
      </c>
    </row>
    <row r="107" spans="2:6">
      <c r="B107" s="390">
        <f t="shared" si="2"/>
        <v>107</v>
      </c>
      <c r="C107" s="391" t="str">
        <f>VLOOKUP(B107,B:F,HLOOKUP(Cover!$B$3,$B$4:$F$5,2,0),0)</f>
        <v>Pohľadávky z obchodného styku v rámci podielovej účasti okrem pohľadávok voči prepojeným účtovným jednotkám (311A, 312A, 313A, 314A, 315A, 31XA) - /391A/</v>
      </c>
      <c r="D107" s="465" t="s">
        <v>2455</v>
      </c>
      <c r="E107" s="466" t="s">
        <v>2477</v>
      </c>
      <c r="F107" s="466" t="s">
        <v>2457</v>
      </c>
    </row>
    <row r="108" spans="2:6">
      <c r="B108" s="390">
        <f t="shared" si="2"/>
        <v>108</v>
      </c>
      <c r="C108" s="391" t="str">
        <f>VLOOKUP(B108,B:F,HLOOKUP(Cover!$B$3,$B$4:$F$5,2,0),0)</f>
        <v>Ostatné pohľadávky z obchodného styku (311A, 312A, 313A, 314A, 315A, 31XA) - /391A/</v>
      </c>
      <c r="D108" s="465" t="s">
        <v>2458</v>
      </c>
      <c r="E108" s="465" t="s">
        <v>2023</v>
      </c>
      <c r="F108" s="465" t="s">
        <v>2459</v>
      </c>
    </row>
    <row r="109" spans="2:6">
      <c r="B109" s="390">
        <f t="shared" si="2"/>
        <v>109</v>
      </c>
      <c r="C109" s="391" t="str">
        <f>VLOOKUP(B109,B:F,HLOOKUP(Cover!$B$3,$B$4:$F$5,2,0),0)</f>
        <v>Čistá hodnota zákazky (316A)</v>
      </c>
      <c r="D109" s="465" t="s">
        <v>552</v>
      </c>
      <c r="E109" s="465" t="s">
        <v>2788</v>
      </c>
      <c r="F109" s="465" t="s">
        <v>2460</v>
      </c>
    </row>
    <row r="110" spans="2:6">
      <c r="B110" s="390">
        <f t="shared" si="2"/>
        <v>110</v>
      </c>
      <c r="C110" s="391" t="str">
        <f>VLOOKUP(B110,B:F,HLOOKUP(Cover!$B$3,$B$4:$F$5,2,0),0)</f>
        <v>Ostatné pohľadávky voči prepojeným účtovným jednotkám (351A) - /391A/</v>
      </c>
      <c r="D110" s="465" t="s">
        <v>2461</v>
      </c>
      <c r="E110" s="466" t="s">
        <v>2478</v>
      </c>
      <c r="F110" s="466" t="s">
        <v>2463</v>
      </c>
    </row>
    <row r="111" spans="2:6">
      <c r="B111" s="390">
        <f t="shared" si="2"/>
        <v>111</v>
      </c>
      <c r="C111" s="391" t="str">
        <f>VLOOKUP(B111,B:F,HLOOKUP(Cover!$B$3,$B$4:$F$5,2,0),0)</f>
        <v>Ostatné pohľadávky v rámci podielovej účasti okrem pohľadávok voči prepojeným účtovným jednotkám (351A) - /391A/</v>
      </c>
      <c r="D111" s="465" t="s">
        <v>2464</v>
      </c>
      <c r="E111" s="466" t="s">
        <v>2465</v>
      </c>
      <c r="F111" s="466" t="s">
        <v>2466</v>
      </c>
    </row>
    <row r="112" spans="2:6">
      <c r="B112" s="390">
        <f t="shared" si="2"/>
        <v>112</v>
      </c>
      <c r="C112" s="391" t="str">
        <f>VLOOKUP(B112,B:F,HLOOKUP(Cover!$B$3,$B$4:$F$5,2,0),0)</f>
        <v>Pohľadávky voči spoločníkom, členom a združeniu (354A, 355A, 358A, 35XA, 398A) - /391A/</v>
      </c>
      <c r="D112" s="465" t="s">
        <v>2479</v>
      </c>
      <c r="E112" s="465" t="s">
        <v>2028</v>
      </c>
      <c r="F112" s="465" t="s">
        <v>2480</v>
      </c>
    </row>
    <row r="113" spans="2:6">
      <c r="B113" s="390">
        <f t="shared" si="2"/>
        <v>113</v>
      </c>
      <c r="C113" s="391" t="str">
        <f>VLOOKUP(B113,B:F,HLOOKUP(Cover!$B$3,$B$4:$F$5,2,0),0)</f>
        <v>Sociálne poistenie (336) - /391A/</v>
      </c>
      <c r="D113" s="465" t="s">
        <v>2481</v>
      </c>
      <c r="E113" s="465" t="s">
        <v>2029</v>
      </c>
      <c r="F113" s="465" t="s">
        <v>2482</v>
      </c>
    </row>
    <row r="114" spans="2:6">
      <c r="B114" s="390">
        <f t="shared" si="2"/>
        <v>114</v>
      </c>
      <c r="C114" s="391" t="str">
        <f>VLOOKUP(B114,B:F,HLOOKUP(Cover!$B$3,$B$4:$F$5,2,0),0)</f>
        <v>Daňové pohľadávky a dotácie (341, 342, 343, 345 346, 347) - /391A/</v>
      </c>
      <c r="D114" s="465" t="s">
        <v>2483</v>
      </c>
      <c r="E114" s="465" t="s">
        <v>2030</v>
      </c>
      <c r="F114" s="465" t="s">
        <v>2484</v>
      </c>
    </row>
    <row r="115" spans="2:6">
      <c r="B115" s="390">
        <f t="shared" si="2"/>
        <v>115</v>
      </c>
      <c r="C115" s="391" t="str">
        <f>VLOOKUP(B115,B:F,HLOOKUP(Cover!$B$3,$B$4:$F$5,2,0),0)</f>
        <v>Pohľadávky z derivátových operácií (373A, 376A)</v>
      </c>
      <c r="D115" s="465" t="s">
        <v>1606</v>
      </c>
      <c r="E115" s="465" t="s">
        <v>2031</v>
      </c>
      <c r="F115" s="465" t="s">
        <v>2470</v>
      </c>
    </row>
    <row r="116" spans="2:6">
      <c r="B116" s="390">
        <f t="shared" si="2"/>
        <v>116</v>
      </c>
      <c r="C116" s="391" t="str">
        <f>VLOOKUP(B116,B:F,HLOOKUP(Cover!$B$3,$B$4:$F$5,2,0),0)</f>
        <v>Iné pohľadávky (335A, 33XA, 371A, 374A, 375A, 378A) - /391A/</v>
      </c>
      <c r="D116" s="465" t="s">
        <v>2485</v>
      </c>
      <c r="E116" s="465" t="s">
        <v>2032</v>
      </c>
      <c r="F116" s="465" t="s">
        <v>2486</v>
      </c>
    </row>
    <row r="117" spans="2:6">
      <c r="B117" s="390">
        <f t="shared" si="2"/>
        <v>117</v>
      </c>
      <c r="C117" s="391" t="str">
        <f>VLOOKUP(B117,B:F,HLOOKUP(Cover!$B$3,$B$4:$F$5,2,0),0)</f>
        <v>Krátkodobý finančný majetok súčet (r. 67 až r. 70)</v>
      </c>
      <c r="D117" s="465" t="s">
        <v>1781</v>
      </c>
      <c r="E117" s="465" t="s">
        <v>2033</v>
      </c>
      <c r="F117" s="465" t="s">
        <v>2487</v>
      </c>
    </row>
    <row r="118" spans="2:6">
      <c r="B118" s="390">
        <f t="shared" si="2"/>
        <v>118</v>
      </c>
      <c r="C118" s="391" t="str">
        <f>VLOOKUP(B118,B:F,HLOOKUP(Cover!$B$3,$B$4:$F$5,2,0),0)</f>
        <v>Krátkodobý finančný majetok v prepojených účtovných jednotkách (251A, 253A, 256A, 257A, 25XA) - /291A, 29XA/</v>
      </c>
      <c r="D118" s="465" t="s">
        <v>1627</v>
      </c>
      <c r="E118" s="466" t="s">
        <v>2488</v>
      </c>
      <c r="F118" s="466" t="s">
        <v>2489</v>
      </c>
    </row>
    <row r="119" spans="2:6">
      <c r="B119" s="390">
        <f t="shared" si="2"/>
        <v>119</v>
      </c>
      <c r="C119" s="391" t="str">
        <f>VLOOKUP(B119,B:F,HLOOKUP(Cover!$B$3,$B$4:$F$5,2,0),0)</f>
        <v>Krátkodobý finančný
majetok bez krátkodobého finančného majetku v prepojených účtovných jednotkách (251A, 253A, 256A, 257A, 25XA) - /291A, 29XA/</v>
      </c>
      <c r="D119" s="465" t="s">
        <v>1782</v>
      </c>
      <c r="E119" s="466" t="s">
        <v>2490</v>
      </c>
      <c r="F119" s="466" t="s">
        <v>2491</v>
      </c>
    </row>
    <row r="120" spans="2:6">
      <c r="B120" s="390">
        <f t="shared" si="2"/>
        <v>120</v>
      </c>
      <c r="C120" s="391" t="str">
        <f>VLOOKUP(B120,B:F,HLOOKUP(Cover!$B$3,$B$4:$F$5,2,0),0)</f>
        <v>Vlastné akcie a vlastné obchodné podiely (252)</v>
      </c>
      <c r="D120" s="465" t="s">
        <v>1630</v>
      </c>
      <c r="E120" s="465" t="s">
        <v>2034</v>
      </c>
      <c r="F120" s="465" t="s">
        <v>2492</v>
      </c>
    </row>
    <row r="121" spans="2:6">
      <c r="B121" s="390">
        <f t="shared" si="2"/>
        <v>121</v>
      </c>
      <c r="C121" s="391" t="str">
        <f>VLOOKUP(B121,B:F,HLOOKUP(Cover!$B$3,$B$4:$F$5,2,0),0)</f>
        <v>Obstarávaný krátkodobý finančný majetok (259, 314A) - 291A</v>
      </c>
      <c r="D121" s="465" t="s">
        <v>1783</v>
      </c>
      <c r="E121" s="465" t="s">
        <v>2035</v>
      </c>
      <c r="F121" s="465" t="s">
        <v>2493</v>
      </c>
    </row>
    <row r="122" spans="2:6">
      <c r="B122" s="390">
        <f t="shared" si="2"/>
        <v>122</v>
      </c>
      <c r="C122" s="391" t="str">
        <f>VLOOKUP(B122,B:F,HLOOKUP(Cover!$B$3,$B$4:$F$5,2,0),0)</f>
        <v>Finančné účty súčet r. 72 až r. 73</v>
      </c>
      <c r="D122" s="465" t="s">
        <v>2494</v>
      </c>
      <c r="E122" s="465" t="s">
        <v>2036</v>
      </c>
      <c r="F122" s="465" t="s">
        <v>2495</v>
      </c>
    </row>
    <row r="123" spans="2:6">
      <c r="B123" s="390">
        <f t="shared" si="2"/>
        <v>123</v>
      </c>
      <c r="C123" s="391" t="str">
        <f>VLOOKUP(B123,B:F,HLOOKUP(Cover!$B$3,$B$4:$F$5,2,0),0)</f>
        <v>Peniaze (211, 213, 21X)</v>
      </c>
      <c r="D123" s="465" t="s">
        <v>570</v>
      </c>
      <c r="E123" s="465" t="s">
        <v>2037</v>
      </c>
      <c r="F123" s="465" t="s">
        <v>2496</v>
      </c>
    </row>
    <row r="124" spans="2:6">
      <c r="B124" s="390">
        <f t="shared" si="2"/>
        <v>124</v>
      </c>
      <c r="C124" s="391" t="str">
        <f>VLOOKUP(B124,B:F,HLOOKUP(Cover!$B$3,$B$4:$F$5,2,0),0)</f>
        <v>Účty v bankách (221A, 22X +/-261)</v>
      </c>
      <c r="D124" s="465" t="s">
        <v>572</v>
      </c>
      <c r="E124" s="465" t="s">
        <v>2038</v>
      </c>
      <c r="F124" s="465" t="s">
        <v>2497</v>
      </c>
    </row>
    <row r="125" spans="2:6">
      <c r="B125" s="390">
        <f t="shared" si="2"/>
        <v>125</v>
      </c>
      <c r="C125" s="391" t="str">
        <f>VLOOKUP(B125,B:F,HLOOKUP(Cover!$B$3,$B$4:$F$5,2,0),0)</f>
        <v>Časové rozlíšenie súčet (r. 75 až r. 78)</v>
      </c>
      <c r="D125" s="465" t="s">
        <v>1927</v>
      </c>
      <c r="E125" s="465" t="s">
        <v>2039</v>
      </c>
      <c r="F125" s="465" t="s">
        <v>2498</v>
      </c>
    </row>
    <row r="126" spans="2:6">
      <c r="B126" s="390">
        <f t="shared" si="2"/>
        <v>126</v>
      </c>
      <c r="C126" s="391" t="str">
        <f>VLOOKUP(B126,B:F,HLOOKUP(Cover!$B$3,$B$4:$F$5,2,0),0)</f>
        <v>Náklady budúcich období dlhodobé (381A, 382A)</v>
      </c>
      <c r="D126" s="465" t="s">
        <v>578</v>
      </c>
      <c r="E126" s="465" t="s">
        <v>2040</v>
      </c>
      <c r="F126" s="465" t="s">
        <v>2499</v>
      </c>
    </row>
    <row r="127" spans="2:6">
      <c r="B127" s="390">
        <f t="shared" si="2"/>
        <v>127</v>
      </c>
      <c r="C127" s="391" t="str">
        <f>VLOOKUP(B127,B:F,HLOOKUP(Cover!$B$3,$B$4:$F$5,2,0),0)</f>
        <v>Náklady budúcich období krátkodobé (381A, 382A)</v>
      </c>
      <c r="D127" s="465" t="s">
        <v>580</v>
      </c>
      <c r="E127" s="465" t="s">
        <v>2041</v>
      </c>
      <c r="F127" s="465" t="s">
        <v>2500</v>
      </c>
    </row>
    <row r="128" spans="2:6">
      <c r="B128" s="390">
        <f t="shared" si="2"/>
        <v>128</v>
      </c>
      <c r="C128" s="391" t="str">
        <f>VLOOKUP(B128,B:F,HLOOKUP(Cover!$B$3,$B$4:$F$5,2,0),0)</f>
        <v>Príjmy budúcich období dlhodobé (385A)</v>
      </c>
      <c r="D128" s="465" t="s">
        <v>582</v>
      </c>
      <c r="E128" s="465" t="s">
        <v>2042</v>
      </c>
      <c r="F128" s="465" t="s">
        <v>2501</v>
      </c>
    </row>
    <row r="129" spans="2:6">
      <c r="B129" s="390">
        <f t="shared" si="2"/>
        <v>129</v>
      </c>
      <c r="C129" s="391" t="str">
        <f>VLOOKUP(B129,B:F,HLOOKUP(Cover!$B$3,$B$4:$F$5,2,0),0)</f>
        <v>Príjmy budúcich období krátkodobé (385A)</v>
      </c>
      <c r="D129" s="465" t="s">
        <v>584</v>
      </c>
      <c r="E129" s="465" t="s">
        <v>2043</v>
      </c>
      <c r="F129" s="465" t="s">
        <v>2502</v>
      </c>
    </row>
    <row r="130" spans="2:6">
      <c r="B130" s="390">
        <f t="shared" si="2"/>
        <v>130</v>
      </c>
      <c r="C130" s="391" t="str">
        <f>VLOOKUP(B130,B:F,HLOOKUP(Cover!$B$3,$B$4:$F$5,2,0),0)</f>
        <v>Spolu vlastné imanie a záväzky r. 80 + r. 101 + r. 141</v>
      </c>
      <c r="D130" s="465" t="s">
        <v>2503</v>
      </c>
      <c r="E130" s="465" t="s">
        <v>2095</v>
      </c>
      <c r="F130" s="465" t="s">
        <v>2504</v>
      </c>
    </row>
    <row r="131" spans="2:6">
      <c r="B131" s="390">
        <f t="shared" si="2"/>
        <v>131</v>
      </c>
      <c r="C131" s="391" t="str">
        <f>VLOOKUP(B131,B:F,HLOOKUP(Cover!$B$3,$B$4:$F$5,2,0),0)</f>
        <v>Vlastné imanie (r. 81 + r. 85 + r. 86 + r. 87 + r. 90 + r. 93 + r. 97 + r. 100)</v>
      </c>
      <c r="D131" s="465" t="s">
        <v>1784</v>
      </c>
      <c r="E131" s="465" t="s">
        <v>2044</v>
      </c>
      <c r="F131" s="465" t="s">
        <v>2505</v>
      </c>
    </row>
    <row r="132" spans="2:6">
      <c r="B132" s="390">
        <f t="shared" si="2"/>
        <v>132</v>
      </c>
      <c r="C132" s="391" t="str">
        <f>VLOOKUP(B132,B:F,HLOOKUP(Cover!$B$3,$B$4:$F$5,2,0),0)</f>
        <v>Základné imanie súčet (r. 82 až r. 84)</v>
      </c>
      <c r="D132" s="465" t="s">
        <v>1928</v>
      </c>
      <c r="E132" s="465" t="s">
        <v>2045</v>
      </c>
      <c r="F132" s="465" t="s">
        <v>2506</v>
      </c>
    </row>
    <row r="133" spans="2:6">
      <c r="B133" s="390">
        <f t="shared" si="2"/>
        <v>133</v>
      </c>
      <c r="C133" s="391" t="str">
        <f>VLOOKUP(B133,B:F,HLOOKUP(Cover!$B$3,$B$4:$F$5,2,0),0)</f>
        <v>Základné imanie (411 alebo +/- 491)</v>
      </c>
      <c r="D133" s="465" t="s">
        <v>587</v>
      </c>
      <c r="E133" s="465" t="s">
        <v>2046</v>
      </c>
      <c r="F133" s="465" t="s">
        <v>2507</v>
      </c>
    </row>
    <row r="134" spans="2:6">
      <c r="B134" s="390">
        <f t="shared" si="2"/>
        <v>134</v>
      </c>
      <c r="C134" s="391" t="str">
        <f>VLOOKUP(B134,B:F,HLOOKUP(Cover!$B$3,$B$4:$F$5,2,0),0)</f>
        <v>Zmena základného imania +/- 419</v>
      </c>
      <c r="D134" s="465" t="s">
        <v>588</v>
      </c>
      <c r="E134" s="465" t="s">
        <v>2047</v>
      </c>
      <c r="F134" s="465" t="s">
        <v>2508</v>
      </c>
    </row>
    <row r="135" spans="2:6">
      <c r="B135" s="390">
        <f t="shared" si="2"/>
        <v>135</v>
      </c>
      <c r="C135" s="391" t="str">
        <f>VLOOKUP(B135,B:F,HLOOKUP(Cover!$B$3,$B$4:$F$5,2,0),0)</f>
        <v>Pohľadávky za upísané vlastné imanie (/-/353)</v>
      </c>
      <c r="D135" s="465" t="s">
        <v>589</v>
      </c>
      <c r="E135" s="465" t="s">
        <v>2048</v>
      </c>
      <c r="F135" s="465" t="s">
        <v>2509</v>
      </c>
    </row>
    <row r="136" spans="2:6">
      <c r="B136" s="390">
        <f t="shared" si="2"/>
        <v>136</v>
      </c>
      <c r="C136" s="391" t="str">
        <f>VLOOKUP(B136,B:F,HLOOKUP(Cover!$B$3,$B$4:$F$5,2,0),0)</f>
        <v>Emisné ážio (412)</v>
      </c>
      <c r="D136" s="465" t="s">
        <v>590</v>
      </c>
      <c r="E136" s="465" t="s">
        <v>2049</v>
      </c>
      <c r="F136" s="465" t="s">
        <v>2510</v>
      </c>
    </row>
    <row r="137" spans="2:6">
      <c r="B137" s="390">
        <f t="shared" si="2"/>
        <v>137</v>
      </c>
      <c r="C137" s="391" t="str">
        <f>VLOOKUP(B137,B:F,HLOOKUP(Cover!$B$3,$B$4:$F$5,2,0),0)</f>
        <v>Ostatné kapitálové fondy (413)</v>
      </c>
      <c r="D137" s="465" t="s">
        <v>591</v>
      </c>
      <c r="E137" s="465" t="s">
        <v>2050</v>
      </c>
      <c r="F137" s="465" t="s">
        <v>2511</v>
      </c>
    </row>
    <row r="138" spans="2:6">
      <c r="B138" s="390">
        <f t="shared" si="2"/>
        <v>138</v>
      </c>
      <c r="C138" s="391" t="str">
        <f>VLOOKUP(B138,B:F,HLOOKUP(Cover!$B$3,$B$4:$F$5,2,0),0)</f>
        <v>Zákonné rezervné fondy r. 88 + r. 89</v>
      </c>
      <c r="D138" s="465" t="s">
        <v>1653</v>
      </c>
      <c r="E138" s="465" t="s">
        <v>2051</v>
      </c>
      <c r="F138" s="465" t="s">
        <v>2512</v>
      </c>
    </row>
    <row r="139" spans="2:6">
      <c r="B139" s="390">
        <f t="shared" si="2"/>
        <v>139</v>
      </c>
      <c r="C139" s="391" t="str">
        <f>VLOOKUP(B139,B:F,HLOOKUP(Cover!$B$3,$B$4:$F$5,2,0),0)</f>
        <v>Zákonný rezervný fond a nedeliteľný fond (417A, 418, 421A, 422)</v>
      </c>
      <c r="D139" s="465" t="s">
        <v>1655</v>
      </c>
      <c r="E139" s="465" t="s">
        <v>2052</v>
      </c>
      <c r="F139" s="465" t="s">
        <v>2513</v>
      </c>
    </row>
    <row r="140" spans="2:6">
      <c r="B140" s="390">
        <f t="shared" si="2"/>
        <v>140</v>
      </c>
      <c r="C140" s="391" t="str">
        <f>VLOOKUP(B140,B:F,HLOOKUP(Cover!$B$3,$B$4:$F$5,2,0),0)</f>
        <v>Rezervný fond na vlastné akcie a vlastné podiely (417A, 421A)</v>
      </c>
      <c r="D140" s="465" t="s">
        <v>1657</v>
      </c>
      <c r="E140" s="465" t="s">
        <v>2053</v>
      </c>
      <c r="F140" s="465" t="s">
        <v>2514</v>
      </c>
    </row>
    <row r="141" spans="2:6">
      <c r="B141" s="390">
        <f t="shared" si="2"/>
        <v>141</v>
      </c>
      <c r="C141" s="391" t="str">
        <f>VLOOKUP(B141,B:F,HLOOKUP(Cover!$B$3,$B$4:$F$5,2,0),0)</f>
        <v>Ostatné fondy zo zisku r. 91 + r. 92</v>
      </c>
      <c r="D141" s="465" t="s">
        <v>2515</v>
      </c>
      <c r="E141" s="465" t="s">
        <v>2054</v>
      </c>
      <c r="F141" s="465" t="s">
        <v>2516</v>
      </c>
    </row>
    <row r="142" spans="2:6">
      <c r="B142" s="390">
        <f t="shared" si="2"/>
        <v>142</v>
      </c>
      <c r="C142" s="391" t="str">
        <f>VLOOKUP(B142,B:F,HLOOKUP(Cover!$B$3,$B$4:$F$5,2,0),0)</f>
        <v>Štatutárne fondy (423, 42X)</v>
      </c>
      <c r="D142" s="465" t="s">
        <v>1785</v>
      </c>
      <c r="E142" s="465" t="s">
        <v>2055</v>
      </c>
      <c r="F142" s="465" t="s">
        <v>2517</v>
      </c>
    </row>
    <row r="143" spans="2:6">
      <c r="B143" s="390">
        <f t="shared" si="2"/>
        <v>143</v>
      </c>
      <c r="C143" s="391" t="str">
        <f>VLOOKUP(B143,B:F,HLOOKUP(Cover!$B$3,$B$4:$F$5,2,0),0)</f>
        <v>Ostatné fondy (427, 42X)</v>
      </c>
      <c r="D143" s="465" t="s">
        <v>1664</v>
      </c>
      <c r="E143" s="465" t="s">
        <v>2056</v>
      </c>
      <c r="F143" s="465" t="s">
        <v>2518</v>
      </c>
    </row>
    <row r="144" spans="2:6">
      <c r="B144" s="390">
        <f t="shared" si="2"/>
        <v>144</v>
      </c>
      <c r="C144" s="391" t="str">
        <f>VLOOKUP(B144,B:F,HLOOKUP(Cover!$B$3,$B$4:$F$5,2,0),0)</f>
        <v>Oceňovacie rozdiely z precenenia súčet (r. 94 až r. 96)</v>
      </c>
      <c r="D144" s="465" t="s">
        <v>1667</v>
      </c>
      <c r="E144" s="465" t="s">
        <v>2057</v>
      </c>
      <c r="F144" s="465" t="s">
        <v>2519</v>
      </c>
    </row>
    <row r="145" spans="2:6">
      <c r="B145" s="390">
        <f t="shared" si="2"/>
        <v>145</v>
      </c>
      <c r="C145" s="391" t="str">
        <f>VLOOKUP(B145,B:F,HLOOKUP(Cover!$B$3,$B$4:$F$5,2,0),0)</f>
        <v>Oceňovacie rozdiely z precenenia majetku a záväzkov (+/- 414)</v>
      </c>
      <c r="D145" s="465" t="s">
        <v>592</v>
      </c>
      <c r="E145" s="465" t="s">
        <v>2058</v>
      </c>
      <c r="F145" s="465" t="s">
        <v>2520</v>
      </c>
    </row>
    <row r="146" spans="2:6">
      <c r="B146" s="390">
        <f t="shared" si="2"/>
        <v>146</v>
      </c>
      <c r="C146" s="391" t="str">
        <f>VLOOKUP(B146,B:F,HLOOKUP(Cover!$B$3,$B$4:$F$5,2,0),0)</f>
        <v>Oceňovacie rozdiely z kapitálových účastín (+/- 415)</v>
      </c>
      <c r="D146" s="465" t="s">
        <v>593</v>
      </c>
      <c r="E146" s="465" t="s">
        <v>2059</v>
      </c>
      <c r="F146" s="465" t="s">
        <v>2521</v>
      </c>
    </row>
    <row r="147" spans="2:6">
      <c r="B147" s="390">
        <f t="shared" si="2"/>
        <v>147</v>
      </c>
      <c r="C147" s="391" t="str">
        <f>VLOOKUP(B147,B:F,HLOOKUP(Cover!$B$3,$B$4:$F$5,2,0),0)</f>
        <v>Oceňovacie rozdiely z precenenia pri zlúčení, splynutí a rozdelení (+/- 416)</v>
      </c>
      <c r="D147" s="465" t="s">
        <v>594</v>
      </c>
      <c r="E147" s="465" t="s">
        <v>2060</v>
      </c>
      <c r="F147" s="465" t="s">
        <v>2522</v>
      </c>
    </row>
    <row r="148" spans="2:6">
      <c r="B148" s="390">
        <f t="shared" si="2"/>
        <v>148</v>
      </c>
      <c r="C148" s="391" t="str">
        <f>VLOOKUP(B148,B:F,HLOOKUP(Cover!$B$3,$B$4:$F$5,2,0),0)</f>
        <v>Výsledok hospodárenia minulých rokov r. 98 + r. 99</v>
      </c>
      <c r="D148" s="465" t="s">
        <v>2523</v>
      </c>
      <c r="E148" s="465" t="s">
        <v>2061</v>
      </c>
      <c r="F148" s="465" t="s">
        <v>2524</v>
      </c>
    </row>
    <row r="149" spans="2:6">
      <c r="B149" s="390">
        <f t="shared" si="2"/>
        <v>149</v>
      </c>
      <c r="C149" s="391" t="str">
        <f>VLOOKUP(B149,B:F,HLOOKUP(Cover!$B$3,$B$4:$F$5,2,0),0)</f>
        <v>Nerozdelený zisk minulých rokov (428)</v>
      </c>
      <c r="D149" s="465" t="s">
        <v>597</v>
      </c>
      <c r="E149" s="465" t="s">
        <v>2062</v>
      </c>
      <c r="F149" s="465" t="s">
        <v>2525</v>
      </c>
    </row>
    <row r="150" spans="2:6">
      <c r="B150" s="390">
        <f t="shared" si="2"/>
        <v>150</v>
      </c>
      <c r="C150" s="391" t="str">
        <f>VLOOKUP(B150,B:F,HLOOKUP(Cover!$B$3,$B$4:$F$5,2,0),0)</f>
        <v>Neuhradená strata minulých rokov (/-/429)</v>
      </c>
      <c r="D150" s="465" t="s">
        <v>599</v>
      </c>
      <c r="E150" s="465" t="s">
        <v>2063</v>
      </c>
      <c r="F150" s="465" t="s">
        <v>2526</v>
      </c>
    </row>
    <row r="151" spans="2:6">
      <c r="B151" s="390">
        <f t="shared" si="2"/>
        <v>151</v>
      </c>
      <c r="C151" s="391" t="str">
        <f>VLOOKUP(B151,B:F,HLOOKUP(Cover!$B$3,$B$4:$F$5,2,0),0)</f>
        <v>Výsledok hospodárenia za účtovné obdobie po zdanení /+-/ r. 01 - (r. 81 + r. 85 + r. 86 + r. 87 + r. 90 + r. 93 + r. 97 + r. 101 + r. 141)</v>
      </c>
      <c r="D151" s="465" t="s">
        <v>1791</v>
      </c>
      <c r="E151" s="465" t="s">
        <v>2527</v>
      </c>
      <c r="F151" s="465" t="s">
        <v>2528</v>
      </c>
    </row>
    <row r="152" spans="2:6">
      <c r="B152" s="390">
        <f t="shared" si="2"/>
        <v>152</v>
      </c>
      <c r="C152" s="391" t="str">
        <f>VLOOKUP(B152,B:F,HLOOKUP(Cover!$B$3,$B$4:$F$5,2,0),0)</f>
        <v>Záväzky (r. 102 + r. 118 + r. 121 + r. 122 + r. 136 + r. 139 + r. 140)</v>
      </c>
      <c r="D152" s="465" t="s">
        <v>1792</v>
      </c>
      <c r="E152" s="465" t="s">
        <v>2529</v>
      </c>
      <c r="F152" s="465" t="s">
        <v>2530</v>
      </c>
    </row>
    <row r="153" spans="2:6">
      <c r="B153" s="390">
        <f t="shared" si="2"/>
        <v>153</v>
      </c>
      <c r="C153" s="391" t="str">
        <f>VLOOKUP(B153,B:F,HLOOKUP(Cover!$B$3,$B$4:$F$5,2,0),0)</f>
        <v>Dlhodobé záväzky súčet (r. 103 + r. 107 až r. 117)</v>
      </c>
      <c r="D153" s="465" t="s">
        <v>1793</v>
      </c>
      <c r="E153" s="465" t="s">
        <v>2064</v>
      </c>
      <c r="F153" s="465" t="s">
        <v>2531</v>
      </c>
    </row>
    <row r="154" spans="2:6">
      <c r="B154" s="390">
        <f t="shared" si="2"/>
        <v>154</v>
      </c>
      <c r="C154" s="391" t="str">
        <f>VLOOKUP(B154,B:F,HLOOKUP(Cover!$B$3,$B$4:$F$5,2,0),0)</f>
        <v>Dlhodobé záväzky z obchodného styku súčet (r. 104 až r. 106)</v>
      </c>
      <c r="D154" s="465" t="s">
        <v>1794</v>
      </c>
      <c r="E154" s="465" t="s">
        <v>2532</v>
      </c>
      <c r="F154" s="465" t="s">
        <v>2533</v>
      </c>
    </row>
    <row r="155" spans="2:6">
      <c r="B155" s="390">
        <f t="shared" si="2"/>
        <v>155</v>
      </c>
      <c r="C155" s="391" t="str">
        <f>VLOOKUP(B155,B:F,HLOOKUP(Cover!$B$3,$B$4:$F$5,2,0),0)</f>
        <v>Záväzky z obchodného styku voči prepojeným účtovným jednotkám (321A, 475A, 476A)</v>
      </c>
      <c r="D155" s="465" t="s">
        <v>1679</v>
      </c>
      <c r="E155" s="466" t="s">
        <v>2534</v>
      </c>
      <c r="F155" s="466" t="s">
        <v>2535</v>
      </c>
    </row>
    <row r="156" spans="2:6">
      <c r="B156" s="390">
        <f t="shared" ref="B156:B219" si="3">B155+1</f>
        <v>156</v>
      </c>
      <c r="C156" s="391" t="str">
        <f>VLOOKUP(B156,B:F,HLOOKUP(Cover!$B$3,$B$4:$F$5,2,0),0)</f>
        <v>Záväzky z obchodného styku v rámci podielovej účasti okrem záväzkov voči prepojeným účtovným jednotkám (321A, 475A, 476A)</v>
      </c>
      <c r="D156" s="465" t="s">
        <v>1680</v>
      </c>
      <c r="E156" s="466" t="s">
        <v>2536</v>
      </c>
      <c r="F156" s="466" t="s">
        <v>2537</v>
      </c>
    </row>
    <row r="157" spans="2:6">
      <c r="B157" s="390">
        <f t="shared" si="3"/>
        <v>157</v>
      </c>
      <c r="C157" s="391" t="str">
        <f>VLOOKUP(B157,B:F,HLOOKUP(Cover!$B$3,$B$4:$F$5,2,0),0)</f>
        <v>Ostatné záväzky z obchodného styku (321A, 475A, 476A)</v>
      </c>
      <c r="D157" s="465" t="s">
        <v>1681</v>
      </c>
      <c r="E157" s="465" t="s">
        <v>2065</v>
      </c>
      <c r="F157" s="465" t="s">
        <v>2538</v>
      </c>
    </row>
    <row r="158" spans="2:6">
      <c r="B158" s="390">
        <f t="shared" si="3"/>
        <v>158</v>
      </c>
      <c r="C158" s="391" t="str">
        <f>VLOOKUP(B158,B:F,HLOOKUP(Cover!$B$3,$B$4:$F$5,2,0),0)</f>
        <v>Čistá hodnota zákazky (316A)</v>
      </c>
      <c r="D158" s="465" t="s">
        <v>552</v>
      </c>
      <c r="E158" s="465" t="s">
        <v>2788</v>
      </c>
      <c r="F158" s="465" t="s">
        <v>2460</v>
      </c>
    </row>
    <row r="159" spans="2:6">
      <c r="B159" s="390">
        <f t="shared" si="3"/>
        <v>159</v>
      </c>
      <c r="C159" s="391" t="str">
        <f>VLOOKUP(B159,B:F,HLOOKUP(Cover!$B$3,$B$4:$F$5,2,0),0)</f>
        <v>Ostatné záväzky voči prepojeným účtovným jednotkám (471A, 47XA)</v>
      </c>
      <c r="D159" s="465" t="s">
        <v>1682</v>
      </c>
      <c r="E159" s="466" t="s">
        <v>2539</v>
      </c>
      <c r="F159" s="466" t="s">
        <v>2540</v>
      </c>
    </row>
    <row r="160" spans="2:6">
      <c r="B160" s="390">
        <f t="shared" si="3"/>
        <v>160</v>
      </c>
      <c r="C160" s="391" t="str">
        <f>VLOOKUP(B160,B:F,HLOOKUP(Cover!$B$3,$B$4:$F$5,2,0),0)</f>
        <v>Ostatné záväzky v rámci podielovej účasti okrem záväzkov voči prepojeným účtovným jednotkám (471A, 47XA)</v>
      </c>
      <c r="D160" s="465" t="s">
        <v>1683</v>
      </c>
      <c r="E160" s="466" t="s">
        <v>2541</v>
      </c>
      <c r="F160" s="466" t="s">
        <v>2542</v>
      </c>
    </row>
    <row r="161" spans="2:6">
      <c r="B161" s="390">
        <f t="shared" si="3"/>
        <v>161</v>
      </c>
      <c r="C161" s="391" t="str">
        <f>VLOOKUP(B161,B:F,HLOOKUP(Cover!$B$3,$B$4:$F$5,2,0),0)</f>
        <v>Ostatné dlhodobé záväzky (479A, 47XA)</v>
      </c>
      <c r="D161" s="465" t="s">
        <v>1684</v>
      </c>
      <c r="E161" s="465" t="s">
        <v>2066</v>
      </c>
      <c r="F161" s="465" t="s">
        <v>2543</v>
      </c>
    </row>
    <row r="162" spans="2:6">
      <c r="B162" s="390">
        <f t="shared" si="3"/>
        <v>162</v>
      </c>
      <c r="C162" s="391" t="str">
        <f>VLOOKUP(B162,B:F,HLOOKUP(Cover!$B$3,$B$4:$F$5,2,0),0)</f>
        <v>Dlhodobé prijaté preddavky (475A)</v>
      </c>
      <c r="D162" s="465" t="s">
        <v>602</v>
      </c>
      <c r="E162" s="465" t="s">
        <v>2067</v>
      </c>
      <c r="F162" s="465" t="s">
        <v>2544</v>
      </c>
    </row>
    <row r="163" spans="2:6">
      <c r="B163" s="390">
        <f t="shared" si="3"/>
        <v>163</v>
      </c>
      <c r="C163" s="391" t="str">
        <f>VLOOKUP(B163,B:F,HLOOKUP(Cover!$B$3,$B$4:$F$5,2,0),0)</f>
        <v>Dlhodobé zmenky na úhradu (478A)</v>
      </c>
      <c r="D163" s="465" t="s">
        <v>604</v>
      </c>
      <c r="E163" s="465" t="s">
        <v>2068</v>
      </c>
      <c r="F163" s="465" t="s">
        <v>2545</v>
      </c>
    </row>
    <row r="164" spans="2:6">
      <c r="B164" s="390">
        <f t="shared" si="3"/>
        <v>164</v>
      </c>
      <c r="C164" s="391" t="str">
        <f>VLOOKUP(B164,B:F,HLOOKUP(Cover!$B$3,$B$4:$F$5,2,0),0)</f>
        <v>Vydané dlhopisy (473A/-/255A)</v>
      </c>
      <c r="D164" s="465" t="s">
        <v>607</v>
      </c>
      <c r="E164" s="465" t="s">
        <v>2069</v>
      </c>
      <c r="F164" s="465" t="s">
        <v>2546</v>
      </c>
    </row>
    <row r="165" spans="2:6">
      <c r="B165" s="390">
        <f t="shared" si="3"/>
        <v>165</v>
      </c>
      <c r="C165" s="391" t="str">
        <f>VLOOKUP(B165,B:F,HLOOKUP(Cover!$B$3,$B$4:$F$5,2,0),0)</f>
        <v>Záväzky zo sociálneho fondu (472)</v>
      </c>
      <c r="D165" s="465" t="s">
        <v>609</v>
      </c>
      <c r="E165" s="465" t="s">
        <v>2070</v>
      </c>
      <c r="F165" s="465" t="s">
        <v>2547</v>
      </c>
    </row>
    <row r="166" spans="2:6">
      <c r="B166" s="390">
        <f t="shared" si="3"/>
        <v>166</v>
      </c>
      <c r="C166" s="391" t="str">
        <f>VLOOKUP(B166,B:F,HLOOKUP(Cover!$B$3,$B$4:$F$5,2,0),0)</f>
        <v>Iné dlhodobé záväzky (336A, 372A, 474A, 47XA)</v>
      </c>
      <c r="D166" s="465" t="s">
        <v>1802</v>
      </c>
      <c r="E166" s="465" t="s">
        <v>2548</v>
      </c>
      <c r="F166" s="465" t="s">
        <v>2549</v>
      </c>
    </row>
    <row r="167" spans="2:6">
      <c r="B167" s="390">
        <f t="shared" si="3"/>
        <v>167</v>
      </c>
      <c r="C167" s="391" t="str">
        <f>VLOOKUP(B167,B:F,HLOOKUP(Cover!$B$3,$B$4:$F$5,2,0),0)</f>
        <v>Dlhodobé záväzky z derivátových operácií (373A, 377A)</v>
      </c>
      <c r="D167" s="465" t="s">
        <v>1804</v>
      </c>
      <c r="E167" s="465" t="s">
        <v>2071</v>
      </c>
      <c r="F167" s="465" t="s">
        <v>2550</v>
      </c>
    </row>
    <row r="168" spans="2:6">
      <c r="B168" s="390">
        <f t="shared" si="3"/>
        <v>168</v>
      </c>
      <c r="C168" s="391" t="str">
        <f>VLOOKUP(B168,B:F,HLOOKUP(Cover!$B$3,$B$4:$F$5,2,0),0)</f>
        <v>Odložený daňový záväzok (481A)</v>
      </c>
      <c r="D168" s="465" t="s">
        <v>612</v>
      </c>
      <c r="E168" s="465" t="s">
        <v>2072</v>
      </c>
      <c r="F168" s="465" t="s">
        <v>2551</v>
      </c>
    </row>
    <row r="169" spans="2:6">
      <c r="B169" s="390">
        <f t="shared" si="3"/>
        <v>169</v>
      </c>
      <c r="C169" s="391" t="str">
        <f>VLOOKUP(B169,B:F,HLOOKUP(Cover!$B$3,$B$4:$F$5,2,0),0)</f>
        <v>Dlhodobé rezervy r. 119 + r. 120</v>
      </c>
      <c r="D169" s="465" t="s">
        <v>2552</v>
      </c>
      <c r="E169" s="465" t="s">
        <v>2073</v>
      </c>
      <c r="F169" s="465" t="s">
        <v>2553</v>
      </c>
    </row>
    <row r="170" spans="2:6">
      <c r="B170" s="390">
        <f t="shared" si="3"/>
        <v>170</v>
      </c>
      <c r="C170" s="391" t="str">
        <f>VLOOKUP(B170,B:F,HLOOKUP(Cover!$B$3,$B$4:$F$5,2,0),0)</f>
        <v>Zákonné rezervy (451A)</v>
      </c>
      <c r="D170" s="465" t="s">
        <v>1688</v>
      </c>
      <c r="E170" s="465" t="s">
        <v>2074</v>
      </c>
      <c r="F170" s="465" t="s">
        <v>2554</v>
      </c>
    </row>
    <row r="171" spans="2:6">
      <c r="B171" s="390">
        <f t="shared" si="3"/>
        <v>171</v>
      </c>
      <c r="C171" s="391" t="str">
        <f>VLOOKUP(B171,B:F,HLOOKUP(Cover!$B$3,$B$4:$F$5,2,0),0)</f>
        <v>Ostatné rezervy (459A, 45XA)</v>
      </c>
      <c r="D171" s="465" t="s">
        <v>1689</v>
      </c>
      <c r="E171" s="465" t="s">
        <v>2075</v>
      </c>
      <c r="F171" s="465" t="s">
        <v>2555</v>
      </c>
    </row>
    <row r="172" spans="2:6">
      <c r="B172" s="390">
        <f t="shared" si="3"/>
        <v>172</v>
      </c>
      <c r="C172" s="391" t="str">
        <f>VLOOKUP(B172,B:F,HLOOKUP(Cover!$B$3,$B$4:$F$5,2,0),0)</f>
        <v>Dlhodobé bankové úvery (461A, 46XA)</v>
      </c>
      <c r="D172" s="465" t="s">
        <v>1690</v>
      </c>
      <c r="E172" s="465" t="s">
        <v>2076</v>
      </c>
      <c r="F172" s="465" t="s">
        <v>2556</v>
      </c>
    </row>
    <row r="173" spans="2:6">
      <c r="B173" s="390">
        <f t="shared" si="3"/>
        <v>173</v>
      </c>
      <c r="C173" s="391" t="str">
        <f>VLOOKUP(B173,B:F,HLOOKUP(Cover!$B$3,$B$4:$F$5,2,0),0)</f>
        <v>Krátkodobé záväzky súčet (r. 123 + r. 127 až r. 135)</v>
      </c>
      <c r="D173" s="465" t="s">
        <v>1806</v>
      </c>
      <c r="E173" s="465" t="s">
        <v>2077</v>
      </c>
      <c r="F173" s="465" t="s">
        <v>2557</v>
      </c>
    </row>
    <row r="174" spans="2:6">
      <c r="B174" s="390">
        <f t="shared" si="3"/>
        <v>174</v>
      </c>
      <c r="C174" s="391" t="str">
        <f>VLOOKUP(B174,B:F,HLOOKUP(Cover!$B$3,$B$4:$F$5,2,0),0)</f>
        <v>Záväzky z obchodného styku súčet (r. 124 až r. 126)</v>
      </c>
      <c r="D174" s="465" t="s">
        <v>1692</v>
      </c>
      <c r="E174" s="465" t="s">
        <v>2078</v>
      </c>
      <c r="F174" s="465" t="s">
        <v>2558</v>
      </c>
    </row>
    <row r="175" spans="2:6">
      <c r="B175" s="390">
        <f t="shared" si="3"/>
        <v>175</v>
      </c>
      <c r="C175" s="391" t="str">
        <f>VLOOKUP(B175,B:F,HLOOKUP(Cover!$B$3,$B$4:$F$5,2,0),0)</f>
        <v>Záväzky z obchodného styku voči prepojeným účtovným jednotkám (321A, 322A, 324A, 325A, 326A, 32XA, 475A, 476A, 478A, 47XA)</v>
      </c>
      <c r="D175" s="465" t="s">
        <v>1693</v>
      </c>
      <c r="E175" s="466" t="s">
        <v>2559</v>
      </c>
      <c r="F175" s="466" t="s">
        <v>2560</v>
      </c>
    </row>
    <row r="176" spans="2:6">
      <c r="B176" s="390">
        <f t="shared" si="3"/>
        <v>176</v>
      </c>
      <c r="C176" s="391" t="str">
        <f>VLOOKUP(B176,B:F,HLOOKUP(Cover!$B$3,$B$4:$F$5,2,0),0)</f>
        <v>Záväzky z obchodného styku v rámci podielovej účasti okrem záväzkov voči prepojeným účtovným jednotkám (321A, 322A, 324A, 325A, 326A, 32XA, 475A, 476A, 478A, 47XA)</v>
      </c>
      <c r="D176" s="465" t="s">
        <v>1809</v>
      </c>
      <c r="E176" s="466" t="s">
        <v>2561</v>
      </c>
      <c r="F176" s="466" t="s">
        <v>2562</v>
      </c>
    </row>
    <row r="177" spans="2:6">
      <c r="B177" s="390">
        <f t="shared" si="3"/>
        <v>177</v>
      </c>
      <c r="C177" s="391" t="str">
        <f>VLOOKUP(B177,B:F,HLOOKUP(Cover!$B$3,$B$4:$F$5,2,0),0)</f>
        <v>Ostatné záväzky z obchodného styku (321A, 322A, 324A, 325A, 326A, 32XA, 475A, 476A, 478A, 47XA)</v>
      </c>
      <c r="D177" s="465" t="s">
        <v>1694</v>
      </c>
      <c r="E177" s="465" t="s">
        <v>2079</v>
      </c>
      <c r="F177" s="465" t="s">
        <v>2563</v>
      </c>
    </row>
    <row r="178" spans="2:6">
      <c r="B178" s="390">
        <f t="shared" si="3"/>
        <v>178</v>
      </c>
      <c r="C178" s="391" t="str">
        <f>VLOOKUP(B178,B:F,HLOOKUP(Cover!$B$3,$B$4:$F$5,2,0),0)</f>
        <v>Čistá hodnota zákazky (316A)</v>
      </c>
      <c r="D178" s="465" t="s">
        <v>552</v>
      </c>
      <c r="E178" s="465" t="s">
        <v>2788</v>
      </c>
      <c r="F178" s="465" t="s">
        <v>2460</v>
      </c>
    </row>
    <row r="179" spans="2:6">
      <c r="B179" s="390">
        <f t="shared" si="3"/>
        <v>179</v>
      </c>
      <c r="C179" s="391" t="str">
        <f>VLOOKUP(B179,B:F,HLOOKUP(Cover!$B$3,$B$4:$F$5,2,0),0)</f>
        <v>Ostatné záväzky voči prepojeným účtovným jednotkám (361A, 36XA, 471A, 47XA)</v>
      </c>
      <c r="D179" s="465" t="s">
        <v>1697</v>
      </c>
      <c r="E179" s="466" t="s">
        <v>2564</v>
      </c>
      <c r="F179" s="466" t="s">
        <v>2565</v>
      </c>
    </row>
    <row r="180" spans="2:6">
      <c r="B180" s="390">
        <f t="shared" si="3"/>
        <v>180</v>
      </c>
      <c r="C180" s="391" t="str">
        <f>VLOOKUP(B180,B:F,HLOOKUP(Cover!$B$3,$B$4:$F$5,2,0),0)</f>
        <v>Ostatné záväzky v rámci podielovej účasti okrem záväzkov voči prepojeným účtovným jednotkám (361A, 36XA, 471A, 47XA)</v>
      </c>
      <c r="D180" s="465" t="s">
        <v>1699</v>
      </c>
      <c r="E180" s="466" t="s">
        <v>2566</v>
      </c>
      <c r="F180" s="466" t="s">
        <v>2567</v>
      </c>
    </row>
    <row r="181" spans="2:6">
      <c r="B181" s="390">
        <f t="shared" si="3"/>
        <v>181</v>
      </c>
      <c r="C181" s="391" t="str">
        <f>VLOOKUP(B181,B:F,HLOOKUP(Cover!$B$3,$B$4:$F$5,2,0),0)</f>
        <v>Záväzky voči spoločníkom a združeniu (364, 365, 366, 367, 368, 398A, 478A, 479A)</v>
      </c>
      <c r="D181" s="465" t="s">
        <v>620</v>
      </c>
      <c r="E181" s="465" t="s">
        <v>2080</v>
      </c>
      <c r="F181" s="465" t="s">
        <v>2568</v>
      </c>
    </row>
    <row r="182" spans="2:6">
      <c r="B182" s="390">
        <f t="shared" si="3"/>
        <v>182</v>
      </c>
      <c r="C182" s="391" t="str">
        <f>VLOOKUP(B182,B:F,HLOOKUP(Cover!$B$3,$B$4:$F$5,2,0),0)</f>
        <v>Záväzky voči zamestnancom (331, 333, 33X, 479A)</v>
      </c>
      <c r="D182" s="465" t="s">
        <v>622</v>
      </c>
      <c r="E182" s="465" t="s">
        <v>2081</v>
      </c>
      <c r="F182" s="465" t="s">
        <v>2569</v>
      </c>
    </row>
    <row r="183" spans="2:6">
      <c r="B183" s="390">
        <f t="shared" si="3"/>
        <v>183</v>
      </c>
      <c r="C183" s="391" t="str">
        <f>VLOOKUP(B183,B:F,HLOOKUP(Cover!$B$3,$B$4:$F$5,2,0),0)</f>
        <v>Záväzky zo sociálneho poistenia (336A)</v>
      </c>
      <c r="D183" s="465" t="s">
        <v>1703</v>
      </c>
      <c r="E183" s="465" t="s">
        <v>2082</v>
      </c>
      <c r="F183" s="465" t="s">
        <v>2570</v>
      </c>
    </row>
    <row r="184" spans="2:6">
      <c r="B184" s="390">
        <f t="shared" si="3"/>
        <v>184</v>
      </c>
      <c r="C184" s="391" t="str">
        <f>VLOOKUP(B184,B:F,HLOOKUP(Cover!$B$3,$B$4:$F$5,2,0),0)</f>
        <v>Daňové záväzky a dotácie (341, 342, 343, 345, 346, 347, 34X)</v>
      </c>
      <c r="D184" s="465" t="s">
        <v>626</v>
      </c>
      <c r="E184" s="465" t="s">
        <v>2083</v>
      </c>
      <c r="F184" s="465" t="s">
        <v>2571</v>
      </c>
    </row>
    <row r="185" spans="2:6">
      <c r="B185" s="390">
        <f t="shared" si="3"/>
        <v>185</v>
      </c>
      <c r="C185" s="391" t="str">
        <f>VLOOKUP(B185,B:F,HLOOKUP(Cover!$B$3,$B$4:$F$5,2,0),0)</f>
        <v>Záväzky z derivátových operácií (373A, 377A)</v>
      </c>
      <c r="D185" s="465" t="s">
        <v>1706</v>
      </c>
      <c r="E185" s="465" t="s">
        <v>2084</v>
      </c>
      <c r="F185" s="465" t="s">
        <v>2572</v>
      </c>
    </row>
    <row r="186" spans="2:6">
      <c r="B186" s="390">
        <f t="shared" si="3"/>
        <v>186</v>
      </c>
      <c r="C186" s="391" t="str">
        <f>VLOOKUP(B186,B:F,HLOOKUP(Cover!$B$3,$B$4:$F$5,2,0),0)</f>
        <v>Iné záväzky (372A, 379A, 474A, 475A, 479A, 47XA)</v>
      </c>
      <c r="D186" s="465" t="s">
        <v>1816</v>
      </c>
      <c r="E186" s="465" t="s">
        <v>2085</v>
      </c>
      <c r="F186" s="465" t="s">
        <v>2573</v>
      </c>
    </row>
    <row r="187" spans="2:6">
      <c r="B187" s="390">
        <f t="shared" si="3"/>
        <v>187</v>
      </c>
      <c r="C187" s="391" t="str">
        <f>VLOOKUP(B187,B:F,HLOOKUP(Cover!$B$3,$B$4:$F$5,2,0),0)</f>
        <v>Krátkodobé rezervy r. 137 + r. 138</v>
      </c>
      <c r="D187" s="465" t="s">
        <v>2574</v>
      </c>
      <c r="E187" s="465" t="s">
        <v>2086</v>
      </c>
      <c r="F187" s="465" t="s">
        <v>2575</v>
      </c>
    </row>
    <row r="188" spans="2:6">
      <c r="B188" s="390">
        <f t="shared" si="3"/>
        <v>188</v>
      </c>
      <c r="C188" s="391" t="str">
        <f>VLOOKUP(B188,B:F,HLOOKUP(Cover!$B$3,$B$4:$F$5,2,0),0)</f>
        <v>Zákonné rezervy (323A, 451A)</v>
      </c>
      <c r="D188" s="465" t="s">
        <v>1710</v>
      </c>
      <c r="E188" s="465" t="s">
        <v>2087</v>
      </c>
      <c r="F188" s="465" t="s">
        <v>2576</v>
      </c>
    </row>
    <row r="189" spans="2:6">
      <c r="B189" s="390">
        <f t="shared" si="3"/>
        <v>189</v>
      </c>
      <c r="C189" s="391" t="str">
        <f>VLOOKUP(B189,B:F,HLOOKUP(Cover!$B$3,$B$4:$F$5,2,0),0)</f>
        <v>Ostatné rezervy (323A, 32X, 459A, 45XA)</v>
      </c>
      <c r="D189" s="465" t="s">
        <v>1712</v>
      </c>
      <c r="E189" s="465" t="s">
        <v>2088</v>
      </c>
      <c r="F189" s="465" t="s">
        <v>2577</v>
      </c>
    </row>
    <row r="190" spans="2:6">
      <c r="B190" s="390">
        <f t="shared" si="3"/>
        <v>190</v>
      </c>
      <c r="C190" s="391" t="str">
        <f>VLOOKUP(B190,B:F,HLOOKUP(Cover!$B$3,$B$4:$F$5,2,0),0)</f>
        <v>Bežné bankové úvery (221A, 231, 232, 23X, 461A, 46XA)</v>
      </c>
      <c r="D190" s="465" t="s">
        <v>636</v>
      </c>
      <c r="E190" s="465" t="s">
        <v>2089</v>
      </c>
      <c r="F190" s="465" t="s">
        <v>2578</v>
      </c>
    </row>
    <row r="191" spans="2:6">
      <c r="B191" s="390">
        <f t="shared" si="3"/>
        <v>191</v>
      </c>
      <c r="C191" s="391" t="str">
        <f>VLOOKUP(B191,B:F,HLOOKUP(Cover!$B$3,$B$4:$F$5,2,0),0)</f>
        <v>Krátkodobé finančné výpomoci (241, 249, 24X, 473A, /-/255A)</v>
      </c>
      <c r="D191" s="465" t="s">
        <v>629</v>
      </c>
      <c r="E191" s="465" t="s">
        <v>2579</v>
      </c>
      <c r="F191" s="465" t="s">
        <v>2580</v>
      </c>
    </row>
    <row r="192" spans="2:6">
      <c r="B192" s="390">
        <f t="shared" si="3"/>
        <v>192</v>
      </c>
      <c r="C192" s="391" t="str">
        <f>VLOOKUP(B192,B:F,HLOOKUP(Cover!$B$3,$B$4:$F$5,2,0),0)</f>
        <v>Časové rozlíšenie súčet (r. 142 až r. 145)</v>
      </c>
      <c r="D192" s="465" t="s">
        <v>1817</v>
      </c>
      <c r="E192" s="465" t="s">
        <v>2090</v>
      </c>
      <c r="F192" s="465" t="s">
        <v>2581</v>
      </c>
    </row>
    <row r="193" spans="2:6">
      <c r="B193" s="390">
        <f t="shared" si="3"/>
        <v>193</v>
      </c>
      <c r="C193" s="391" t="str">
        <f>VLOOKUP(B193,B:F,HLOOKUP(Cover!$B$3,$B$4:$F$5,2,0),0)</f>
        <v>Výdavky budúcich období dlhodobé (383A)</v>
      </c>
      <c r="D193" s="465" t="s">
        <v>639</v>
      </c>
      <c r="E193" s="465" t="s">
        <v>2091</v>
      </c>
      <c r="F193" s="465" t="s">
        <v>2582</v>
      </c>
    </row>
    <row r="194" spans="2:6">
      <c r="B194" s="390">
        <f t="shared" si="3"/>
        <v>194</v>
      </c>
      <c r="C194" s="391" t="str">
        <f>VLOOKUP(B194,B:F,HLOOKUP(Cover!$B$3,$B$4:$F$5,2,0),0)</f>
        <v>Výdavky budúcich období krátkodobé (383A)</v>
      </c>
      <c r="D194" s="465" t="s">
        <v>641</v>
      </c>
      <c r="E194" s="465" t="s">
        <v>2092</v>
      </c>
      <c r="F194" s="465" t="s">
        <v>2583</v>
      </c>
    </row>
    <row r="195" spans="2:6">
      <c r="B195" s="390">
        <f t="shared" si="3"/>
        <v>195</v>
      </c>
      <c r="C195" s="391" t="str">
        <f>VLOOKUP(B195,B:F,HLOOKUP(Cover!$B$3,$B$4:$F$5,2,0),0)</f>
        <v>Výnosy budúcich období dlhodobé (384A)</v>
      </c>
      <c r="D195" s="465" t="s">
        <v>643</v>
      </c>
      <c r="E195" s="465" t="s">
        <v>2093</v>
      </c>
      <c r="F195" s="465" t="s">
        <v>2584</v>
      </c>
    </row>
    <row r="196" spans="2:6">
      <c r="B196" s="390">
        <f t="shared" si="3"/>
        <v>196</v>
      </c>
      <c r="C196" s="391" t="str">
        <f>VLOOKUP(B196,B:F,HLOOKUP(Cover!$B$3,$B$4:$F$5,2,0),0)</f>
        <v>Výnosy budúcich období krátkodobé (384A)</v>
      </c>
      <c r="D196" s="465" t="s">
        <v>645</v>
      </c>
      <c r="E196" s="465" t="s">
        <v>2094</v>
      </c>
      <c r="F196" s="465" t="s">
        <v>2585</v>
      </c>
    </row>
    <row r="197" spans="2:6">
      <c r="B197" s="12">
        <f t="shared" si="3"/>
        <v>197</v>
      </c>
      <c r="C197" s="13" t="s">
        <v>954</v>
      </c>
      <c r="D197" s="467"/>
      <c r="E197" s="467"/>
      <c r="F197" s="467"/>
    </row>
    <row r="198" spans="2:6">
      <c r="B198" s="11">
        <f t="shared" si="3"/>
        <v>198</v>
      </c>
      <c r="C198" s="10" t="str">
        <f>VLOOKUP(B198,B:F,HLOOKUP(Cover!$B$3,$B$4:$F$5,2,0),0)</f>
        <v>Výkaz ziskov a strát za rok končiaci sa 31. decembra 2016</v>
      </c>
      <c r="D198" s="465" t="s">
        <v>3074</v>
      </c>
      <c r="E198" s="465" t="s">
        <v>3075</v>
      </c>
      <c r="F198" s="465" t="s">
        <v>3076</v>
      </c>
    </row>
    <row r="199" spans="2:6">
      <c r="B199" s="11">
        <f t="shared" si="3"/>
        <v>199</v>
      </c>
      <c r="C199" s="10" t="str">
        <f>VLOOKUP(B199,B:F,HLOOKUP(Cover!$B$3,$B$4:$F$5,2,0),0)</f>
        <v>TEXT</v>
      </c>
      <c r="D199" s="465" t="s">
        <v>647</v>
      </c>
      <c r="E199" s="465" t="s">
        <v>951</v>
      </c>
      <c r="F199" s="465" t="s">
        <v>647</v>
      </c>
    </row>
    <row r="200" spans="2:6">
      <c r="B200" s="11">
        <f t="shared" si="3"/>
        <v>200</v>
      </c>
      <c r="C200" s="10" t="str">
        <f>VLOOKUP(B200,B:F,HLOOKUP(Cover!$B$3,$B$4:$F$5,2,0),0)</f>
        <v>č.r.</v>
      </c>
      <c r="D200" s="465" t="s">
        <v>485</v>
      </c>
      <c r="E200" s="465" t="s">
        <v>884</v>
      </c>
      <c r="F200" s="465" t="s">
        <v>976</v>
      </c>
    </row>
    <row r="201" spans="2:6">
      <c r="B201" s="11">
        <f t="shared" si="3"/>
        <v>201</v>
      </c>
      <c r="C201" s="10" t="str">
        <f>VLOOKUP(B201,B:F,HLOOKUP(Cover!$B$3,$B$4:$F$5,2,0),0)</f>
        <v>Skutočnosť</v>
      </c>
      <c r="D201" s="465" t="s">
        <v>648</v>
      </c>
      <c r="E201" s="465" t="s">
        <v>952</v>
      </c>
      <c r="F201" s="465" t="s">
        <v>2586</v>
      </c>
    </row>
    <row r="202" spans="2:6">
      <c r="B202" s="11">
        <f t="shared" si="3"/>
        <v>202</v>
      </c>
      <c r="C202" s="10" t="str">
        <f>VLOOKUP(B202,B:F,HLOOKUP(Cover!$B$3,$B$4:$F$5,2,0),0)</f>
        <v>Bežné účtovné obdobie</v>
      </c>
      <c r="D202" s="465" t="s">
        <v>486</v>
      </c>
      <c r="E202" s="465" t="s">
        <v>944</v>
      </c>
      <c r="F202" s="465" t="s">
        <v>977</v>
      </c>
    </row>
    <row r="203" spans="2:6">
      <c r="B203" s="11">
        <f t="shared" si="3"/>
        <v>203</v>
      </c>
      <c r="C203" s="10" t="str">
        <f>VLOOKUP(B203,B:F,HLOOKUP(Cover!$B$3,$B$4:$F$5,2,0),0)</f>
        <v>Bezprostredne predchádzajúce účtovné obdobie</v>
      </c>
      <c r="D203" s="465" t="s">
        <v>487</v>
      </c>
      <c r="E203" s="465" t="s">
        <v>945</v>
      </c>
      <c r="F203" s="465" t="s">
        <v>2587</v>
      </c>
    </row>
    <row r="204" spans="2:6">
      <c r="B204" s="11">
        <f t="shared" si="3"/>
        <v>204</v>
      </c>
      <c r="C204" s="10" t="str">
        <f>VLOOKUP(B204,B:F,HLOOKUP(Cover!$B$3,$B$4:$F$5,2,0),0)</f>
        <v>(v eurách)</v>
      </c>
      <c r="D204" s="465" t="s">
        <v>494</v>
      </c>
      <c r="E204" s="465" t="s">
        <v>883</v>
      </c>
      <c r="F204" s="465" t="s">
        <v>969</v>
      </c>
    </row>
    <row r="205" spans="2:6">
      <c r="B205" s="352">
        <f t="shared" si="3"/>
        <v>205</v>
      </c>
      <c r="C205" s="350" t="str">
        <f>VLOOKUP(B205,B:F,HLOOKUP(Cover!$B$3,$B$4:$F$5,2,0),0)</f>
        <v>Čistý obrat (časť účt. tr. 6 podľa zákona)</v>
      </c>
      <c r="D205" s="465" t="s">
        <v>1726</v>
      </c>
      <c r="E205" s="465" t="s">
        <v>1941</v>
      </c>
      <c r="F205" s="465" t="s">
        <v>2588</v>
      </c>
    </row>
    <row r="206" spans="2:6">
      <c r="B206" s="352">
        <f t="shared" si="3"/>
        <v>206</v>
      </c>
      <c r="C206" s="350" t="str">
        <f>VLOOKUP(B206,B:F,HLOOKUP(Cover!$B$3,$B$4:$F$5,2,0),0)</f>
        <v>Výnosy z hospodárskej činnosti spolu súčet (r. 03 až r. 09)</v>
      </c>
      <c r="D206" s="465" t="s">
        <v>1818</v>
      </c>
      <c r="E206" s="465" t="s">
        <v>1942</v>
      </c>
      <c r="F206" s="465" t="s">
        <v>2589</v>
      </c>
    </row>
    <row r="207" spans="2:6">
      <c r="B207" s="352">
        <f t="shared" si="3"/>
        <v>207</v>
      </c>
      <c r="C207" s="350" t="str">
        <f>VLOOKUP(B207,B:F,HLOOKUP(Cover!$B$3,$B$4:$F$5,2,0),0)</f>
        <v>Tržby z predaja tovaru (604, 607)</v>
      </c>
      <c r="D207" s="465" t="s">
        <v>650</v>
      </c>
      <c r="E207" s="465" t="s">
        <v>1943</v>
      </c>
      <c r="F207" s="465" t="s">
        <v>2590</v>
      </c>
    </row>
    <row r="208" spans="2:6">
      <c r="B208" s="352">
        <f t="shared" si="3"/>
        <v>208</v>
      </c>
      <c r="C208" s="350" t="str">
        <f>VLOOKUP(B208,B:F,HLOOKUP(Cover!$B$3,$B$4:$F$5,2,0),0)</f>
        <v>Tržby z predaja vlastných výrobkov (601)</v>
      </c>
      <c r="D208" s="465" t="s">
        <v>1727</v>
      </c>
      <c r="E208" s="465" t="s">
        <v>1944</v>
      </c>
      <c r="F208" s="465" t="s">
        <v>2591</v>
      </c>
    </row>
    <row r="209" spans="2:6">
      <c r="B209" s="352">
        <f t="shared" si="3"/>
        <v>209</v>
      </c>
      <c r="C209" s="350" t="str">
        <f>VLOOKUP(B209,B:F,HLOOKUP(Cover!$B$3,$B$4:$F$5,2,0),0)</f>
        <v>Tržby z predaja služieb (602, 606)</v>
      </c>
      <c r="D209" s="465" t="s">
        <v>1728</v>
      </c>
      <c r="E209" s="465" t="s">
        <v>1945</v>
      </c>
      <c r="F209" s="465" t="s">
        <v>2592</v>
      </c>
    </row>
    <row r="210" spans="2:6">
      <c r="B210" s="352">
        <f t="shared" si="3"/>
        <v>210</v>
      </c>
      <c r="C210" s="350" t="str">
        <f>VLOOKUP(B210,B:F,HLOOKUP(Cover!$B$3,$B$4:$F$5,2,0),0)</f>
        <v>Zmeny stavu vnútroorganizačných zásob (+/- účtová skupina 61)</v>
      </c>
      <c r="D210" s="465" t="s">
        <v>657</v>
      </c>
      <c r="E210" s="465" t="s">
        <v>1946</v>
      </c>
      <c r="F210" s="465" t="s">
        <v>2593</v>
      </c>
    </row>
    <row r="211" spans="2:6">
      <c r="B211" s="352">
        <f t="shared" si="3"/>
        <v>211</v>
      </c>
      <c r="C211" s="350" t="str">
        <f>VLOOKUP(B211,B:F,HLOOKUP(Cover!$B$3,$B$4:$F$5,2,0),0)</f>
        <v>Aktivácia (účtová skupina 62)</v>
      </c>
      <c r="D211" s="465" t="s">
        <v>659</v>
      </c>
      <c r="E211" s="465" t="s">
        <v>1947</v>
      </c>
      <c r="F211" s="465" t="s">
        <v>2594</v>
      </c>
    </row>
    <row r="212" spans="2:6">
      <c r="B212" s="352">
        <f t="shared" si="3"/>
        <v>212</v>
      </c>
      <c r="C212" s="350" t="str">
        <f>VLOOKUP(B212,B:F,HLOOKUP(Cover!$B$3,$B$4:$F$5,2,0),0)</f>
        <v>Tržby z predaja dlhodobého nehmotného majetku, dlhodobého hmotného majetku a materiálu (641, 642)</v>
      </c>
      <c r="D212" s="465" t="s">
        <v>1729</v>
      </c>
      <c r="E212" s="465" t="s">
        <v>1948</v>
      </c>
      <c r="F212" s="465" t="s">
        <v>2595</v>
      </c>
    </row>
    <row r="213" spans="2:6">
      <c r="B213" s="352">
        <f t="shared" si="3"/>
        <v>213</v>
      </c>
      <c r="C213" s="350" t="str">
        <f>VLOOKUP(B213,B:F,HLOOKUP(Cover!$B$3,$B$4:$F$5,2,0),0)</f>
        <v>Ostatné  výnosy z hospodárskej činnosti (644, 645, 646, 648, 655, 657)</v>
      </c>
      <c r="D213" s="465" t="s">
        <v>676</v>
      </c>
      <c r="E213" s="465" t="s">
        <v>1949</v>
      </c>
      <c r="F213" s="465" t="s">
        <v>2596</v>
      </c>
    </row>
    <row r="214" spans="2:6">
      <c r="B214" s="352">
        <f t="shared" si="3"/>
        <v>214</v>
      </c>
      <c r="C214" s="350" t="str">
        <f>VLOOKUP(B214,B:F,HLOOKUP(Cover!$B$3,$B$4:$F$5,2,0),0)</f>
        <v>Náklady na hospodársku činnosť spolu (r. 11 + r. 12 + r. 13 + r.14 + r. 15 + r. 20 + r. 21 + r. 24 + r. 25 + r. 26)</v>
      </c>
      <c r="D214" s="465" t="s">
        <v>1819</v>
      </c>
      <c r="E214" s="465" t="s">
        <v>1950</v>
      </c>
      <c r="F214" s="465" t="s">
        <v>2597</v>
      </c>
    </row>
    <row r="215" spans="2:6">
      <c r="B215" s="352">
        <f t="shared" si="3"/>
        <v>215</v>
      </c>
      <c r="C215" s="350" t="str">
        <f>VLOOKUP(B215,B:F,HLOOKUP(Cover!$B$3,$B$4:$F$5,2,0),0)</f>
        <v>Náklady vynaložené na obstaranie predaného tovaru (504, 507)</v>
      </c>
      <c r="D215" s="465" t="s">
        <v>1730</v>
      </c>
      <c r="E215" s="465" t="s">
        <v>1951</v>
      </c>
      <c r="F215" s="465" t="s">
        <v>2598</v>
      </c>
    </row>
    <row r="216" spans="2:6">
      <c r="B216" s="352">
        <f t="shared" si="3"/>
        <v>216</v>
      </c>
      <c r="C216" s="350" t="str">
        <f>VLOOKUP(B216,B:F,HLOOKUP(Cover!$B$3,$B$4:$F$5,2,0),0)</f>
        <v>Spotreba materiálu, energie a ostatných neskladovateľných dodávok (501, 502, 503)</v>
      </c>
      <c r="D216" s="465" t="s">
        <v>1731</v>
      </c>
      <c r="E216" s="465" t="s">
        <v>1952</v>
      </c>
      <c r="F216" s="465" t="s">
        <v>2599</v>
      </c>
    </row>
    <row r="217" spans="2:6">
      <c r="B217" s="352">
        <f t="shared" si="3"/>
        <v>217</v>
      </c>
      <c r="C217" s="350" t="str">
        <f>VLOOKUP(B217,B:F,HLOOKUP(Cover!$B$3,$B$4:$F$5,2,0),0)</f>
        <v>Opravné položky k zásobám (+/-) (505)</v>
      </c>
      <c r="D217" s="465" t="s">
        <v>1732</v>
      </c>
      <c r="E217" s="465" t="s">
        <v>1953</v>
      </c>
      <c r="F217" s="465" t="s">
        <v>2600</v>
      </c>
    </row>
    <row r="218" spans="2:6">
      <c r="B218" s="352">
        <f t="shared" si="3"/>
        <v>218</v>
      </c>
      <c r="C218" s="350" t="str">
        <f>VLOOKUP(B218,B:F,HLOOKUP(Cover!$B$3,$B$4:$F$5,2,0),0)</f>
        <v>Služby (účtová skupina 51)</v>
      </c>
      <c r="D218" s="465" t="s">
        <v>663</v>
      </c>
      <c r="E218" s="465" t="s">
        <v>1954</v>
      </c>
      <c r="F218" s="465" t="s">
        <v>2601</v>
      </c>
    </row>
    <row r="219" spans="2:6">
      <c r="B219" s="352">
        <f t="shared" si="3"/>
        <v>219</v>
      </c>
      <c r="C219" s="350" t="str">
        <f>VLOOKUP(B219,B:F,HLOOKUP(Cover!$B$3,$B$4:$F$5,2,0),0)</f>
        <v>Osobné náklady súčet (r. 16 až r. 19)</v>
      </c>
      <c r="D219" s="465" t="s">
        <v>1733</v>
      </c>
      <c r="E219" s="465" t="s">
        <v>1955</v>
      </c>
      <c r="F219" s="465" t="s">
        <v>2602</v>
      </c>
    </row>
    <row r="220" spans="2:6">
      <c r="B220" s="352">
        <f t="shared" ref="B220:B283" si="4">B219+1</f>
        <v>220</v>
      </c>
      <c r="C220" s="350" t="str">
        <f>VLOOKUP(B220,B:F,HLOOKUP(Cover!$B$3,$B$4:$F$5,2,0),0)</f>
        <v>Mzdové náklady (521, 522)</v>
      </c>
      <c r="D220" s="465" t="s">
        <v>664</v>
      </c>
      <c r="E220" s="465" t="s">
        <v>1956</v>
      </c>
      <c r="F220" s="465" t="s">
        <v>2603</v>
      </c>
    </row>
    <row r="221" spans="2:6">
      <c r="B221" s="352">
        <f t="shared" si="4"/>
        <v>221</v>
      </c>
      <c r="C221" s="350" t="str">
        <f>VLOOKUP(B221,B:F,HLOOKUP(Cover!$B$3,$B$4:$F$5,2,0),0)</f>
        <v>Odmeny členom orgánov spoločnosti a družstva (523)</v>
      </c>
      <c r="D221" s="465" t="s">
        <v>665</v>
      </c>
      <c r="E221" s="465" t="s">
        <v>2604</v>
      </c>
      <c r="F221" s="465" t="s">
        <v>2605</v>
      </c>
    </row>
    <row r="222" spans="2:6">
      <c r="B222" s="352">
        <f t="shared" si="4"/>
        <v>222</v>
      </c>
      <c r="C222" s="350" t="str">
        <f>VLOOKUP(B222,B:F,HLOOKUP(Cover!$B$3,$B$4:$F$5,2,0),0)</f>
        <v>Náklady na sociálne poistenie (524, 525, 526)</v>
      </c>
      <c r="D222" s="465" t="s">
        <v>666</v>
      </c>
      <c r="E222" s="465" t="s">
        <v>1957</v>
      </c>
      <c r="F222" s="465" t="s">
        <v>2606</v>
      </c>
    </row>
    <row r="223" spans="2:6">
      <c r="B223" s="352">
        <f t="shared" si="4"/>
        <v>223</v>
      </c>
      <c r="C223" s="350" t="str">
        <f>VLOOKUP(B223,B:F,HLOOKUP(Cover!$B$3,$B$4:$F$5,2,0),0)</f>
        <v>Sociálne náklady (527, 528)</v>
      </c>
      <c r="D223" s="465" t="s">
        <v>667</v>
      </c>
      <c r="E223" s="465" t="s">
        <v>1958</v>
      </c>
      <c r="F223" s="465" t="s">
        <v>2607</v>
      </c>
    </row>
    <row r="224" spans="2:6">
      <c r="B224" s="352">
        <f t="shared" si="4"/>
        <v>224</v>
      </c>
      <c r="C224" s="350" t="str">
        <f>VLOOKUP(B224,B:F,HLOOKUP(Cover!$B$3,$B$4:$F$5,2,0),0)</f>
        <v>Dane a poplatky (účtová skupina 53)</v>
      </c>
      <c r="D224" s="465" t="s">
        <v>669</v>
      </c>
      <c r="E224" s="465" t="s">
        <v>1959</v>
      </c>
      <c r="F224" s="465" t="s">
        <v>2608</v>
      </c>
    </row>
    <row r="225" spans="2:6">
      <c r="B225" s="352">
        <f t="shared" si="4"/>
        <v>225</v>
      </c>
      <c r="C225" s="350" t="str">
        <f>VLOOKUP(B225,B:F,HLOOKUP(Cover!$B$3,$B$4:$F$5,2,0),0)</f>
        <v>Odpisy a opravné položky k dlhodobému nehmotnému majetku a dlhodobému hmotnému majetku (r. 22 + r. 23)</v>
      </c>
      <c r="D225" s="465" t="s">
        <v>1823</v>
      </c>
      <c r="E225" s="465" t="s">
        <v>1960</v>
      </c>
      <c r="F225" s="465" t="s">
        <v>2609</v>
      </c>
    </row>
    <row r="226" spans="2:6">
      <c r="B226" s="352">
        <f t="shared" si="4"/>
        <v>226</v>
      </c>
      <c r="C226" s="350" t="str">
        <f>VLOOKUP(B226,B:F,HLOOKUP(Cover!$B$3,$B$4:$F$5,2,0),0)</f>
        <v>Odpisy dlhodobého nehmotného majetku a dlhodobého hmotného majetku (551)</v>
      </c>
      <c r="D226" s="465" t="s">
        <v>1736</v>
      </c>
      <c r="E226" s="465" t="s">
        <v>1961</v>
      </c>
      <c r="F226" s="465" t="s">
        <v>2610</v>
      </c>
    </row>
    <row r="227" spans="2:6">
      <c r="B227" s="352">
        <f t="shared" si="4"/>
        <v>227</v>
      </c>
      <c r="C227" s="350" t="str">
        <f>VLOOKUP(B227,B:F,HLOOKUP(Cover!$B$3,$B$4:$F$5,2,0),0)</f>
        <v>Opravné položky k dlhodobému nehmotnému majetku a dlhodobému hmotnému majetku (+/-) (553)</v>
      </c>
      <c r="D227" s="465" t="s">
        <v>1825</v>
      </c>
      <c r="E227" s="465" t="s">
        <v>1962</v>
      </c>
      <c r="F227" s="465" t="s">
        <v>2611</v>
      </c>
    </row>
    <row r="228" spans="2:6">
      <c r="B228" s="352">
        <f t="shared" si="4"/>
        <v>228</v>
      </c>
      <c r="C228" s="350" t="str">
        <f>VLOOKUP(B228,B:F,HLOOKUP(Cover!$B$3,$B$4:$F$5,2,0),0)</f>
        <v>Zostatková cena predaného dlhodobého majetku a predaného materiálu (541, 542)</v>
      </c>
      <c r="D228" s="465" t="s">
        <v>673</v>
      </c>
      <c r="E228" s="465" t="s">
        <v>1963</v>
      </c>
      <c r="F228" s="465" t="s">
        <v>2612</v>
      </c>
    </row>
    <row r="229" spans="2:6">
      <c r="B229" s="352">
        <f t="shared" si="4"/>
        <v>229</v>
      </c>
      <c r="C229" s="350" t="str">
        <f>VLOOKUP(B229,B:F,HLOOKUP(Cover!$B$3,$B$4:$F$5,2,0),0)</f>
        <v>Opravné položky k pohľadávkam (+/-) (547)</v>
      </c>
      <c r="D229" s="465" t="s">
        <v>1737</v>
      </c>
      <c r="E229" s="465" t="s">
        <v>1964</v>
      </c>
      <c r="F229" s="465" t="s">
        <v>2613</v>
      </c>
    </row>
    <row r="230" spans="2:6">
      <c r="B230" s="352">
        <f t="shared" si="4"/>
        <v>230</v>
      </c>
      <c r="C230" s="350" t="str">
        <f>VLOOKUP(B230,B:F,HLOOKUP(Cover!$B$3,$B$4:$F$5,2,0),0)</f>
        <v>Ostatné náklady na hospodársku činnosť (543, 544, 545, 546, 548, 549, 555, 557)</v>
      </c>
      <c r="D230" s="465" t="s">
        <v>678</v>
      </c>
      <c r="E230" s="465" t="s">
        <v>1965</v>
      </c>
      <c r="F230" s="465" t="s">
        <v>2614</v>
      </c>
    </row>
    <row r="231" spans="2:6">
      <c r="B231" s="352">
        <f t="shared" si="4"/>
        <v>231</v>
      </c>
      <c r="C231" s="350" t="str">
        <f>VLOOKUP(B231,B:F,HLOOKUP(Cover!$B$3,$B$4:$F$5,2,0),0)</f>
        <v>Výsledok hospodárenia z hospodárskej činnosti (+/-) (r. 02 - r. 10)</v>
      </c>
      <c r="D231" s="465" t="s">
        <v>1738</v>
      </c>
      <c r="E231" s="465" t="s">
        <v>1966</v>
      </c>
      <c r="F231" s="465" t="s">
        <v>2615</v>
      </c>
    </row>
    <row r="232" spans="2:6">
      <c r="B232" s="352">
        <f t="shared" si="4"/>
        <v>232</v>
      </c>
      <c r="C232" s="350" t="str">
        <f>VLOOKUP(B232,B:F,HLOOKUP(Cover!$B$3,$B$4:$F$5,2,0),0)</f>
        <v>Pridaná hodnota (r. 03 + r. 04 + r. 05 + r. 06 + r. 07) - (r. 11 + r. 12 + r. 13 + r. 14)</v>
      </c>
      <c r="D232" s="465" t="s">
        <v>1741</v>
      </c>
      <c r="E232" s="465" t="s">
        <v>1967</v>
      </c>
      <c r="F232" s="465" t="s">
        <v>2616</v>
      </c>
    </row>
    <row r="233" spans="2:6">
      <c r="B233" s="352">
        <f t="shared" si="4"/>
        <v>233</v>
      </c>
      <c r="C233" s="350" t="str">
        <f>VLOOKUP(B233,B:F,HLOOKUP(Cover!$B$3,$B$4:$F$5,2,0),0)</f>
        <v>Výnosy z finančnej činnosti spolu (r. 30 + r. 31 + r. 35 + r. 39 + r. 42 + r. 43 + r. 44)</v>
      </c>
      <c r="D233" s="465" t="s">
        <v>1826</v>
      </c>
      <c r="E233" s="465" t="s">
        <v>1968</v>
      </c>
      <c r="F233" s="465" t="s">
        <v>2617</v>
      </c>
    </row>
    <row r="234" spans="2:6">
      <c r="B234" s="352">
        <f t="shared" si="4"/>
        <v>234</v>
      </c>
      <c r="C234" s="350" t="str">
        <f>VLOOKUP(B234,B:F,HLOOKUP(Cover!$B$3,$B$4:$F$5,2,0),0)</f>
        <v>Tržby z predaja cenných papierov a podielov (661)</v>
      </c>
      <c r="D234" s="465" t="s">
        <v>682</v>
      </c>
      <c r="E234" s="465" t="s">
        <v>1969</v>
      </c>
      <c r="F234" s="465" t="s">
        <v>2618</v>
      </c>
    </row>
    <row r="235" spans="2:6">
      <c r="B235" s="352">
        <f t="shared" si="4"/>
        <v>235</v>
      </c>
      <c r="C235" s="350" t="str">
        <f>VLOOKUP(B235,B:F,HLOOKUP(Cover!$B$3,$B$4:$F$5,2,0),0)</f>
        <v>Výnosy z dlhodobého finančného majetku súčet (r. 32 až r. 34)</v>
      </c>
      <c r="D235" s="465" t="s">
        <v>1827</v>
      </c>
      <c r="E235" s="465" t="s">
        <v>1970</v>
      </c>
      <c r="F235" s="465" t="s">
        <v>2619</v>
      </c>
    </row>
    <row r="236" spans="2:6">
      <c r="B236" s="352">
        <f t="shared" si="4"/>
        <v>236</v>
      </c>
      <c r="C236" s="350" t="str">
        <f>VLOOKUP(B236,B:F,HLOOKUP(Cover!$B$3,$B$4:$F$5,2,0),0)</f>
        <v>Výnosy z cenných papierov a podielov od prepojených účtovných jednotiek (665A)</v>
      </c>
      <c r="D236" s="465" t="s">
        <v>1743</v>
      </c>
      <c r="E236" s="466" t="s">
        <v>2620</v>
      </c>
      <c r="F236" s="466" t="s">
        <v>2621</v>
      </c>
    </row>
    <row r="237" spans="2:6">
      <c r="B237" s="352">
        <f t="shared" si="4"/>
        <v>237</v>
      </c>
      <c r="C237" s="350" t="str">
        <f>VLOOKUP(B237,B:F,HLOOKUP(Cover!$B$3,$B$4:$F$5,2,0),0)</f>
        <v>Výnosy z cenných papierov a podielov v podielovej účasti okrem výnosov prepojených účtovných jednotiek (665A)</v>
      </c>
      <c r="D237" s="465" t="s">
        <v>1829</v>
      </c>
      <c r="E237" s="466" t="s">
        <v>2622</v>
      </c>
      <c r="F237" s="466" t="s">
        <v>2623</v>
      </c>
    </row>
    <row r="238" spans="2:6">
      <c r="B238" s="352">
        <f t="shared" si="4"/>
        <v>238</v>
      </c>
      <c r="C238" s="350" t="str">
        <f>VLOOKUP(B238,B:F,HLOOKUP(Cover!$B$3,$B$4:$F$5,2,0),0)</f>
        <v>Ostatné výnosy z cenných papierov a podielov (665A)</v>
      </c>
      <c r="D238" s="465" t="s">
        <v>1744</v>
      </c>
      <c r="E238" s="465" t="s">
        <v>1971</v>
      </c>
      <c r="F238" s="465" t="s">
        <v>2624</v>
      </c>
    </row>
    <row r="239" spans="2:6" ht="19.5" customHeight="1">
      <c r="B239" s="352">
        <f t="shared" si="4"/>
        <v>239</v>
      </c>
      <c r="C239" s="350" t="str">
        <f>VLOOKUP(B239,B:F,HLOOKUP(Cover!$B$3,$B$4:$F$5,2,0),0)</f>
        <v>Výnosy z krátkodobého finančného majetku súčet (r. 36 až r. 38)</v>
      </c>
      <c r="D239" s="465" t="s">
        <v>1831</v>
      </c>
      <c r="E239" s="465" t="s">
        <v>1972</v>
      </c>
      <c r="F239" s="465" t="s">
        <v>2625</v>
      </c>
    </row>
    <row r="240" spans="2:6">
      <c r="B240" s="352">
        <f t="shared" si="4"/>
        <v>240</v>
      </c>
      <c r="C240" s="350" t="str">
        <f>VLOOKUP(B240,B:F,HLOOKUP(Cover!$B$3,$B$4:$F$5,2,0),0)</f>
        <v>Výnosy z krátkodobého finančného majetku od prepojených účtovných jednotiek (666A)</v>
      </c>
      <c r="D240" s="465" t="s">
        <v>1746</v>
      </c>
      <c r="E240" s="466" t="s">
        <v>2626</v>
      </c>
      <c r="F240" s="466" t="s">
        <v>2627</v>
      </c>
    </row>
    <row r="241" spans="2:6">
      <c r="B241" s="352">
        <f t="shared" si="4"/>
        <v>241</v>
      </c>
      <c r="C241" s="350" t="str">
        <f>VLOOKUP(B241,B:F,HLOOKUP(Cover!$B$3,$B$4:$F$5,2,0),0)</f>
        <v>Výnosy z krátkodobého finančného majetku v podielovej účasti okrem výnosov prepojených účtovných jednotiek (666A)</v>
      </c>
      <c r="D241" s="465" t="s">
        <v>1747</v>
      </c>
      <c r="E241" s="466" t="s">
        <v>2628</v>
      </c>
      <c r="F241" s="466" t="s">
        <v>2629</v>
      </c>
    </row>
    <row r="242" spans="2:6">
      <c r="B242" s="352">
        <f t="shared" si="4"/>
        <v>242</v>
      </c>
      <c r="C242" s="350" t="str">
        <f>VLOOKUP(B242,B:F,HLOOKUP(Cover!$B$3,$B$4:$F$5,2,0),0)</f>
        <v>Ostatné výnosy z krátkodobého finančného majetku (666A)</v>
      </c>
      <c r="D242" s="465" t="s">
        <v>1834</v>
      </c>
      <c r="E242" s="465" t="s">
        <v>1973</v>
      </c>
      <c r="F242" s="465" t="s">
        <v>2630</v>
      </c>
    </row>
    <row r="243" spans="2:6">
      <c r="B243" s="352">
        <f t="shared" si="4"/>
        <v>243</v>
      </c>
      <c r="C243" s="350" t="str">
        <f>VLOOKUP(B243,B:F,HLOOKUP(Cover!$B$3,$B$4:$F$5,2,0),0)</f>
        <v>Výnosové úroky (r. 40 + r. 41)</v>
      </c>
      <c r="D243" s="465" t="s">
        <v>1748</v>
      </c>
      <c r="E243" s="465" t="s">
        <v>1974</v>
      </c>
      <c r="F243" s="465" t="s">
        <v>2631</v>
      </c>
    </row>
    <row r="244" spans="2:6">
      <c r="B244" s="352">
        <f t="shared" si="4"/>
        <v>244</v>
      </c>
      <c r="C244" s="350" t="str">
        <f>VLOOKUP(B244,B:F,HLOOKUP(Cover!$B$3,$B$4:$F$5,2,0),0)</f>
        <v>Výnosové úroky od prepojených účtovných jednotiek (662A)</v>
      </c>
      <c r="D244" s="465" t="s">
        <v>1750</v>
      </c>
      <c r="E244" s="466" t="s">
        <v>2632</v>
      </c>
      <c r="F244" s="466" t="s">
        <v>2633</v>
      </c>
    </row>
    <row r="245" spans="2:6">
      <c r="B245" s="352">
        <f t="shared" si="4"/>
        <v>245</v>
      </c>
      <c r="C245" s="350" t="str">
        <f>VLOOKUP(B245,B:F,HLOOKUP(Cover!$B$3,$B$4:$F$5,2,0),0)</f>
        <v>Ostatné výnosové úroky (662A)</v>
      </c>
      <c r="D245" s="465" t="s">
        <v>1751</v>
      </c>
      <c r="E245" s="465" t="s">
        <v>1975</v>
      </c>
      <c r="F245" s="465" t="s">
        <v>2634</v>
      </c>
    </row>
    <row r="246" spans="2:6">
      <c r="B246" s="352">
        <f t="shared" si="4"/>
        <v>246</v>
      </c>
      <c r="C246" s="350" t="str">
        <f>VLOOKUP(B246,B:F,HLOOKUP(Cover!$B$3,$B$4:$F$5,2,0),0)</f>
        <v>Kurzové zisky (663)</v>
      </c>
      <c r="D246" s="465" t="s">
        <v>697</v>
      </c>
      <c r="E246" s="465" t="s">
        <v>1976</v>
      </c>
      <c r="F246" s="465" t="s">
        <v>2635</v>
      </c>
    </row>
    <row r="247" spans="2:6">
      <c r="B247" s="352">
        <f t="shared" si="4"/>
        <v>247</v>
      </c>
      <c r="C247" s="350" t="str">
        <f>VLOOKUP(B247,B:F,HLOOKUP(Cover!$B$3,$B$4:$F$5,2,0),0)</f>
        <v>Výnosy z precenenia cenných papierov a výnosy z derivátových operácií (664, 667)</v>
      </c>
      <c r="D247" s="465" t="s">
        <v>690</v>
      </c>
      <c r="E247" s="465" t="s">
        <v>1977</v>
      </c>
      <c r="F247" s="465" t="s">
        <v>2636</v>
      </c>
    </row>
    <row r="248" spans="2:6">
      <c r="B248" s="352">
        <f t="shared" si="4"/>
        <v>248</v>
      </c>
      <c r="C248" s="350" t="str">
        <f>VLOOKUP(B248,B:F,HLOOKUP(Cover!$B$3,$B$4:$F$5,2,0),0)</f>
        <v>Ostatné výnosy z finančnej činnosti (668)</v>
      </c>
      <c r="D248" s="465" t="s">
        <v>701</v>
      </c>
      <c r="E248" s="465" t="s">
        <v>1978</v>
      </c>
      <c r="F248" s="465" t="s">
        <v>2637</v>
      </c>
    </row>
    <row r="249" spans="2:6">
      <c r="B249" s="352">
        <f t="shared" si="4"/>
        <v>249</v>
      </c>
      <c r="C249" s="350" t="str">
        <f>VLOOKUP(B249,B:F,HLOOKUP(Cover!$B$3,$B$4:$F$5,2,0),0)</f>
        <v>Náklady na finančnú činnosť spolu (r. 46 + r. 47 + r. 48 + r. 49 + r. 52 + r. 53 + r. 54)</v>
      </c>
      <c r="D249" s="465" t="s">
        <v>1836</v>
      </c>
      <c r="E249" s="465" t="s">
        <v>1979</v>
      </c>
      <c r="F249" s="465" t="s">
        <v>2638</v>
      </c>
    </row>
    <row r="250" spans="2:6">
      <c r="B250" s="352">
        <f t="shared" si="4"/>
        <v>250</v>
      </c>
      <c r="C250" s="350" t="str">
        <f>VLOOKUP(B250,B:F,HLOOKUP(Cover!$B$3,$B$4:$F$5,2,0),0)</f>
        <v>Predané cenné papiere a podiely (561)</v>
      </c>
      <c r="D250" s="465" t="s">
        <v>684</v>
      </c>
      <c r="E250" s="465" t="s">
        <v>1980</v>
      </c>
      <c r="F250" s="465" t="s">
        <v>2639</v>
      </c>
    </row>
    <row r="251" spans="2:6">
      <c r="B251" s="352">
        <f t="shared" si="4"/>
        <v>251</v>
      </c>
      <c r="C251" s="350" t="str">
        <f>VLOOKUP(B251,B:F,HLOOKUP(Cover!$B$3,$B$4:$F$5,2,0),0)</f>
        <v>Náklady na krátkodobý finančný majetok (566)</v>
      </c>
      <c r="D251" s="465" t="s">
        <v>688</v>
      </c>
      <c r="E251" s="465" t="s">
        <v>1981</v>
      </c>
      <c r="F251" s="465" t="s">
        <v>2640</v>
      </c>
    </row>
    <row r="252" spans="2:6">
      <c r="B252" s="352">
        <f t="shared" si="4"/>
        <v>252</v>
      </c>
      <c r="C252" s="350" t="str">
        <f>VLOOKUP(B252,B:F,HLOOKUP(Cover!$B$3,$B$4:$F$5,2,0),0)</f>
        <v>Opravné položky k finančnému majetku (+/-) (565)</v>
      </c>
      <c r="D252" s="465" t="s">
        <v>1752</v>
      </c>
      <c r="E252" s="465" t="s">
        <v>1982</v>
      </c>
      <c r="F252" s="465" t="s">
        <v>2641</v>
      </c>
    </row>
    <row r="253" spans="2:6">
      <c r="B253" s="352">
        <f t="shared" si="4"/>
        <v>253</v>
      </c>
      <c r="C253" s="350" t="str">
        <f>VLOOKUP(B253,B:F,HLOOKUP(Cover!$B$3,$B$4:$F$5,2,0),0)</f>
        <v>Nákladové úroky (r. 50 + r. 51)</v>
      </c>
      <c r="D253" s="465" t="s">
        <v>1753</v>
      </c>
      <c r="E253" s="465" t="s">
        <v>1983</v>
      </c>
      <c r="F253" s="465" t="s">
        <v>2642</v>
      </c>
    </row>
    <row r="254" spans="2:6">
      <c r="B254" s="352">
        <f t="shared" si="4"/>
        <v>254</v>
      </c>
      <c r="C254" s="350" t="str">
        <f>VLOOKUP(B254,B:F,HLOOKUP(Cover!$B$3,$B$4:$F$5,2,0),0)</f>
        <v>Nákladové úroky pre prepojené účtovné jednotky (562A)</v>
      </c>
      <c r="D254" s="465" t="s">
        <v>1755</v>
      </c>
      <c r="E254" s="466" t="s">
        <v>2643</v>
      </c>
      <c r="F254" s="466" t="s">
        <v>2644</v>
      </c>
    </row>
    <row r="255" spans="2:6">
      <c r="B255" s="352">
        <f t="shared" si="4"/>
        <v>255</v>
      </c>
      <c r="C255" s="350" t="str">
        <f>VLOOKUP(B255,B:F,HLOOKUP(Cover!$B$3,$B$4:$F$5,2,0),0)</f>
        <v>Ostatné nákladové úroky (562A)</v>
      </c>
      <c r="D255" s="465" t="s">
        <v>1756</v>
      </c>
      <c r="E255" s="465" t="s">
        <v>1984</v>
      </c>
      <c r="F255" s="465" t="s">
        <v>2645</v>
      </c>
    </row>
    <row r="256" spans="2:6">
      <c r="B256" s="352">
        <f t="shared" si="4"/>
        <v>256</v>
      </c>
      <c r="C256" s="350" t="str">
        <f>VLOOKUP(B256,B:F,HLOOKUP(Cover!$B$3,$B$4:$F$5,2,0),0)</f>
        <v>Kurzové straty (563)</v>
      </c>
      <c r="D256" s="465" t="s">
        <v>699</v>
      </c>
      <c r="E256" s="465" t="s">
        <v>1985</v>
      </c>
      <c r="F256" s="465" t="s">
        <v>2646</v>
      </c>
    </row>
    <row r="257" spans="2:6">
      <c r="B257" s="352">
        <f t="shared" si="4"/>
        <v>257</v>
      </c>
      <c r="C257" s="350" t="str">
        <f>VLOOKUP(B257,B:F,HLOOKUP(Cover!$B$3,$B$4:$F$5,2,0),0)</f>
        <v>Náklady na precenenie cenných papierov a náklady na derivátové operácie (564, 567)</v>
      </c>
      <c r="D257" s="465" t="s">
        <v>692</v>
      </c>
      <c r="E257" s="465" t="s">
        <v>1986</v>
      </c>
      <c r="F257" s="465" t="s">
        <v>2647</v>
      </c>
    </row>
    <row r="258" spans="2:6">
      <c r="B258" s="352">
        <f t="shared" si="4"/>
        <v>258</v>
      </c>
      <c r="C258" s="350" t="str">
        <f>VLOOKUP(B258,B:F,HLOOKUP(Cover!$B$3,$B$4:$F$5,2,0),0)</f>
        <v>Ostatné náklady na finančnú činnosť (568, 569)</v>
      </c>
      <c r="D258" s="465" t="s">
        <v>703</v>
      </c>
      <c r="E258" s="465" t="s">
        <v>1987</v>
      </c>
      <c r="F258" s="465" t="s">
        <v>2648</v>
      </c>
    </row>
    <row r="259" spans="2:6">
      <c r="B259" s="352">
        <f t="shared" si="4"/>
        <v>259</v>
      </c>
      <c r="C259" s="350" t="str">
        <f>VLOOKUP(B259,B:F,HLOOKUP(Cover!$B$3,$B$4:$F$5,2,0),0)</f>
        <v>Výsledok hospodárenia z finančnej činnosti (+/-) (r. 29 - r. 45)</v>
      </c>
      <c r="D259" s="465" t="s">
        <v>1838</v>
      </c>
      <c r="E259" s="465" t="s">
        <v>1988</v>
      </c>
      <c r="F259" s="465" t="s">
        <v>2649</v>
      </c>
    </row>
    <row r="260" spans="2:6">
      <c r="B260" s="352">
        <f t="shared" si="4"/>
        <v>260</v>
      </c>
      <c r="C260" s="350" t="str">
        <f>VLOOKUP(B260,B:F,HLOOKUP(Cover!$B$3,$B$4:$F$5,2,0),0)</f>
        <v>Výsledok hospodárenia za účtovné obdobie pred zdanením (+/-) (r. 27 + r. 55)</v>
      </c>
      <c r="D260" s="465" t="s">
        <v>1761</v>
      </c>
      <c r="E260" s="465" t="s">
        <v>1989</v>
      </c>
      <c r="F260" s="465" t="s">
        <v>2650</v>
      </c>
    </row>
    <row r="261" spans="2:6">
      <c r="B261" s="352">
        <f t="shared" si="4"/>
        <v>261</v>
      </c>
      <c r="C261" s="350" t="str">
        <f>VLOOKUP(B261,B:F,HLOOKUP(Cover!$B$3,$B$4:$F$5,2,0),0)</f>
        <v>Daň z príjmov (r. 58 + r. 59)</v>
      </c>
      <c r="D261" s="465" t="s">
        <v>1762</v>
      </c>
      <c r="E261" s="465" t="s">
        <v>1990</v>
      </c>
      <c r="F261" s="465" t="s">
        <v>2651</v>
      </c>
    </row>
    <row r="262" spans="2:6">
      <c r="B262" s="352">
        <f t="shared" si="4"/>
        <v>262</v>
      </c>
      <c r="C262" s="350" t="str">
        <f>VLOOKUP(B262,B:F,HLOOKUP(Cover!$B$3,$B$4:$F$5,2,0),0)</f>
        <v>Daň z príjmov splatná (591, 595)</v>
      </c>
      <c r="D262" s="465" t="s">
        <v>1764</v>
      </c>
      <c r="E262" s="465" t="s">
        <v>1991</v>
      </c>
      <c r="F262" s="465" t="s">
        <v>2652</v>
      </c>
    </row>
    <row r="263" spans="2:6">
      <c r="B263" s="352">
        <f t="shared" si="4"/>
        <v>263</v>
      </c>
      <c r="C263" s="350" t="str">
        <f>VLOOKUP(B263,B:F,HLOOKUP(Cover!$B$3,$B$4:$F$5,2,0),0)</f>
        <v>Daň z príjmov odložená (+/-) (592)</v>
      </c>
      <c r="D263" s="465" t="s">
        <v>1765</v>
      </c>
      <c r="E263" s="465" t="s">
        <v>1992</v>
      </c>
      <c r="F263" s="465" t="s">
        <v>2653</v>
      </c>
    </row>
    <row r="264" spans="2:6" ht="19.5">
      <c r="B264" s="352">
        <f t="shared" si="4"/>
        <v>264</v>
      </c>
      <c r="C264" s="350" t="str">
        <f>VLOOKUP(B264,B:F,HLOOKUP(Cover!$B$3,$B$4:$F$5,2,0),0)</f>
        <v>Prevod podielov na výsledku hospodárenia spoločníkom (+/- 596)</v>
      </c>
      <c r="D264" s="465" t="s">
        <v>710</v>
      </c>
      <c r="E264" s="468" t="s">
        <v>2654</v>
      </c>
      <c r="F264" s="465" t="s">
        <v>2655</v>
      </c>
    </row>
    <row r="265" spans="2:6" ht="19.5">
      <c r="B265" s="352">
        <f t="shared" si="4"/>
        <v>265</v>
      </c>
      <c r="C265" s="350" t="str">
        <f>VLOOKUP(B265,B:F,HLOOKUP(Cover!$B$3,$B$4:$F$5,2,0),0)</f>
        <v>Výsledok hospodárenia za účtovné obdobie po zdanení (+/-) 
(r. 56 - r. 57 - r. 60)</v>
      </c>
      <c r="D265" s="468" t="s">
        <v>2656</v>
      </c>
      <c r="E265" s="468" t="s">
        <v>2657</v>
      </c>
      <c r="F265" s="468" t="s">
        <v>2658</v>
      </c>
    </row>
    <row r="266" spans="2:6">
      <c r="B266" s="12">
        <f t="shared" si="4"/>
        <v>266</v>
      </c>
      <c r="C266" s="13" t="s">
        <v>958</v>
      </c>
      <c r="D266" s="13"/>
      <c r="E266" s="13"/>
      <c r="F266" s="13"/>
    </row>
    <row r="267" spans="2:6">
      <c r="B267" s="11">
        <f t="shared" si="4"/>
        <v>267</v>
      </c>
      <c r="C267" s="10" t="str">
        <f>VLOOKUP(B267,B:F,HLOOKUP(Cover!$B$3,$B$4:$F$5,2,0),0)</f>
        <v>Nenalinkované na výkazy</v>
      </c>
      <c r="D267" s="15" t="s">
        <v>959</v>
      </c>
      <c r="E267" s="15" t="s">
        <v>957</v>
      </c>
      <c r="F267" s="15" t="s">
        <v>957</v>
      </c>
    </row>
    <row r="268" spans="2:6">
      <c r="B268" s="11">
        <f t="shared" si="4"/>
        <v>268</v>
      </c>
      <c r="C268" s="10" t="str">
        <f>VLOOKUP(B268,B:F,HLOOKUP(Cover!$B$3,$B$4:$F$5,2,0),0)</f>
        <v>Záložka</v>
      </c>
      <c r="D268" s="15" t="s">
        <v>960</v>
      </c>
      <c r="E268" s="15" t="s">
        <v>956</v>
      </c>
      <c r="F268" s="15" t="s">
        <v>956</v>
      </c>
    </row>
    <row r="269" spans="2:6">
      <c r="B269" s="11">
        <f t="shared" si="4"/>
        <v>269</v>
      </c>
      <c r="C269" s="10" t="str">
        <f>VLOOKUP(B269,B:F,HLOOKUP(Cover!$B$3,$B$4:$F$5,2,0),0)</f>
        <v>Doplniť data manuálne</v>
      </c>
      <c r="D269" s="15" t="s">
        <v>1459</v>
      </c>
      <c r="E269" s="15" t="s">
        <v>1460</v>
      </c>
      <c r="F269" s="15" t="s">
        <v>1460</v>
      </c>
    </row>
    <row r="270" spans="2:6">
      <c r="B270" s="11">
        <f t="shared" si="4"/>
        <v>270</v>
      </c>
      <c r="C270" s="10" t="str">
        <f>VLOOKUP(B270,B:F,HLOOKUP(Cover!$B$3,$B$4:$F$5,2,0),0)</f>
        <v>Skontrolovať údaje, súčet musí byť rovné '0'</v>
      </c>
      <c r="D270" s="15" t="s">
        <v>1462</v>
      </c>
      <c r="E270" s="15" t="s">
        <v>1461</v>
      </c>
      <c r="F270" s="15" t="s">
        <v>1461</v>
      </c>
    </row>
    <row r="271" spans="2:6" ht="19.5">
      <c r="B271" s="11">
        <f t="shared" si="4"/>
        <v>271</v>
      </c>
      <c r="C271" s="10" t="str">
        <f>VLOOKUP(B271,B:F,HLOOKUP(Cover!$B$3,$B$4:$F$5,2,0),0)</f>
        <v>Preklad doplnených dát v tabuľkách do EN alebo DE, nezabudnite doplniť vzorce v pridaných riadkoch</v>
      </c>
      <c r="D271" s="15" t="s">
        <v>2762</v>
      </c>
      <c r="E271" s="15" t="s">
        <v>2763</v>
      </c>
      <c r="F271" s="15" t="s">
        <v>2763</v>
      </c>
    </row>
    <row r="272" spans="2:6">
      <c r="B272" s="11">
        <f t="shared" si="4"/>
        <v>272</v>
      </c>
      <c r="C272" s="10" t="str">
        <f>VLOOKUP(B272,B:F,HLOOKUP(Cover!$B$3,$B$4:$F$5,2,0),0)</f>
        <v>Kontrolný súčet</v>
      </c>
      <c r="D272" s="15" t="s">
        <v>961</v>
      </c>
      <c r="E272" s="15" t="s">
        <v>962</v>
      </c>
      <c r="F272" s="15" t="s">
        <v>962</v>
      </c>
    </row>
    <row r="273" spans="2:6">
      <c r="B273" s="11">
        <f t="shared" si="4"/>
        <v>273</v>
      </c>
      <c r="C273" s="10" t="str">
        <f>VLOOKUP(B273,B:F,HLOOKUP(Cover!$B$3,$B$4:$F$5,2,0),0)</f>
        <v>Kontrola</v>
      </c>
      <c r="D273" s="15" t="s">
        <v>1226</v>
      </c>
      <c r="E273" s="15" t="s">
        <v>958</v>
      </c>
      <c r="F273" s="15" t="s">
        <v>958</v>
      </c>
    </row>
    <row r="274" spans="2:6">
      <c r="B274" s="11">
        <f t="shared" si="4"/>
        <v>274</v>
      </c>
      <c r="C274" s="10" t="str">
        <f>VLOOKUP(B274,B:F,HLOOKUP(Cover!$B$3,$B$4:$F$5,2,0),0)</f>
        <v>Potrebný preklad? Označ zelené bunky Y/N</v>
      </c>
      <c r="D274" s="15" t="s">
        <v>1468</v>
      </c>
      <c r="E274" s="15" t="s">
        <v>1467</v>
      </c>
      <c r="F274" s="15" t="s">
        <v>1467</v>
      </c>
    </row>
    <row r="275" spans="2:6">
      <c r="B275" s="12">
        <f t="shared" si="4"/>
        <v>275</v>
      </c>
      <c r="C275" s="13" t="s">
        <v>1082</v>
      </c>
      <c r="D275" s="13"/>
      <c r="E275" s="13"/>
      <c r="F275" s="13"/>
    </row>
    <row r="276" spans="2:6">
      <c r="B276" s="11">
        <f t="shared" si="4"/>
        <v>276</v>
      </c>
      <c r="C276" s="10" t="str">
        <f>VLOOKUP(B276,B:F,HLOOKUP(Cover!$B$3,$B$4:$F$5,2,0),0)</f>
        <v>Výsledok hospodárenia z bežnej činnosti pred zdanením daňou z príjmov (+/</v>
      </c>
      <c r="D276" s="465" t="s">
        <v>2715</v>
      </c>
      <c r="E276" s="465" t="s">
        <v>1090</v>
      </c>
      <c r="F276" s="465" t="s">
        <v>2716</v>
      </c>
    </row>
    <row r="277" spans="2:6">
      <c r="B277" s="11">
        <f t="shared" si="4"/>
        <v>277</v>
      </c>
      <c r="C277" s="10" t="str">
        <f>VLOOKUP(B277,B:F,HLOOKUP(Cover!$B$3,$B$4:$F$5,2,0),0)</f>
        <v>Nepeňažné operácie ovplyvňujúce výsledok hospodárenia z bežnej činnosti pred zdanením daňou z príjmov (+/-)</v>
      </c>
      <c r="D277" s="465" t="s">
        <v>1016</v>
      </c>
      <c r="E277" s="465" t="s">
        <v>1091</v>
      </c>
      <c r="F277" s="465" t="s">
        <v>1162</v>
      </c>
    </row>
    <row r="278" spans="2:6">
      <c r="B278" s="11">
        <f t="shared" si="4"/>
        <v>278</v>
      </c>
      <c r="C278" s="10" t="str">
        <f>VLOOKUP(B278,B:F,HLOOKUP(Cover!$B$3,$B$4:$F$5,2,0),0)</f>
        <v>Odpisy dlhodobého nehmotného majetku a dlhodobého hmotného majetku (+)</v>
      </c>
      <c r="D278" s="465" t="s">
        <v>1017</v>
      </c>
      <c r="E278" s="465" t="s">
        <v>1092</v>
      </c>
      <c r="F278" s="465" t="s">
        <v>1163</v>
      </c>
    </row>
    <row r="279" spans="2:6" ht="19.5">
      <c r="B279" s="11">
        <f t="shared" si="4"/>
        <v>279</v>
      </c>
      <c r="C279" s="10" t="str">
        <f>VLOOKUP(B279,B:F,HLOOKUP(Cover!$B$3,$B$4:$F$5,2,0),0)</f>
        <v>Zostatková hodnota dlhodobého nehmotného majetku a dlhodobého hmotného majetku účtovaná pri vyradení tohto majetku do nákladov na bežnú činnosť, s výnimkou jeho predaja (+)</v>
      </c>
      <c r="D279" s="465" t="s">
        <v>1018</v>
      </c>
      <c r="E279" s="465" t="s">
        <v>1093</v>
      </c>
      <c r="F279" s="468" t="s">
        <v>1164</v>
      </c>
    </row>
    <row r="280" spans="2:6">
      <c r="B280" s="11">
        <f t="shared" si="4"/>
        <v>280</v>
      </c>
      <c r="C280" s="10" t="str">
        <f>VLOOKUP(B280,B:F,HLOOKUP(Cover!$B$3,$B$4:$F$5,2,0),0)</f>
        <v>Odpis opravnej položky k nadobudnutému majetku (+/-)</v>
      </c>
      <c r="D280" s="465" t="s">
        <v>1084</v>
      </c>
      <c r="E280" s="465" t="s">
        <v>2717</v>
      </c>
      <c r="F280" s="465" t="s">
        <v>1165</v>
      </c>
    </row>
    <row r="281" spans="2:6">
      <c r="B281" s="11">
        <f t="shared" si="4"/>
        <v>281</v>
      </c>
      <c r="C281" s="10" t="str">
        <f>VLOOKUP(B281,B:F,HLOOKUP(Cover!$B$3,$B$4:$F$5,2,0),0)</f>
        <v>Zmena stavu rezerv (+/-)</v>
      </c>
      <c r="D281" s="465" t="s">
        <v>1019</v>
      </c>
      <c r="E281" s="465" t="s">
        <v>1094</v>
      </c>
      <c r="F281" s="465" t="s">
        <v>1166</v>
      </c>
    </row>
    <row r="282" spans="2:6">
      <c r="B282" s="11">
        <f t="shared" si="4"/>
        <v>282</v>
      </c>
      <c r="C282" s="10" t="str">
        <f>VLOOKUP(B282,B:F,HLOOKUP(Cover!$B$3,$B$4:$F$5,2,0),0)</f>
        <v>Zmena stavu opravných položiek (+/-)</v>
      </c>
      <c r="D282" s="465" t="s">
        <v>1020</v>
      </c>
      <c r="E282" s="465" t="s">
        <v>1095</v>
      </c>
      <c r="F282" s="465" t="s">
        <v>1167</v>
      </c>
    </row>
    <row r="283" spans="2:6">
      <c r="B283" s="11">
        <f t="shared" si="4"/>
        <v>283</v>
      </c>
      <c r="C283" s="10" t="str">
        <f>VLOOKUP(B283,B:F,HLOOKUP(Cover!$B$3,$B$4:$F$5,2,0),0)</f>
        <v>Zmena stavu položiek časového rozlíšenia nákladov a výnosov (+/-)</v>
      </c>
      <c r="D283" s="465" t="s">
        <v>1021</v>
      </c>
      <c r="E283" s="465" t="s">
        <v>1096</v>
      </c>
      <c r="F283" s="465" t="s">
        <v>2718</v>
      </c>
    </row>
    <row r="284" spans="2:6">
      <c r="B284" s="11">
        <f t="shared" ref="B284:B347" si="5">B283+1</f>
        <v>284</v>
      </c>
      <c r="C284" s="10" t="str">
        <f>VLOOKUP(B284,B:F,HLOOKUP(Cover!$B$3,$B$4:$F$5,2,0),0)</f>
        <v>Dividendy a iné podiely na zisku účtované do výnosov (-)</v>
      </c>
      <c r="D284" s="465" t="s">
        <v>1022</v>
      </c>
      <c r="E284" s="465" t="s">
        <v>1097</v>
      </c>
      <c r="F284" s="465" t="s">
        <v>1168</v>
      </c>
    </row>
    <row r="285" spans="2:6">
      <c r="B285" s="11">
        <f t="shared" si="5"/>
        <v>285</v>
      </c>
      <c r="C285" s="10" t="str">
        <f>VLOOKUP(B285,B:F,HLOOKUP(Cover!$B$3,$B$4:$F$5,2,0),0)</f>
        <v>Úroky účtované do nákladov (+)</v>
      </c>
      <c r="D285" s="465" t="s">
        <v>1023</v>
      </c>
      <c r="E285" s="465" t="s">
        <v>1098</v>
      </c>
      <c r="F285" s="465" t="s">
        <v>1169</v>
      </c>
    </row>
    <row r="286" spans="2:6">
      <c r="B286" s="11">
        <f t="shared" si="5"/>
        <v>286</v>
      </c>
      <c r="C286" s="10" t="str">
        <f>VLOOKUP(B286,B:F,HLOOKUP(Cover!$B$3,$B$4:$F$5,2,0),0)</f>
        <v>Úroky účtované do výnosov (-)</v>
      </c>
      <c r="D286" s="465" t="s">
        <v>1024</v>
      </c>
      <c r="E286" s="465" t="s">
        <v>1099</v>
      </c>
      <c r="F286" s="465" t="s">
        <v>1170</v>
      </c>
    </row>
    <row r="287" spans="2:6">
      <c r="B287" s="11">
        <f t="shared" si="5"/>
        <v>287</v>
      </c>
      <c r="C287" s="10" t="str">
        <f>VLOOKUP(B287,B:F,HLOOKUP(Cover!$B$3,$B$4:$F$5,2,0),0)</f>
        <v xml:space="preserve">Kurzový zisk/strata vyčíslený k peňažným prostriedkom a peňažným ekvivalentom ku dňu, ku ktorému sa zostavuje účtovná závierka (-/+) </v>
      </c>
      <c r="D287" s="465" t="s">
        <v>1025</v>
      </c>
      <c r="E287" s="465" t="s">
        <v>1100</v>
      </c>
      <c r="F287" s="465" t="s">
        <v>1171</v>
      </c>
    </row>
    <row r="288" spans="2:6" ht="15">
      <c r="B288" s="11">
        <f t="shared" si="5"/>
        <v>288</v>
      </c>
      <c r="C288" s="10" t="str">
        <f>VLOOKUP(B288,B:F,HLOOKUP(Cover!$B$3,$B$4:$F$5,2,0),0)</f>
        <v>Výsledok z predaja dlhodobého majetku, s výnimkou majetku, ktorý sa považuje za peňažný ekvivalent (+/-)</v>
      </c>
      <c r="D288" s="465" t="s">
        <v>1085</v>
      </c>
      <c r="E288" s="465" t="s">
        <v>2719</v>
      </c>
      <c r="F288" s="465" t="s">
        <v>2720</v>
      </c>
    </row>
    <row r="289" spans="2:6">
      <c r="B289" s="11">
        <f t="shared" si="5"/>
        <v>289</v>
      </c>
      <c r="C289" s="10" t="str">
        <f>VLOOKUP(B289,B:F,HLOOKUP(Cover!$B$3,$B$4:$F$5,2,0),0)</f>
        <v>Ostatné položky nepeňažného charakteru (+/-)</v>
      </c>
      <c r="D289" s="465" t="s">
        <v>1026</v>
      </c>
      <c r="E289" s="465" t="s">
        <v>1101</v>
      </c>
      <c r="F289" s="465" t="s">
        <v>1172</v>
      </c>
    </row>
    <row r="290" spans="2:6">
      <c r="B290" s="11">
        <f t="shared" si="5"/>
        <v>290</v>
      </c>
      <c r="C290" s="10" t="str">
        <f>VLOOKUP(B290,B:F,HLOOKUP(Cover!$B$3,$B$4:$F$5,2,0),0)</f>
        <v>Vplyv zmien stavu pracovného kapitálu na výsledok hospodárenia z bežnej činnosti</v>
      </c>
      <c r="D290" s="465" t="s">
        <v>1028</v>
      </c>
      <c r="E290" s="465" t="s">
        <v>1102</v>
      </c>
      <c r="F290" s="465" t="s">
        <v>1173</v>
      </c>
    </row>
    <row r="291" spans="2:6">
      <c r="B291" s="11">
        <f t="shared" si="5"/>
        <v>291</v>
      </c>
      <c r="C291" s="10" t="str">
        <f>VLOOKUP(B291,B:F,HLOOKUP(Cover!$B$3,$B$4:$F$5,2,0),0)</f>
        <v>Zmena stavu pohľadávok z prevádzkovej činnosti (-/+)</v>
      </c>
      <c r="D291" s="465" t="s">
        <v>1029</v>
      </c>
      <c r="E291" s="465" t="s">
        <v>1103</v>
      </c>
      <c r="F291" s="465" t="s">
        <v>1174</v>
      </c>
    </row>
    <row r="292" spans="2:6">
      <c r="B292" s="11">
        <f t="shared" si="5"/>
        <v>292</v>
      </c>
      <c r="C292" s="10" t="str">
        <f>VLOOKUP(B292,B:F,HLOOKUP(Cover!$B$3,$B$4:$F$5,2,0),0)</f>
        <v>Zmena stavu záväzkov z prevádzkovej činnosti (+/-)</v>
      </c>
      <c r="D292" s="465" t="s">
        <v>1030</v>
      </c>
      <c r="E292" s="465" t="s">
        <v>1104</v>
      </c>
      <c r="F292" s="465" t="s">
        <v>1175</v>
      </c>
    </row>
    <row r="293" spans="2:6">
      <c r="B293" s="11">
        <f t="shared" si="5"/>
        <v>293</v>
      </c>
      <c r="C293" s="10" t="str">
        <f>VLOOKUP(B293,B:F,HLOOKUP(Cover!$B$3,$B$4:$F$5,2,0),0)</f>
        <v>Zmena stavu zásob (-/+)</v>
      </c>
      <c r="D293" s="465" t="s">
        <v>1031</v>
      </c>
      <c r="E293" s="465" t="s">
        <v>1105</v>
      </c>
      <c r="F293" s="465" t="s">
        <v>1176</v>
      </c>
    </row>
    <row r="294" spans="2:6">
      <c r="B294" s="11">
        <f t="shared" si="5"/>
        <v>294</v>
      </c>
      <c r="C294" s="10" t="str">
        <f>VLOOKUP(B294,B:F,HLOOKUP(Cover!$B$3,$B$4:$F$5,2,0),0)</f>
        <v xml:space="preserve">Zmena stavu krátkodobého finančného majetku, s výnimkou majetku, ktorý je súčasťou peňažných prostriedkov a peňažných ekvivalentov (-/+) </v>
      </c>
      <c r="D294" s="465" t="s">
        <v>1032</v>
      </c>
      <c r="E294" s="465" t="s">
        <v>1106</v>
      </c>
      <c r="F294" s="465" t="s">
        <v>1177</v>
      </c>
    </row>
    <row r="295" spans="2:6" ht="19.5">
      <c r="B295" s="11">
        <f t="shared" si="5"/>
        <v>295</v>
      </c>
      <c r="C295" s="10" t="str">
        <f>VLOOKUP(B295,B:F,HLOOKUP(Cover!$B$3,$B$4:$F$5,2,0),0)</f>
        <v>Peňažné toky z prevádzkovej činnosti s výnimkou príjmov a výdavkov, ktoré sa uvádzajú osobitne v iných častiach prehľadu peňažných tokov (+/-), (súčet Z/S+A.1.+A.2.)</v>
      </c>
      <c r="D295" s="465" t="s">
        <v>1469</v>
      </c>
      <c r="E295" s="465" t="s">
        <v>1107</v>
      </c>
      <c r="F295" s="468" t="s">
        <v>1178</v>
      </c>
    </row>
    <row r="296" spans="2:6">
      <c r="B296" s="11">
        <f t="shared" si="5"/>
        <v>296</v>
      </c>
      <c r="C296" s="10" t="str">
        <f>VLOOKUP(B296,B:F,HLOOKUP(Cover!$B$3,$B$4:$F$5,2,0),0)</f>
        <v>Prijaté úroky (+)</v>
      </c>
      <c r="D296" s="465" t="s">
        <v>1033</v>
      </c>
      <c r="E296" s="465" t="s">
        <v>1108</v>
      </c>
      <c r="F296" s="465" t="s">
        <v>1179</v>
      </c>
    </row>
    <row r="297" spans="2:6">
      <c r="B297" s="11">
        <f t="shared" si="5"/>
        <v>297</v>
      </c>
      <c r="C297" s="10" t="str">
        <f>VLOOKUP(B297,B:F,HLOOKUP(Cover!$B$3,$B$4:$F$5,2,0),0)</f>
        <v>Výdavky na zaplatené úroky (-)</v>
      </c>
      <c r="D297" s="465" t="s">
        <v>1034</v>
      </c>
      <c r="E297" s="465" t="s">
        <v>1109</v>
      </c>
      <c r="F297" s="465" t="s">
        <v>1180</v>
      </c>
    </row>
    <row r="298" spans="2:6">
      <c r="B298" s="11">
        <f t="shared" si="5"/>
        <v>298</v>
      </c>
      <c r="C298" s="10" t="str">
        <f>VLOOKUP(B298,B:F,HLOOKUP(Cover!$B$3,$B$4:$F$5,2,0),0)</f>
        <v>Príjmy z dividend a iných podielov na zisku (+)</v>
      </c>
      <c r="D298" s="465" t="s">
        <v>1035</v>
      </c>
      <c r="E298" s="465" t="s">
        <v>1110</v>
      </c>
      <c r="F298" s="465" t="s">
        <v>1181</v>
      </c>
    </row>
    <row r="299" spans="2:6">
      <c r="B299" s="11">
        <f t="shared" si="5"/>
        <v>299</v>
      </c>
      <c r="C299" s="10" t="str">
        <f>VLOOKUP(B299,B:F,HLOOKUP(Cover!$B$3,$B$4:$F$5,2,0),0)</f>
        <v>Výdavky na vyplatené dividendy a iné podiely na zisku (-)</v>
      </c>
      <c r="D299" s="465" t="s">
        <v>1036</v>
      </c>
      <c r="E299" s="465" t="s">
        <v>1111</v>
      </c>
      <c r="F299" s="465" t="s">
        <v>1182</v>
      </c>
    </row>
    <row r="300" spans="2:6">
      <c r="B300" s="11">
        <f t="shared" si="5"/>
        <v>300</v>
      </c>
      <c r="C300" s="10" t="str">
        <f>VLOOKUP(B300,B:F,HLOOKUP(Cover!$B$3,$B$4:$F$5,2,0),0)</f>
        <v>Výdavky na daň z príjmov účtovnej jednotky (-/+)</v>
      </c>
      <c r="D300" s="465" t="s">
        <v>1037</v>
      </c>
      <c r="E300" s="465" t="s">
        <v>1112</v>
      </c>
      <c r="F300" s="465" t="s">
        <v>2721</v>
      </c>
    </row>
    <row r="301" spans="2:6">
      <c r="B301" s="11">
        <f t="shared" si="5"/>
        <v>301</v>
      </c>
      <c r="C301" s="10" t="str">
        <f>VLOOKUP(B301,B:F,HLOOKUP(Cover!$B$3,$B$4:$F$5,2,0),0)</f>
        <v>Príjmy výnimočného rozsahu alebo výskytu vzťahujúce sa na prevádzkovú činnosť (+)</v>
      </c>
      <c r="D301" s="465" t="s">
        <v>2722</v>
      </c>
      <c r="E301" s="465" t="s">
        <v>2723</v>
      </c>
      <c r="F301" s="465" t="s">
        <v>1183</v>
      </c>
    </row>
    <row r="302" spans="2:6">
      <c r="B302" s="11">
        <f t="shared" si="5"/>
        <v>302</v>
      </c>
      <c r="C302" s="10" t="str">
        <f>VLOOKUP(B302,B:F,HLOOKUP(Cover!$B$3,$B$4:$F$5,2,0),0)</f>
        <v>Výdavky výnimočného rozsahu alebo výskytu vzťahujúce sa na prevádzkovú činnosť (-)</v>
      </c>
      <c r="D302" s="465" t="s">
        <v>2724</v>
      </c>
      <c r="E302" s="465" t="s">
        <v>2725</v>
      </c>
      <c r="F302" s="465" t="s">
        <v>1184</v>
      </c>
    </row>
    <row r="303" spans="2:6">
      <c r="B303" s="11">
        <f t="shared" si="5"/>
        <v>303</v>
      </c>
      <c r="C303" s="10" t="str">
        <f>VLOOKUP(B303,B:F,HLOOKUP(Cover!$B$3,$B$4:$F$5,2,0),0)</f>
        <v>Čisté peňažné toky z prevádzkovej činnosti</v>
      </c>
      <c r="D303" s="465" t="s">
        <v>1038</v>
      </c>
      <c r="E303" s="465" t="s">
        <v>1113</v>
      </c>
      <c r="F303" s="465" t="s">
        <v>2726</v>
      </c>
    </row>
    <row r="304" spans="2:6">
      <c r="B304" s="11">
        <f t="shared" si="5"/>
        <v>304</v>
      </c>
      <c r="C304" s="10" t="str">
        <f>VLOOKUP(B304,B:F,HLOOKUP(Cover!$B$3,$B$4:$F$5,2,0),0)</f>
        <v>Výdavky na obstaranie dlhodobého nehmotného majetku (-)</v>
      </c>
      <c r="D304" s="465" t="s">
        <v>1040</v>
      </c>
      <c r="E304" s="465" t="s">
        <v>1115</v>
      </c>
      <c r="F304" s="465" t="s">
        <v>1186</v>
      </c>
    </row>
    <row r="305" spans="2:6">
      <c r="B305" s="11">
        <f t="shared" si="5"/>
        <v>305</v>
      </c>
      <c r="C305" s="10" t="str">
        <f>VLOOKUP(B305,B:F,HLOOKUP(Cover!$B$3,$B$4:$F$5,2,0),0)</f>
        <v>Výdavky na obstaranie dlhodobého hmotného majetku (-)</v>
      </c>
      <c r="D305" s="465" t="s">
        <v>1041</v>
      </c>
      <c r="E305" s="465" t="s">
        <v>1116</v>
      </c>
      <c r="F305" s="465" t="s">
        <v>1187</v>
      </c>
    </row>
    <row r="306" spans="2:6">
      <c r="B306" s="11">
        <f t="shared" si="5"/>
        <v>306</v>
      </c>
      <c r="C306" s="10" t="str">
        <f>VLOOKUP(B306,B:F,HLOOKUP(Cover!$B$3,$B$4:$F$5,2,0),0)</f>
        <v>Výdavky na obstaranie dlhodobých cenných papierov a podielov v iných účtovných jednotkách, s výnimkou cenných papierov, ktoré sa považujú za peňažné ekvivalenty a cenných papierov určených na predaj alebo na obchodovanie (-)</v>
      </c>
      <c r="D306" s="465" t="s">
        <v>1042</v>
      </c>
      <c r="E306" s="465" t="s">
        <v>1117</v>
      </c>
      <c r="F306" s="465" t="s">
        <v>2727</v>
      </c>
    </row>
    <row r="307" spans="2:6">
      <c r="B307" s="11">
        <f t="shared" si="5"/>
        <v>307</v>
      </c>
      <c r="C307" s="10" t="str">
        <f>VLOOKUP(B307,B:F,HLOOKUP(Cover!$B$3,$B$4:$F$5,2,0),0)</f>
        <v>Príjmy z predaja dlhodobého nehmotného majetku (+)</v>
      </c>
      <c r="D307" s="465" t="s">
        <v>1043</v>
      </c>
      <c r="E307" s="465" t="s">
        <v>1118</v>
      </c>
      <c r="F307" s="465" t="s">
        <v>1188</v>
      </c>
    </row>
    <row r="308" spans="2:6">
      <c r="B308" s="11">
        <f t="shared" si="5"/>
        <v>308</v>
      </c>
      <c r="C308" s="10" t="str">
        <f>VLOOKUP(B308,B:F,HLOOKUP(Cover!$B$3,$B$4:$F$5,2,0),0)</f>
        <v>Príjmy z predaja dlhodobého hmotného majetku (+)</v>
      </c>
      <c r="D308" s="465" t="s">
        <v>1044</v>
      </c>
      <c r="E308" s="465" t="s">
        <v>1119</v>
      </c>
      <c r="F308" s="465" t="s">
        <v>1189</v>
      </c>
    </row>
    <row r="309" spans="2:6" ht="29.25">
      <c r="B309" s="11">
        <f t="shared" si="5"/>
        <v>309</v>
      </c>
      <c r="C309" s="10" t="str">
        <f>VLOOKUP(B309,B:F,HLOOKUP(Cover!$B$3,$B$4:$F$5,2,0),0)</f>
        <v>Príjmy z predaja dlhodobých cenných papierov a podielov v iných účtovných jednotkách, s výnimkou cenných papierov, ktoré sa považujú za peňažné ekvivalenty a cenných papierov určených na predaj alebo na obchodovanie (+)</v>
      </c>
      <c r="D309" s="465" t="s">
        <v>1045</v>
      </c>
      <c r="E309" s="465" t="s">
        <v>1120</v>
      </c>
      <c r="F309" s="468" t="s">
        <v>2728</v>
      </c>
    </row>
    <row r="310" spans="2:6" ht="19.5">
      <c r="B310" s="11">
        <f t="shared" si="5"/>
        <v>310</v>
      </c>
      <c r="C310" s="10" t="str">
        <f>VLOOKUP(B310,B:F,HLOOKUP(Cover!$B$3,$B$4:$F$5,2,0),0)</f>
        <v>Výdavky na dlhodobé pôžičky poskytnuté účtovnou jednotkou inej účtovnej jednotke, ktorá je súčasťou konsolidovaného celku (-)</v>
      </c>
      <c r="D310" s="465" t="s">
        <v>1046</v>
      </c>
      <c r="E310" s="465" t="s">
        <v>1121</v>
      </c>
      <c r="F310" s="468" t="s">
        <v>2729</v>
      </c>
    </row>
    <row r="311" spans="2:6" ht="19.5">
      <c r="B311" s="11">
        <f t="shared" si="5"/>
        <v>311</v>
      </c>
      <c r="C311" s="10" t="str">
        <f>VLOOKUP(B311,B:F,HLOOKUP(Cover!$B$3,$B$4:$F$5,2,0),0)</f>
        <v>Príjmy zo splácania dlhodobých pôžičiek poskytnutých účtovnou jednotkou inej účtovnej jednotke, ktorá je súčasťou konsolidovaného celku (+)</v>
      </c>
      <c r="D311" s="465" t="s">
        <v>1047</v>
      </c>
      <c r="E311" s="465" t="s">
        <v>1122</v>
      </c>
      <c r="F311" s="468" t="s">
        <v>2730</v>
      </c>
    </row>
    <row r="312" spans="2:6" ht="19.5">
      <c r="B312" s="11">
        <f t="shared" si="5"/>
        <v>312</v>
      </c>
      <c r="C312" s="10" t="str">
        <f>VLOOKUP(B312,B:F,HLOOKUP(Cover!$B$3,$B$4:$F$5,2,0),0)</f>
        <v>Výdavky na dlhodobé pôžičky poskytnuté účtovnou jednotkou tretím osobám s výnimkou dlhodobých pôžičiek poskytnutých účtovnej jednotke, ktorá je súčasťou konsolidovaného celku (-)</v>
      </c>
      <c r="D312" s="465" t="s">
        <v>1048</v>
      </c>
      <c r="E312" s="465" t="s">
        <v>1123</v>
      </c>
      <c r="F312" s="468" t="s">
        <v>2731</v>
      </c>
    </row>
    <row r="313" spans="2:6" ht="19.5">
      <c r="B313" s="11">
        <f t="shared" si="5"/>
        <v>313</v>
      </c>
      <c r="C313" s="10" t="str">
        <f>VLOOKUP(B313,B:F,HLOOKUP(Cover!$B$3,$B$4:$F$5,2,0),0)</f>
        <v>Príjmy zo splácania pôžičiek poskytnutých účtovnou jednotkou tretím osobám, s výnimkou pôžičiek poskytnutých účtovnej jednotke, ktorá je súčasťou konsolidovaného celku (+)</v>
      </c>
      <c r="D313" s="465" t="s">
        <v>1049</v>
      </c>
      <c r="E313" s="465" t="s">
        <v>1122</v>
      </c>
      <c r="F313" s="468" t="s">
        <v>2732</v>
      </c>
    </row>
    <row r="314" spans="2:6">
      <c r="B314" s="11">
        <f t="shared" si="5"/>
        <v>314</v>
      </c>
      <c r="C314" s="10" t="str">
        <f>VLOOKUP(B314,B:F,HLOOKUP(Cover!$B$3,$B$4:$F$5,2,0),0)</f>
        <v>Prijaté úroky (+)</v>
      </c>
      <c r="D314" s="465" t="s">
        <v>1033</v>
      </c>
      <c r="E314" s="465" t="s">
        <v>1108</v>
      </c>
      <c r="F314" s="465" t="s">
        <v>2733</v>
      </c>
    </row>
    <row r="315" spans="2:6">
      <c r="B315" s="11">
        <f t="shared" si="5"/>
        <v>315</v>
      </c>
      <c r="C315" s="10" t="str">
        <f>VLOOKUP(B315,B:F,HLOOKUP(Cover!$B$3,$B$4:$F$5,2,0),0)</f>
        <v>Príjmy z dividend a iných podielov na zisku (+)</v>
      </c>
      <c r="D315" s="465" t="s">
        <v>1035</v>
      </c>
      <c r="E315" s="465" t="s">
        <v>1110</v>
      </c>
      <c r="F315" s="465" t="s">
        <v>1190</v>
      </c>
    </row>
    <row r="316" spans="2:6">
      <c r="B316" s="11">
        <f t="shared" si="5"/>
        <v>316</v>
      </c>
      <c r="C316" s="10" t="str">
        <f>VLOOKUP(B316,B:F,HLOOKUP(Cover!$B$3,$B$4:$F$5,2,0),0)</f>
        <v>Výdavky súvisiace s derivátmi s výnimkou, ak sú určené na predaj alebo na obchodovanie (-)</v>
      </c>
      <c r="D316" s="465" t="s">
        <v>1050</v>
      </c>
      <c r="E316" s="465" t="s">
        <v>1124</v>
      </c>
      <c r="F316" s="465" t="s">
        <v>2734</v>
      </c>
    </row>
    <row r="317" spans="2:6">
      <c r="B317" s="11">
        <f t="shared" si="5"/>
        <v>317</v>
      </c>
      <c r="C317" s="10" t="str">
        <f>VLOOKUP(B317,B:F,HLOOKUP(Cover!$B$3,$B$4:$F$5,2,0),0)</f>
        <v>Príjmy súvisiace s derivátmi s výnimkou, ak sú určené na predaj alebo na obchodovanie (-)</v>
      </c>
      <c r="D317" s="465" t="s">
        <v>1051</v>
      </c>
      <c r="E317" s="465" t="s">
        <v>1125</v>
      </c>
      <c r="F317" s="465" t="s">
        <v>2735</v>
      </c>
    </row>
    <row r="318" spans="2:6">
      <c r="B318" s="11">
        <f t="shared" si="5"/>
        <v>318</v>
      </c>
      <c r="C318" s="10" t="str">
        <f>VLOOKUP(B318,B:F,HLOOKUP(Cover!$B$3,$B$4:$F$5,2,0),0)</f>
        <v>Výdavky na daň z príjmov účtovnej jednotky (-)</v>
      </c>
      <c r="D318" s="465" t="s">
        <v>1052</v>
      </c>
      <c r="E318" s="465" t="s">
        <v>1126</v>
      </c>
      <c r="F318" s="465" t="s">
        <v>2736</v>
      </c>
    </row>
    <row r="319" spans="2:6">
      <c r="B319" s="11">
        <f t="shared" si="5"/>
        <v>319</v>
      </c>
      <c r="C319" s="10" t="str">
        <f>VLOOKUP(B319,B:F,HLOOKUP(Cover!$B$3,$B$4:$F$5,2,0),0)</f>
        <v>Príjmy výnimočného rozsahu alebo výskytu vzťahujúce sa na investičnú činnosť (+)</v>
      </c>
      <c r="D319" s="465" t="s">
        <v>2737</v>
      </c>
      <c r="E319" s="465" t="s">
        <v>2738</v>
      </c>
      <c r="F319" s="465" t="s">
        <v>1191</v>
      </c>
    </row>
    <row r="320" spans="2:6">
      <c r="B320" s="11">
        <f t="shared" si="5"/>
        <v>320</v>
      </c>
      <c r="C320" s="10" t="str">
        <f>VLOOKUP(B320,B:F,HLOOKUP(Cover!$B$3,$B$4:$F$5,2,0),0)</f>
        <v>Výdavky výnimočného rozsahu alebo výskytu vzťahujúce sa na investičnú činnosť (-)</v>
      </c>
      <c r="D320" s="465" t="s">
        <v>2739</v>
      </c>
      <c r="E320" s="465" t="s">
        <v>2740</v>
      </c>
      <c r="F320" s="465" t="s">
        <v>1192</v>
      </c>
    </row>
    <row r="321" spans="2:6">
      <c r="B321" s="11">
        <f t="shared" si="5"/>
        <v>321</v>
      </c>
      <c r="C321" s="10" t="str">
        <f>VLOOKUP(B321,B:F,HLOOKUP(Cover!$B$3,$B$4:$F$5,2,0),0)</f>
        <v>Ostatné príjmy vzťahujúce sa na investičnú činnosť (+)</v>
      </c>
      <c r="D321" s="465" t="s">
        <v>1053</v>
      </c>
      <c r="E321" s="465" t="s">
        <v>1127</v>
      </c>
      <c r="F321" s="465" t="s">
        <v>1193</v>
      </c>
    </row>
    <row r="322" spans="2:6">
      <c r="B322" s="11">
        <f t="shared" si="5"/>
        <v>322</v>
      </c>
      <c r="C322" s="10" t="str">
        <f>VLOOKUP(B322,B:F,HLOOKUP(Cover!$B$3,$B$4:$F$5,2,0),0)</f>
        <v>Ostatné výdavky vzťahujúce sa na investičnú činnosť (-)</v>
      </c>
      <c r="D322" s="465" t="s">
        <v>1054</v>
      </c>
      <c r="E322" s="465" t="s">
        <v>1128</v>
      </c>
      <c r="F322" s="465" t="s">
        <v>1194</v>
      </c>
    </row>
    <row r="323" spans="2:6">
      <c r="B323" s="11">
        <f t="shared" si="5"/>
        <v>323</v>
      </c>
      <c r="C323" s="10" t="str">
        <f>VLOOKUP(B323,B:F,HLOOKUP(Cover!$B$3,$B$4:$F$5,2,0),0)</f>
        <v>Čisté peňažné toky z investičnej činnosti</v>
      </c>
      <c r="D323" s="465" t="s">
        <v>1055</v>
      </c>
      <c r="E323" s="465" t="s">
        <v>1129</v>
      </c>
      <c r="F323" s="465" t="s">
        <v>2741</v>
      </c>
    </row>
    <row r="324" spans="2:6">
      <c r="B324" s="11">
        <f t="shared" si="5"/>
        <v>324</v>
      </c>
      <c r="C324" s="10" t="str">
        <f>VLOOKUP(B324,B:F,HLOOKUP(Cover!$B$3,$B$4:$F$5,2,0),0)</f>
        <v>Peňažné toky vo vlastnom imaní</v>
      </c>
      <c r="D324" s="465" t="s">
        <v>1057</v>
      </c>
      <c r="E324" s="465" t="s">
        <v>1131</v>
      </c>
      <c r="F324" s="465" t="s">
        <v>1196</v>
      </c>
    </row>
    <row r="325" spans="2:6">
      <c r="B325" s="11">
        <f t="shared" si="5"/>
        <v>325</v>
      </c>
      <c r="C325" s="10" t="str">
        <f>VLOOKUP(B325,B:F,HLOOKUP(Cover!$B$3,$B$4:$F$5,2,0),0)</f>
        <v>Príjmy z upísaných akcií a obchodných podielov (+)</v>
      </c>
      <c r="D325" s="465" t="s">
        <v>1058</v>
      </c>
      <c r="E325" s="465" t="s">
        <v>1132</v>
      </c>
      <c r="F325" s="465" t="s">
        <v>1197</v>
      </c>
    </row>
    <row r="326" spans="2:6">
      <c r="B326" s="11">
        <f t="shared" si="5"/>
        <v>326</v>
      </c>
      <c r="C326" s="10" t="str">
        <f>VLOOKUP(B326,B:F,HLOOKUP(Cover!$B$3,$B$4:$F$5,2,0),0)</f>
        <v>Príjmy z ďalších vkladov do vlastného imania spoločníkmi (+)</v>
      </c>
      <c r="D326" s="465" t="s">
        <v>1059</v>
      </c>
      <c r="E326" s="465" t="s">
        <v>1133</v>
      </c>
      <c r="F326" s="465" t="s">
        <v>2742</v>
      </c>
    </row>
    <row r="327" spans="2:6">
      <c r="B327" s="11">
        <f t="shared" si="5"/>
        <v>327</v>
      </c>
      <c r="C327" s="10" t="str">
        <f>VLOOKUP(B327,B:F,HLOOKUP(Cover!$B$3,$B$4:$F$5,2,0),0)</f>
        <v>Prijaté peňažné dary (+)</v>
      </c>
      <c r="D327" s="465" t="s">
        <v>1060</v>
      </c>
      <c r="E327" s="465" t="s">
        <v>1134</v>
      </c>
      <c r="F327" s="465" t="s">
        <v>1198</v>
      </c>
    </row>
    <row r="328" spans="2:6">
      <c r="B328" s="11">
        <f t="shared" si="5"/>
        <v>328</v>
      </c>
      <c r="C328" s="10" t="str">
        <f>VLOOKUP(B328,B:F,HLOOKUP(Cover!$B$3,$B$4:$F$5,2,0),0)</f>
        <v>Príjmy z úhrady straty spoločníkmi (+)</v>
      </c>
      <c r="D328" s="465" t="s">
        <v>1061</v>
      </c>
      <c r="E328" s="465" t="s">
        <v>1135</v>
      </c>
      <c r="F328" s="465" t="s">
        <v>2743</v>
      </c>
    </row>
    <row r="329" spans="2:6">
      <c r="B329" s="11">
        <f t="shared" si="5"/>
        <v>329</v>
      </c>
      <c r="C329" s="10" t="str">
        <f>VLOOKUP(B329,B:F,HLOOKUP(Cover!$B$3,$B$4:$F$5,2,0),0)</f>
        <v>Výdavky na obstaranie alebo spätné odkúpenie vlastných akcií a vlastných obchodných podielov (-)</v>
      </c>
      <c r="D329" s="465" t="s">
        <v>1062</v>
      </c>
      <c r="E329" s="465" t="s">
        <v>1136</v>
      </c>
      <c r="F329" s="465" t="s">
        <v>1199</v>
      </c>
    </row>
    <row r="330" spans="2:6">
      <c r="B330" s="11">
        <f t="shared" si="5"/>
        <v>330</v>
      </c>
      <c r="C330" s="10" t="str">
        <f>VLOOKUP(B330,B:F,HLOOKUP(Cover!$B$3,$B$4:$F$5,2,0),0)</f>
        <v>Výdavky spojené so znížením fondov vytvorených účtovnou jednotkou (-)</v>
      </c>
      <c r="D330" s="465" t="s">
        <v>1063</v>
      </c>
      <c r="E330" s="465" t="s">
        <v>1137</v>
      </c>
      <c r="F330" s="465" t="s">
        <v>2744</v>
      </c>
    </row>
    <row r="331" spans="2:6">
      <c r="B331" s="11">
        <f t="shared" si="5"/>
        <v>331</v>
      </c>
      <c r="C331" s="10" t="str">
        <f>VLOOKUP(B331,B:F,HLOOKUP(Cover!$B$3,$B$4:$F$5,2,0),0)</f>
        <v>Výdavky na vyplatenie podielu na vlastnom imaní spoločníkmi účtovnej jednotky (-)</v>
      </c>
      <c r="D331" s="465" t="s">
        <v>1064</v>
      </c>
      <c r="E331" s="465" t="s">
        <v>1138</v>
      </c>
      <c r="F331" s="465" t="s">
        <v>2745</v>
      </c>
    </row>
    <row r="332" spans="2:6">
      <c r="B332" s="11">
        <f t="shared" si="5"/>
        <v>332</v>
      </c>
      <c r="C332" s="10" t="str">
        <f>VLOOKUP(B332,B:F,HLOOKUP(Cover!$B$3,$B$4:$F$5,2,0),0)</f>
        <v>Výdavky z iných dôvodov, ktoré súvisia so znížením vlastného imania (-)</v>
      </c>
      <c r="D332" s="465" t="s">
        <v>1065</v>
      </c>
      <c r="E332" s="465" t="s">
        <v>1139</v>
      </c>
      <c r="F332" s="465" t="s">
        <v>1200</v>
      </c>
    </row>
    <row r="333" spans="2:6">
      <c r="B333" s="11">
        <f t="shared" si="5"/>
        <v>333</v>
      </c>
      <c r="C333" s="10" t="str">
        <f>VLOOKUP(B333,B:F,HLOOKUP(Cover!$B$3,$B$4:$F$5,2,0),0)</f>
        <v>Peňažné toky vznikajúce z dlhodobých záväzkov a krátkodobých záväzkov z finančnej činnosti</v>
      </c>
      <c r="D333" s="465" t="s">
        <v>1066</v>
      </c>
      <c r="E333" s="465" t="s">
        <v>1140</v>
      </c>
      <c r="F333" s="465" t="s">
        <v>2746</v>
      </c>
    </row>
    <row r="334" spans="2:6">
      <c r="B334" s="11">
        <f t="shared" si="5"/>
        <v>334</v>
      </c>
      <c r="C334" s="10" t="str">
        <f>VLOOKUP(B334,B:F,HLOOKUP(Cover!$B$3,$B$4:$F$5,2,0),0)</f>
        <v>Príjmy z emisie dlhových cenných papierov (+)</v>
      </c>
      <c r="D334" s="465" t="s">
        <v>1067</v>
      </c>
      <c r="E334" s="465" t="s">
        <v>1141</v>
      </c>
      <c r="F334" s="465" t="s">
        <v>1201</v>
      </c>
    </row>
    <row r="335" spans="2:6">
      <c r="B335" s="11">
        <f t="shared" si="5"/>
        <v>335</v>
      </c>
      <c r="C335" s="10" t="str">
        <f>VLOOKUP(B335,B:F,HLOOKUP(Cover!$B$3,$B$4:$F$5,2,0),0)</f>
        <v>Výdavky na úhradu záväzkov z dlhových cenných papierov (-)</v>
      </c>
      <c r="D335" s="465" t="s">
        <v>1068</v>
      </c>
      <c r="E335" s="465" t="s">
        <v>1142</v>
      </c>
      <c r="F335" s="465" t="s">
        <v>1202</v>
      </c>
    </row>
    <row r="336" spans="2:6">
      <c r="B336" s="11">
        <f t="shared" si="5"/>
        <v>336</v>
      </c>
      <c r="C336" s="10" t="str">
        <f>VLOOKUP(B336,B:F,HLOOKUP(Cover!$B$3,$B$4:$F$5,2,0),0)</f>
        <v>Príjmy z úverov (+)</v>
      </c>
      <c r="D336" s="465" t="s">
        <v>1069</v>
      </c>
      <c r="E336" s="465" t="s">
        <v>1143</v>
      </c>
      <c r="F336" s="465" t="s">
        <v>1203</v>
      </c>
    </row>
    <row r="337" spans="2:6">
      <c r="B337" s="11">
        <f t="shared" si="5"/>
        <v>337</v>
      </c>
      <c r="C337" s="10" t="str">
        <f>VLOOKUP(B337,B:F,HLOOKUP(Cover!$B$3,$B$4:$F$5,2,0),0)</f>
        <v>Výdavky na splácanie úverov (-)</v>
      </c>
      <c r="D337" s="465" t="s">
        <v>1070</v>
      </c>
      <c r="E337" s="465" t="s">
        <v>1144</v>
      </c>
      <c r="F337" s="465" t="s">
        <v>2747</v>
      </c>
    </row>
    <row r="338" spans="2:6">
      <c r="B338" s="11">
        <f t="shared" si="5"/>
        <v>338</v>
      </c>
      <c r="C338" s="10" t="str">
        <f>VLOOKUP(B338,B:F,HLOOKUP(Cover!$B$3,$B$4:$F$5,2,0),0)</f>
        <v>Príjmy z prijatých pôžičiek (+)</v>
      </c>
      <c r="D338" s="465" t="s">
        <v>1071</v>
      </c>
      <c r="E338" s="465" t="s">
        <v>1145</v>
      </c>
      <c r="F338" s="465" t="s">
        <v>1204</v>
      </c>
    </row>
    <row r="339" spans="2:6">
      <c r="B339" s="11">
        <f t="shared" si="5"/>
        <v>339</v>
      </c>
      <c r="C339" s="10" t="str">
        <f>VLOOKUP(B339,B:F,HLOOKUP(Cover!$B$3,$B$4:$F$5,2,0),0)</f>
        <v>Výdavky na splácanie pôžičiek (-)</v>
      </c>
      <c r="D339" s="465" t="s">
        <v>1072</v>
      </c>
      <c r="E339" s="465" t="s">
        <v>1146</v>
      </c>
      <c r="F339" s="465" t="s">
        <v>1205</v>
      </c>
    </row>
    <row r="340" spans="2:6">
      <c r="B340" s="11">
        <f t="shared" si="5"/>
        <v>340</v>
      </c>
      <c r="C340" s="10" t="str">
        <f>VLOOKUP(B340,B:F,HLOOKUP(Cover!$B$3,$B$4:$F$5,2,0),0)</f>
        <v>Výdavky na úhradu záväzkov z finančného lízingu (-)</v>
      </c>
      <c r="D340" s="465" t="s">
        <v>1073</v>
      </c>
      <c r="E340" s="465" t="s">
        <v>1147</v>
      </c>
      <c r="F340" s="465" t="s">
        <v>1206</v>
      </c>
    </row>
    <row r="341" spans="2:6" ht="19.5">
      <c r="B341" s="11">
        <f t="shared" si="5"/>
        <v>341</v>
      </c>
      <c r="C341" s="10" t="str">
        <f>VLOOKUP(B341,B:F,HLOOKUP(Cover!$B$3,$B$4:$F$5,2,0),0)</f>
        <v>Príjmy z ostatných dlhodobých záväzkov a krátkodobých záväzkov vyplývajúcich z finančnej činnosti účtovnej jednotky (+)</v>
      </c>
      <c r="D341" s="465" t="s">
        <v>1074</v>
      </c>
      <c r="E341" s="465" t="s">
        <v>1148</v>
      </c>
      <c r="F341" s="468" t="s">
        <v>2748</v>
      </c>
    </row>
    <row r="342" spans="2:6" ht="19.5">
      <c r="B342" s="11">
        <f t="shared" si="5"/>
        <v>342</v>
      </c>
      <c r="C342" s="10" t="str">
        <f>VLOOKUP(B342,B:F,HLOOKUP(Cover!$B$3,$B$4:$F$5,2,0),0)</f>
        <v>Výdavky na splácanie ostatných dlhodobých záväzkov a krátkodobých záväzkov vyplývajúcich z finančnej činnosti účtovnej jednotky (-)</v>
      </c>
      <c r="D342" s="465" t="s">
        <v>1075</v>
      </c>
      <c r="E342" s="465" t="s">
        <v>1149</v>
      </c>
      <c r="F342" s="468" t="s">
        <v>2749</v>
      </c>
    </row>
    <row r="343" spans="2:6">
      <c r="B343" s="11">
        <f t="shared" si="5"/>
        <v>343</v>
      </c>
      <c r="C343" s="10" t="str">
        <f>VLOOKUP(B343,B:F,HLOOKUP(Cover!$B$3,$B$4:$F$5,2,0),0)</f>
        <v>Výdavky na zaplatené úroky (-)</v>
      </c>
      <c r="D343" s="465" t="s">
        <v>1034</v>
      </c>
      <c r="E343" s="465" t="s">
        <v>1109</v>
      </c>
      <c r="F343" s="465" t="s">
        <v>1207</v>
      </c>
    </row>
    <row r="344" spans="2:6">
      <c r="B344" s="11">
        <f t="shared" si="5"/>
        <v>344</v>
      </c>
      <c r="C344" s="10" t="str">
        <f>VLOOKUP(B344,B:F,HLOOKUP(Cover!$B$3,$B$4:$F$5,2,0),0)</f>
        <v>Výdavky na vyplatené dividendy a iné podiely na zisku (-)</v>
      </c>
      <c r="D344" s="465" t="s">
        <v>1036</v>
      </c>
      <c r="E344" s="465" t="s">
        <v>1150</v>
      </c>
      <c r="F344" s="465" t="s">
        <v>1208</v>
      </c>
    </row>
    <row r="345" spans="2:6" ht="12.75">
      <c r="B345" s="11">
        <f t="shared" si="5"/>
        <v>345</v>
      </c>
      <c r="C345" s="10" t="str">
        <f>VLOOKUP(B345,B:F,HLOOKUP(Cover!$B$3,$B$4:$F$5,2,0),0)</f>
        <v>Výdavky súvisiace s derivátmi, s výnimkou, ak sú určené na predaj alebo na obchodovanie (-)</v>
      </c>
      <c r="D345" s="465" t="s">
        <v>2750</v>
      </c>
      <c r="E345" s="465" t="s">
        <v>1151</v>
      </c>
      <c r="F345" s="465" t="s">
        <v>2751</v>
      </c>
    </row>
    <row r="346" spans="2:6">
      <c r="B346" s="11">
        <f t="shared" si="5"/>
        <v>346</v>
      </c>
      <c r="C346" s="10" t="str">
        <f>VLOOKUP(B346,B:F,HLOOKUP(Cover!$B$3,$B$4:$F$5,2,0),0)</f>
        <v>Príjmy súvisiace s derivátmi, s výnimkou, ak sú určené na predaj alebo na obchodovanie (+)</v>
      </c>
      <c r="D346" s="465" t="s">
        <v>1076</v>
      </c>
      <c r="E346" s="465" t="s">
        <v>1152</v>
      </c>
      <c r="F346" s="465" t="s">
        <v>2752</v>
      </c>
    </row>
    <row r="347" spans="2:6">
      <c r="B347" s="11">
        <f t="shared" si="5"/>
        <v>347</v>
      </c>
      <c r="C347" s="10" t="str">
        <f>VLOOKUP(B347,B:F,HLOOKUP(Cover!$B$3,$B$4:$F$5,2,0),0)</f>
        <v>Výdavky na daň z príjmov účtovnej jednotky (-)</v>
      </c>
      <c r="D347" s="465" t="s">
        <v>1052</v>
      </c>
      <c r="E347" s="465" t="s">
        <v>1126</v>
      </c>
      <c r="F347" s="465" t="s">
        <v>2736</v>
      </c>
    </row>
    <row r="348" spans="2:6">
      <c r="B348" s="11">
        <f t="shared" ref="B348:B411" si="6">B347+1</f>
        <v>348</v>
      </c>
      <c r="C348" s="10" t="str">
        <f>VLOOKUP(B348,B:F,HLOOKUP(Cover!$B$3,$B$4:$F$5,2,0),0)</f>
        <v>Príjmy výnimočného rozsahu alebo výskytu vzťahujúce sa na finančnú činnosť (+)</v>
      </c>
      <c r="D348" s="465" t="s">
        <v>2753</v>
      </c>
      <c r="E348" s="465" t="s">
        <v>2754</v>
      </c>
      <c r="F348" s="465" t="s">
        <v>1209</v>
      </c>
    </row>
    <row r="349" spans="2:6">
      <c r="B349" s="11">
        <f t="shared" si="6"/>
        <v>349</v>
      </c>
      <c r="C349" s="10" t="str">
        <f>VLOOKUP(B349,B:F,HLOOKUP(Cover!$B$3,$B$4:$F$5,2,0),0)</f>
        <v>Výdavky výnimočného rozsahu alebo výskytu vzťahujúce sa na finančnú činnosť (-)</v>
      </c>
      <c r="D349" s="465" t="s">
        <v>2755</v>
      </c>
      <c r="E349" s="465" t="s">
        <v>2756</v>
      </c>
      <c r="F349" s="465" t="s">
        <v>1210</v>
      </c>
    </row>
    <row r="350" spans="2:6">
      <c r="B350" s="11">
        <f t="shared" si="6"/>
        <v>350</v>
      </c>
      <c r="C350" s="10" t="str">
        <f>VLOOKUP(B350,B:F,HLOOKUP(Cover!$B$3,$B$4:$F$5,2,0),0)</f>
        <v>Čisté peňažné toky z finančnej činnosti</v>
      </c>
      <c r="D350" s="465" t="s">
        <v>1077</v>
      </c>
      <c r="E350" s="465" t="s">
        <v>1153</v>
      </c>
      <c r="F350" s="465" t="s">
        <v>2757</v>
      </c>
    </row>
    <row r="351" spans="2:6">
      <c r="B351" s="11">
        <f t="shared" si="6"/>
        <v>351</v>
      </c>
      <c r="C351" s="10" t="str">
        <f>VLOOKUP(B351,B:F,HLOOKUP(Cover!$B$3,$B$4:$F$5,2,0),0)</f>
        <v>Čisté zvýšenie alebo čisté zníženie peňažných prostriedkov a peňažných ekvivalentov (+/-)                            (súčet A+B+C)</v>
      </c>
      <c r="D351" s="465" t="s">
        <v>1078</v>
      </c>
      <c r="E351" s="465" t="s">
        <v>1154</v>
      </c>
      <c r="F351" s="465" t="s">
        <v>2758</v>
      </c>
    </row>
    <row r="352" spans="2:6">
      <c r="B352" s="11">
        <f t="shared" si="6"/>
        <v>352</v>
      </c>
      <c r="C352" s="10" t="str">
        <f>VLOOKUP(B352,B:F,HLOOKUP(Cover!$B$3,$B$4:$F$5,2,0),0)</f>
        <v>Stav peňažných prostriedkov a peňažných ekvivalentov na začiatku účtovného obdobia</v>
      </c>
      <c r="D352" s="465" t="s">
        <v>1079</v>
      </c>
      <c r="E352" s="465" t="s">
        <v>1155</v>
      </c>
      <c r="F352" s="465" t="s">
        <v>1211</v>
      </c>
    </row>
    <row r="353" spans="2:6" ht="19.5">
      <c r="B353" s="11">
        <f t="shared" si="6"/>
        <v>353</v>
      </c>
      <c r="C353" s="10" t="str">
        <f>VLOOKUP(B353,B:F,HLOOKUP(Cover!$B$3,$B$4:$F$5,2,0),0)</f>
        <v>Stav peňažných prostriedkov a peňažných ekvivalentov na konci účtovného obdobia pred zohľadnením kurzových rozdielov vyčíslených ku dňu, ku ktorému sa zostavuje účtovná závierka (+/-)</v>
      </c>
      <c r="D353" s="465" t="s">
        <v>1080</v>
      </c>
      <c r="E353" s="465" t="s">
        <v>1156</v>
      </c>
      <c r="F353" s="468" t="s">
        <v>2759</v>
      </c>
    </row>
    <row r="354" spans="2:6">
      <c r="B354" s="11">
        <f t="shared" si="6"/>
        <v>354</v>
      </c>
      <c r="C354" s="10" t="str">
        <f>VLOOKUP(B354,B:F,HLOOKUP(Cover!$B$3,$B$4:$F$5,2,0),0)</f>
        <v>Kurzové rozdiely vyčíslené k peňažným prostriedkom a peňažným ekvivalentom ku dňu, ku ktorému sa zostavuje účtovná závierka (+/-)</v>
      </c>
      <c r="D354" s="465" t="s">
        <v>1081</v>
      </c>
      <c r="E354" s="465" t="s">
        <v>1157</v>
      </c>
      <c r="F354" s="465" t="s">
        <v>1212</v>
      </c>
    </row>
    <row r="355" spans="2:6" ht="19.5">
      <c r="B355" s="11">
        <f t="shared" si="6"/>
        <v>355</v>
      </c>
      <c r="C355" s="10" t="str">
        <f>VLOOKUP(B355,B:F,HLOOKUP(Cover!$B$3,$B$4:$F$5,2,0),0)</f>
        <v>Zostatok peňažných prostriedkov a peňažných ekvivalentov na konci účtovného obdobia upravený o kurzové rozdiely vyčíslené ku dňu, ku ktorému sa zostavuje účtovná závierka 
(+/-) (súčet D + E + G)</v>
      </c>
      <c r="D355" s="465" t="s">
        <v>1470</v>
      </c>
      <c r="E355" s="465" t="s">
        <v>1158</v>
      </c>
      <c r="F355" s="468" t="s">
        <v>2760</v>
      </c>
    </row>
    <row r="356" spans="2:6">
      <c r="B356" s="11">
        <f t="shared" si="6"/>
        <v>356</v>
      </c>
      <c r="C356" s="10" t="str">
        <f>VLOOKUP(B356,B:F,HLOOKUP(Cover!$B$3,$B$4:$F$5,2,0),0)</f>
        <v>Tabuľka č. 1 - Prehľad peňažných tokov</v>
      </c>
      <c r="D356" s="465" t="s">
        <v>1009</v>
      </c>
      <c r="E356" s="465" t="s">
        <v>1086</v>
      </c>
      <c r="F356" s="469" t="s">
        <v>1159</v>
      </c>
    </row>
    <row r="357" spans="2:6">
      <c r="B357" s="11">
        <f t="shared" si="6"/>
        <v>357</v>
      </c>
      <c r="C357" s="10" t="str">
        <f>VLOOKUP(B357,B:F,HLOOKUP(Cover!$B$3,$B$4:$F$5,2,0),0)</f>
        <v>Názov položky</v>
      </c>
      <c r="D357" s="465" t="s">
        <v>1011</v>
      </c>
      <c r="E357" s="465" t="s">
        <v>882</v>
      </c>
      <c r="F357" s="469" t="s">
        <v>1725</v>
      </c>
    </row>
    <row r="358" spans="2:6">
      <c r="B358" s="11">
        <f t="shared" si="6"/>
        <v>358</v>
      </c>
      <c r="C358" s="10" t="str">
        <f>VLOOKUP(B358,B:F,HLOOKUP(Cover!$B$3,$B$4:$F$5,2,0),0)</f>
        <v>Označenie</v>
      </c>
      <c r="D358" s="465" t="s">
        <v>973</v>
      </c>
      <c r="E358" s="465" t="s">
        <v>481</v>
      </c>
      <c r="F358" s="469" t="s">
        <v>974</v>
      </c>
    </row>
    <row r="359" spans="2:6">
      <c r="B359" s="11">
        <f t="shared" si="6"/>
        <v>359</v>
      </c>
      <c r="C359" s="10" t="str">
        <f>VLOOKUP(B359,B:F,HLOOKUP(Cover!$B$3,$B$4:$F$5,2,0),0)</f>
        <v>Skutočnosť v eurách</v>
      </c>
      <c r="D359" s="465" t="s">
        <v>1012</v>
      </c>
      <c r="E359" s="465" t="s">
        <v>1087</v>
      </c>
      <c r="F359" s="469" t="s">
        <v>2761</v>
      </c>
    </row>
    <row r="360" spans="2:6">
      <c r="B360" s="11">
        <f t="shared" si="6"/>
        <v>360</v>
      </c>
      <c r="C360" s="10" t="str">
        <f>VLOOKUP(B360,B:F,HLOOKUP(Cover!$B$3,$B$4:$F$5,2,0),0)</f>
        <v>Bežné účtovné obdobie</v>
      </c>
      <c r="D360" s="465" t="s">
        <v>486</v>
      </c>
      <c r="E360" s="465" t="s">
        <v>944</v>
      </c>
      <c r="F360" s="469" t="s">
        <v>977</v>
      </c>
    </row>
    <row r="361" spans="2:6">
      <c r="B361" s="11">
        <f t="shared" si="6"/>
        <v>361</v>
      </c>
      <c r="C361" s="10" t="str">
        <f>VLOOKUP(B361,B:F,HLOOKUP(Cover!$B$3,$B$4:$F$5,2,0),0)</f>
        <v>Minulé účtovné obdobie</v>
      </c>
      <c r="D361" s="465" t="s">
        <v>1083</v>
      </c>
      <c r="E361" s="465" t="s">
        <v>1088</v>
      </c>
      <c r="F361" s="469" t="s">
        <v>1160</v>
      </c>
    </row>
    <row r="362" spans="2:6">
      <c r="B362" s="11">
        <f t="shared" si="6"/>
        <v>362</v>
      </c>
      <c r="C362" s="10" t="str">
        <f>VLOOKUP(B362,B:F,HLOOKUP(Cover!$B$3,$B$4:$F$5,2,0),0)</f>
        <v>Peňažné toky z prevádzkovej činnosti</v>
      </c>
      <c r="D362" s="465" t="s">
        <v>1013</v>
      </c>
      <c r="E362" s="465" t="s">
        <v>1089</v>
      </c>
      <c r="F362" s="469" t="s">
        <v>1161</v>
      </c>
    </row>
    <row r="363" spans="2:6">
      <c r="B363" s="11">
        <f t="shared" si="6"/>
        <v>363</v>
      </c>
      <c r="C363" s="10" t="str">
        <f>VLOOKUP(B363,B:F,HLOOKUP(Cover!$B$3,$B$4:$F$5,2,0),0)</f>
        <v>Peňažné toky z investičnej činnosti</v>
      </c>
      <c r="D363" s="465" t="s">
        <v>1039</v>
      </c>
      <c r="E363" s="465" t="s">
        <v>1114</v>
      </c>
      <c r="F363" s="469" t="s">
        <v>1185</v>
      </c>
    </row>
    <row r="364" spans="2:6">
      <c r="B364" s="11">
        <f t="shared" si="6"/>
        <v>364</v>
      </c>
      <c r="C364" s="10" t="str">
        <f>VLOOKUP(B364,B:F,HLOOKUP(Cover!$B$3,$B$4:$F$5,2,0),0)</f>
        <v>Peňažné toky z finančnej činnosti</v>
      </c>
      <c r="D364" s="465" t="s">
        <v>1056</v>
      </c>
      <c r="E364" s="465" t="s">
        <v>1130</v>
      </c>
      <c r="F364" s="469" t="s">
        <v>1195</v>
      </c>
    </row>
    <row r="365" spans="2:6">
      <c r="B365" s="12">
        <f t="shared" si="6"/>
        <v>365</v>
      </c>
      <c r="C365" s="13" t="s">
        <v>2120</v>
      </c>
      <c r="D365" s="13"/>
      <c r="E365" s="13"/>
      <c r="F365" s="13"/>
    </row>
    <row r="366" spans="2:6">
      <c r="B366" s="11">
        <f t="shared" si="6"/>
        <v>366</v>
      </c>
      <c r="C366" s="10" t="str">
        <f>VLOOKUP(B366,B:F,HLOOKUP(Cover!$B$3,$B$4:$F$5,2,0),0)</f>
        <v>ÚČTOVNÁ ZÁVIERKA</v>
      </c>
      <c r="D366" s="465" t="s">
        <v>1475</v>
      </c>
      <c r="E366" s="465" t="s">
        <v>2098</v>
      </c>
      <c r="F366" s="465" t="s">
        <v>2659</v>
      </c>
    </row>
    <row r="367" spans="2:6">
      <c r="B367" s="11">
        <f t="shared" si="6"/>
        <v>367</v>
      </c>
      <c r="C367" s="10" t="str">
        <f>VLOOKUP(B367,B:F,HLOOKUP(Cover!$B$3,$B$4:$F$5,2,0),0)</f>
        <v>Príloha č.1 k opatreniu č. 4455/2003-92</v>
      </c>
      <c r="D367" s="465" t="s">
        <v>1472</v>
      </c>
      <c r="E367" s="465" t="s">
        <v>2099</v>
      </c>
      <c r="F367" s="465" t="s">
        <v>2660</v>
      </c>
    </row>
    <row r="368" spans="2:6">
      <c r="B368" s="11">
        <f t="shared" si="6"/>
        <v>368</v>
      </c>
      <c r="C368" s="10" t="str">
        <f>VLOOKUP(B368,B:F,HLOOKUP(Cover!$B$3,$B$4:$F$5,2,0),0)</f>
        <v>podnikateľov v podvojnom účtovníctve</v>
      </c>
      <c r="D368" s="465" t="s">
        <v>1476</v>
      </c>
      <c r="E368" s="465" t="s">
        <v>2100</v>
      </c>
      <c r="F368" s="465" t="s">
        <v>2661</v>
      </c>
    </row>
    <row r="369" spans="2:6">
      <c r="B369" s="11">
        <f t="shared" si="6"/>
        <v>369</v>
      </c>
      <c r="C369" s="10" t="str">
        <f>VLOOKUP(B369,B:F,HLOOKUP(Cover!$B$3,$B$4:$F$5,2,0),0)</f>
        <v>zostavená k</v>
      </c>
      <c r="D369" s="465" t="s">
        <v>1477</v>
      </c>
      <c r="E369" s="465" t="s">
        <v>2101</v>
      </c>
      <c r="F369" s="465" t="s">
        <v>2662</v>
      </c>
    </row>
    <row r="370" spans="2:6">
      <c r="B370" s="11">
        <f t="shared" si="6"/>
        <v>370</v>
      </c>
      <c r="C370" s="10" t="str">
        <f>VLOOKUP(B370,B:F,HLOOKUP(Cover!$B$3,$B$4:$F$5,2,0),0)</f>
        <v>Číselné údaje sa zarovnávajú vpravo, ostatné údaje sa píšu zľava.  Nevyplnené riadky sa ponechávajú prázdne.</v>
      </c>
      <c r="D370" s="465" t="s">
        <v>1478</v>
      </c>
      <c r="E370" s="465" t="s">
        <v>2102</v>
      </c>
      <c r="F370" s="465" t="s">
        <v>2663</v>
      </c>
    </row>
    <row r="371" spans="2:6">
      <c r="B371" s="11">
        <f t="shared" si="6"/>
        <v>371</v>
      </c>
      <c r="C371" s="10" t="str">
        <f>VLOOKUP(B371,B:F,HLOOKUP(Cover!$B$3,$B$4:$F$5,2,0),0)</f>
        <v>Údaje sa vypĺňajú paličkovým písmom (podľa tohto vzoru), písacím strojom alebo tlačiarňou, a to čiernou alebo tmavomodrou farbou.</v>
      </c>
      <c r="D371" s="465" t="s">
        <v>2122</v>
      </c>
      <c r="E371" s="465" t="s">
        <v>2103</v>
      </c>
      <c r="F371" s="465" t="s">
        <v>2664</v>
      </c>
    </row>
    <row r="372" spans="2:6">
      <c r="B372" s="11">
        <f t="shared" si="6"/>
        <v>372</v>
      </c>
      <c r="C372" s="10" t="str">
        <f>VLOOKUP(B372,B:F,HLOOKUP(Cover!$B$3,$B$4:$F$5,2,0),0)</f>
        <v>Daňové identifikačné číslo</v>
      </c>
      <c r="D372" s="465" t="s">
        <v>889</v>
      </c>
      <c r="E372" s="469" t="s">
        <v>914</v>
      </c>
      <c r="F372" s="465" t="s">
        <v>984</v>
      </c>
    </row>
    <row r="373" spans="2:6">
      <c r="B373" s="11">
        <f t="shared" si="6"/>
        <v>373</v>
      </c>
      <c r="C373" s="10" t="str">
        <f>VLOOKUP(B373,B:F,HLOOKUP(Cover!$B$3,$B$4:$F$5,2,0),0)</f>
        <v>IČO</v>
      </c>
      <c r="D373" s="465" t="s">
        <v>890</v>
      </c>
      <c r="E373" s="465" t="s">
        <v>2104</v>
      </c>
      <c r="F373" s="465" t="s">
        <v>985</v>
      </c>
    </row>
    <row r="374" spans="2:6">
      <c r="B374" s="11">
        <f t="shared" si="6"/>
        <v>374</v>
      </c>
      <c r="C374" s="10" t="str">
        <f>VLOOKUP(B374,B:F,HLOOKUP(Cover!$B$3,$B$4:$F$5,2,0),0)</f>
        <v xml:space="preserve"> Účtovná závierka</v>
      </c>
      <c r="D374" s="465" t="s">
        <v>1505</v>
      </c>
      <c r="E374" s="465" t="s">
        <v>2105</v>
      </c>
      <c r="F374" s="465" t="s">
        <v>2665</v>
      </c>
    </row>
    <row r="375" spans="2:6">
      <c r="B375" s="11">
        <f t="shared" si="6"/>
        <v>375</v>
      </c>
      <c r="C375" s="10" t="str">
        <f>VLOOKUP(B375,B:F,HLOOKUP(Cover!$B$3,$B$4:$F$5,2,0),0)</f>
        <v>Účtovná jednotka</v>
      </c>
      <c r="D375" s="465" t="s">
        <v>1506</v>
      </c>
      <c r="E375" s="465" t="s">
        <v>2106</v>
      </c>
      <c r="F375" s="465" t="s">
        <v>2666</v>
      </c>
    </row>
    <row r="376" spans="2:6">
      <c r="B376" s="11">
        <f t="shared" si="6"/>
        <v>376</v>
      </c>
      <c r="C376" s="10" t="str">
        <f>VLOOKUP(B376,B:F,HLOOKUP(Cover!$B$3,$B$4:$F$5,2,0),0)</f>
        <v xml:space="preserve">  riadna</v>
      </c>
      <c r="D376" s="465" t="s">
        <v>1510</v>
      </c>
      <c r="E376" s="465" t="s">
        <v>2096</v>
      </c>
      <c r="F376" s="465" t="s">
        <v>2667</v>
      </c>
    </row>
    <row r="377" spans="2:6">
      <c r="B377" s="11">
        <f t="shared" si="6"/>
        <v>377</v>
      </c>
      <c r="C377" s="10" t="str">
        <f>VLOOKUP(B377,B:F,HLOOKUP(Cover!$B$3,$B$4:$F$5,2,0),0)</f>
        <v xml:space="preserve">  mimoriadna</v>
      </c>
      <c r="D377" s="465" t="s">
        <v>1513</v>
      </c>
      <c r="E377" s="465" t="s">
        <v>2097</v>
      </c>
      <c r="F377" s="465" t="s">
        <v>2668</v>
      </c>
    </row>
    <row r="378" spans="2:6">
      <c r="B378" s="11">
        <f t="shared" si="6"/>
        <v>378</v>
      </c>
      <c r="C378" s="10" t="str">
        <f>VLOOKUP(B378,B:F,HLOOKUP(Cover!$B$3,$B$4:$F$5,2,0),0)</f>
        <v>priebežná</v>
      </c>
      <c r="D378" s="465" t="s">
        <v>2669</v>
      </c>
      <c r="E378" s="465" t="s">
        <v>2670</v>
      </c>
      <c r="F378" s="465" t="s">
        <v>2671</v>
      </c>
    </row>
    <row r="379" spans="2:6">
      <c r="B379" s="11">
        <f t="shared" si="6"/>
        <v>379</v>
      </c>
      <c r="C379" s="10" t="str">
        <f>VLOOKUP(B379,B:F,HLOOKUP(Cover!$B$3,$B$4:$F$5,2,0),0)</f>
        <v>Za obdobie</v>
      </c>
      <c r="D379" s="465" t="s">
        <v>1512</v>
      </c>
      <c r="E379" s="465" t="s">
        <v>924</v>
      </c>
      <c r="F379" s="465" t="s">
        <v>994</v>
      </c>
    </row>
    <row r="380" spans="2:6">
      <c r="B380" s="11">
        <f t="shared" si="6"/>
        <v>380</v>
      </c>
      <c r="C380" s="10" t="str">
        <f>VLOOKUP(B380,B:F,HLOOKUP(Cover!$B$3,$B$4:$F$5,2,0),0)</f>
        <v>Bezprostredne
predchádzajúce
obdobie</v>
      </c>
      <c r="D380" s="465" t="s">
        <v>1515</v>
      </c>
      <c r="E380" s="465" t="s">
        <v>2107</v>
      </c>
      <c r="F380" s="465" t="s">
        <v>2587</v>
      </c>
    </row>
    <row r="381" spans="2:6">
      <c r="B381" s="11">
        <f t="shared" si="6"/>
        <v>381</v>
      </c>
      <c r="C381" s="10" t="str">
        <f>VLOOKUP(B381,B:F,HLOOKUP(Cover!$B$3,$B$4:$F$5,2,0),0)</f>
        <v xml:space="preserve">od </v>
      </c>
      <c r="D381" s="465" t="s">
        <v>1507</v>
      </c>
      <c r="E381" s="465" t="s">
        <v>925</v>
      </c>
      <c r="F381" s="465" t="s">
        <v>2672</v>
      </c>
    </row>
    <row r="382" spans="2:6">
      <c r="B382" s="11">
        <f t="shared" si="6"/>
        <v>382</v>
      </c>
      <c r="C382" s="10" t="str">
        <f>VLOOKUP(B382,B:F,HLOOKUP(Cover!$B$3,$B$4:$F$5,2,0),0)</f>
        <v>do</v>
      </c>
      <c r="D382" s="465" t="s">
        <v>909</v>
      </c>
      <c r="E382" s="465" t="s">
        <v>926</v>
      </c>
      <c r="F382" s="465" t="s">
        <v>996</v>
      </c>
    </row>
    <row r="383" spans="2:6">
      <c r="B383" s="11">
        <f t="shared" si="6"/>
        <v>383</v>
      </c>
      <c r="C383" s="10" t="str">
        <f>VLOOKUP(B383,B:F,HLOOKUP(Cover!$B$3,$B$4:$F$5,2,0),0)</f>
        <v>Mesiac</v>
      </c>
      <c r="D383" s="465" t="s">
        <v>911</v>
      </c>
      <c r="E383" s="465" t="s">
        <v>927</v>
      </c>
      <c r="F383" s="465" t="s">
        <v>997</v>
      </c>
    </row>
    <row r="384" spans="2:6">
      <c r="B384" s="11">
        <f t="shared" si="6"/>
        <v>384</v>
      </c>
      <c r="C384" s="10" t="str">
        <f>VLOOKUP(B384,B:F,HLOOKUP(Cover!$B$3,$B$4:$F$5,2,0),0)</f>
        <v>Rok</v>
      </c>
      <c r="D384" s="465" t="s">
        <v>912</v>
      </c>
      <c r="E384" s="465" t="s">
        <v>928</v>
      </c>
      <c r="F384" s="465" t="s">
        <v>998</v>
      </c>
    </row>
    <row r="385" spans="2:6">
      <c r="B385" s="11">
        <f t="shared" si="6"/>
        <v>385</v>
      </c>
      <c r="C385" s="10" t="str">
        <f>VLOOKUP(B385,B:F,HLOOKUP(Cover!$B$3,$B$4:$F$5,2,0),0)</f>
        <v>Priložené súčasti účtovnej závierky</v>
      </c>
      <c r="D385" s="465" t="s">
        <v>1517</v>
      </c>
      <c r="E385" s="465" t="s">
        <v>2108</v>
      </c>
      <c r="F385" s="465" t="s">
        <v>2673</v>
      </c>
    </row>
    <row r="386" spans="2:6">
      <c r="B386" s="11">
        <f t="shared" si="6"/>
        <v>386</v>
      </c>
      <c r="C386" s="10" t="str">
        <f>VLOOKUP(B386,B:F,HLOOKUP(Cover!$B$3,$B$4:$F$5,2,0),0)</f>
        <v>Súvaha (Úč POD 1-01)</v>
      </c>
      <c r="D386" s="465" t="s">
        <v>1519</v>
      </c>
      <c r="E386" s="465" t="s">
        <v>2109</v>
      </c>
      <c r="F386" s="465" t="s">
        <v>2674</v>
      </c>
    </row>
    <row r="387" spans="2:6">
      <c r="B387" s="11">
        <f t="shared" si="6"/>
        <v>387</v>
      </c>
      <c r="C387" s="10" t="str">
        <f>VLOOKUP(B387,B:F,HLOOKUP(Cover!$B$3,$B$4:$F$5,2,0),0)</f>
        <v>(v celých eurách)</v>
      </c>
      <c r="D387" s="465" t="s">
        <v>964</v>
      </c>
      <c r="E387" s="465" t="s">
        <v>2110</v>
      </c>
      <c r="F387" s="465" t="s">
        <v>2675</v>
      </c>
    </row>
    <row r="388" spans="2:6">
      <c r="B388" s="11">
        <f t="shared" si="6"/>
        <v>388</v>
      </c>
      <c r="C388" s="10" t="str">
        <f>VLOOKUP(B388,B:F,HLOOKUP(Cover!$B$3,$B$4:$F$5,2,0),0)</f>
        <v>Výkaz ziskov a strát (Úč POD 2-01)</v>
      </c>
      <c r="D388" s="465" t="s">
        <v>1520</v>
      </c>
      <c r="E388" s="465" t="s">
        <v>2111</v>
      </c>
      <c r="F388" s="465" t="s">
        <v>2676</v>
      </c>
    </row>
    <row r="389" spans="2:6">
      <c r="B389" s="11">
        <f t="shared" si="6"/>
        <v>389</v>
      </c>
      <c r="C389" s="10" t="str">
        <f>VLOOKUP(B389,B:F,HLOOKUP(Cover!$B$3,$B$4:$F$5,2,0),0)</f>
        <v>Poznámky (Úč POD 3-01)</v>
      </c>
      <c r="D389" s="465" t="s">
        <v>1521</v>
      </c>
      <c r="E389" s="465" t="s">
        <v>2112</v>
      </c>
      <c r="F389" s="465" t="s">
        <v>2677</v>
      </c>
    </row>
    <row r="390" spans="2:6">
      <c r="B390" s="11">
        <f t="shared" si="6"/>
        <v>390</v>
      </c>
      <c r="C390" s="10" t="str">
        <f>VLOOKUP(B390,B:F,HLOOKUP(Cover!$B$3,$B$4:$F$5,2,0),0)</f>
        <v xml:space="preserve"> Obchodné meno (názov) účtovnej jednotky</v>
      </c>
      <c r="D390" s="465" t="s">
        <v>1522</v>
      </c>
      <c r="E390" s="465" t="s">
        <v>2113</v>
      </c>
      <c r="F390" s="465" t="s">
        <v>2678</v>
      </c>
    </row>
    <row r="391" spans="2:6">
      <c r="B391" s="11">
        <f t="shared" si="6"/>
        <v>391</v>
      </c>
      <c r="C391" s="10" t="str">
        <f>VLOOKUP(B391,B:F,HLOOKUP(Cover!$B$3,$B$4:$F$5,2,0),0)</f>
        <v xml:space="preserve"> Sídlo účtovnej jednotky</v>
      </c>
      <c r="D391" s="465" t="s">
        <v>1523</v>
      </c>
      <c r="E391" s="465" t="s">
        <v>2114</v>
      </c>
      <c r="F391" s="465" t="s">
        <v>2679</v>
      </c>
    </row>
    <row r="392" spans="2:6">
      <c r="B392" s="11">
        <f t="shared" si="6"/>
        <v>392</v>
      </c>
      <c r="C392" s="10" t="str">
        <f>VLOOKUP(B392,B:F,HLOOKUP(Cover!$B$3,$B$4:$F$5,2,0),0)</f>
        <v>Ulica</v>
      </c>
      <c r="D392" s="465" t="s">
        <v>892</v>
      </c>
      <c r="E392" s="465" t="s">
        <v>917</v>
      </c>
      <c r="F392" s="465" t="s">
        <v>2680</v>
      </c>
    </row>
    <row r="393" spans="2:6">
      <c r="B393" s="11">
        <f t="shared" si="6"/>
        <v>393</v>
      </c>
      <c r="C393" s="10" t="str">
        <f>VLOOKUP(B393,B:F,HLOOKUP(Cover!$B$3,$B$4:$F$5,2,0),0)</f>
        <v>PSČ</v>
      </c>
      <c r="D393" s="465" t="s">
        <v>894</v>
      </c>
      <c r="E393" s="465" t="s">
        <v>918</v>
      </c>
      <c r="F393" s="465" t="s">
        <v>988</v>
      </c>
    </row>
    <row r="394" spans="2:6">
      <c r="B394" s="11">
        <f t="shared" si="6"/>
        <v>394</v>
      </c>
      <c r="C394" s="10" t="str">
        <f>VLOOKUP(B394,B:F,HLOOKUP(Cover!$B$3,$B$4:$F$5,2,0),0)</f>
        <v>Obec</v>
      </c>
      <c r="D394" s="465" t="s">
        <v>895</v>
      </c>
      <c r="E394" s="465" t="s">
        <v>919</v>
      </c>
      <c r="F394" s="465" t="s">
        <v>989</v>
      </c>
    </row>
    <row r="395" spans="2:6">
      <c r="B395" s="11">
        <f t="shared" si="6"/>
        <v>395</v>
      </c>
      <c r="C395" s="10" t="str">
        <f>VLOOKUP(B395,B:F,HLOOKUP(Cover!$B$3,$B$4:$F$5,2,0),0)</f>
        <v>Číslo</v>
      </c>
      <c r="D395" s="465" t="s">
        <v>893</v>
      </c>
      <c r="E395" s="465" t="s">
        <v>886</v>
      </c>
      <c r="F395" s="465" t="s">
        <v>2681</v>
      </c>
    </row>
    <row r="396" spans="2:6">
      <c r="B396" s="11">
        <f t="shared" si="6"/>
        <v>396</v>
      </c>
      <c r="C396" s="10" t="str">
        <f>VLOOKUP(B396,B:F,HLOOKUP(Cover!$B$3,$B$4:$F$5,2,0),0)</f>
        <v>Označenie obchodného registra a číslo zápisu obchodnej spoločnosti</v>
      </c>
      <c r="D396" s="465" t="s">
        <v>1524</v>
      </c>
      <c r="E396" s="465" t="s">
        <v>2115</v>
      </c>
      <c r="F396" s="465" t="s">
        <v>2682</v>
      </c>
    </row>
    <row r="397" spans="2:6">
      <c r="B397" s="11">
        <f t="shared" si="6"/>
        <v>397</v>
      </c>
      <c r="C397" s="10" t="str">
        <f>VLOOKUP(B397,B:F,HLOOKUP(Cover!$B$3,$B$4:$F$5,2,0),0)</f>
        <v>Telefónne číslo</v>
      </c>
      <c r="D397" s="465" t="s">
        <v>1525</v>
      </c>
      <c r="E397" s="465" t="s">
        <v>920</v>
      </c>
      <c r="F397" s="465" t="s">
        <v>990</v>
      </c>
    </row>
    <row r="398" spans="2:6">
      <c r="B398" s="11">
        <f t="shared" si="6"/>
        <v>398</v>
      </c>
      <c r="C398" s="10" t="str">
        <f>VLOOKUP(B398,B:F,HLOOKUP(Cover!$B$3,$B$4:$F$5,2,0),0)</f>
        <v>E-mailová adresa</v>
      </c>
      <c r="D398" s="465" t="s">
        <v>898</v>
      </c>
      <c r="E398" s="465" t="s">
        <v>922</v>
      </c>
      <c r="F398" s="465" t="s">
        <v>2683</v>
      </c>
    </row>
    <row r="399" spans="2:6">
      <c r="B399" s="11">
        <f t="shared" si="6"/>
        <v>399</v>
      </c>
      <c r="C399" s="10" t="str">
        <f>VLOOKUP(B399,B:F,HLOOKUP(Cover!$B$3,$B$4:$F$5,2,0),0)</f>
        <v>Faxové číslo</v>
      </c>
      <c r="D399" s="465" t="s">
        <v>1526</v>
      </c>
      <c r="E399" s="465" t="s">
        <v>921</v>
      </c>
      <c r="F399" s="465" t="s">
        <v>991</v>
      </c>
    </row>
    <row r="400" spans="2:6">
      <c r="B400" s="11">
        <f t="shared" si="6"/>
        <v>400</v>
      </c>
      <c r="C400" s="10" t="str">
        <f>VLOOKUP(B400,B:F,HLOOKUP(Cover!$B$3,$B$4:$F$5,2,0),0)</f>
        <v>Zostavená dňa:</v>
      </c>
      <c r="D400" s="465" t="s">
        <v>899</v>
      </c>
      <c r="E400" s="465" t="s">
        <v>933</v>
      </c>
      <c r="F400" s="465" t="s">
        <v>1000</v>
      </c>
    </row>
    <row r="401" spans="2:6">
      <c r="B401" s="11">
        <f t="shared" si="6"/>
        <v>401</v>
      </c>
      <c r="C401" s="10" t="str">
        <f>VLOOKUP(B401,B:F,HLOOKUP(Cover!$B$3,$B$4:$F$5,2,0),0)</f>
        <v>Schválená dňa:</v>
      </c>
      <c r="D401" s="465" t="s">
        <v>900</v>
      </c>
      <c r="E401" s="465" t="s">
        <v>934</v>
      </c>
      <c r="F401" s="465" t="s">
        <v>1001</v>
      </c>
    </row>
    <row r="402" spans="2:6" ht="19.5">
      <c r="B402" s="11">
        <f t="shared" si="6"/>
        <v>402</v>
      </c>
      <c r="C402" s="10" t="str">
        <f>VLOOKUP(B402,B:F,HLOOKUP(Cover!$B$3,$B$4:$F$5,2,0),0)</f>
        <v>Podpisový záznam štatutárneho orgánu účtovnej jednotky alebo člena štatutárneho orgánu účtovnej jednotky alebo podpisový záznam fyzickej osoby, ktorá je účtovnou jednotkou:</v>
      </c>
      <c r="D402" s="465" t="s">
        <v>1527</v>
      </c>
      <c r="E402" s="465" t="s">
        <v>970</v>
      </c>
      <c r="F402" s="468" t="s">
        <v>2684</v>
      </c>
    </row>
    <row r="403" spans="2:6">
      <c r="B403" s="11">
        <f t="shared" si="6"/>
        <v>403</v>
      </c>
      <c r="C403" s="10" t="str">
        <f>VLOOKUP(B403,B:F,HLOOKUP(Cover!$B$3,$B$4:$F$5,2,0),0)</f>
        <v>Záznamy daňového úradu</v>
      </c>
      <c r="D403" s="465" t="s">
        <v>1529</v>
      </c>
      <c r="E403" s="465" t="s">
        <v>2116</v>
      </c>
      <c r="F403" s="465" t="s">
        <v>2685</v>
      </c>
    </row>
    <row r="404" spans="2:6">
      <c r="B404" s="11">
        <f t="shared" si="6"/>
        <v>404</v>
      </c>
      <c r="C404" s="10" t="str">
        <f>VLOOKUP(B404,B:F,HLOOKUP(Cover!$B$3,$B$4:$F$5,2,0),0)</f>
        <v>Miesto pre evidenčné číslo</v>
      </c>
      <c r="D404" s="465" t="s">
        <v>1530</v>
      </c>
      <c r="E404" s="465" t="s">
        <v>2117</v>
      </c>
      <c r="F404" s="465" t="s">
        <v>2686</v>
      </c>
    </row>
    <row r="405" spans="2:6">
      <c r="B405" s="11">
        <f t="shared" si="6"/>
        <v>405</v>
      </c>
      <c r="C405" s="10" t="str">
        <f>VLOOKUP(B405,B:F,HLOOKUP(Cover!$B$3,$B$4:$F$5,2,0),0)</f>
        <v>Odtlačok prezentačnej pečiatky daňového úradu</v>
      </c>
      <c r="D405" s="465" t="s">
        <v>1531</v>
      </c>
      <c r="E405" s="465" t="s">
        <v>2118</v>
      </c>
      <c r="F405" s="465" t="s">
        <v>2687</v>
      </c>
    </row>
    <row r="406" spans="2:6">
      <c r="B406" s="11">
        <f t="shared" si="6"/>
        <v>406</v>
      </c>
      <c r="C406" s="10" t="str">
        <f>VLOOKUP(B406,B:F,HLOOKUP(Cover!$B$3,$B$4:$F$5,2,0),0)</f>
        <v>Strana 1</v>
      </c>
      <c r="D406" s="465" t="s">
        <v>1533</v>
      </c>
      <c r="E406" s="465" t="s">
        <v>2119</v>
      </c>
      <c r="F406" s="465" t="s">
        <v>2688</v>
      </c>
    </row>
    <row r="407" spans="2:6">
      <c r="B407" s="11">
        <f t="shared" si="6"/>
        <v>407</v>
      </c>
      <c r="C407" s="10" t="str">
        <f>VLOOKUP(B407,B:F,HLOOKUP(Cover!$B$3,$B$4:$F$5,2,0),0)</f>
        <v>Príloha č. 1 k opatreniu č. MF/18009/2014-74</v>
      </c>
      <c r="D407" s="465" t="s">
        <v>1473</v>
      </c>
      <c r="E407" s="465" t="s">
        <v>2121</v>
      </c>
      <c r="F407" s="465" t="s">
        <v>2689</v>
      </c>
    </row>
    <row r="408" spans="2:6">
      <c r="B408" s="11">
        <f t="shared" si="6"/>
        <v>408</v>
      </c>
      <c r="C408" s="10" t="str">
        <f>VLOOKUP(B408,B:F,HLOOKUP(Cover!$B$3,$B$4:$F$5,2,0),0)</f>
        <v>(vyznačí sa x)</v>
      </c>
      <c r="D408" s="465" t="s">
        <v>1516</v>
      </c>
      <c r="E408" s="465" t="s">
        <v>2123</v>
      </c>
      <c r="F408" s="465" t="s">
        <v>2690</v>
      </c>
    </row>
    <row r="409" spans="2:6">
      <c r="B409" s="11">
        <f t="shared" si="6"/>
        <v>409</v>
      </c>
      <c r="C409" s="10" t="str">
        <f>VLOOKUP(B409,B:F,HLOOKUP(Cover!$B$3,$B$4:$F$5,2,0),0)</f>
        <v>Súvaha Úč POD 1 - 01</v>
      </c>
      <c r="D409" s="465" t="s">
        <v>963</v>
      </c>
      <c r="E409" s="465" t="s">
        <v>968</v>
      </c>
      <c r="F409" s="465" t="s">
        <v>983</v>
      </c>
    </row>
    <row r="410" spans="2:6">
      <c r="B410" s="11">
        <f t="shared" si="6"/>
        <v>410</v>
      </c>
      <c r="C410" s="10" t="str">
        <f>VLOOKUP(B410,B:F,HLOOKUP(Cover!$B$3,$B$4:$F$5,2,0),0)</f>
        <v>Ozna-čenie</v>
      </c>
      <c r="D410" s="465" t="s">
        <v>1010</v>
      </c>
      <c r="E410" s="465" t="s">
        <v>481</v>
      </c>
      <c r="F410" s="465" t="s">
        <v>974</v>
      </c>
    </row>
    <row r="411" spans="2:6">
      <c r="B411" s="11">
        <f t="shared" si="6"/>
        <v>411</v>
      </c>
      <c r="C411" s="10" t="str">
        <f>VLOOKUP(B411,B:F,HLOOKUP(Cover!$B$3,$B$4:$F$5,2,0),0)</f>
        <v>STRANA AKTÍV</v>
      </c>
      <c r="D411" s="465" t="s">
        <v>484</v>
      </c>
      <c r="E411" s="465" t="s">
        <v>943</v>
      </c>
      <c r="F411" s="465" t="s">
        <v>975</v>
      </c>
    </row>
    <row r="412" spans="2:6">
      <c r="B412" s="11">
        <f t="shared" ref="B412:B439" si="7">B411+1</f>
        <v>412</v>
      </c>
      <c r="C412" s="10" t="str">
        <f>VLOOKUP(B412,B:F,HLOOKUP(Cover!$B$3,$B$4:$F$5,2,0),0)</f>
        <v>Číslo</v>
      </c>
      <c r="D412" s="465" t="s">
        <v>893</v>
      </c>
      <c r="E412" s="465" t="s">
        <v>884</v>
      </c>
      <c r="F412" s="465" t="s">
        <v>2691</v>
      </c>
    </row>
    <row r="413" spans="2:6">
      <c r="B413" s="11">
        <f t="shared" si="7"/>
        <v>413</v>
      </c>
      <c r="C413" s="10" t="str">
        <f>VLOOKUP(B413,B:F,HLOOKUP(Cover!$B$3,$B$4:$F$5,2,0),0)</f>
        <v xml:space="preserve"> riadku</v>
      </c>
      <c r="D413" s="465" t="s">
        <v>1538</v>
      </c>
      <c r="E413" s="465" t="s">
        <v>965</v>
      </c>
      <c r="F413" s="465" t="s">
        <v>972</v>
      </c>
    </row>
    <row r="414" spans="2:6">
      <c r="B414" s="11">
        <f t="shared" si="7"/>
        <v>414</v>
      </c>
      <c r="C414" s="10" t="str">
        <f>VLOOKUP(B414,B:F,HLOOKUP(Cover!$B$3,$B$4:$F$5,2,0),0)</f>
        <v>Bežné účtovné obdobie</v>
      </c>
      <c r="D414" s="465" t="s">
        <v>486</v>
      </c>
      <c r="E414" s="465" t="s">
        <v>944</v>
      </c>
      <c r="F414" s="465" t="s">
        <v>977</v>
      </c>
    </row>
    <row r="415" spans="2:6">
      <c r="B415" s="11">
        <f t="shared" si="7"/>
        <v>415</v>
      </c>
      <c r="C415" s="10" t="str">
        <f>VLOOKUP(B415,B:F,HLOOKUP(Cover!$B$3,$B$4:$F$5,2,0),0)</f>
        <v>Bezprostredne predchádzajúce účtovné obdobie</v>
      </c>
      <c r="D415" s="465" t="s">
        <v>487</v>
      </c>
      <c r="E415" s="465" t="s">
        <v>2126</v>
      </c>
      <c r="F415" s="465" t="s">
        <v>2587</v>
      </c>
    </row>
    <row r="416" spans="2:6">
      <c r="B416" s="11">
        <f t="shared" si="7"/>
        <v>416</v>
      </c>
      <c r="C416" s="10" t="str">
        <f>VLOOKUP(B416,B:F,HLOOKUP(Cover!$B$3,$B$4:$F$5,2,0),0)</f>
        <v>Brutto - časť 1</v>
      </c>
      <c r="D416" s="465" t="s">
        <v>2128</v>
      </c>
      <c r="E416" s="465" t="s">
        <v>2127</v>
      </c>
      <c r="F416" s="465" t="s">
        <v>2692</v>
      </c>
    </row>
    <row r="417" spans="2:6">
      <c r="B417" s="11">
        <f t="shared" si="7"/>
        <v>417</v>
      </c>
      <c r="C417" s="10" t="str">
        <f>VLOOKUP(B417,B:F,HLOOKUP(Cover!$B$3,$B$4:$F$5,2,0),0)</f>
        <v>Netto 2</v>
      </c>
      <c r="D417" s="465" t="s">
        <v>1537</v>
      </c>
      <c r="E417" s="465" t="s">
        <v>2129</v>
      </c>
      <c r="F417" s="465" t="s">
        <v>1537</v>
      </c>
    </row>
    <row r="418" spans="2:6">
      <c r="B418" s="11">
        <f t="shared" si="7"/>
        <v>418</v>
      </c>
      <c r="C418" s="10" t="str">
        <f>VLOOKUP(B418,B:F,HLOOKUP(Cover!$B$3,$B$4:$F$5,2,0),0)</f>
        <v>Korekcia - časť 2</v>
      </c>
      <c r="D418" s="465" t="s">
        <v>2131</v>
      </c>
      <c r="E418" s="465" t="s">
        <v>2130</v>
      </c>
      <c r="F418" s="465" t="s">
        <v>2693</v>
      </c>
    </row>
    <row r="419" spans="2:6">
      <c r="B419" s="11">
        <f t="shared" si="7"/>
        <v>419</v>
      </c>
      <c r="C419" s="10" t="str">
        <f>VLOOKUP(B419,B:F,HLOOKUP(Cover!$B$3,$B$4:$F$5,2,0),0)</f>
        <v>Netto   3</v>
      </c>
      <c r="D419" s="465" t="s">
        <v>1539</v>
      </c>
      <c r="E419" s="465" t="s">
        <v>2132</v>
      </c>
      <c r="F419" s="465" t="s">
        <v>2694</v>
      </c>
    </row>
    <row r="420" spans="2:6">
      <c r="B420" s="11">
        <f t="shared" si="7"/>
        <v>420</v>
      </c>
      <c r="C420" s="10" t="str">
        <f>VLOOKUP(B420,B:F,HLOOKUP(Cover!$B$3,$B$4:$F$5,2,0),0)</f>
        <v>Strana 2</v>
      </c>
      <c r="D420" s="465" t="s">
        <v>1553</v>
      </c>
      <c r="E420" s="465" t="s">
        <v>2133</v>
      </c>
      <c r="F420" s="465" t="s">
        <v>2695</v>
      </c>
    </row>
    <row r="421" spans="2:6">
      <c r="B421" s="11">
        <f t="shared" si="7"/>
        <v>421</v>
      </c>
      <c r="C421" s="10" t="str">
        <f>VLOOKUP(B421,B:F,HLOOKUP(Cover!$B$3,$B$4:$F$5,2,0),0)</f>
        <v>Strana 3</v>
      </c>
      <c r="D421" s="465" t="s">
        <v>1572</v>
      </c>
      <c r="E421" s="465" t="s">
        <v>2134</v>
      </c>
      <c r="F421" s="465" t="s">
        <v>2696</v>
      </c>
    </row>
    <row r="422" spans="2:6">
      <c r="B422" s="11">
        <f t="shared" si="7"/>
        <v>422</v>
      </c>
      <c r="C422" s="10" t="str">
        <f>VLOOKUP(B422,B:F,HLOOKUP(Cover!$B$3,$B$4:$F$5,2,0),0)</f>
        <v>Strana 4</v>
      </c>
      <c r="D422" s="465" t="s">
        <v>1594</v>
      </c>
      <c r="E422" s="465" t="s">
        <v>2135</v>
      </c>
      <c r="F422" s="465" t="s">
        <v>2697</v>
      </c>
    </row>
    <row r="423" spans="2:6">
      <c r="B423" s="11">
        <f t="shared" si="7"/>
        <v>423</v>
      </c>
      <c r="C423" s="10" t="str">
        <f>VLOOKUP(B423,B:F,HLOOKUP(Cover!$B$3,$B$4:$F$5,2,0),0)</f>
        <v>Strana 5</v>
      </c>
      <c r="D423" s="465" t="s">
        <v>1615</v>
      </c>
      <c r="E423" s="465" t="s">
        <v>2136</v>
      </c>
      <c r="F423" s="465" t="s">
        <v>2698</v>
      </c>
    </row>
    <row r="424" spans="2:6">
      <c r="B424" s="11">
        <f t="shared" si="7"/>
        <v>424</v>
      </c>
      <c r="C424" s="10" t="str">
        <f>VLOOKUP(B424,B:F,HLOOKUP(Cover!$B$3,$B$4:$F$5,2,0),0)</f>
        <v>Strana 6</v>
      </c>
      <c r="D424" s="465" t="s">
        <v>1633</v>
      </c>
      <c r="E424" s="465" t="s">
        <v>2137</v>
      </c>
      <c r="F424" s="465" t="s">
        <v>2699</v>
      </c>
    </row>
    <row r="425" spans="2:6">
      <c r="B425" s="11">
        <f t="shared" si="7"/>
        <v>425</v>
      </c>
      <c r="C425" s="10" t="str">
        <f>VLOOKUP(B425,B:F,HLOOKUP(Cover!$B$3,$B$4:$F$5,2,0),0)</f>
        <v>Strana 7</v>
      </c>
      <c r="D425" s="465" t="s">
        <v>1659</v>
      </c>
      <c r="E425" s="465" t="s">
        <v>2138</v>
      </c>
      <c r="F425" s="465" t="s">
        <v>2700</v>
      </c>
    </row>
    <row r="426" spans="2:6">
      <c r="B426" s="11">
        <f t="shared" si="7"/>
        <v>426</v>
      </c>
      <c r="C426" s="10" t="str">
        <f>VLOOKUP(B426,B:F,HLOOKUP(Cover!$B$3,$B$4:$F$5,2,0),0)</f>
        <v>Strana 8</v>
      </c>
      <c r="D426" s="465" t="s">
        <v>1686</v>
      </c>
      <c r="E426" s="465" t="s">
        <v>2139</v>
      </c>
      <c r="F426" s="465" t="s">
        <v>2701</v>
      </c>
    </row>
    <row r="427" spans="2:6">
      <c r="B427" s="11">
        <f t="shared" si="7"/>
        <v>427</v>
      </c>
      <c r="C427" s="10" t="str">
        <f>VLOOKUP(B427,B:F,HLOOKUP(Cover!$B$3,$B$4:$F$5,2,0),0)</f>
        <v>Strana 9</v>
      </c>
      <c r="D427" s="465" t="s">
        <v>1723</v>
      </c>
      <c r="E427" s="465" t="s">
        <v>2140</v>
      </c>
      <c r="F427" s="465" t="s">
        <v>2702</v>
      </c>
    </row>
    <row r="428" spans="2:6">
      <c r="B428" s="11">
        <f t="shared" si="7"/>
        <v>428</v>
      </c>
      <c r="C428" s="10" t="str">
        <f>VLOOKUP(B428,B:F,HLOOKUP(Cover!$B$3,$B$4:$F$5,2,0),0)</f>
        <v>Strana 10</v>
      </c>
      <c r="D428" s="465" t="s">
        <v>1739</v>
      </c>
      <c r="E428" s="465" t="s">
        <v>2141</v>
      </c>
      <c r="F428" s="465" t="s">
        <v>2703</v>
      </c>
    </row>
    <row r="429" spans="2:6">
      <c r="B429" s="11">
        <f t="shared" si="7"/>
        <v>429</v>
      </c>
      <c r="C429" s="10" t="str">
        <f>VLOOKUP(B429,B:F,HLOOKUP(Cover!$B$3,$B$4:$F$5,2,0),0)</f>
        <v>Strana 11</v>
      </c>
      <c r="D429" s="465" t="s">
        <v>1758</v>
      </c>
      <c r="E429" s="465" t="s">
        <v>2142</v>
      </c>
      <c r="F429" s="465" t="s">
        <v>2704</v>
      </c>
    </row>
    <row r="430" spans="2:6">
      <c r="B430" s="11">
        <f t="shared" si="7"/>
        <v>430</v>
      </c>
      <c r="C430" s="10" t="str">
        <f>VLOOKUP(B430,B:F,HLOOKUP(Cover!$B$3,$B$4:$F$5,2,0),0)</f>
        <v>Strana 12</v>
      </c>
      <c r="D430" s="465" t="s">
        <v>1766</v>
      </c>
      <c r="E430" s="465" t="s">
        <v>2143</v>
      </c>
      <c r="F430" s="465" t="s">
        <v>2705</v>
      </c>
    </row>
    <row r="431" spans="2:6" ht="19.5">
      <c r="B431" s="11">
        <f t="shared" si="7"/>
        <v>431</v>
      </c>
      <c r="C431" s="10" t="str">
        <f>VLOOKUP(B431,B:F,HLOOKUP(Cover!$B$3,$B$4:$F$5,2,0),0)</f>
        <v>Výkaz ziskov a strát Úč POD 
2 - 01</v>
      </c>
      <c r="D431" s="468" t="s">
        <v>2706</v>
      </c>
      <c r="E431" s="465" t="s">
        <v>2144</v>
      </c>
      <c r="F431" s="465" t="s">
        <v>2707</v>
      </c>
    </row>
    <row r="432" spans="2:6">
      <c r="B432" s="11">
        <f t="shared" si="7"/>
        <v>432</v>
      </c>
      <c r="C432" s="10" t="str">
        <f>VLOOKUP(B432,B:F,HLOOKUP(Cover!$B$3,$B$4:$F$5,2,0),0)</f>
        <v>STRANA PASÍV</v>
      </c>
      <c r="D432" s="465" t="s">
        <v>585</v>
      </c>
      <c r="E432" s="465" t="s">
        <v>2145</v>
      </c>
      <c r="F432" s="465" t="s">
        <v>982</v>
      </c>
    </row>
    <row r="433" spans="2:6">
      <c r="B433" s="11">
        <f t="shared" si="7"/>
        <v>433</v>
      </c>
      <c r="C433" s="10" t="str">
        <f>VLOOKUP(B433,B:F,HLOOKUP(Cover!$B$3,$B$4:$F$5,2,0),0)</f>
        <v>Číslo riadku</v>
      </c>
      <c r="D433" s="465" t="s">
        <v>1644</v>
      </c>
      <c r="E433" s="465" t="s">
        <v>884</v>
      </c>
      <c r="F433" s="465" t="s">
        <v>972</v>
      </c>
    </row>
    <row r="434" spans="2:6">
      <c r="B434" s="11">
        <f t="shared" si="7"/>
        <v>434</v>
      </c>
      <c r="C434" s="10" t="str">
        <f>VLOOKUP(B434,B:F,HLOOKUP(Cover!$B$3,$B$4:$F$5,2,0),0)</f>
        <v>Skutočnosť</v>
      </c>
      <c r="D434" s="465" t="s">
        <v>648</v>
      </c>
      <c r="E434" s="465" t="s">
        <v>952</v>
      </c>
      <c r="F434" s="465" t="s">
        <v>2586</v>
      </c>
    </row>
    <row r="435" spans="2:6">
      <c r="B435" s="11">
        <f t="shared" si="7"/>
        <v>435</v>
      </c>
      <c r="C435" s="10" t="str">
        <f>VLOOKUP(B435,B:F,HLOOKUP(Cover!$B$3,$B$4:$F$5,2,0),0)</f>
        <v>Text</v>
      </c>
      <c r="D435" s="465" t="s">
        <v>1725</v>
      </c>
      <c r="E435" s="465" t="s">
        <v>882</v>
      </c>
      <c r="F435" s="465" t="s">
        <v>2708</v>
      </c>
    </row>
    <row r="436" spans="2:6">
      <c r="B436" s="11">
        <f t="shared" si="7"/>
        <v>436</v>
      </c>
      <c r="C436" s="10" t="str">
        <f>VLOOKUP(B436,B:F,HLOOKUP(Cover!$B$3,$B$4:$F$5,2,0),0)</f>
        <v>malá</v>
      </c>
      <c r="D436" s="465" t="s">
        <v>2709</v>
      </c>
      <c r="E436" s="465" t="s">
        <v>2710</v>
      </c>
      <c r="F436" s="465" t="s">
        <v>2711</v>
      </c>
    </row>
    <row r="437" spans="2:6">
      <c r="B437" s="11">
        <f t="shared" si="7"/>
        <v>437</v>
      </c>
      <c r="C437" s="10" t="str">
        <f>VLOOKUP(B437,B:F,HLOOKUP(Cover!$B$3,$B$4:$F$5,2,0),0)</f>
        <v>veľká</v>
      </c>
      <c r="D437" s="465" t="s">
        <v>2712</v>
      </c>
      <c r="E437" s="465" t="s">
        <v>2713</v>
      </c>
      <c r="F437" s="465" t="s">
        <v>2714</v>
      </c>
    </row>
    <row r="438" spans="2:6">
      <c r="B438" s="11">
        <f t="shared" si="7"/>
        <v>438</v>
      </c>
      <c r="C438" s="10" t="str">
        <f>VLOOKUP(B438,B:F,HLOOKUP(Cover!$B$3,$B$4:$F$5,2,0),0)</f>
        <v>Deň</v>
      </c>
      <c r="D438" s="85" t="s">
        <v>2147</v>
      </c>
      <c r="E438" s="85" t="s">
        <v>2146</v>
      </c>
      <c r="F438" s="10"/>
    </row>
    <row r="439" spans="2:6">
      <c r="B439" s="11">
        <f t="shared" si="7"/>
        <v>439</v>
      </c>
      <c r="C439" s="10" t="str">
        <f>VLOOKUP(B439,B:F,HLOOKUP(Cover!$B$3,$B$4:$F$5,2,0),0)</f>
        <v>Koniec obdobia (DD.MM.RRRR)</v>
      </c>
      <c r="D439" s="15" t="s">
        <v>971</v>
      </c>
      <c r="E439" s="15" t="s">
        <v>932</v>
      </c>
      <c r="F439" s="15" t="s">
        <v>1382</v>
      </c>
    </row>
  </sheetData>
  <pageMargins left="0.78740157480314965" right="0.78740157480314965" top="1.1811023622047245" bottom="0.78740157480314965" header="0.39370078740157483" footer="0.39370078740157483"/>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DAEMSEngagementItemInfo xmlns="http://schemas.microsoft.com/DAEMSEngagementItemInfoXML">
  <EngagementID>5000368168</EngagementID>
  <LogicalEMSServerID>839239884721417863</LogicalEMSServerID>
  <WorkingPaperID>3579659269900000226</WorkingPaperID>
</DAEMSEngagementItemInfo>
</file>

<file path=customXml/item2.xml>��< ? x m l   v e r s i o n = " 1 . 0 "   e n c o d i n g = " u t f - 1 6 " ? > < A r r a y O f T B L i n k   x m l n s : x s d = " h t t p : / / w w w . w 3 . o r g / 2 0 0 1 / X M L S c h e m a "   x m l n s : x s i = " h t t p : / / w w w . w 3 . o r g / 2 0 0 1 / X M L S c h e m a - i n s t a n c e " >  
     < T B L i n k >  
         < V e r s i o n > 4 < / V e r s i o n >  
         < C o l u m n F i l t e r s / >  
         < D A L i n k I D > 6 9 3 2 2 a d 3 - 8 5 b e - 4 c 0 d - b 4 e c - 1 5 8 6 b 2 b 9 b 0 5 7 < / D A L i n k I D >  
         < L i n k T y p e > 0 < / L i n k T y p e >  
         < P a r a m e t e r s / >  
         < I n c l u d e A l l I t e m s > f a l s e < / I n c l u d e A l l I t e m s >  
         < A c t i v e > t r u e < / A c t i v e >  
         < P r o t e c t e d L i n k > f a l s e < / P r o t e c t e d L i n k >  
         < N a m e > 2 8 1 0 1   T B   @   3 1 . 1 2 . 2 0 2 0   0 1 2 x 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 6 4 8 2 4 5 . 0 0 0 0 < / N u m e r i c V a l u e >  
         < V a l u e > 6 4 8 2 4 5 , 0 0 0 0 < / V a l u e >  
         < C h a r t T y p e > c t D e t a i l < / C h a r t T y p e >  
         < R e f e r e n c e > 2 8 1 0 1 < / R e f e r e n c e >  
         < T B D o c N a m e > T B   @   3 1 . 1 2 . 2 0 2 0 < / T B D o c N a m e >  
         < T B C h a r t N a m e > D e t a i l < / T B C h a r t N a m e >  
         < C o l u m n N a m e > P r i o r P e r i o d 2 B a l a n c e < / C o l u m n N a m e >  
         < U s e r F r i e n d l y C o l u m n N a m e > 3 1 . 1 2 . 2 0 1 9 < / U s e r F r i e n d l y C o l u m n N a m e >  
         < A c c o u n t N u m b e r > 0 1 2 x < / A c c o u n t N u m b e r >  
         < R o u n d e d > f a l s e < / R o u n d e d >  
     < / T B L i n k >  
     < T B L i n k >  
         < V e r s i o n > 4 < / V e r s i o n >  
         < C o l u m n F i l t e r s / >  
         < D A L i n k I D > 1 b 9 8 1 3 a a - e 8 0 9 - 4 4 3 0 - 9 a 2 9 - 3 9 d 0 d 6 c 1 3 6 4 f < / D A L i n k I D >  
         < L i n k T y p e > 0 < / L i n k T y p e >  
         < P a r a m e t e r s / >  
         < I n c l u d e A l l I t e m s > f a l s e < / I n c l u d e A l l I t e m s >  
         < A c t i v e > t r u e < / A c t i v e >  
         < P r o t e c t e d L i n k > f a l s e < / P r o t e c t e d L i n k >  
         < N a m e > 2 8 1 0 1   T B   @   3 1 . 1 2 . 2 0 2 0   0 1 3 x 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 1 1 7 3 8 0 . 0 0 0 0 < / N u m e r i c V a l u e >  
         < V a l u e > 1 1 7 3 8 0 , 0 0 0 0 < / V a l u e >  
         < C h a r t T y p e > c t D e t a i l < / C h a r t T y p e >  
         < R e f e r e n c e > 2 8 1 0 1 < / R e f e r e n c e >  
         < T B D o c N a m e > T B   @   3 1 . 1 2 . 2 0 2 0 < / T B D o c N a m e >  
         < T B C h a r t N a m e > D e t a i l < / T B C h a r t N a m e >  
         < C o l u m n N a m e > P r i o r P e r i o d 2 B a l a n c e < / C o l u m n N a m e >  
         < U s e r F r i e n d l y C o l u m n N a m e > 3 1 . 1 2 . 2 0 1 9 < / U s e r F r i e n d l y C o l u m n N a m e >  
         < A c c o u n t N u m b e r > 0 1 3 x < / A c c o u n t N u m b e r >  
         < R o u n d e d > f a l s e < / R o u n d e d >  
     < / T B L i n k >  
     < T B L i n k >  
         < V e r s i o n > 4 < / V e r s i o n >  
         < C o l u m n F i l t e r s / >  
         < D A L i n k I D > 5 6 9 2 c a 3 8 - f 4 6 f - 4 7 5 2 - 8 4 c 0 - 0 6 7 b c 7 f c 9 0 5 4 < / D A L i n k I D >  
         < L i n k T y p e > 0 < / L i n k T y p e >  
         < P a r a m e t e r s / >  
         < I n c l u d e A l l I t e m s > f a l s e < / I n c l u d e A l l I t e m s >  
         < A c t i v e > t r u e < / A c t i v e >  
         < P r o t e c t e d L i n k > f a l s e < / P r o t e c t e d L i n k >  
         < N a m e > 2 8 1 0 1   T B   @   3 1 . 1 2 . 2 0 2 0   0 1 4 x 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 0 1 4 x < / A c c o u n t N u m b e r >  
         < R o u n d e d > f a l s e < / R o u n d e d >  
     < / T B L i n k >  
     < T B L i n k >  
         < V e r s i o n > 4 < / V e r s i o n >  
         < C o l u m n F i l t e r s / >  
         < D A L i n k I D > 7 2 b 7 1 a f f - 9 5 0 2 - 4 3 6 2 - b f 5 8 - 0 0 4 2 f b 6 a 8 7 7 4 < / D A L i n k I D >  
         < L i n k T y p e > 0 < / L i n k T y p e >  
         < P a r a m e t e r s / >  
         < I n c l u d e A l l I t e m s > f a l s e < / I n c l u d e A l l I t e m s >  
         < A c t i v e > t r u e < / A c t i v e >  
         < P r o t e c t e d L i n k > f a l s e < / P r o t e c t e d L i n k >  
         < N a m e > 2 8 1 0 1   T B   @   3 1 . 1 2 . 2 0 2 0   0 1 5 x 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 0 1 5 x < / A c c o u n t N u m b e r >  
         < R o u n d e d > f a l s e < / R o u n d e d >  
     < / T B L i n k >  
     < T B L i n k >  
         < V e r s i o n > 4 < / V e r s i o n >  
         < C o l u m n F i l t e r s / >  
         < D A L i n k I D > 6 a a c a 0 9 1 - 7 0 c b - 4 2 c d - a 1 a 9 - 5 e b 5 d 0 f 8 b e 8 8 < / D A L i n k I D >  
         < L i n k T y p e > 0 < / L i n k T y p e >  
         < P a r a m e t e r s / >  
         < I n c l u d e A l l I t e m s > f a l s e < / I n c l u d e A l l I t e m s >  
         < A c t i v e > t r u e < / A c t i v e >  
         < P r o t e c t e d L i n k > f a l s e < / P r o t e c t e d L i n k >  
         < N a m e > 2 8 1 0 1   T B   @   3 1 . 1 2 . 2 0 2 0   0 1 9 x 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 0 1 9 x < / A c c o u n t N u m b e r >  
         < R o u n d e d > f a l s e < / R o u n d e d >  
     < / T B L i n k >  
     < T B L i n k >  
         < V e r s i o n > 4 < / V e r s i o n >  
         < C o l u m n F i l t e r s / >  
         < D A L i n k I D > 4 2 8 7 b 0 8 a - 0 f 0 9 - 4 d 0 8 - b 6 4 b - 4 d e e 6 d 7 0 0 5 7 1 < / D A L i n k I D >  
         < L i n k T y p e > 0 < / L i n k T y p e >  
         < P a r a m e t e r s / >  
         < I n c l u d e A l l I t e m s > f a l s e < / I n c l u d e A l l I t e m s >  
         < A c t i v e > t r u e < / A c t i v e >  
         < P r o t e c t e d L i n k > f a l s e < / P r o t e c t e d L i n k >  
         < N a m e > 2 8 1 0 1   T B   @   3 1 . 1 2 . 2 0 2 0   0 2 1 x 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 8 7 2 4 6 0 . 0 0 0 0 < / N u m e r i c V a l u e >  
         < V a l u e > 8 7 2 4 6 0 , 0 0 0 0 < / V a l u e >  
         < C h a r t T y p e > c t D e t a i l < / C h a r t T y p e >  
         < R e f e r e n c e > 2 8 1 0 1 < / R e f e r e n c e >  
         < T B D o c N a m e > T B   @   3 1 . 1 2 . 2 0 2 0 < / T B D o c N a m e >  
         < T B C h a r t N a m e > D e t a i l < / T B C h a r t N a m e >  
         < C o l u m n N a m e > P r i o r P e r i o d 2 B a l a n c e < / C o l u m n N a m e >  
         < U s e r F r i e n d l y C o l u m n N a m e > 3 1 . 1 2 . 2 0 1 9 < / U s e r F r i e n d l y C o l u m n N a m e >  
         < A c c o u n t N u m b e r > 0 2 1 x < / A c c o u n t N u m b e r >  
         < R o u n d e d > f a l s e < / R o u n d e d >  
     < / T B L i n k >  
     < T B L i n k >  
         < V e r s i o n > 4 < / V e r s i o n >  
         < C o l u m n F i l t e r s / >  
         < D A L i n k I D > a b 6 5 e d c e - d b c 8 - 4 9 d e - 8 2 8 a - e 0 0 7 5 2 9 0 7 f f d < / D A L i n k I D >  
         < L i n k T y p e > 0 < / L i n k T y p e >  
         < P a r a m e t e r s / >  
         < I n c l u d e A l l I t e m s > f a l s e < / I n c l u d e A l l I t e m s >  
         < A c t i v e > t r u e < / A c t i v e >  
         < P r o t e c t e d L i n k > f a l s e < / P r o t e c t e d L i n k >  
         < N a m e > 2 8 1 0 1   T B   @   3 1 . 1 2 . 2 0 2 0   0 2 2 x 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 4 1 2 5 5 5 0 . 0 0 0 0 < / N u m e r i c V a l u e >  
         < V a l u e > 4 1 2 5 5 5 0 , 0 0 0 0 < / V a l u e >  
         < C h a r t T y p e > c t D e t a i l < / C h a r t T y p e >  
         < R e f e r e n c e > 2 8 1 0 1 < / R e f e r e n c e >  
         < T B D o c N a m e > T B   @   3 1 . 1 2 . 2 0 2 0 < / T B D o c N a m e >  
         < T B C h a r t N a m e > D e t a i l < / T B C h a r t N a m e >  
         < C o l u m n N a m e > P r i o r P e r i o d 2 B a l a n c e < / C o l u m n N a m e >  
         < U s e r F r i e n d l y C o l u m n N a m e > 3 1 . 1 2 . 2 0 1 9 < / U s e r F r i e n d l y C o l u m n N a m e >  
         < A c c o u n t N u m b e r > 0 2 2 x < / A c c o u n t N u m b e r >  
         < R o u n d e d > f a l s e < / R o u n d e d >  
     < / T B L i n k >  
     < T B L i n k >  
         < V e r s i o n > 4 < / V e r s i o n >  
         < C o l u m n F i l t e r s / >  
         < D A L i n k I D > 9 5 0 b a 9 c 7 - 1 4 0 8 - 4 b b 2 - b c a f - 0 e b 8 c b d d 6 9 0 6 < / D A L i n k I D >  
         < L i n k T y p e > 0 < / L i n k T y p e >  
         < P a r a m e t e r s / >  
         < I n c l u d e A l l I t e m s > f a l s e < / I n c l u d e A l l I t e m s >  
         < A c t i v e > t r u e < / A c t i v e >  
         < P r o t e c t e d L i n k > f a l s e < / P r o t e c t e d L i n k >  
         < N a m e > 2 8 1 0 1   T B   @   3 1 . 1 2 . 2 0 2 0   0 2 5 x 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 0 2 5 x < / A c c o u n t N u m b e r >  
         < R o u n d e d > f a l s e < / R o u n d e d >  
     < / T B L i n k >  
     < T B L i n k >  
         < V e r s i o n > 4 < / V e r s i o n >  
         < C o l u m n F i l t e r s / >  
         < D A L i n k I D > 3 c d 7 6 5 4 5 - 7 0 8 6 - 4 a b 3 - b f 1 5 - a 2 6 7 2 7 9 8 2 3 6 0 < / D A L i n k I D >  
         < L i n k T y p e > 0 < / L i n k T y p e >  
         < P a r a m e t e r s / >  
         < I n c l u d e A l l I t e m s > f a l s e < / I n c l u d e A l l I t e m s >  
         < A c t i v e > t r u e < / A c t i v e >  
         < P r o t e c t e d L i n k > f a l s e < / P r o t e c t e d L i n k >  
         < N a m e > 2 8 1 0 1   T B   @   3 1 . 1 2 . 2 0 2 0   0 2 6 x 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 0 2 6 x < / A c c o u n t N u m b e r >  
         < R o u n d e d > f a l s e < / R o u n d e d >  
     < / T B L i n k >  
     < T B L i n k >  
         < V e r s i o n > 4 < / V e r s i o n >  
         < C o l u m n F i l t e r s / >  
         < D A L i n k I D > a c c 1 0 5 2 2 - 6 5 9 a - 4 a b 8 - b b 1 f - c d 7 c d b f 1 d 3 0 5 < / D A L i n k I D >  
         < L i n k T y p e > 0 < / L i n k T y p e >  
         < P a r a m e t e r s / >  
         < I n c l u d e A l l I t e m s > f a l s e < / I n c l u d e A l l I t e m s >  
         < A c t i v e > t r u e < / A c t i v e >  
         < P r o t e c t e d L i n k > f a l s e < / P r o t e c t e d L i n k >  
         < N a m e > 2 8 1 0 1   T B   @   3 1 . 1 2 . 2 0 2 0   0 2 9 x 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 0 2 9 x < / A c c o u n t N u m b e r >  
         < R o u n d e d > f a l s e < / R o u n d e d >  
     < / T B L i n k >  
     < T B L i n k >  
         < V e r s i o n > 4 < / V e r s i o n >  
         < C o l u m n F i l t e r s / >  
         < D A L i n k I D > 9 4 0 2 a a 9 9 - 4 5 f 6 - 4 b 7 b - a e 6 0 - b 6 e 5 9 7 0 d 5 2 1 a < / D A L i n k I D >  
         < L i n k T y p e > 0 < / L i n k T y p e >  
         < P a r a m e t e r s / >  
         < I n c l u d e A l l I t e m s > f a l s e < / I n c l u d e A l l I t e m s >  
         < A c t i v e > t r u e < / A c t i v e >  
         < P r o t e c t e d L i n k > f a l s e < / P r o t e c t e d L i n k >  
         < N a m e > 2 8 1 0 1   T B   @   3 1 . 1 2 . 2 0 2 0   0 3 1 x 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 2 2 7 9 2 4 . 0 0 0 0 < / N u m e r i c V a l u e >  
         < V a l u e > 2 2 7 9 2 4 , 0 0 0 0 < / V a l u e >  
         < C h a r t T y p e > c t D e t a i l < / C h a r t T y p e >  
         < R e f e r e n c e > 2 8 1 0 1 < / R e f e r e n c e >  
         < T B D o c N a m e > T B   @   3 1 . 1 2 . 2 0 2 0 < / T B D o c N a m e >  
         < T B C h a r t N a m e > D e t a i l < / T B C h a r t N a m e >  
         < C o l u m n N a m e > P r i o r P e r i o d 2 B a l a n c e < / C o l u m n N a m e >  
         < U s e r F r i e n d l y C o l u m n N a m e > 3 1 . 1 2 . 2 0 1 9 < / U s e r F r i e n d l y C o l u m n N a m e >  
         < A c c o u n t N u m b e r > 0 3 1 x < / A c c o u n t N u m b e r >  
         < R o u n d e d > f a l s e < / R o u n d e d >  
     < / T B L i n k >  
     < T B L i n k >  
         < V e r s i o n > 4 < / V e r s i o n >  
         < C o l u m n F i l t e r s / >  
         < D A L i n k I D > b 1 0 9 9 7 f 6 - d d 7 b - 4 4 9 2 - b 3 4 5 - f 1 3 4 a a 3 1 9 9 5 e < / D A L i n k I D >  
         < L i n k T y p e > 0 < / L i n k T y p e >  
         < P a r a m e t e r s / >  
         < I n c l u d e A l l I t e m s > f a l s e < / I n c l u d e A l l I t e m s >  
         < A c t i v e > t r u e < / A c t i v e >  
         < P r o t e c t e d L i n k > f a l s e < / P r o t e c t e d L i n k >  
         < N a m e > 2 8 1 0 1   T B   @   3 1 . 1 2 . 2 0 2 0   0 3 2 x 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 0 3 2 x < / A c c o u n t N u m b e r >  
         < R o u n d e d > f a l s e < / R o u n d e d >  
     < / T B L i n k >  
     < T B L i n k >  
         < V e r s i o n > 4 < / V e r s i o n >  
         < C o l u m n F i l t e r s / >  
         < D A L i n k I D > c b f 6 4 a 6 9 - 9 3 3 3 - 4 8 a d - b 0 9 7 - 1 2 1 f 6 9 4 6 0 7 4 b < / D A L i n k I D >  
         < L i n k T y p e > 0 < / L i n k T y p e >  
         < P a r a m e t e r s / >  
         < I n c l u d e A l l I t e m s > f a l s e < / I n c l u d e A l l I t e m s >  
         < A c t i v e > t r u e < / A c t i v e >  
         < P r o t e c t e d L i n k > f a l s e < / P r o t e c t e d L i n k >  
         < N a m e > 2 8 1 0 1   T B   @   3 1 . 1 2 . 2 0 2 0   0 4 1 x 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 7 6 5 4 4 6 . 0 0 0 0 < / N u m e r i c V a l u e >  
         < V a l u e > 7 6 5 4 4 6 , 0 0 0 0 < / V a l u e >  
         < C h a r t T y p e > c t D e t a i l < / C h a r t T y p e >  
         < R e f e r e n c e > 2 8 1 0 1 < / R e f e r e n c e >  
         < T B D o c N a m e > T B   @   3 1 . 1 2 . 2 0 2 0 < / T B D o c N a m e >  
         < T B C h a r t N a m e > D e t a i l < / T B C h a r t N a m e >  
         < C o l u m n N a m e > P r i o r P e r i o d 2 B a l a n c e < / C o l u m n N a m e >  
         < U s e r F r i e n d l y C o l u m n N a m e > 3 1 . 1 2 . 2 0 1 9 < / U s e r F r i e n d l y C o l u m n N a m e >  
         < A c c o u n t N u m b e r > 0 4 1 x < / A c c o u n t N u m b e r >  
         < R o u n d e d > f a l s e < / R o u n d e d >  
     < / T B L i n k >  
     < T B L i n k >  
         < V e r s i o n > 4 < / V e r s i o n >  
         < C o l u m n F i l t e r s / >  
         < D A L i n k I D > 4 3 2 a 3 b e 5 - 1 0 d 5 - 4 e e 2 - a 9 0 d - d 7 e 5 7 5 e 5 1 1 9 7 < / D A L i n k I D >  
         < L i n k T y p e > 0 < / L i n k T y p e >  
         < P a r a m e t e r s / >  
         < I n c l u d e A l l I t e m s > f a l s e < / I n c l u d e A l l I t e m s >  
         < A c t i v e > t r u e < / A c t i v e >  
         < P r o t e c t e d L i n k > f a l s e < / P r o t e c t e d L i n k >  
         < N a m e > 2 8 1 0 1   T B   @   3 1 . 1 2 . 2 0 2 0   0 4 2 x 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 4 6 7 8 3 4 . 0 0 0 0 < / N u m e r i c V a l u e >  
         < V a l u e > 4 6 7 8 3 4 , 0 0 0 0 < / V a l u e >  
         < C h a r t T y p e > c t D e t a i l < / C h a r t T y p e >  
         < R e f e r e n c e > 2 8 1 0 1 < / R e f e r e n c e >  
         < T B D o c N a m e > T B   @   3 1 . 1 2 . 2 0 2 0 < / T B D o c N a m e >  
         < T B C h a r t N a m e > D e t a i l < / T B C h a r t N a m e >  
         < C o l u m n N a m e > P r i o r P e r i o d 2 B a l a n c e < / C o l u m n N a m e >  
         < U s e r F r i e n d l y C o l u m n N a m e > 3 1 . 1 2 . 2 0 1 9 < / U s e r F r i e n d l y C o l u m n N a m e >  
         < A c c o u n t N u m b e r > 0 4 2 x < / A c c o u n t N u m b e r >  
         < R o u n d e d > f a l s e < / R o u n d e d >  
     < / T B L i n k >  
     < T B L i n k >  
         < V e r s i o n > 4 < / V e r s i o n >  
         < C o l u m n F i l t e r s / >  
         < D A L i n k I D > 8 b 0 4 e 1 0 d - 3 9 5 2 - 4 2 1 a - b 6 6 2 - 3 5 a 8 1 8 c c a 6 2 9 < / D A L i n k I D >  
         < L i n k T y p e > 0 < / L i n k T y p e >  
         < P a r a m e t e r s / >  
         < I n c l u d e A l l I t e m s > f a l s e < / I n c l u d e A l l I t e m s >  
         < A c t i v e > t r u e < / A c t i v e >  
         < P r o t e c t e d L i n k > f a l s e < / P r o t e c t e d L i n k >  
         < N a m e > 2 8 1 0 1   T B   @   3 1 . 1 2 . 2 0 2 0   0 4 3 x 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 0 4 3 x < / A c c o u n t N u m b e r >  
         < R o u n d e d > f a l s e < / R o u n d e d >  
     < / T B L i n k >  
     < T B L i n k >  
         < V e r s i o n > 4 < / V e r s i o n >  
         < C o l u m n F i l t e r s / >  
         < D A L i n k I D > 5 6 8 4 0 c 5 7 - e 5 b 0 - 4 2 d 6 - b e 6 d - d 4 c 9 2 c e c 6 2 8 a < / D A L i n k I D >  
         < L i n k T y p e > 0 < / L i n k T y p e >  
         < P a r a m e t e r s / >  
         < I n c l u d e A l l I t e m s > f a l s e < / I n c l u d e A l l I t e m s >  
         < A c t i v e > t r u e < / A c t i v e >  
         < P r o t e c t e d L i n k > f a l s e < / P r o t e c t e d L i n k >  
         < N a m e > 2 8 1 0 1   T B   @   3 1 . 1 2 . 2 0 2 0   0 5 1 x 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 0 5 1 x < / A c c o u n t N u m b e r >  
         < R o u n d e d > f a l s e < / R o u n d e d >  
     < / T B L i n k >  
     < T B L i n k >  
         < V e r s i o n > 4 < / V e r s i o n >  
         < C o l u m n F i l t e r s / >  
         < D A L i n k I D > 2 7 2 4 a 9 3 b - c d c 5 - 4 0 f 9 - 9 4 1 9 - e f 9 b 7 e a d 2 4 b 7 < / D A L i n k I D >  
         < L i n k T y p e > 0 < / L i n k T y p e >  
         < P a r a m e t e r s / >  
         < I n c l u d e A l l I t e m s > f a l s e < / I n c l u d e A l l I t e m s >  
         < A c t i v e > t r u e < / A c t i v e >  
         < P r o t e c t e d L i n k > f a l s e < / P r o t e c t e d L i n k >  
         < N a m e > 2 8 1 0 1   T B   @   3 1 . 1 2 . 2 0 2 0   0 5 2 x 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 0 5 2 x < / A c c o u n t N u m b e r >  
         < R o u n d e d > f a l s e < / R o u n d e d >  
     < / T B L i n k >  
     < T B L i n k >  
         < V e r s i o n > 4 < / V e r s i o n >  
         < C o l u m n F i l t e r s / >  
         < D A L i n k I D > 1 4 f 7 6 a f 7 - 4 9 4 c - 4 b 7 a - 9 5 a 7 - 3 2 c 5 5 9 7 b 9 9 9 8 < / D A L i n k I D >  
         < L i n k T y p e > 0 < / L i n k T y p e >  
         < P a r a m e t e r s / >  
         < I n c l u d e A l l I t e m s > f a l s e < / I n c l u d e A l l I t e m s >  
         < A c t i v e > t r u e < / A c t i v e >  
         < P r o t e c t e d L i n k > f a l s e < / P r o t e c t e d L i n k >  
         < N a m e > 2 8 1 0 1   T B   @   3 1 . 1 2 . 2 0 2 0   0 5 3 x 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 0 5 3 x < / A c c o u n t N u m b e r >  
         < R o u n d e d > f a l s e < / R o u n d e d >  
     < / T B L i n k >  
     < T B L i n k >  
         < V e r s i o n > 4 < / V e r s i o n >  
         < C o l u m n F i l t e r s / >  
         < D A L i n k I D > 6 9 e b 0 6 8 e - 6 7 d 5 - 4 4 0 0 - a 8 f a - 6 c 4 3 e 2 c 4 7 f 1 e < / D A L i n k I D >  
         < L i n k T y p e > 0 < / L i n k T y p e >  
         < P a r a m e t e r s / >  
         < I n c l u d e A l l I t e m s > f a l s e < / I n c l u d e A l l I t e m s >  
         < A c t i v e > t r u e < / A c t i v e >  
         < P r o t e c t e d L i n k > f a l s e < / P r o t e c t e d L i n k >  
         < N a m e > 2 8 1 0 1   T B   @   3 1 . 1 2 . 2 0 2 0   0 6 1 x 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 5 0 0 0 . 0 0 0 0 < / N u m e r i c V a l u e >  
         < V a l u e > 5 0 0 0 , 0 0 0 0 < / V a l u e >  
         < C h a r t T y p e > c t D e t a i l < / C h a r t T y p e >  
         < R e f e r e n c e > 2 8 1 0 1 < / R e f e r e n c e >  
         < T B D o c N a m e > T B   @   3 1 . 1 2 . 2 0 2 0 < / T B D o c N a m e >  
         < T B C h a r t N a m e > D e t a i l < / T B C h a r t N a m e >  
         < C o l u m n N a m e > P r i o r P e r i o d 2 B a l a n c e < / C o l u m n N a m e >  
         < U s e r F r i e n d l y C o l u m n N a m e > 3 1 . 1 2 . 2 0 1 9 < / U s e r F r i e n d l y C o l u m n N a m e >  
         < A c c o u n t N u m b e r > 0 6 1 x < / A c c o u n t N u m b e r >  
         < R o u n d e d > f a l s e < / R o u n d e d >  
     < / T B L i n k >  
     < T B L i n k >  
         < V e r s i o n > 4 < / V e r s i o n >  
         < C o l u m n F i l t e r s / >  
         < D A L i n k I D > c d e a e 8 9 8 - 8 3 7 c - 4 5 c a - b 2 9 2 - a b 9 d f 1 b 4 6 c 6 3 < / D A L i n k I D >  
         < L i n k T y p e > 0 < / L i n k T y p e >  
         < P a r a m e t e r s / >  
         < I n c l u d e A l l I t e m s > f a l s e < / I n c l u d e A l l I t e m s >  
         < A c t i v e > t r u e < / A c t i v e >  
         < P r o t e c t e d L i n k > f a l s e < / P r o t e c t e d L i n k >  
         < N a m e > 2 8 1 0 1   T B   @   3 1 . 1 2 . 2 0 2 0   0 6 2 a 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 0 6 2 a < / A c c o u n t N u m b e r >  
         < R o u n d e d > f a l s e < / R o u n d e d >  
     < / T B L i n k >  
     < T B L i n k >  
         < V e r s i o n > 4 < / V e r s i o n >  
         < C o l u m n F i l t e r s / >  
         < D A L i n k I D > 9 4 f 5 7 4 6 d - d 8 4 e - 4 d a 5 - 9 e 9 4 - d 7 e 2 c 6 b 2 5 4 f f < / D A L i n k I D >  
         < L i n k T y p e > 0 < / L i n k T y p e >  
         < P a r a m e t e r s / >  
         < I n c l u d e A l l I t e m s > f a l s e < / I n c l u d e A l l I t e m s >  
         < A c t i v e > t r u e < / A c t i v e >  
         < P r o t e c t e d L i n k > f a l s e < / P r o t e c t e d L i n k >  
         < N a m e > 2 8 1 0 1   T B   @   3 1 . 1 2 . 2 0 2 0   0 6 2 b 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 1 7 0 0 . 0 0 0 0 < / N u m e r i c V a l u e >  
         < V a l u e > 1 7 0 0 , 0 0 0 0 < / V a l u e >  
         < C h a r t T y p e > c t D e t a i l < / C h a r t T y p e >  
         < R e f e r e n c e > 2 8 1 0 1 < / R e f e r e n c e >  
         < T B D o c N a m e > T B   @   3 1 . 1 2 . 2 0 2 0 < / T B D o c N a m e >  
         < T B C h a r t N a m e > D e t a i l < / T B C h a r t N a m e >  
         < C o l u m n N a m e > P r i o r P e r i o d 2 B a l a n c e < / C o l u m n N a m e >  
         < U s e r F r i e n d l y C o l u m n N a m e > 3 1 . 1 2 . 2 0 1 9 < / U s e r F r i e n d l y C o l u m n N a m e >  
         < A c c o u n t N u m b e r > 0 6 2 b < / A c c o u n t N u m b e r >  
         < R o u n d e d > f a l s e < / R o u n d e d >  
     < / T B L i n k >  
     < T B L i n k >  
         < V e r s i o n > 4 < / V e r s i o n >  
         < C o l u m n F i l t e r s / >  
         < D A L i n k I D > 6 7 f 1 9 2 4 8 - 3 c f 3 - 4 2 0 e - 8 1 3 f - 7 8 b 3 5 0 c 4 f 2 b 1 < / D A L i n k I D >  
         < L i n k T y p e > 0 < / L i n k T y p e >  
         < P a r a m e t e r s / >  
         < I n c l u d e A l l I t e m s > f a l s e < / I n c l u d e A l l I t e m s >  
         < A c t i v e > t r u e < / A c t i v e >  
         < P r o t e c t e d L i n k > f a l s e < / P r o t e c t e d L i n k >  
         < N a m e > 2 8 1 0 1   T B   @   3 1 . 1 2 . 2 0 2 0   0 6 3 a 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 0 6 3 a < / A c c o u n t N u m b e r >  
         < R o u n d e d > f a l s e < / R o u n d e d >  
     < / T B L i n k >  
     < T B L i n k >  
         < V e r s i o n > 4 < / V e r s i o n >  
         < C o l u m n F i l t e r s / >  
         < D A L i n k I D > 2 3 3 3 0 b e 3 - 2 5 f d - 4 f 5 3 - b 7 e b - d 1 7 5 a 2 7 f 2 c f 4 < / D A L i n k I D >  
         < L i n k T y p e > 0 < / L i n k T y p e >  
         < P a r a m e t e r s / >  
         < I n c l u d e A l l I t e m s > f a l s e < / I n c l u d e A l l I t e m s >  
         < A c t i v e > t r u e < / A c t i v e >  
         < P r o t e c t e d L i n k > f a l s e < / P r o t e c t e d L i n k >  
         < N a m e > 2 8 1 0 1   T B   @   3 1 . 1 2 . 2 0 2 0   0 6 3 b 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 1 9 4 0 0 0 0 . 0 0 0 0 < / N u m e r i c V a l u e >  
         < V a l u e > 1 9 4 0 0 0 0 , 0 0 0 0 < / V a l u e >  
         < C h a r t T y p e > c t D e t a i l < / C h a r t T y p e >  
         < R e f e r e n c e > 2 8 1 0 1 < / R e f e r e n c e >  
         < T B D o c N a m e > T B   @   3 1 . 1 2 . 2 0 2 0 < / T B D o c N a m e >  
         < T B C h a r t N a m e > D e t a i l < / T B C h a r t N a m e >  
         < C o l u m n N a m e > P r i o r P e r i o d 2 B a l a n c e < / C o l u m n N a m e >  
         < U s e r F r i e n d l y C o l u m n N a m e > 3 1 . 1 2 . 2 0 1 9 < / U s e r F r i e n d l y C o l u m n N a m e >  
         < A c c o u n t N u m b e r > 0 6 3 b < / A c c o u n t N u m b e r >  
         < R o u n d e d > f a l s e < / R o u n d e d >  
     < / T B L i n k >  
     < T B L i n k >  
         < V e r s i o n > 4 < / V e r s i o n >  
         < C o l u m n F i l t e r s / >  
         < D A L i n k I D > b e d 8 6 5 c 0 - f f 5 6 - 4 f 0 0 - a c 9 4 - c a 1 8 4 1 d e b 1 2 0 < / D A L i n k I D >  
         < L i n k T y p e > 0 < / L i n k T y p e >  
         < P a r a m e t e r s / >  
         < I n c l u d e A l l I t e m s > f a l s e < / I n c l u d e A l l I t e m s >  
         < A c t i v e > t r u e < / A c t i v e >  
         < P r o t e c t e d L i n k > f a l s e < / P r o t e c t e d L i n k >  
         < N a m e > 2 8 1 0 1   T B   @   3 1 . 1 2 . 2 0 2 0   0 6 5 x 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 0 6 5 x < / A c c o u n t N u m b e r >  
         < R o u n d e d > f a l s e < / R o u n d e d >  
     < / T B L i n k >  
     < T B L i n k >  
         < V e r s i o n > 4 < / V e r s i o n >  
         < C o l u m n F i l t e r s / >  
         < D A L i n k I D > f 6 1 3 4 3 b 4 - f c a 0 - 4 9 8 5 - 8 3 c 6 - f a 5 a 6 b 3 8 c 5 a 0 < / D A L i n k I D >  
         < L i n k T y p e > 0 < / L i n k T y p e >  
         < P a r a m e t e r s / >  
         < I n c l u d e A l l I t e m s > f a l s e < / I n c l u d e A l l I t e m s >  
         < A c t i v e > t r u e < / A c t i v e >  
         < P r o t e c t e d L i n k > f a l s e < / P r o t e c t e d L i n k >  
         < N a m e > 2 8 1 0 1   T B   @   3 1 . 1 2 . 2 0 2 0   0 6 6 a 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 0 6 6 a < / A c c o u n t N u m b e r >  
         < R o u n d e d > f a l s e < / R o u n d e d >  
     < / T B L i n k >  
     < T B L i n k >  
         < V e r s i o n > 4 < / V e r s i o n >  
         < C o l u m n F i l t e r s / >  
         < D A L i n k I D > 2 0 1 d 4 e 0 1 - 2 6 d 3 - 4 b b 2 - a b 6 f - d e 3 7 0 7 5 1 d f b 2 < / D A L i n k I D >  
         < L i n k T y p e > 0 < / L i n k T y p e >  
         < P a r a m e t e r s / >  
         < I n c l u d e A l l I t e m s > f a l s e < / I n c l u d e A l l I t e m s >  
         < A c t i v e > t r u e < / A c t i v e >  
         < P r o t e c t e d L i n k > f a l s e < / P r o t e c t e d L i n k >  
         < N a m e > 2 8 1 0 1   T B   @   3 1 . 1 2 . 2 0 2 0   0 6 6 b 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 0 6 6 b < / A c c o u n t N u m b e r >  
         < R o u n d e d > f a l s e < / R o u n d e d >  
     < / T B L i n k >  
     < T B L i n k >  
         < V e r s i o n > 4 < / V e r s i o n >  
         < C o l u m n F i l t e r s / >  
         < D A L i n k I D > a 9 d 0 1 e 2 e - 2 9 3 a - 4 9 1 6 - 9 d e 5 - 0 2 6 b 0 5 9 c a 3 2 8 < / D A L i n k I D >  
         < L i n k T y p e > 0 < / L i n k T y p e >  
         < P a r a m e t e r s / >  
         < I n c l u d e A l l I t e m s > f a l s e < / I n c l u d e A l l I t e m s >  
         < A c t i v e > t r u e < / A c t i v e >  
         < P r o t e c t e d L i n k > f a l s e < / P r o t e c t e d L i n k >  
         < N a m e > 2 8 1 0 1   T B   @   3 1 . 1 2 . 2 0 2 0   0 6 6 c 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 0 6 6 c < / A c c o u n t N u m b e r >  
         < R o u n d e d > f a l s e < / R o u n d e d >  
     < / T B L i n k >  
     < T B L i n k >  
         < V e r s i o n > 4 < / V e r s i o n >  
         < C o l u m n F i l t e r s / >  
         < D A L i n k I D > 4 4 0 2 f c 2 8 - 1 0 b c - 4 5 d a - 8 3 3 6 - 5 9 d 4 e b 2 e 3 e 4 5 < / D A L i n k I D >  
         < L i n k T y p e > 0 < / L i n k T y p e >  
         < P a r a m e t e r s / >  
         < I n c l u d e A l l I t e m s > f a l s e < / I n c l u d e A l l I t e m s >  
         < A c t i v e > t r u e < / A c t i v e >  
         < P r o t e c t e d L i n k > f a l s e < / P r o t e c t e d L i n k >  
         < N a m e > 2 8 1 0 1   T B   @   3 1 . 1 2 . 2 0 2 0   0 6 7 a 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 0 6 7 a < / A c c o u n t N u m b e r >  
         < R o u n d e d > f a l s e < / R o u n d e d >  
     < / T B L i n k >  
     < T B L i n k >  
         < V e r s i o n > 4 < / V e r s i o n >  
         < C o l u m n F i l t e r s / >  
         < D A L i n k I D > f 9 8 f a 3 a 5 - 0 8 a d - 4 a 2 e - 8 c 2 6 - 8 7 6 2 4 2 c 4 8 e 1 a < / D A L i n k I D >  
         < L i n k T y p e > 0 < / L i n k T y p e >  
         < P a r a m e t e r s / >  
         < I n c l u d e A l l I t e m s > f a l s e < / I n c l u d e A l l I t e m s >  
         < A c t i v e > t r u e < / A c t i v e >  
         < P r o t e c t e d L i n k > f a l s e < / P r o t e c t e d L i n k >  
         < N a m e > 2 8 1 0 1   T B   @   3 1 . 1 2 . 2 0 2 0   0 6 7 b 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 0 6 7 b < / A c c o u n t N u m b e r >  
         < R o u n d e d > f a l s e < / R o u n d e d >  
     < / T B L i n k >  
     < T B L i n k >  
         < V e r s i o n > 4 < / V e r s i o n >  
         < C o l u m n F i l t e r s / >  
         < D A L i n k I D > 3 2 c 5 4 d c e - c 6 e 3 - 4 d d c - a 8 8 5 - 3 5 0 e 7 4 e c c 2 c 4 < / D A L i n k I D >  
         < L i n k T y p e > 0 < / L i n k T y p e >  
         < P a r a m e t e r s / >  
         < I n c l u d e A l l I t e m s > f a l s e < / I n c l u d e A l l I t e m s >  
         < A c t i v e > t r u e < / A c t i v e >  
         < P r o t e c t e d L i n k > f a l s e < / P r o t e c t e d L i n k >  
         < N a m e > 2 8 1 0 1   T B   @   3 1 . 1 2 . 2 0 2 0   0 6 9 a 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 0 6 9 a < / A c c o u n t N u m b e r >  
         < R o u n d e d > f a l s e < / R o u n d e d >  
     < / T B L i n k >  
     < T B L i n k >  
         < V e r s i o n > 4 < / V e r s i o n >  
         < C o l u m n F i l t e r s / >  
         < D A L i n k I D > d b 0 0 8 9 c 9 - a 6 6 7 - 4 0 4 7 - a 7 2 6 - e 1 8 1 9 0 a e b f 5 0 < / D A L i n k I D >  
         < L i n k T y p e > 0 < / L i n k T y p e >  
         < P a r a m e t e r s / >  
         < I n c l u d e A l l I t e m s > f a l s e < / I n c l u d e A l l I t e m s >  
         < A c t i v e > t r u e < / A c t i v e >  
         < P r o t e c t e d L i n k > f a l s e < / P r o t e c t e d L i n k >  
         < N a m e > 2 8 1 0 1   T B   @   3 1 . 1 2 . 2 0 2 0   0 6 9 b 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 0 6 9 b < / A c c o u n t N u m b e r >  
         < R o u n d e d > f a l s e < / R o u n d e d >  
     < / T B L i n k >  
     < T B L i n k >  
         < V e r s i o n > 4 < / V e r s i o n >  
         < C o l u m n F i l t e r s / >  
         < D A L i n k I D > 1 1 2 0 7 6 8 d - 8 d b d - 4 c f 4 - a 3 8 5 - 2 4 f e 0 f e e 2 1 0 1 < / D A L i n k I D >  
         < L i n k T y p e > 0 < / L i n k T y p e >  
         < P a r a m e t e r s / >  
         < I n c l u d e A l l I t e m s > f a l s e < / I n c l u d e A l l I t e m s >  
         < A c t i v e > t r u e < / A c t i v e >  
         < P r o t e c t e d L i n k > f a l s e < / P r o t e c t e d L i n k >  
         < N a m e > 2 8 1 0 1   T B   @   3 1 . 1 2 . 2 0 2 0   0 7 2 x 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 - 1 0 8 0 4 . 0 0 0 0 < / N u m e r i c V a l u e >  
         < V a l u e > - 1 0 8 0 4 , 0 0 0 0 < / V a l u e >  
         < C h a r t T y p e > c t D e t a i l < / C h a r t T y p e >  
         < R e f e r e n c e > 2 8 1 0 1 < / R e f e r e n c e >  
         < T B D o c N a m e > T B   @   3 1 . 1 2 . 2 0 2 0 < / T B D o c N a m e >  
         < T B C h a r t N a m e > D e t a i l < / T B C h a r t N a m e >  
         < C o l u m n N a m e > P r i o r P e r i o d 2 B a l a n c e < / C o l u m n N a m e >  
         < U s e r F r i e n d l y C o l u m n N a m e > 3 1 . 1 2 . 2 0 1 9 < / U s e r F r i e n d l y C o l u m n N a m e >  
         < A c c o u n t N u m b e r > 0 7 2 x < / A c c o u n t N u m b e r >  
         < R o u n d e d > f a l s e < / R o u n d e d >  
     < / T B L i n k >  
     < T B L i n k >  
         < V e r s i o n > 4 < / V e r s i o n >  
         < C o l u m n F i l t e r s / >  
         < D A L i n k I D > 2 c 4 9 d 9 4 e - 6 2 5 1 - 4 b 0 0 - a d 9 3 - a e c 4 1 3 1 4 c f e f < / D A L i n k I D >  
         < L i n k T y p e > 0 < / L i n k T y p e >  
         < P a r a m e t e r s / >  
         < I n c l u d e A l l I t e m s > f a l s e < / I n c l u d e A l l I t e m s >  
         < A c t i v e > t r u e < / A c t i v e >  
         < P r o t e c t e d L i n k > f a l s e < / P r o t e c t e d L i n k >  
         < N a m e > 2 8 1 0 1   T B   @   3 1 . 1 2 . 2 0 2 0   0 7 3 x 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 - 1 1 0 4 1 1 . 0 0 0 0 < / N u m e r i c V a l u e >  
         < V a l u e > - 1 1 0 4 1 1 , 0 0 0 0 < / V a l u e >  
         < C h a r t T y p e > c t D e t a i l < / C h a r t T y p e >  
         < R e f e r e n c e > 2 8 1 0 1 < / R e f e r e n c e >  
         < T B D o c N a m e > T B   @   3 1 . 1 2 . 2 0 2 0 < / T B D o c N a m e >  
         < T B C h a r t N a m e > D e t a i l < / T B C h a r t N a m e >  
         < C o l u m n N a m e > P r i o r P e r i o d 2 B a l a n c e < / C o l u m n N a m e >  
         < U s e r F r i e n d l y C o l u m n N a m e > 3 1 . 1 2 . 2 0 1 9 < / U s e r F r i e n d l y C o l u m n N a m e >  
         < A c c o u n t N u m b e r > 0 7 3 x < / A c c o u n t N u m b e r >  
         < R o u n d e d > f a l s e < / R o u n d e d >  
     < / T B L i n k >  
     < T B L i n k >  
         < V e r s i o n > 4 < / V e r s i o n >  
         < C o l u m n F i l t e r s / >  
         < D A L i n k I D > 6 8 6 d 5 d 4 7 - 4 2 2 0 - 4 9 3 4 - 8 6 1 f - d 5 f c f e 8 d 4 8 3 5 < / D A L i n k I D >  
         < L i n k T y p e > 0 < / L i n k T y p e >  
         < P a r a m e t e r s / >  
         < I n c l u d e A l l I t e m s > f a l s e < / I n c l u d e A l l I t e m s >  
         < A c t i v e > t r u e < / A c t i v e >  
         < P r o t e c t e d L i n k > f a l s e < / P r o t e c t e d L i n k >  
         < N a m e > 2 8 1 0 1   T B   @   3 1 . 1 2 . 2 0 2 0   0 7 4 x 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 0 7 4 x < / A c c o u n t N u m b e r >  
         < R o u n d e d > f a l s e < / R o u n d e d >  
     < / T B L i n k >  
     < T B L i n k >  
         < V e r s i o n > 4 < / V e r s i o n >  
         < C o l u m n F i l t e r s / >  
         < D A L i n k I D > 8 3 4 c b 1 7 c - 8 9 6 2 - 4 b b 5 - b e 8 2 - 5 9 0 9 2 0 9 0 6 a f 7 < / D A L i n k I D >  
         < L i n k T y p e > 0 < / L i n k T y p e >  
         < P a r a m e t e r s / >  
         < I n c l u d e A l l I t e m s > f a l s e < / I n c l u d e A l l I t e m s >  
         < A c t i v e > t r u e < / A c t i v e >  
         < P r o t e c t e d L i n k > f a l s e < / P r o t e c t e d L i n k >  
         < N a m e > 2 8 1 0 1   T B   @   3 1 . 1 2 . 2 0 2 0   0 7 5 x 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 0 7 5 x < / A c c o u n t N u m b e r >  
         < R o u n d e d > f a l s e < / R o u n d e d >  
     < / T B L i n k >  
     < T B L i n k >  
         < V e r s i o n > 4 < / V e r s i o n >  
         < C o l u m n F i l t e r s / >  
         < D A L i n k I D > 8 6 6 3 0 e 4 a - b 0 3 6 - 4 5 c c - 9 0 a 2 - e 1 b 5 2 3 0 5 2 0 7 9 < / D A L i n k I D >  
         < L i n k T y p e > 0 < / L i n k T y p e >  
         < P a r a m e t e r s / >  
         < I n c l u d e A l l I t e m s > f a l s e < / I n c l u d e A l l I t e m s >  
         < A c t i v e > t r u e < / A c t i v e >  
         < P r o t e c t e d L i n k > f a l s e < / P r o t e c t e d L i n k >  
         < N a m e > 2 8 1 0 1   T B   @   3 1 . 1 2 . 2 0 2 0   0 7 9 x 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 0 7 9 x < / A c c o u n t N u m b e r >  
         < R o u n d e d > f a l s e < / R o u n d e d >  
     < / T B L i n k >  
     < T B L i n k >  
         < V e r s i o n > 4 < / V e r s i o n >  
         < C o l u m n F i l t e r s / >  
         < D A L i n k I D > 2 d c 7 7 4 6 7 - a 8 e 7 - 4 f 9 3 - 8 b 7 e - b e 0 9 b 9 4 a f c 0 c < / D A L i n k I D >  
         < L i n k T y p e > 0 < / L i n k T y p e >  
         < P a r a m e t e r s / >  
         < I n c l u d e A l l I t e m s > f a l s e < / I n c l u d e A l l I t e m s >  
         < A c t i v e > t r u e < / A c t i v e >  
         < P r o t e c t e d L i n k > f a l s e < / P r o t e c t e d L i n k >  
         < N a m e > 2 8 1 0 1   T B   @   3 1 . 1 2 . 2 0 2 0   0 8 1 x 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 - 4 4 3 2 5 9 . 0 0 0 0 < / N u m e r i c V a l u e >  
         < V a l u e > - 4 4 3 2 5 9 , 0 0 0 0 < / V a l u e >  
         < C h a r t T y p e > c t D e t a i l < / C h a r t T y p e >  
         < R e f e r e n c e > 2 8 1 0 1 < / R e f e r e n c e >  
         < T B D o c N a m e > T B   @   3 1 . 1 2 . 2 0 2 0 < / T B D o c N a m e >  
         < T B C h a r t N a m e > D e t a i l < / T B C h a r t N a m e >  
         < C o l u m n N a m e > P r i o r P e r i o d 2 B a l a n c e < / C o l u m n N a m e >  
         < U s e r F r i e n d l y C o l u m n N a m e > 3 1 . 1 2 . 2 0 1 9 < / U s e r F r i e n d l y C o l u m n N a m e >  
         < A c c o u n t N u m b e r > 0 8 1 x < / A c c o u n t N u m b e r >  
         < R o u n d e d > f a l s e < / R o u n d e d >  
     < / T B L i n k >  
     < T B L i n k >  
         < V e r s i o n > 4 < / V e r s i o n >  
         < C o l u m n F i l t e r s / >  
         < D A L i n k I D > 5 9 f a 8 9 1 1 - 6 0 9 e - 4 a 9 d - a 6 6 9 - 9 a 3 a c 2 2 5 8 e b 2 < / D A L i n k I D >  
         < L i n k T y p e > 0 < / L i n k T y p e >  
         < P a r a m e t e r s / >  
         < I n c l u d e A l l I t e m s > f a l s e < / I n c l u d e A l l I t e m s >  
         < A c t i v e > t r u e < / A c t i v e >  
         < P r o t e c t e d L i n k > f a l s e < / P r o t e c t e d L i n k >  
         < N a m e > 2 8 1 0 1   T B   @   3 1 . 1 2 . 2 0 2 0   0 8 2 x 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 - 2 8 4 4 7 9 1 . 0 0 0 0 < / N u m e r i c V a l u e >  
         < V a l u e > - 2 8 4 4 7 9 1 , 0 0 0 0 < / V a l u e >  
         < C h a r t T y p e > c t D e t a i l < / C h a r t T y p e >  
         < R e f e r e n c e > 2 8 1 0 1 < / R e f e r e n c e >  
         < T B D o c N a m e > T B   @   3 1 . 1 2 . 2 0 2 0 < / T B D o c N a m e >  
         < T B C h a r t N a m e > D e t a i l < / T B C h a r t N a m e >  
         < C o l u m n N a m e > P r i o r P e r i o d 2 B a l a n c e < / C o l u m n N a m e >  
         < U s e r F r i e n d l y C o l u m n N a m e > 3 1 . 1 2 . 2 0 1 9 < / U s e r F r i e n d l y C o l u m n N a m e >  
         < A c c o u n t N u m b e r > 0 8 2 x < / A c c o u n t N u m b e r >  
         < R o u n d e d > f a l s e < / R o u n d e d >  
     < / T B L i n k >  
     < T B L i n k >  
         < V e r s i o n > 4 < / V e r s i o n >  
         < C o l u m n F i l t e r s / >  
         < D A L i n k I D > 3 2 5 4 b 3 e 7 - 0 6 e 0 - 4 7 1 0 - b e b a - 8 5 0 b 1 c e 5 b 9 b 0 < / D A L i n k I D >  
         < L i n k T y p e > 0 < / L i n k T y p e >  
         < P a r a m e t e r s / >  
         < I n c l u d e A l l I t e m s > f a l s e < / I n c l u d e A l l I t e m s >  
         < A c t i v e > t r u e < / A c t i v e >  
         < P r o t e c t e d L i n k > f a l s e < / P r o t e c t e d L i n k >  
         < N a m e > 2 8 1 0 1   T B   @   3 1 . 1 2 . 2 0 2 0   0 8 5 x 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 0 8 5 x < / A c c o u n t N u m b e r >  
         < R o u n d e d > f a l s e < / R o u n d e d >  
     < / T B L i n k >  
     < T B L i n k >  
         < V e r s i o n > 4 < / V e r s i o n >  
         < C o l u m n F i l t e r s / >  
         < D A L i n k I D > 1 0 e 1 a f f 2 - 4 a b b - 4 f 1 d - b 2 5 b - e 4 d 8 4 a f 9 3 6 f e < / D A L i n k I D >  
         < L i n k T y p e > 0 < / L i n k T y p e >  
         < P a r a m e t e r s / >  
         < I n c l u d e A l l I t e m s > f a l s e < / I n c l u d e A l l I t e m s >  
         < A c t i v e > t r u e < / A c t i v e >  
         < P r o t e c t e d L i n k > f a l s e < / P r o t e c t e d L i n k >  
         < N a m e > 2 8 1 0 1   T B   @   3 1 . 1 2 . 2 0 2 0   0 8 6 x 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 0 8 6 x < / A c c o u n t N u m b e r >  
         < R o u n d e d > f a l s e < / R o u n d e d >  
     < / T B L i n k >  
     < T B L i n k >  
         < V e r s i o n > 4 < / V e r s i o n >  
         < C o l u m n F i l t e r s / >  
         < D A L i n k I D > b e c 4 4 9 2 3 - f 0 5 c - 4 0 3 4 - 9 d f 2 - 6 2 f a b c 9 a 4 f 9 d < / D A L i n k I D >  
         < L i n k T y p e > 0 < / L i n k T y p e >  
         < P a r a m e t e r s / >  
         < I n c l u d e A l l I t e m s > f a l s e < / I n c l u d e A l l I t e m s >  
         < A c t i v e > t r u e < / A c t i v e >  
         < P r o t e c t e d L i n k > f a l s e < / P r o t e c t e d L i n k >  
         < N a m e > 2 8 1 0 1   T B   @   3 1 . 1 2 . 2 0 2 0   0 8 9 x 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 0 8 9 x < / A c c o u n t N u m b e r >  
         < R o u n d e d > f a l s e < / R o u n d e d >  
     < / T B L i n k >  
     < T B L i n k >  
         < V e r s i o n > 4 < / V e r s i o n >  
         < C o l u m n F i l t e r s / >  
         < D A L i n k I D > 1 d b c 9 5 9 7 - 8 f e 7 - 4 2 5 d - 9 5 8 5 - d 7 7 e 2 8 2 6 b 5 a c < / D A L i n k I D >  
         < L i n k T y p e > 0 < / L i n k T y p e >  
         < P a r a m e t e r s / >  
         < I n c l u d e A l l I t e m s > f a l s e < / I n c l u d e A l l I t e m s >  
         < A c t i v e > t r u e < / A c t i v e >  
         < P r o t e c t e d L i n k > f a l s e < / P r o t e c t e d L i n k >  
         < N a m e > 2 8 1 0 1   T B   @   3 1 . 1 2 . 2 0 2 0   0 9 1 a 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 0 9 1 a < / A c c o u n t N u m b e r >  
         < R o u n d e d > f a l s e < / R o u n d e d >  
     < / T B L i n k >  
     < T B L i n k >  
         < V e r s i o n > 4 < / V e r s i o n >  
         < C o l u m n F i l t e r s / >  
         < D A L i n k I D > 1 7 8 7 b 0 5 9 - e 0 f 6 - 4 a 6 b - 9 6 d f - b f 2 e 6 0 e 9 8 0 9 6 < / D A L i n k I D >  
         < L i n k T y p e > 0 < / L i n k T y p e >  
         < P a r a m e t e r s / >  
         < I n c l u d e A l l I t e m s > f a l s e < / I n c l u d e A l l I t e m s >  
         < A c t i v e > t r u e < / A c t i v e >  
         < P r o t e c t e d L i n k > f a l s e < / P r o t e c t e d L i n k >  
         < N a m e > 2 8 1 0 1   T B   @   3 1 . 1 2 . 2 0 2 0   0 9 1 b 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 0 9 1 b < / A c c o u n t N u m b e r >  
         < R o u n d e d > f a l s e < / R o u n d e d >  
     < / T B L i n k >  
     < T B L i n k >  
         < V e r s i o n > 4 < / V e r s i o n >  
         < C o l u m n F i l t e r s / >  
         < D A L i n k I D > b d d 5 c c c 5 - b 0 0 d - 4 d 3 f - 8 e 7 c - 8 7 6 d 8 8 3 c b f 8 8 < / D A L i n k I D >  
         < L i n k T y p e > 0 < / L i n k T y p e >  
         < P a r a m e t e r s / >  
         < I n c l u d e A l l I t e m s > f a l s e < / I n c l u d e A l l I t e m s >  
         < A c t i v e > t r u e < / A c t i v e >  
         < P r o t e c t e d L i n k > f a l s e < / P r o t e c t e d L i n k >  
         < N a m e > 2 8 1 0 1   T B   @   3 1 . 1 2 . 2 0 2 0   0 9 1 c 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 0 9 1 c < / A c c o u n t N u m b e r >  
         < R o u n d e d > f a l s e < / R o u n d e d >  
     < / T B L i n k >  
     < T B L i n k >  
         < V e r s i o n > 4 < / V e r s i o n >  
         < C o l u m n F i l t e r s / >  
         < D A L i n k I D > 0 d 5 9 8 3 b 4 - c c 1 7 - 4 1 4 1 - b c 7 3 - b 2 1 d c a b 8 c c 7 2 < / D A L i n k I D >  
         < L i n k T y p e > 0 < / L i n k T y p e >  
         < P a r a m e t e r s / >  
         < I n c l u d e A l l I t e m s > f a l s e < / I n c l u d e A l l I t e m s >  
         < A c t i v e > t r u e < / A c t i v e >  
         < P r o t e c t e d L i n k > f a l s e < / P r o t e c t e d L i n k >  
         < N a m e > 2 8 1 0 1   T B   @   3 1 . 1 2 . 2 0 2 0   0 9 1 d 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 0 9 1 d < / A c c o u n t N u m b e r >  
         < R o u n d e d > f a l s e < / R o u n d e d >  
     < / T B L i n k >  
     < T B L i n k >  
         < V e r s i o n > 4 < / V e r s i o n >  
         < C o l u m n F i l t e r s / >  
         < D A L i n k I D > 1 a e 1 b 6 b 7 - c b 3 2 - 4 9 6 6 - 8 4 a a - f e b 4 2 1 c 6 a 1 b 1 < / D A L i n k I D >  
         < L i n k T y p e > 0 < / L i n k T y p e >  
         < P a r a m e t e r s / >  
         < I n c l u d e A l l I t e m s > f a l s e < / I n c l u d e A l l I t e m s >  
         < A c t i v e > t r u e < / A c t i v e >  
         < P r o t e c t e d L i n k > f a l s e < / P r o t e c t e d L i n k >  
         < N a m e > 2 8 1 0 1   T B   @   3 1 . 1 2 . 2 0 2 0   0 9 1 e 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 0 9 1 e < / A c c o u n t N u m b e r >  
         < R o u n d e d > f a l s e < / R o u n d e d >  
     < / T B L i n k >  
     < T B L i n k >  
         < V e r s i o n > 4 < / V e r s i o n >  
         < C o l u m n F i l t e r s / >  
         < D A L i n k I D > 2 d 7 c 2 8 5 4 - b 0 e a - 4 f 6 0 - b 9 f d - f 6 4 9 7 0 7 e 7 6 a a < / D A L i n k I D >  
         < L i n k T y p e > 0 < / L i n k T y p e >  
         < P a r a m e t e r s / >  
         < I n c l u d e A l l I t e m s > f a l s e < / I n c l u d e A l l I t e m s >  
         < A c t i v e > t r u e < / A c t i v e >  
         < P r o t e c t e d L i n k > f a l s e < / P r o t e c t e d L i n k >  
         < N a m e > 2 8 1 0 1   T B   @   3 1 . 1 2 . 2 0 2 0   0 9 2 a 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 0 9 2 a < / A c c o u n t N u m b e r >  
         < R o u n d e d > f a l s e < / R o u n d e d >  
     < / T B L i n k >  
     < T B L i n k >  
         < V e r s i o n > 4 < / V e r s i o n >  
         < C o l u m n F i l t e r s / >  
         < D A L i n k I D > a 4 c 6 3 0 8 2 - f 9 5 9 - 4 3 5 f - 8 7 e e - 3 c 4 b f b 4 c 6 4 0 3 < / D A L i n k I D >  
         < L i n k T y p e > 0 < / L i n k T y p e >  
         < P a r a m e t e r s / >  
         < I n c l u d e A l l I t e m s > f a l s e < / I n c l u d e A l l I t e m s >  
         < A c t i v e > t r u e < / A c t i v e >  
         < P r o t e c t e d L i n k > f a l s e < / P r o t e c t e d L i n k >  
         < N a m e > 2 8 1 0 1   T B   @   3 1 . 1 2 . 2 0 2 0   0 9 2 b 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 0 9 2 b < / A c c o u n t N u m b e r >  
         < R o u n d e d > f a l s e < / R o u n d e d >  
     < / T B L i n k >  
     < T B L i n k >  
         < V e r s i o n > 4 < / V e r s i o n >  
         < C o l u m n F i l t e r s / >  
         < D A L i n k I D > 3 f 4 2 4 e f 1 - f 7 2 a - 4 9 f e - b 0 e 6 - 9 d e f a 9 6 1 6 c a 6 < / D A L i n k I D >  
         < L i n k T y p e > 0 < / L i n k T y p e >  
         < P a r a m e t e r s / >  
         < I n c l u d e A l l I t e m s > f a l s e < / I n c l u d e A l l I t e m s >  
         < A c t i v e > t r u e < / A c t i v e >  
         < P r o t e c t e d L i n k > f a l s e < / P r o t e c t e d L i n k >  
         < N a m e > 2 8 1 0 1   T B   @   3 1 . 1 2 . 2 0 2 0   0 9 2 c 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 0 9 2 c < / A c c o u n t N u m b e r >  
         < R o u n d e d > f a l s e < / R o u n d e d >  
     < / T B L i n k >  
     < T B L i n k >  
         < V e r s i o n > 4 < / V e r s i o n >  
         < C o l u m n F i l t e r s / >  
         < D A L i n k I D > 6 0 e 9 f f 2 d - b d 4 1 - 4 5 2 f - 8 3 0 c - 8 e c 7 c 3 8 f 2 7 2 a < / D A L i n k I D >  
         < L i n k T y p e > 0 < / L i n k T y p e >  
         < P a r a m e t e r s / >  
         < I n c l u d e A l l I t e m s > f a l s e < / I n c l u d e A l l I t e m s >  
         < A c t i v e > t r u e < / A c t i v e >  
         < P r o t e c t e d L i n k > f a l s e < / P r o t e c t e d L i n k >  
         < N a m e > 2 8 1 0 1   T B   @   3 1 . 1 2 . 2 0 2 0   0 9 2 d 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 0 9 2 d < / A c c o u n t N u m b e r >  
         < R o u n d e d > f a l s e < / R o u n d e d >  
     < / T B L i n k >  
     < T B L i n k >  
         < V e r s i o n > 4 < / V e r s i o n >  
         < C o l u m n F i l t e r s / >  
         < D A L i n k I D > 6 1 b e 6 d 7 a - e 6 f 1 - 4 3 4 0 - 8 7 4 2 - a 2 8 7 7 4 9 c a a b 8 < / D A L i n k I D >  
         < L i n k T y p e > 0 < / L i n k T y p e >  
         < P a r a m e t e r s / >  
         < I n c l u d e A l l I t e m s > f a l s e < / I n c l u d e A l l I t e m s >  
         < A c t i v e > t r u e < / A c t i v e >  
         < P r o t e c t e d L i n k > f a l s e < / P r o t e c t e d L i n k >  
         < N a m e > 2 8 1 0 1   T B   @   3 1 . 1 2 . 2 0 2 0   0 9 2 e 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 0 9 2 e < / A c c o u n t N u m b e r >  
         < R o u n d e d > f a l s e < / R o u n d e d >  
     < / T B L i n k >  
     < T B L i n k >  
         < V e r s i o n > 4 < / V e r s i o n >  
         < C o l u m n F i l t e r s / >  
         < D A L i n k I D > c 8 9 0 6 1 0 e - e 7 c 3 - 4 5 8 1 - 9 e a 0 - b b 2 6 3 3 4 1 1 e c c < / D A L i n k I D >  
         < L i n k T y p e > 0 < / L i n k T y p e >  
         < P a r a m e t e r s / >  
         < I n c l u d e A l l I t e m s > f a l s e < / I n c l u d e A l l I t e m s >  
         < A c t i v e > t r u e < / A c t i v e >  
         < P r o t e c t e d L i n k > f a l s e < / P r o t e c t e d L i n k >  
         < N a m e > 2 8 1 0 1   T B   @   3 1 . 1 2 . 2 0 2 0   0 9 2 f 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 0 9 2 f < / A c c o u n t N u m b e r >  
         < R o u n d e d > f a l s e < / R o u n d e d >  
     < / T B L i n k >  
     < T B L i n k >  
         < V e r s i o n > 4 < / V e r s i o n >  
         < C o l u m n F i l t e r s / >  
         < D A L i n k I D > 8 3 c c 7 b e 2 - 1 2 e 9 - 4 8 d b - a 2 1 d - 3 f 9 b c a e 1 4 6 5 9 < / D A L i n k I D >  
         < L i n k T y p e > 0 < / L i n k T y p e >  
         < P a r a m e t e r s / >  
         < I n c l u d e A l l I t e m s > f a l s e < / I n c l u d e A l l I t e m s >  
         < A c t i v e > t r u e < / A c t i v e >  
         < P r o t e c t e d L i n k > f a l s e < / P r o t e c t e d L i n k >  
         < N a m e > 2 8 1 0 1   T B   @   3 1 . 1 2 . 2 0 2 0   0 9 3 x 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 0 9 3 x < / A c c o u n t N u m b e r >  
         < R o u n d e d > f a l s e < / R o u n d e d >  
     < / T B L i n k >  
     < T B L i n k >  
         < V e r s i o n > 4 < / V e r s i o n >  
         < C o l u m n F i l t e r s / >  
         < D A L i n k I D > 4 3 a a 5 a 0 1 - d 0 1 5 - 4 d 5 f - a a 3 e - f b b f 4 2 5 2 c 3 d 0 < / D A L i n k I D >  
         < L i n k T y p e > 0 < / L i n k T y p e >  
         < P a r a m e t e r s / >  
         < I n c l u d e A l l I t e m s > f a l s e < / I n c l u d e A l l I t e m s >  
         < A c t i v e > t r u e < / A c t i v e >  
         < P r o t e c t e d L i n k > f a l s e < / P r o t e c t e d L i n k >  
         < N a m e > 2 8 1 0 1   T B   @   3 1 . 1 2 . 2 0 2 0   0 9 4 x 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 0 9 4 x < / A c c o u n t N u m b e r >  
         < R o u n d e d > f a l s e < / R o u n d e d >  
     < / T B L i n k >  
     < T B L i n k >  
         < V e r s i o n > 4 < / V e r s i o n >  
         < C o l u m n F i l t e r s / >  
         < D A L i n k I D > 4 b f 7 3 6 8 d - d a c a - 4 2 7 0 - 8 1 f f - 0 0 d 1 6 0 a 3 c c b 3 < / D A L i n k I D >  
         < L i n k T y p e > 0 < / L i n k T y p e >  
         < P a r a m e t e r s / >  
         < I n c l u d e A l l I t e m s > f a l s e < / I n c l u d e A l l I t e m s >  
         < A c t i v e > t r u e < / A c t i v e >  
         < P r o t e c t e d L i n k > f a l s e < / P r o t e c t e d L i n k >  
         < N a m e > 2 8 1 0 1   T B   @   3 1 . 1 2 . 2 0 2 0   0 9 5 a 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 0 9 5 a < / A c c o u n t N u m b e r >  
         < R o u n d e d > f a l s e < / R o u n d e d >  
     < / T B L i n k >  
     < T B L i n k >  
         < V e r s i o n > 4 < / V e r s i o n >  
         < C o l u m n F i l t e r s / >  
         < D A L i n k I D > a 8 3 d 8 2 3 f - 7 7 b 0 - 4 e 8 2 - b f 5 9 - d 9 0 f 7 6 8 9 7 4 8 9 < / D A L i n k I D >  
         < L i n k T y p e > 0 < / L i n k T y p e >  
         < P a r a m e t e r s / >  
         < I n c l u d e A l l I t e m s > f a l s e < / I n c l u d e A l l I t e m s >  
         < A c t i v e > t r u e < / A c t i v e >  
         < P r o t e c t e d L i n k > f a l s e < / P r o t e c t e d L i n k >  
         < N a m e > 2 8 1 0 1   T B   @   3 1 . 1 2 . 2 0 2 0   0 9 5 b 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 0 9 5 b < / A c c o u n t N u m b e r >  
         < R o u n d e d > f a l s e < / R o u n d e d >  
     < / T B L i n k >  
     < T B L i n k >  
         < V e r s i o n > 4 < / V e r s i o n >  
         < C o l u m n F i l t e r s / >  
         < D A L i n k I D > 1 c 5 8 2 9 3 3 - 3 b 4 1 - 4 7 a b - a 6 d 4 - 9 6 4 f c b f 2 6 e 6 0 < / D A L i n k I D >  
         < L i n k T y p e > 0 < / L i n k T y p e >  
         < P a r a m e t e r s / >  
         < I n c l u d e A l l I t e m s > f a l s e < / I n c l u d e A l l I t e m s >  
         < A c t i v e > t r u e < / A c t i v e >  
         < P r o t e c t e d L i n k > f a l s e < / P r o t e c t e d L i n k >  
         < N a m e > 2 8 1 0 1   T B   @   3 1 . 1 2 . 2 0 2 0   0 9 5 c 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 0 9 5 c < / A c c o u n t N u m b e r >  
         < R o u n d e d > f a l s e < / R o u n d e d >  
     < / T B L i n k >  
     < T B L i n k >  
         < V e r s i o n > 4 < / V e r s i o n >  
         < C o l u m n F i l t e r s / >  
         < D A L i n k I D > 2 b 5 3 1 7 1 3 - b c 4 4 - 4 c 7 3 - b f 4 c - d d 9 3 e 7 3 b d e a c < / D A L i n k I D >  
         < L i n k T y p e > 0 < / L i n k T y p e >  
         < P a r a m e t e r s / >  
         < I n c l u d e A l l I t e m s > f a l s e < / I n c l u d e A l l I t e m s >  
         < A c t i v e > t r u e < / A c t i v e >  
         < P r o t e c t e d L i n k > f a l s e < / P r o t e c t e d L i n k >  
         < N a m e > 2 8 1 0 1   T B   @   3 1 . 1 2 . 2 0 2 0   0 9 6 a 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 0 9 6 a < / A c c o u n t N u m b e r >  
         < R o u n d e d > f a l s e < / R o u n d e d >  
     < / T B L i n k >  
     < T B L i n k >  
         < V e r s i o n > 4 < / V e r s i o n >  
         < C o l u m n F i l t e r s / >  
         < D A L i n k I D > b 5 d c 3 f 5 e - 3 0 e c - 4 6 9 2 - b 9 c 6 - f 7 6 1 5 1 1 e 3 7 d 7 < / D A L i n k I D >  
         < L i n k T y p e > 0 < / L i n k T y p e >  
         < P a r a m e t e r s / >  
         < I n c l u d e A l l I t e m s > f a l s e < / I n c l u d e A l l I t e m s >  
         < A c t i v e > t r u e < / A c t i v e >  
         < P r o t e c t e d L i n k > f a l s e < / P r o t e c t e d L i n k >  
         < N a m e > 2 8 1 0 1   T B   @   3 1 . 1 2 . 2 0 2 0   0 9 6 b 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 0 9 6 b < / A c c o u n t N u m b e r >  
         < R o u n d e d > f a l s e < / R o u n d e d >  
     < / T B L i n k >  
     < T B L i n k >  
         < V e r s i o n > 4 < / V e r s i o n >  
         < C o l u m n F i l t e r s / >  
         < D A L i n k I D > 3 a a e 8 d 8 e - 3 e d 7 - 4 6 6 3 - 9 4 2 7 - f b 0 1 4 c 3 7 2 6 0 a < / D A L i n k I D >  
         < L i n k T y p e > 0 < / L i n k T y p e >  
         < P a r a m e t e r s / >  
         < I n c l u d e A l l I t e m s > f a l s e < / I n c l u d e A l l I t e m s >  
         < A c t i v e > t r u e < / A c t i v e >  
         < P r o t e c t e d L i n k > f a l s e < / P r o t e c t e d L i n k >  
         < N a m e > 2 8 1 0 1   T B   @   3 1 . 1 2 . 2 0 2 0   0 9 6 c 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 0 9 6 c < / A c c o u n t N u m b e r >  
         < R o u n d e d > f a l s e < / R o u n d e d >  
     < / T B L i n k >  
     < T B L i n k >  
         < V e r s i o n > 4 < / V e r s i o n >  
         < C o l u m n F i l t e r s / >  
         < D A L i n k I D > 1 a 8 4 c 4 5 0 - b 0 6 2 - 4 d 1 b - 9 8 9 a - 0 6 3 0 1 c 6 9 0 e e f < / D A L i n k I D >  
         < L i n k T y p e > 0 < / L i n k T y p e >  
         < P a r a m e t e r s / >  
         < I n c l u d e A l l I t e m s > f a l s e < / I n c l u d e A l l I t e m s >  
         < A c t i v e > t r u e < / A c t i v e >  
         < P r o t e c t e d L i n k > f a l s e < / P r o t e c t e d L i n k >  
         < N a m e > 2 8 1 0 1   T B   @   3 1 . 1 2 . 2 0 2 0   0 9 6 d 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 0 9 6 d < / A c c o u n t N u m b e r >  
         < R o u n d e d > f a l s e < / R o u n d e d >  
     < / T B L i n k >  
     < T B L i n k >  
         < V e r s i o n > 4 < / V e r s i o n >  
         < C o l u m n F i l t e r s / >  
         < D A L i n k I D > 3 1 6 7 d d e 4 - 7 1 b 5 - 4 0 e a - 9 e 4 d - 0 5 c 5 a f d e 1 f 1 9 < / D A L i n k I D >  
         < L i n k T y p e > 0 < / L i n k T y p e >  
         < P a r a m e t e r s / >  
         < I n c l u d e A l l I t e m s > f a l s e < / I n c l u d e A l l I t e m s >  
         < A c t i v e > t r u e < / A c t i v e >  
         < P r o t e c t e d L i n k > f a l s e < / P r o t e c t e d L i n k >  
         < N a m e > 2 8 1 0 1   T B   @   3 1 . 1 2 . 2 0 2 0   0 9 6 e 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 0 9 6 e < / A c c o u n t N u m b e r >  
         < R o u n d e d > f a l s e < / R o u n d e d >  
     < / T B L i n k >  
     < T B L i n k >  
         < V e r s i o n > 4 < / V e r s i o n >  
         < C o l u m n F i l t e r s / >  
         < D A L i n k I D > 9 d 7 d a 9 f 6 - 7 e 0 9 - 4 7 d 1 - b 0 d a - 5 1 e f b d f 9 d c 0 5 < / D A L i n k I D >  
         < L i n k T y p e > 0 < / L i n k T y p e >  
         < P a r a m e t e r s / >  
         < I n c l u d e A l l I t e m s > f a l s e < / I n c l u d e A l l I t e m s >  
         < A c t i v e > t r u e < / A c t i v e >  
         < P r o t e c t e d L i n k > f a l s e < / P r o t e c t e d L i n k >  
         < N a m e > 2 8 1 0 1   T B   @   3 1 . 1 2 . 2 0 2 0   0 9 6 f 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 0 9 6 f < / A c c o u n t N u m b e r >  
         < R o u n d e d > f a l s e < / R o u n d e d >  
     < / T B L i n k >  
     < T B L i n k >  
         < V e r s i o n > 4 < / V e r s i o n >  
         < C o l u m n F i l t e r s / >  
         < D A L i n k I D > 7 5 5 a d 3 d c - 2 6 5 e - 4 2 0 f - b 9 7 d - 6 1 6 d d 3 b 5 3 1 b a < / D A L i n k I D >  
         < L i n k T y p e > 0 < / L i n k T y p e >  
         < P a r a m e t e r s / >  
         < I n c l u d e A l l I t e m s > f a l s e < / I n c l u d e A l l I t e m s >  
         < A c t i v e > t r u e < / A c t i v e >  
         < P r o t e c t e d L i n k > f a l s e < / P r o t e c t e d L i n k >  
         < N a m e > 2 8 1 0 1   T B   @   3 1 . 1 2 . 2 0 2 0   0 9 6 g 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 0 9 6 g < / A c c o u n t N u m b e r >  
         < R o u n d e d > f a l s e < / R o u n d e d >  
     < / T B L i n k >  
     < T B L i n k >  
         < V e r s i o n > 4 < / V e r s i o n >  
         < C o l u m n F i l t e r s / >  
         < D A L i n k I D > b 5 4 6 a f 5 c - d 1 c 1 - 4 7 6 c - 9 8 0 8 - 9 3 4 7 f 6 a f 3 8 c c < / D A L i n k I D >  
         < L i n k T y p e > 0 < / L i n k T y p e >  
         < P a r a m e t e r s / >  
         < I n c l u d e A l l I t e m s > f a l s e < / I n c l u d e A l l I t e m s >  
         < A c t i v e > t r u e < / A c t i v e >  
         < P r o t e c t e d L i n k > f a l s e < / P r o t e c t e d L i n k >  
         < N a m e > 2 8 1 0 1   T B   @   3 1 . 1 2 . 2 0 2 0   0 9 6 h 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 0 9 6 h < / A c c o u n t N u m b e r >  
         < R o u n d e d > f a l s e < / R o u n d e d >  
     < / T B L i n k >  
     < T B L i n k >  
         < V e r s i o n > 4 < / V e r s i o n >  
         < C o l u m n F i l t e r s / >  
         < D A L i n k I D > c d 3 3 7 8 7 1 - 5 2 4 4 - 4 6 9 3 - 9 c c a - 1 a 2 8 3 f c f d d f 2 < / D A L i n k I D >  
         < L i n k T y p e > 0 < / L i n k T y p e >  
         < P a r a m e t e r s / >  
         < I n c l u d e A l l I t e m s > f a l s e < / I n c l u d e A l l I t e m s >  
         < A c t i v e > t r u e < / A c t i v e >  
         < P r o t e c t e d L i n k > f a l s e < / P r o t e c t e d L i n k >  
         < N a m e > 2 8 1 0 1   T B   @   3 1 . 1 2 . 2 0 2 0   0 9 6 i 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 0 9 6 i < / A c c o u n t N u m b e r >  
         < R o u n d e d > f a l s e < / R o u n d e d >  
     < / T B L i n k >  
     < T B L i n k >  
         < V e r s i o n > 4 < / V e r s i o n >  
         < C o l u m n F i l t e r s / >  
         < D A L i n k I D > b a c 1 9 9 a 6 - 5 9 9 d - 4 0 8 2 - b 9 c 7 - b 5 e 3 6 d 0 f 1 0 e b < / D A L i n k I D >  
         < L i n k T y p e > 0 < / L i n k T y p e >  
         < P a r a m e t e r s / >  
         < I n c l u d e A l l I t e m s > f a l s e < / I n c l u d e A l l I t e m s >  
         < A c t i v e > t r u e < / A c t i v e >  
         < P r o t e c t e d L i n k > f a l s e < / P r o t e c t e d L i n k >  
         < N a m e > 2 8 1 0 1   T B   @   3 1 . 1 2 . 2 0 2 0   0 9 7 x 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 0 9 7 x < / A c c o u n t N u m b e r >  
         < R o u n d e d > f a l s e < / R o u n d e d >  
     < / T B L i n k >  
     < T B L i n k >  
         < V e r s i o n > 4 < / V e r s i o n >  
         < C o l u m n F i l t e r s / >  
         < D A L i n k I D > 6 3 b e a 4 d 9 - 8 0 2 c - 4 1 c f - a c 3 f - a 5 5 e 8 4 c e c 6 1 2 < / D A L i n k I D >  
         < L i n k T y p e > 0 < / L i n k T y p e >  
         < P a r a m e t e r s / >  
         < I n c l u d e A l l I t e m s > f a l s e < / I n c l u d e A l l I t e m s >  
         < A c t i v e > t r u e < / A c t i v e >  
         < P r o t e c t e d L i n k > f a l s e < / P r o t e c t e d L i n k >  
         < N a m e > 2 8 1 0 1   T B   @   3 1 . 1 2 . 2 0 2 0   0 9 8 x 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 0 9 8 x < / A c c o u n t N u m b e r >  
         < R o u n d e d > f a l s e < / R o u n d e d >  
     < / T B L i n k >  
     < T B L i n k >  
         < V e r s i o n > 4 < / V e r s i o n >  
         < C o l u m n F i l t e r s / >  
         < D A L i n k I D > 9 9 4 1 f c 4 b - 0 0 a 1 - 4 d e 7 - a 6 2 e - 9 7 5 b 7 d f 3 0 3 1 a < / D A L i n k I D >  
         < L i n k T y p e > 0 < / L i n k T y p e >  
         < P a r a m e t e r s / >  
         < I n c l u d e A l l I t e m s > f a l s e < / I n c l u d e A l l I t e m s >  
         < A c t i v e > t r u e < / A c t i v e >  
         < P r o t e c t e d L i n k > f a l s e < / P r o t e c t e d L i n k >  
         < N a m e > 2 8 1 0 1   T B   @   3 1 . 1 2 . 2 0 2 0   1 1 1 x 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 1 1 1 x < / A c c o u n t N u m b e r >  
         < R o u n d e d > f a l s e < / R o u n d e d >  
     < / T B L i n k >  
     < T B L i n k >  
         < V e r s i o n > 4 < / V e r s i o n >  
         < C o l u m n F i l t e r s / >  
         < D A L i n k I D > c 3 3 6 7 f 9 f - 0 0 e 7 - 4 1 7 e - a 6 e 9 - b 5 d 9 6 8 1 0 5 6 7 5 < / D A L i n k I D >  
         < L i n k T y p e > 0 < / L i n k T y p e >  
         < P a r a m e t e r s / >  
         < I n c l u d e A l l I t e m s > f a l s e < / I n c l u d e A l l I t e m s >  
         < A c t i v e > t r u e < / A c t i v e >  
         < P r o t e c t e d L i n k > f a l s e < / P r o t e c t e d L i n k >  
         < N a m e > 2 8 1 0 1   T B   @   3 1 . 1 2 . 2 0 2 0   1 1 2 x 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 4 6 7 0 5 4 . 0 0 0 0 < / N u m e r i c V a l u e >  
         < V a l u e > 4 6 7 0 5 4 , 0 0 0 0 < / V a l u e >  
         < C h a r t T y p e > c t D e t a i l < / C h a r t T y p e >  
         < R e f e r e n c e > 2 8 1 0 1 < / R e f e r e n c e >  
         < T B D o c N a m e > T B   @   3 1 . 1 2 . 2 0 2 0 < / T B D o c N a m e >  
         < T B C h a r t N a m e > D e t a i l < / T B C h a r t N a m e >  
         < C o l u m n N a m e > P r i o r P e r i o d 2 B a l a n c e < / C o l u m n N a m e >  
         < U s e r F r i e n d l y C o l u m n N a m e > 3 1 . 1 2 . 2 0 1 9 < / U s e r F r i e n d l y C o l u m n N a m e >  
         < A c c o u n t N u m b e r > 1 1 2 x < / A c c o u n t N u m b e r >  
         < R o u n d e d > f a l s e < / R o u n d e d >  
     < / T B L i n k >  
     < T B L i n k >  
         < V e r s i o n > 4 < / V e r s i o n >  
         < C o l u m n F i l t e r s / >  
         < D A L i n k I D > 8 b 7 b 7 5 0 6 - e a f 4 - 4 5 c b - 8 6 2 2 - b 6 9 0 7 6 f 3 3 e a f < / D A L i n k I D >  
         < L i n k T y p e > 0 < / L i n k T y p e >  
         < P a r a m e t e r s / >  
         < I n c l u d e A l l I t e m s > f a l s e < / I n c l u d e A l l I t e m s >  
         < A c t i v e > t r u e < / A c t i v e >  
         < P r o t e c t e d L i n k > f a l s e < / P r o t e c t e d L i n k >  
         < N a m e > 2 8 1 0 1   T B   @   3 1 . 1 2 . 2 0 2 0   1 1 9 x 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 1 3 0 4 . 0 0 0 0 < / N u m e r i c V a l u e >  
         < V a l u e > 1 3 0 4 , 0 0 0 0 < / V a l u e >  
         < C h a r t T y p e > c t D e t a i l < / C h a r t T y p e >  
         < R e f e r e n c e > 2 8 1 0 1 < / R e f e r e n c e >  
         < T B D o c N a m e > T B   @   3 1 . 1 2 . 2 0 2 0 < / T B D o c N a m e >  
         < T B C h a r t N a m e > D e t a i l < / T B C h a r t N a m e >  
         < C o l u m n N a m e > P r i o r P e r i o d 2 B a l a n c e < / C o l u m n N a m e >  
         < U s e r F r i e n d l y C o l u m n N a m e > 3 1 . 1 2 . 2 0 1 9 < / U s e r F r i e n d l y C o l u m n N a m e >  
         < A c c o u n t N u m b e r > 1 1 9 x < / A c c o u n t N u m b e r >  
         < R o u n d e d > f a l s e < / R o u n d e d >  
     < / T B L i n k >  
     < T B L i n k >  
         < V e r s i o n > 4 < / V e r s i o n >  
         < C o l u m n F i l t e r s / >  
         < D A L i n k I D > 1 f b b c 7 f 9 - 6 c 3 c - 4 e 1 2 - 8 f 4 6 - d b 9 9 8 4 1 a 0 5 d 2 < / D A L i n k I D >  
         < L i n k T y p e > 0 < / L i n k T y p e >  
         < P a r a m e t e r s / >  
         < I n c l u d e A l l I t e m s > f a l s e < / I n c l u d e A l l I t e m s >  
         < A c t i v e > t r u e < / A c t i v e >  
         < P r o t e c t e d L i n k > f a l s e < / P r o t e c t e d L i n k >  
         < N a m e > 2 8 1 0 1   T B   @   3 1 . 1 2 . 2 0 2 0   1 2 1 x 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 4 0 6 7 7 8 . 0 0 0 0 < / N u m e r i c V a l u e >  
         < V a l u e > 4 0 6 7 7 8 , 0 0 0 0 < / V a l u e >  
         < C h a r t T y p e > c t D e t a i l < / C h a r t T y p e >  
         < R e f e r e n c e > 2 8 1 0 1 < / R e f e r e n c e >  
         < T B D o c N a m e > T B   @   3 1 . 1 2 . 2 0 2 0 < / T B D o c N a m e >  
         < T B C h a r t N a m e > D e t a i l < / T B C h a r t N a m e >  
         < C o l u m n N a m e > P r i o r P e r i o d 2 B a l a n c e < / C o l u m n N a m e >  
         < U s e r F r i e n d l y C o l u m n N a m e > 3 1 . 1 2 . 2 0 1 9 < / U s e r F r i e n d l y C o l u m n N a m e >  
         < A c c o u n t N u m b e r > 1 2 1 x < / A c c o u n t N u m b e r >  
         < R o u n d e d > f a l s e < / R o u n d e d >  
     < / T B L i n k >  
     < T B L i n k >  
         < V e r s i o n > 4 < / V e r s i o n >  
         < C o l u m n F i l t e r s / >  
         < D A L i n k I D > d 2 c 6 5 6 8 5 - 1 4 5 6 - 4 a 9 0 - b 4 f b - 7 d b 2 f f 5 b e 8 0 f < / D A L i n k I D >  
         < L i n k T y p e > 0 < / L i n k T y p e >  
         < P a r a m e t e r s / >  
         < I n c l u d e A l l I t e m s > f a l s e < / I n c l u d e A l l I t e m s >  
         < A c t i v e > t r u e < / A c t i v e >  
         < P r o t e c t e d L i n k > f a l s e < / P r o t e c t e d L i n k >  
         < N a m e > 2 8 1 0 1   T B   @   3 1 . 1 2 . 2 0 2 0   1 2 2 x 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 3 7 6 6 8 0 . 0 0 0 0 < / N u m e r i c V a l u e >  
         < V a l u e > 3 7 6 6 8 0 , 0 0 0 0 < / V a l u e >  
         < C h a r t T y p e > c t D e t a i l < / C h a r t T y p e >  
         < R e f e r e n c e > 2 8 1 0 1 < / R e f e r e n c e >  
         < T B D o c N a m e > T B   @   3 1 . 1 2 . 2 0 2 0 < / T B D o c N a m e >  
         < T B C h a r t N a m e > D e t a i l < / T B C h a r t N a m e >  
         < C o l u m n N a m e > P r i o r P e r i o d 2 B a l a n c e < / C o l u m n N a m e >  
         < U s e r F r i e n d l y C o l u m n N a m e > 3 1 . 1 2 . 2 0 1 9 < / U s e r F r i e n d l y C o l u m n N a m e >  
         < A c c o u n t N u m b e r > 1 2 2 x < / A c c o u n t N u m b e r >  
         < R o u n d e d > f a l s e < / R o u n d e d >  
     < / T B L i n k >  
     < T B L i n k >  
         < V e r s i o n > 4 < / V e r s i o n >  
         < C o l u m n F i l t e r s / >  
         < D A L i n k I D > d 5 a 8 d 9 5 4 - 9 1 e 5 - 4 c 8 9 - b d 3 b - 0 3 4 4 d 6 e 6 1 6 0 2 < / D A L i n k I D >  
         < L i n k T y p e > 0 < / L i n k T y p e >  
         < P a r a m e t e r s / >  
         < I n c l u d e A l l I t e m s > f a l s e < / I n c l u d e A l l I t e m s >  
         < A c t i v e > t r u e < / A c t i v e >  
         < P r o t e c t e d L i n k > f a l s e < / P r o t e c t e d L i n k >  
         < N a m e > 2 8 1 0 1   T B   @   3 1 . 1 2 . 2 0 2 0   1 2 3 x 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 4 6 9 0 6 7 . 0 0 0 0 < / N u m e r i c V a l u e >  
         < V a l u e > 4 6 9 0 6 7 , 0 0 0 0 < / V a l u e >  
         < C h a r t T y p e > c t D e t a i l < / C h a r t T y p e >  
         < R e f e r e n c e > 2 8 1 0 1 < / R e f e r e n c e >  
         < T B D o c N a m e > T B   @   3 1 . 1 2 . 2 0 2 0 < / T B D o c N a m e >  
         < T B C h a r t N a m e > D e t a i l < / T B C h a r t N a m e >  
         < C o l u m n N a m e > P r i o r P e r i o d 2 B a l a n c e < / C o l u m n N a m e >  
         < U s e r F r i e n d l y C o l u m n N a m e > 3 1 . 1 2 . 2 0 1 9 < / U s e r F r i e n d l y C o l u m n N a m e >  
         < A c c o u n t N u m b e r > 1 2 3 x < / A c c o u n t N u m b e r >  
         < R o u n d e d > f a l s e < / R o u n d e d >  
     < / T B L i n k >  
     < T B L i n k >  
         < V e r s i o n > 4 < / V e r s i o n >  
         < C o l u m n F i l t e r s / >  
         < D A L i n k I D > 7 d e 0 a d 9 5 - 2 9 1 5 - 4 f 8 1 - a 8 e 3 - 7 f 0 1 7 a 2 1 a f 2 0 < / D A L i n k I D >  
         < L i n k T y p e > 0 < / L i n k T y p e >  
         < P a r a m e t e r s / >  
         < I n c l u d e A l l I t e m s > f a l s e < / I n c l u d e A l l I t e m s >  
         < A c t i v e > t r u e < / A c t i v e >  
         < P r o t e c t e d L i n k > f a l s e < / P r o t e c t e d L i n k >  
         < N a m e > 2 8 1 0 1   T B   @   3 1 . 1 2 . 2 0 2 0   1 2 4 x 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 1 2 4 x < / A c c o u n t N u m b e r >  
         < R o u n d e d > f a l s e < / R o u n d e d >  
     < / T B L i n k >  
     < T B L i n k >  
         < V e r s i o n > 4 < / V e r s i o n >  
         < C o l u m n F i l t e r s / >  
         < D A L i n k I D > b 4 f 9 e b b d - f a 9 3 - 4 2 3 a - a 1 7 8 - d 3 d 5 1 0 0 0 a e 5 1 < / D A L i n k I D >  
         < L i n k T y p e > 0 < / L i n k T y p e >  
         < P a r a m e t e r s / >  
         < I n c l u d e A l l I t e m s > f a l s e < / I n c l u d e A l l I t e m s >  
         < A c t i v e > t r u e < / A c t i v e >  
         < P r o t e c t e d L i n k > f a l s e < / P r o t e c t e d L i n k >  
         < N a m e > 2 8 1 0 1   T B   @   3 1 . 1 2 . 2 0 2 0   1 3 1 x 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 1 3 1 x < / A c c o u n t N u m b e r >  
         < R o u n d e d > f a l s e < / R o u n d e d >  
     < / T B L i n k >  
     < T B L i n k >  
         < V e r s i o n > 4 < / V e r s i o n >  
         < C o l u m n F i l t e r s / >  
         < D A L i n k I D > b 4 6 8 0 1 3 8 - f 3 0 8 - 4 9 8 0 - b 6 e e - 4 1 a 0 f 9 4 4 0 b 0 8 < / D A L i n k I D >  
         < L i n k T y p e > 0 < / L i n k T y p e >  
         < P a r a m e t e r s / >  
         < I n c l u d e A l l I t e m s > f a l s e < / I n c l u d e A l l I t e m s >  
         < A c t i v e > t r u e < / A c t i v e >  
         < P r o t e c t e d L i n k > f a l s e < / P r o t e c t e d L i n k >  
         < N a m e > 2 8 1 0 1   T B   @   3 1 . 1 2 . 2 0 2 0   1 3 2 x 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 1 1 1 5 6 7 6 . 0 0 0 0 < / N u m e r i c V a l u e >  
         < V a l u e > 1 1 1 5 6 7 6 , 0 0 0 0 < / V a l u e >  
         < C h a r t T y p e > c t D e t a i l < / C h a r t T y p e >  
         < R e f e r e n c e > 2 8 1 0 1 < / R e f e r e n c e >  
         < T B D o c N a m e > T B   @   3 1 . 1 2 . 2 0 2 0 < / T B D o c N a m e >  
         < T B C h a r t N a m e > D e t a i l < / T B C h a r t N a m e >  
         < C o l u m n N a m e > P r i o r P e r i o d 2 B a l a n c e < / C o l u m n N a m e >  
         < U s e r F r i e n d l y C o l u m n N a m e > 3 1 . 1 2 . 2 0 1 9 < / U s e r F r i e n d l y C o l u m n N a m e >  
         < A c c o u n t N u m b e r > 1 3 2 x < / A c c o u n t N u m b e r >  
         < R o u n d e d > f a l s e < / R o u n d e d >  
     < / T B L i n k >  
     < T B L i n k >  
         < V e r s i o n > 4 < / V e r s i o n >  
         < C o l u m n F i l t e r s / >  
         < D A L i n k I D > 2 6 2 3 4 e f 4 - 5 1 b 3 - 4 1 9 d - 8 d 1 3 - 5 3 5 d 3 e f 3 e 9 2 8 < / D A L i n k I D >  
         < L i n k T y p e > 0 < / L i n k T y p e >  
         < P a r a m e t e r s / >  
         < I n c l u d e A l l I t e m s > f a l s e < / I n c l u d e A l l I t e m s >  
         < A c t i v e > t r u e < / A c t i v e >  
         < P r o t e c t e d L i n k > f a l s e < / P r o t e c t e d L i n k >  
         < N a m e > 2 8 1 0 1   T B   @   3 1 . 1 2 . 2 0 2 0   1 3 3 x 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 1 3 3 x < / A c c o u n t N u m b e r >  
         < R o u n d e d > f a l s e < / R o u n d e d >  
     < / T B L i n k >  
     < T B L i n k >  
         < V e r s i o n > 4 < / V e r s i o n >  
         < C o l u m n F i l t e r s / >  
         < D A L i n k I D > a 9 4 3 2 d 8 7 - 4 5 e a - 4 f f 6 - a d 1 0 - 8 7 0 9 8 e e 1 3 7 d 6 < / D A L i n k I D >  
         < L i n k T y p e > 0 < / L i n k T y p e >  
         < P a r a m e t e r s / >  
         < I n c l u d e A l l I t e m s > f a l s e < / I n c l u d e A l l I t e m s >  
         < A c t i v e > t r u e < / A c t i v e >  
         < P r o t e c t e d L i n k > f a l s e < / P r o t e c t e d L i n k >  
         < N a m e > 2 8 1 0 1   T B   @   3 1 . 1 2 . 2 0 2 0   1 3 9 x 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 1 3 9 x < / A c c o u n t N u m b e r >  
         < R o u n d e d > f a l s e < / R o u n d e d >  
     < / T B L i n k >  
     < T B L i n k >  
         < V e r s i o n > 4 < / V e r s i o n >  
         < C o l u m n F i l t e r s / >  
         < D A L i n k I D > d 2 1 4 e a 7 3 - e c 6 c - 4 0 a 5 - 9 e d 8 - 6 9 9 f e c 5 2 a 2 d e < / D A L i n k I D >  
         < L i n k T y p e > 0 < / L i n k T y p e >  
         < P a r a m e t e r s / >  
         < I n c l u d e A l l I t e m s > f a l s e < / I n c l u d e A l l I t e m s >  
         < A c t i v e > t r u e < / A c t i v e >  
         < P r o t e c t e d L i n k > f a l s e < / P r o t e c t e d L i n k >  
         < N a m e > 2 8 1 0 1   T B   @   3 1 . 1 2 . 2 0 2 0   1 9 1 x 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 - 3 9 0 6 0 . 0 0 0 0 < / N u m e r i c V a l u e >  
         < V a l u e > - 3 9 0 6 0 , 0 0 0 0 < / V a l u e >  
         < C h a r t T y p e > c t D e t a i l < / C h a r t T y p e >  
         < R e f e r e n c e > 2 8 1 0 1 < / R e f e r e n c e >  
         < T B D o c N a m e > T B   @   3 1 . 1 2 . 2 0 2 0 < / T B D o c N a m e >  
         < T B C h a r t N a m e > D e t a i l < / T B C h a r t N a m e >  
         < C o l u m n N a m e > P r i o r P e r i o d 2 B a l a n c e < / C o l u m n N a m e >  
         < U s e r F r i e n d l y C o l u m n N a m e > 3 1 . 1 2 . 2 0 1 9 < / U s e r F r i e n d l y C o l u m n N a m e >  
         < A c c o u n t N u m b e r > 1 9 1 x < / A c c o u n t N u m b e r >  
         < R o u n d e d > f a l s e < / R o u n d e d >  
     < / T B L i n k >  
     < T B L i n k >  
         < V e r s i o n > 4 < / V e r s i o n >  
         < C o l u m n F i l t e r s / >  
         < D A L i n k I D > 7 d 2 3 d 1 d 2 - 1 9 4 6 - 4 2 e b - b 8 1 c - e 3 b 4 b f e 4 5 1 d f < / D A L i n k I D >  
         < L i n k T y p e > 0 < / L i n k T y p e >  
         < P a r a m e t e r s / >  
         < I n c l u d e A l l I t e m s > f a l s e < / I n c l u d e A l l I t e m s >  
         < A c t i v e > t r u e < / A c t i v e >  
         < P r o t e c t e d L i n k > f a l s e < / P r o t e c t e d L i n k >  
         < N a m e > 2 8 1 0 1   T B   @   3 1 . 1 2 . 2 0 2 0   1 9 2 x 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 - 8 5 9 9 9 . 0 0 0 0 < / N u m e r i c V a l u e >  
         < V a l u e > - 8 5 9 9 9 , 0 0 0 0 < / V a l u e >  
         < C h a r t T y p e > c t D e t a i l < / C h a r t T y p e >  
         < R e f e r e n c e > 2 8 1 0 1 < / R e f e r e n c e >  
         < T B D o c N a m e > T B   @   3 1 . 1 2 . 2 0 2 0 < / T B D o c N a m e >  
         < T B C h a r t N a m e > D e t a i l < / T B C h a r t N a m e >  
         < C o l u m n N a m e > P r i o r P e r i o d 2 B a l a n c e < / C o l u m n N a m e >  
         < U s e r F r i e n d l y C o l u m n N a m e > 3 1 . 1 2 . 2 0 1 9 < / U s e r F r i e n d l y C o l u m n N a m e >  
         < A c c o u n t N u m b e r > 1 9 2 x < / A c c o u n t N u m b e r >  
         < R o u n d e d > f a l s e < / R o u n d e d >  
     < / T B L i n k >  
     < T B L i n k >  
         < V e r s i o n > 4 < / V e r s i o n >  
         < C o l u m n F i l t e r s / >  
         < D A L i n k I D > f d b f a 1 3 c - 4 f 5 2 - 4 5 e 3 - a 9 c 2 - 2 5 2 1 9 6 0 2 c f a 1 < / D A L i n k I D >  
         < L i n k T y p e > 0 < / L i n k T y p e >  
         < P a r a m e t e r s / >  
         < I n c l u d e A l l I t e m s > f a l s e < / I n c l u d e A l l I t e m s >  
         < A c t i v e > t r u e < / A c t i v e >  
         < P r o t e c t e d L i n k > f a l s e < / P r o t e c t e d L i n k >  
         < N a m e > 2 8 1 0 1   T B   @   3 1 . 1 2 . 2 0 2 0   1 9 3 x 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 1 9 3 x < / A c c o u n t N u m b e r >  
         < R o u n d e d > f a l s e < / R o u n d e d >  
     < / T B L i n k >  
     < T B L i n k >  
         < V e r s i o n > 4 < / V e r s i o n >  
         < C o l u m n F i l t e r s / >  
         < D A L i n k I D > 2 e 5 8 f 4 c 1 - 0 5 0 0 - 4 0 7 b - a 2 1 b - 1 a d f e 4 3 e e 3 a c < / D A L i n k I D >  
         < L i n k T y p e > 0 < / L i n k T y p e >  
         < P a r a m e t e r s / >  
         < I n c l u d e A l l I t e m s > f a l s e < / I n c l u d e A l l I t e m s >  
         < A c t i v e > t r u e < / A c t i v e >  
         < P r o t e c t e d L i n k > f a l s e < / P r o t e c t e d L i n k >  
         < N a m e > 2 8 1 0 1   T B   @   3 1 . 1 2 . 2 0 2 0   1 9 4 x 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 - 1 1 1 4 9 . 0 0 0 0 < / N u m e r i c V a l u e >  
         < V a l u e > - 1 1 1 4 9 , 0 0 0 0 < / V a l u e >  
         < C h a r t T y p e > c t D e t a i l < / C h a r t T y p e >  
         < R e f e r e n c e > 2 8 1 0 1 < / R e f e r e n c e >  
         < T B D o c N a m e > T B   @   3 1 . 1 2 . 2 0 2 0 < / T B D o c N a m e >  
         < T B C h a r t N a m e > D e t a i l < / T B C h a r t N a m e >  
         < C o l u m n N a m e > P r i o r P e r i o d 2 B a l a n c e < / C o l u m n N a m e >  
         < U s e r F r i e n d l y C o l u m n N a m e > 3 1 . 1 2 . 2 0 1 9 < / U s e r F r i e n d l y C o l u m n N a m e >  
         < A c c o u n t N u m b e r > 1 9 4 x < / A c c o u n t N u m b e r >  
         < R o u n d e d > f a l s e < / R o u n d e d >  
     < / T B L i n k >  
     < T B L i n k >  
         < V e r s i o n > 4 < / V e r s i o n >  
         < C o l u m n F i l t e r s / >  
         < D A L i n k I D > 5 6 a c 5 b 0 d - 2 c a 2 - 4 c 0 b - a e 8 4 - c f b c a a 2 8 e d c 1 < / D A L i n k I D >  
         < L i n k T y p e > 0 < / L i n k T y p e >  
         < P a r a m e t e r s / >  
         < I n c l u d e A l l I t e m s > f a l s e < / I n c l u d e A l l I t e m s >  
         < A c t i v e > t r u e < / A c t i v e >  
         < P r o t e c t e d L i n k > f a l s e < / P r o t e c t e d L i n k >  
         < N a m e > 2 8 1 0 1   T B   @   3 1 . 1 2 . 2 0 2 0   1 9 5 x 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 1 9 5 x < / A c c o u n t N u m b e r >  
         < R o u n d e d > f a l s e < / R o u n d e d >  
     < / T B L i n k >  
     < T B L i n k >  
         < V e r s i o n > 4 < / V e r s i o n >  
         < C o l u m n F i l t e r s / >  
         < D A L i n k I D > 2 b b 5 1 1 e 1 - 1 5 3 0 - 4 d 6 4 - a 4 9 7 - b 6 a b f 7 f e 3 4 c 1 < / D A L i n k I D >  
         < L i n k T y p e > 0 < / L i n k T y p e >  
         < P a r a m e t e r s / >  
         < I n c l u d e A l l I t e m s > f a l s e < / I n c l u d e A l l I t e m s >  
         < A c t i v e > t r u e < / A c t i v e >  
         < P r o t e c t e d L i n k > f a l s e < / P r o t e c t e d L i n k >  
         < N a m e > 2 8 1 0 1   T B   @   3 1 . 1 2 . 2 0 2 0   1 9 6 x 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 1 9 6 x < / A c c o u n t N u m b e r >  
         < R o u n d e d > f a l s e < / R o u n d e d >  
     < / T B L i n k >  
     < T B L i n k >  
         < V e r s i o n > 4 < / V e r s i o n >  
         < C o l u m n F i l t e r s / >  
         < D A L i n k I D > 6 b 7 e 4 7 b e - d 4 f 5 - 4 6 d 9 - 8 b a 3 - 0 c 2 7 2 e f c d d c c < / D A L i n k I D >  
         < L i n k T y p e > 0 < / L i n k T y p e >  
         < P a r a m e t e r s / >  
         < I n c l u d e A l l I t e m s > f a l s e < / I n c l u d e A l l I t e m s >  
         < A c t i v e > t r u e < / A c t i v e >  
         < P r o t e c t e d L i n k > f a l s e < / P r o t e c t e d L i n k >  
         < N a m e > 2 8 1 0 1   T B   @   3 1 . 1 2 . 2 0 2 0   2 1 1 x 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 1 2 5 6 4 . 0 0 0 0 < / N u m e r i c V a l u e >  
         < V a l u e > 1 2 5 6 4 , 0 0 0 0 < / V a l u e >  
         < C h a r t T y p e > c t D e t a i l < / C h a r t T y p e >  
         < R e f e r e n c e > 2 8 1 0 1 < / R e f e r e n c e >  
         < T B D o c N a m e > T B   @   3 1 . 1 2 . 2 0 2 0 < / T B D o c N a m e >  
         < T B C h a r t N a m e > D e t a i l < / T B C h a r t N a m e >  
         < C o l u m n N a m e > P r i o r P e r i o d 2 B a l a n c e < / C o l u m n N a m e >  
         < U s e r F r i e n d l y C o l u m n N a m e > 3 1 . 1 2 . 2 0 1 9 < / U s e r F r i e n d l y C o l u m n N a m e >  
         < A c c o u n t N u m b e r > 2 1 1 x < / A c c o u n t N u m b e r >  
         < R o u n d e d > f a l s e < / R o u n d e d >  
     < / T B L i n k >  
     < T B L i n k >  
         < V e r s i o n > 4 < / V e r s i o n >  
         < C o l u m n F i l t e r s / >  
         < D A L i n k I D > e 6 7 3 7 9 8 f - 9 1 2 1 - 4 f d 5 - 9 f 4 8 - c a b f e 1 d b 7 f 3 9 < / D A L i n k I D >  
         < L i n k T y p e > 0 < / L i n k T y p e >  
         < P a r a m e t e r s / >  
         < I n c l u d e A l l I t e m s > f a l s e < / I n c l u d e A l l I t e m s >  
         < A c t i v e > t r u e < / A c t i v e >  
         < P r o t e c t e d L i n k > f a l s e < / P r o t e c t e d L i n k >  
         < N a m e > 2 8 1 0 1   T B   @   3 1 . 1 2 . 2 0 2 0   2 1 3 x 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 2 1 3 x < / A c c o u n t N u m b e r >  
         < R o u n d e d > f a l s e < / R o u n d e d >  
     < / T B L i n k >  
     < T B L i n k >  
         < V e r s i o n > 4 < / V e r s i o n >  
         < C o l u m n F i l t e r s / >  
         < D A L i n k I D > 1 2 a 2 c e 3 d - 4 4 1 c - 4 0 7 1 - b 1 3 9 - 4 6 f e e 4 f 5 0 3 f 6 < / D A L i n k I D >  
         < L i n k T y p e > 0 < / L i n k T y p e >  
         < P a r a m e t e r s / >  
         < I n c l u d e A l l I t e m s > f a l s e < / I n c l u d e A l l I t e m s >  
         < A c t i v e > t r u e < / A c t i v e >  
         < P r o t e c t e d L i n k > f a l s e < / P r o t e c t e d L i n k >  
         < N a m e > 2 8 1 0 1   T B   @   3 1 . 1 2 . 2 0 2 0   2 2 1 a 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 9 6 1 2 . 0 0 0 0 < / N u m e r i c V a l u e >  
         < V a l u e > 9 6 1 2 , 0 0 0 0 < / V a l u e >  
         < C h a r t T y p e > c t D e t a i l < / C h a r t T y p e >  
         < R e f e r e n c e > 2 8 1 0 1 < / R e f e r e n c e >  
         < T B D o c N a m e > T B   @   3 1 . 1 2 . 2 0 2 0 < / T B D o c N a m e >  
         < T B C h a r t N a m e > D e t a i l < / T B C h a r t N a m e >  
         < C o l u m n N a m e > P r i o r P e r i o d 2 B a l a n c e < / C o l u m n N a m e >  
         < U s e r F r i e n d l y C o l u m n N a m e > 3 1 . 1 2 . 2 0 1 9 < / U s e r F r i e n d l y C o l u m n N a m e >  
         < A c c o u n t N u m b e r > 2 2 1 a < / A c c o u n t N u m b e r >  
         < R o u n d e d > f a l s e < / R o u n d e d >  
     < / T B L i n k >  
     < T B L i n k >  
         < V e r s i o n > 4 < / V e r s i o n >  
         < C o l u m n F i l t e r s / >  
         < D A L i n k I D > e 2 5 9 d f f 9 - 6 2 2 3 - 4 6 6 1 - 9 e 1 d - 4 3 1 a 1 7 a d b d 8 c < / D A L i n k I D >  
         < L i n k T y p e > 0 < / L i n k T y p e >  
         < P a r a m e t e r s / >  
         < I n c l u d e A l l I t e m s > f a l s e < / I n c l u d e A l l I t e m s >  
         < A c t i v e > t r u e < / A c t i v e >  
         < P r o t e c t e d L i n k > f a l s e < / P r o t e c t e d L i n k >  
         < N a m e > 2 8 1 0 1   T B   @   3 1 . 1 2 . 2 0 2 0   2 2 1 b 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 2 2 1 b < / A c c o u n t N u m b e r >  
         < R o u n d e d > f a l s e < / R o u n d e d >  
     < / T B L i n k >  
     < T B L i n k >  
         < V e r s i o n > 4 < / V e r s i o n >  
         < C o l u m n F i l t e r s / >  
         < D A L i n k I D > b 6 4 d b c a e - 1 2 8 6 - 4 b b 2 - a 4 1 e - 4 2 6 c 6 3 5 5 3 d 7 e < / D A L i n k I D >  
         < L i n k T y p e > 0 < / L i n k T y p e >  
         < P a r a m e t e r s / >  
         < I n c l u d e A l l I t e m s > f a l s e < / I n c l u d e A l l I t e m s >  
         < A c t i v e > t r u e < / A c t i v e >  
         < P r o t e c t e d L i n k > f a l s e < / P r o t e c t e d L i n k >  
         < N a m e > 2 8 1 0 1   T B   @   3 1 . 1 2 . 2 0 2 0   2 2 1 c 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 2 2 1 c < / A c c o u n t N u m b e r >  
         < R o u n d e d > f a l s e < / R o u n d e d >  
     < / T B L i n k >  
     < T B L i n k >  
         < V e r s i o n > 4 < / V e r s i o n >  
         < C o l u m n F i l t e r s / >  
         < D A L i n k I D > f 5 f c 5 b 8 3 - e a c 4 - 4 5 7 c - b 8 9 e - d 4 6 8 c 7 a a 4 b b 6 < / D A L i n k I D >  
         < L i n k T y p e > 0 < / L i n k T y p e >  
         < P a r a m e t e r s / >  
         < I n c l u d e A l l I t e m s > f a l s e < / I n c l u d e A l l I t e m s >  
         < A c t i v e > t r u e < / A c t i v e >  
         < P r o t e c t e d L i n k > f a l s e < / P r o t e c t e d L i n k >  
         < N a m e > 2 8 1 0 1   T B   @   3 1 . 1 2 . 2 0 2 0   2 3 1 x 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 - 6 8 9 3 2 7 3 . 0 0 0 0 < / N u m e r i c V a l u e >  
         < V a l u e > - 6 8 9 3 2 7 3 , 0 0 0 0 < / V a l u e >  
         < C h a r t T y p e > c t D e t a i l < / C h a r t T y p e >  
         < R e f e r e n c e > 2 8 1 0 1 < / R e f e r e n c e >  
         < T B D o c N a m e > T B   @   3 1 . 1 2 . 2 0 2 0 < / T B D o c N a m e >  
         < T B C h a r t N a m e > D e t a i l < / T B C h a r t N a m e >  
         < C o l u m n N a m e > P r i o r P e r i o d 2 B a l a n c e < / C o l u m n N a m e >  
         < U s e r F r i e n d l y C o l u m n N a m e > 3 1 . 1 2 . 2 0 1 9 < / U s e r F r i e n d l y C o l u m n N a m e >  
         < A c c o u n t N u m b e r > 2 3 1 x < / A c c o u n t N u m b e r >  
         < R o u n d e d > f a l s e < / R o u n d e d >  
     < / T B L i n k >  
     < T B L i n k >  
         < V e r s i o n > 4 < / V e r s i o n >  
         < C o l u m n F i l t e r s / >  
         < D A L i n k I D > 0 5 4 a 2 d 6 1 - 1 9 c c - 4 c 7 d - a f a e - d 4 f 1 c 0 3 4 f 2 c 3 < / D A L i n k I D >  
         < L i n k T y p e > 0 < / L i n k T y p e >  
         < P a r a m e t e r s / >  
         < I n c l u d e A l l I t e m s > f a l s e < / I n c l u d e A l l I t e m s >  
         < A c t i v e > t r u e < / A c t i v e >  
         < P r o t e c t e d L i n k > f a l s e < / P r o t e c t e d L i n k >  
         < N a m e > 2 8 1 0 1   T B   @   3 1 . 1 2 . 2 0 2 0   2 3 2 x 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 2 3 2 x < / A c c o u n t N u m b e r >  
         < R o u n d e d > f a l s e < / R o u n d e d >  
     < / T B L i n k >  
     < T B L i n k >  
         < V e r s i o n > 4 < / V e r s i o n >  
         < C o l u m n F i l t e r s / >  
         < D A L i n k I D > 6 5 f 1 f 9 0 1 - a 9 9 0 - 4 d a 7 - a b f 3 - c a 7 d a 8 7 f c 6 7 7 < / D A L i n k I D >  
         < L i n k T y p e > 0 < / L i n k T y p e >  
         < P a r a m e t e r s / >  
         < I n c l u d e A l l I t e m s > f a l s e < / I n c l u d e A l l I t e m s >  
         < A c t i v e > t r u e < / A c t i v e >  
         < P r o t e c t e d L i n k > f a l s e < / P r o t e c t e d L i n k >  
         < N a m e > 2 8 1 0 1   T B   @   3 1 . 1 2 . 2 0 2 0   2 4 1 x 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 2 4 1 x < / A c c o u n t N u m b e r >  
         < R o u n d e d > f a l s e < / R o u n d e d >  
     < / T B L i n k >  
     < T B L i n k >  
         < V e r s i o n > 4 < / V e r s i o n >  
         < C o l u m n F i l t e r s / >  
         < D A L i n k I D > 5 3 e 3 8 7 4 f - 4 d d 2 - 4 1 1 8 - 9 c 1 8 - 1 5 c 5 c 4 d 8 3 7 a 6 < / D A L i n k I D >  
         < L i n k T y p e > 0 < / L i n k T y p e >  
         < P a r a m e t e r s / >  
         < I n c l u d e A l l I t e m s > f a l s e < / I n c l u d e A l l I t e m s >  
         < A c t i v e > t r u e < / A c t i v e >  
         < P r o t e c t e d L i n k > f a l s e < / P r o t e c t e d L i n k >  
         < N a m e > 2 8 1 0 1   T B   @   3 1 . 1 2 . 2 0 2 0   2 4 9 x 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 2 4 9 x < / A c c o u n t N u m b e r >  
         < R o u n d e d > f a l s e < / R o u n d e d >  
     < / T B L i n k >  
     < T B L i n k >  
         < V e r s i o n > 4 < / V e r s i o n >  
         < C o l u m n F i l t e r s / >  
         < D A L i n k I D > 5 4 3 d 7 0 a 7 - 3 8 c 1 - 4 2 d a - a 5 d d - 3 b 5 3 9 f 8 7 6 8 9 9 < / D A L i n k I D >  
         < L i n k T y p e > 0 < / L i n k T y p e >  
         < P a r a m e t e r s / >  
         < I n c l u d e A l l I t e m s > f a l s e < / I n c l u d e A l l I t e m s >  
         < A c t i v e > t r u e < / A c t i v e >  
         < P r o t e c t e d L i n k > f a l s e < / P r o t e c t e d L i n k >  
         < N a m e > 2 8 1 0 1   T B   @   3 1 . 1 2 . 2 0 2 0   2 5 1 a 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 2 5 1 a < / A c c o u n t N u m b e r >  
         < R o u n d e d > f a l s e < / R o u n d e d >  
     < / T B L i n k >  
     < T B L i n k >  
         < V e r s i o n > 4 < / V e r s i o n >  
         < C o l u m n F i l t e r s / >  
         < D A L i n k I D > 2 3 b c 7 f 4 f - d c 0 c - 4 2 6 7 - b 6 5 8 - 8 a 6 5 3 7 c 2 d 2 8 3 < / D A L i n k I D >  
         < L i n k T y p e > 0 < / L i n k T y p e >  
         < P a r a m e t e r s / >  
         < I n c l u d e A l l I t e m s > f a l s e < / I n c l u d e A l l I t e m s >  
         < A c t i v e > t r u e < / A c t i v e >  
         < P r o t e c t e d L i n k > f a l s e < / P r o t e c t e d L i n k >  
         < N a m e > 2 8 1 0 1   T B   @   3 1 . 1 2 . 2 0 2 0   2 5 1 b 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 2 5 1 b < / A c c o u n t N u m b e r >  
         < R o u n d e d > f a l s e < / R o u n d e d >  
     < / T B L i n k >  
     < T B L i n k >  
         < V e r s i o n > 4 < / V e r s i o n >  
         < C o l u m n F i l t e r s / >  
         < D A L i n k I D > 6 3 f f 6 7 1 9 - 0 7 4 0 - 4 a 2 8 - b 3 f e - 6 6 a 8 e 2 0 3 d 3 c b < / D A L i n k I D >  
         < L i n k T y p e > 0 < / L i n k T y p e >  
         < P a r a m e t e r s / >  
         < I n c l u d e A l l I t e m s > f a l s e < / I n c l u d e A l l I t e m s >  
         < A c t i v e > t r u e < / A c t i v e >  
         < P r o t e c t e d L i n k > f a l s e < / P r o t e c t e d L i n k >  
         < N a m e > 2 8 1 0 1   T B   @   3 1 . 1 2 . 2 0 2 0   2 5 2 x 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 2 5 2 x < / A c c o u n t N u m b e r >  
         < R o u n d e d > f a l s e < / R o u n d e d >  
     < / T B L i n k >  
     < T B L i n k >  
         < V e r s i o n > 4 < / V e r s i o n >  
         < C o l u m n F i l t e r s / >  
         < D A L i n k I D > 4 e 0 c 8 c 5 c - d 1 9 7 - 4 9 8 6 - b 8 b 6 - f 7 a 8 4 f a b 7 5 e 4 < / D A L i n k I D >  
         < L i n k T y p e > 0 < / L i n k T y p e >  
         < P a r a m e t e r s / >  
         < I n c l u d e A l l I t e m s > f a l s e < / I n c l u d e A l l I t e m s >  
         < A c t i v e > t r u e < / A c t i v e >  
         < P r o t e c t e d L i n k > f a l s e < / P r o t e c t e d L i n k >  
         < N a m e > 2 8 1 0 1   T B   @   3 1 . 1 2 . 2 0 2 0   2 5 3 a 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 2 5 3 a < / A c c o u n t N u m b e r >  
         < R o u n d e d > f a l s e < / R o u n d e d >  
     < / T B L i n k >  
     < T B L i n k >  
         < V e r s i o n > 4 < / V e r s i o n >  
         < C o l u m n F i l t e r s / >  
         < D A L i n k I D > 9 e 3 7 e 1 7 4 - 0 e 2 7 - 4 2 0 1 - 8 f 4 e - 0 5 9 d 0 2 0 8 2 b 7 4 < / D A L i n k I D >  
         < L i n k T y p e > 0 < / L i n k T y p e >  
         < P a r a m e t e r s / >  
         < I n c l u d e A l l I t e m s > f a l s e < / I n c l u d e A l l I t e m s >  
         < A c t i v e > t r u e < / A c t i v e >  
         < P r o t e c t e d L i n k > f a l s e < / P r o t e c t e d L i n k >  
         < N a m e > 2 8 1 0 1   T B   @   3 1 . 1 2 . 2 0 2 0   2 5 3 b 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 2 5 3 b < / A c c o u n t N u m b e r >  
         < R o u n d e d > f a l s e < / R o u n d e d >  
     < / T B L i n k >  
     < T B L i n k >  
         < V e r s i o n > 4 < / V e r s i o n >  
         < C o l u m n F i l t e r s / >  
         < D A L i n k I D > 9 a 0 2 2 f 0 a - d 7 5 8 - 4 4 2 2 - 9 d 1 3 - b 0 3 0 8 c 9 b 1 e c 1 < / D A L i n k I D >  
         < L i n k T y p e > 0 < / L i n k T y p e >  
         < P a r a m e t e r s / >  
         < I n c l u d e A l l I t e m s > f a l s e < / I n c l u d e A l l I t e m s >  
         < A c t i v e > t r u e < / A c t i v e >  
         < P r o t e c t e d L i n k > f a l s e < / P r o t e c t e d L i n k >  
         < N a m e > 2 8 1 0 1   T B   @   3 1 . 1 2 . 2 0 2 0   2 5 5 a 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 2 5 5 a < / A c c o u n t N u m b e r >  
         < R o u n d e d > f a l s e < / R o u n d e d >  
     < / T B L i n k >  
     < T B L i n k >  
         < V e r s i o n > 4 < / V e r s i o n >  
         < C o l u m n F i l t e r s / >  
         < D A L i n k I D > f a 9 a 9 6 c 2 - 9 9 2 3 - 4 3 5 5 - 8 a b b - 1 d 6 8 b 5 e 8 7 7 d 6 < / D A L i n k I D >  
         < L i n k T y p e > 0 < / L i n k T y p e >  
         < P a r a m e t e r s / >  
         < I n c l u d e A l l I t e m s > f a l s e < / I n c l u d e A l l I t e m s >  
         < A c t i v e > t r u e < / A c t i v e >  
         < P r o t e c t e d L i n k > f a l s e < / P r o t e c t e d L i n k >  
         < N a m e > 2 8 1 0 1   T B   @   3 1 . 1 2 . 2 0 2 0   2 5 5 b 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 2 5 5 b < / A c c o u n t N u m b e r >  
         < R o u n d e d > f a l s e < / R o u n d e d >  
     < / T B L i n k >  
     < T B L i n k >  
         < V e r s i o n > 4 < / V e r s i o n >  
         < C o l u m n F i l t e r s / >  
         < D A L i n k I D > 5 a a 6 0 d d d - d a 7 e - 4 8 7 c - 8 5 7 1 - 6 5 4 3 9 1 2 7 1 8 1 8 < / D A L i n k I D >  
         < L i n k T y p e > 0 < / L i n k T y p e >  
         < P a r a m e t e r s / >  
         < I n c l u d e A l l I t e m s > f a l s e < / I n c l u d e A l l I t e m s >  
         < A c t i v e > t r u e < / A c t i v e >  
         < P r o t e c t e d L i n k > f a l s e < / P r o t e c t e d L i n k >  
         < N a m e > 2 8 1 0 1   T B   @   3 1 . 1 2 . 2 0 2 0   2 5 6 a 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 2 5 6 a < / A c c o u n t N u m b e r >  
         < R o u n d e d > f a l s e < / R o u n d e d >  
     < / T B L i n k >  
     < T B L i n k >  
         < V e r s i o n > 4 < / V e r s i o n >  
         < C o l u m n F i l t e r s / >  
         < D A L i n k I D > a 7 9 a 4 0 8 7 - 6 5 9 b - 4 1 b 7 - a a b 2 - 9 f 6 5 b 4 8 2 3 c a b < / D A L i n k I D >  
         < L i n k T y p e > 0 < / L i n k T y p e >  
         < P a r a m e t e r s / >  
         < I n c l u d e A l l I t e m s > f a l s e < / I n c l u d e A l l I t e m s >  
         < A c t i v e > t r u e < / A c t i v e >  
         < P r o t e c t e d L i n k > f a l s e < / P r o t e c t e d L i n k >  
         < N a m e > 2 8 1 0 1   T B   @   3 1 . 1 2 . 2 0 2 0   2 5 6 b 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 2 5 6 b < / A c c o u n t N u m b e r >  
         < R o u n d e d > f a l s e < / R o u n d e d >  
     < / T B L i n k >  
     < T B L i n k >  
         < V e r s i o n > 4 < / V e r s i o n >  
         < C o l u m n F i l t e r s / >  
         < D A L i n k I D > 6 e c 2 2 9 1 2 - 1 8 4 f - 4 5 b c - 9 d d d - 6 7 5 f 4 a 9 a 5 1 2 a < / D A L i n k I D >  
         < L i n k T y p e > 0 < / L i n k T y p e >  
         < P a r a m e t e r s / >  
         < I n c l u d e A l l I t e m s > f a l s e < / I n c l u d e A l l I t e m s >  
         < A c t i v e > t r u e < / A c t i v e >  
         < P r o t e c t e d L i n k > f a l s e < / P r o t e c t e d L i n k >  
         < N a m e > 2 8 1 0 1   T B   @   3 1 . 1 2 . 2 0 2 0   2 5 7 a 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 2 5 7 a < / A c c o u n t N u m b e r >  
         < R o u n d e d > f a l s e < / R o u n d e d >  
     < / T B L i n k >  
     < T B L i n k >  
         < V e r s i o n > 4 < / V e r s i o n >  
         < C o l u m n F i l t e r s / >  
         < D A L i n k I D > 8 4 9 4 d b 5 6 - 8 4 2 e - 4 2 6 0 - b e a 4 - 0 0 3 1 e 0 b 3 4 e 9 5 < / D A L i n k I D >  
         < L i n k T y p e > 0 < / L i n k T y p e >  
         < P a r a m e t e r s / >  
         < I n c l u d e A l l I t e m s > f a l s e < / I n c l u d e A l l I t e m s >  
         < A c t i v e > t r u e < / A c t i v e >  
         < P r o t e c t e d L i n k > f a l s e < / P r o t e c t e d L i n k >  
         < N a m e > 2 8 1 0 1   T B   @   3 1 . 1 2 . 2 0 2 0   2 5 7 b 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 2 5 7 b < / A c c o u n t N u m b e r >  
         < R o u n d e d > f a l s e < / R o u n d e d >  
     < / T B L i n k >  
     < T B L i n k >  
         < V e r s i o n > 4 < / V e r s i o n >  
         < C o l u m n F i l t e r s / >  
         < D A L i n k I D > 5 9 9 9 9 c f 8 - 9 c 8 7 - 4 6 0 f - b 5 6 a - a b e 6 7 2 d 1 2 5 2 d < / D A L i n k I D >  
         < L i n k T y p e > 0 < / L i n k T y p e >  
         < P a r a m e t e r s / >  
         < I n c l u d e A l l I t e m s > f a l s e < / I n c l u d e A l l I t e m s >  
         < A c t i v e > t r u e < / A c t i v e >  
         < P r o t e c t e d L i n k > f a l s e < / P r o t e c t e d L i n k >  
         < N a m e > 2 8 1 0 1   T B   @   3 1 . 1 2 . 2 0 2 0   2 5 9 x 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 2 5 9 x < / A c c o u n t N u m b e r >  
         < R o u n d e d > f a l s e < / R o u n d e d >  
     < / T B L i n k >  
     < T B L i n k >  
         < V e r s i o n > 4 < / V e r s i o n >  
         < C o l u m n F i l t e r s / >  
         < D A L i n k I D > a d 2 f 4 8 4 d - 3 3 1 4 - 4 0 f 0 - 8 4 e 4 - 4 4 e e 5 0 5 7 7 8 3 a < / D A L i n k I D >  
         < L i n k T y p e > 0 < / L i n k T y p e >  
         < P a r a m e t e r s / >  
         < I n c l u d e A l l I t e m s > f a l s e < / I n c l u d e A l l I t e m s >  
         < A c t i v e > t r u e < / A c t i v e >  
         < P r o t e c t e d L i n k > f a l s e < / P r o t e c t e d L i n k >  
         < N a m e > 2 8 1 0 1   T B   @   3 1 . 1 2 . 2 0 2 0   2 6 1 x 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 2 6 1 x < / A c c o u n t N u m b e r >  
         < R o u n d e d > f a l s e < / R o u n d e d >  
     < / T B L i n k >  
     < T B L i n k >  
         < V e r s i o n > 4 < / V e r s i o n >  
         < C o l u m n F i l t e r s / >  
         < D A L i n k I D > c c 7 8 e 0 f c - 8 3 7 9 - 4 a d 6 - a f 9 8 - f 9 f 8 a 2 c a 2 9 1 1 < / D A L i n k I D >  
         < L i n k T y p e > 0 < / L i n k T y p e >  
         < P a r a m e t e r s / >  
         < I n c l u d e A l l I t e m s > f a l s e < / I n c l u d e A l l I t e m s >  
         < A c t i v e > t r u e < / A c t i v e >  
         < P r o t e c t e d L i n k > f a l s e < / P r o t e c t e d L i n k >  
         < N a m e > 2 8 1 0 1   T B   @   3 1 . 1 2 . 2 0 2 0   2 9 1 a 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 2 9 1 a < / A c c o u n t N u m b e r >  
         < R o u n d e d > f a l s e < / R o u n d e d >  
     < / T B L i n k >  
     < T B L i n k >  
         < V e r s i o n > 4 < / V e r s i o n >  
         < C o l u m n F i l t e r s / >  
         < D A L i n k I D > 7 3 5 1 f 5 0 c - a 2 6 4 - 4 7 b 5 - 8 7 9 3 - f a a 1 8 2 9 8 0 3 7 b < / D A L i n k I D >  
         < L i n k T y p e > 0 < / L i n k T y p e >  
         < P a r a m e t e r s / >  
         < I n c l u d e A l l I t e m s > f a l s e < / I n c l u d e A l l I t e m s >  
         < A c t i v e > t r u e < / A c t i v e >  
         < P r o t e c t e d L i n k > f a l s e < / P r o t e c t e d L i n k >  
         < N a m e > 2 8 1 0 1   T B   @   3 1 . 1 2 . 2 0 2 0   2 9 1 b 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 2 9 1 b < / A c c o u n t N u m b e r >  
         < R o u n d e d > f a l s e < / R o u n d e d >  
     < / T B L i n k >  
     < T B L i n k >  
         < V e r s i o n > 4 < / V e r s i o n >  
         < C o l u m n F i l t e r s / >  
         < D A L i n k I D > 0 7 b d 6 3 4 4 - 9 0 2 9 - 4 f 5 8 - 8 3 8 3 - b d 6 5 7 6 c 4 0 c 5 7 < / D A L i n k I D >  
         < L i n k T y p e > 0 < / L i n k T y p e >  
         < P a r a m e t e r s / >  
         < I n c l u d e A l l I t e m s > f a l s e < / I n c l u d e A l l I t e m s >  
         < A c t i v e > t r u e < / A c t i v e >  
         < P r o t e c t e d L i n k > f a l s e < / P r o t e c t e d L i n k >  
         < N a m e > 2 8 1 0 1   T B   @   3 1 . 1 2 . 2 0 2 0   2 9 1 c 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 2 9 1 c < / A c c o u n t N u m b e r >  
         < R o u n d e d > f a l s e < / R o u n d e d >  
     < / T B L i n k >  
     < T B L i n k >  
         < V e r s i o n > 4 < / V e r s i o n >  
         < C o l u m n F i l t e r s / >  
         < D A L i n k I D > 3 a 8 a e 9 8 8 - 9 0 5 6 - 4 c d b - b 1 a d - b a b 5 3 3 4 5 f 1 4 d < / D A L i n k I D >  
         < L i n k T y p e > 0 < / L i n k T y p e >  
         < P a r a m e t e r s / >  
         < I n c l u d e A l l I t e m s > f a l s e < / I n c l u d e A l l I t e m s >  
         < A c t i v e > t r u e < / A c t i v e >  
         < P r o t e c t e d L i n k > f a l s e < / P r o t e c t e d L i n k >  
         < N a m e > 2 8 1 0 1   T B   @   3 1 . 1 2 . 2 0 2 0   3 1 1 a 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 3 1 1 a < / A c c o u n t N u m b e r >  
         < R o u n d e d > f a l s e < / R o u n d e d >  
     < / T B L i n k >  
     < T B L i n k >  
         < V e r s i o n > 4 < / V e r s i o n >  
         < C o l u m n F i l t e r s / >  
         < D A L i n k I D > 5 1 4 9 9 1 3 0 - e 8 5 c - 4 1 c 7 - a 5 a 4 - 0 7 2 a 5 0 9 5 7 2 7 0 < / D A L i n k I D >  
         < L i n k T y p e > 0 < / L i n k T y p e >  
         < P a r a m e t e r s / >  
         < I n c l u d e A l l I t e m s > f a l s e < / I n c l u d e A l l I t e m s >  
         < A c t i v e > t r u e < / A c t i v e >  
         < P r o t e c t e d L i n k > f a l s e < / P r o t e c t e d L i n k >  
         < N a m e > 2 8 1 0 1   T B   @   3 1 . 1 2 . 2 0 2 0   3 1 1 b 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 3 1 1 b < / A c c o u n t N u m b e r >  
         < R o u n d e d > f a l s e < / R o u n d e d >  
     < / T B L i n k >  
     < T B L i n k >  
         < V e r s i o n > 4 < / V e r s i o n >  
         < C o l u m n F i l t e r s / >  
         < D A L i n k I D > 9 7 2 a 7 3 8 9 - 8 1 5 1 - 4 b 6 f - b 7 a 4 - 0 7 7 e c 2 6 8 e b 4 e < / D A L i n k I D >  
         < L i n k T y p e > 0 < / L i n k T y p e >  
         < P a r a m e t e r s / >  
         < I n c l u d e A l l I t e m s > f a l s e < / I n c l u d e A l l I t e m s >  
         < A c t i v e > t r u e < / A c t i v e >  
         < P r o t e c t e d L i n k > f a l s e < / P r o t e c t e d L i n k >  
         < N a m e > 2 8 1 0 1   T B   @   3 1 . 1 2 . 2 0 2 0   3 1 1 c 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 3 1 1 c < / A c c o u n t N u m b e r >  
         < R o u n d e d > f a l s e < / R o u n d e d >  
     < / T B L i n k >  
     < T B L i n k >  
         < V e r s i o n > 4 < / V e r s i o n >  
         < C o l u m n F i l t e r s / >  
         < D A L i n k I D > 2 5 1 5 5 0 1 7 - f f 5 2 - 4 0 b 7 - 8 2 9 a - 4 3 7 4 8 0 b f 0 b 0 d < / D A L i n k I D >  
         < L i n k T y p e > 0 < / L i n k T y p e >  
         < P a r a m e t e r s / >  
         < I n c l u d e A l l I t e m s > f a l s e < / I n c l u d e A l l I t e m s >  
         < A c t i v e > t r u e < / A c t i v e >  
         < P r o t e c t e d L i n k > f a l s e < / P r o t e c t e d L i n k >  
         < N a m e > 2 8 1 0 1   T B   @   3 1 . 1 2 . 2 0 2 0   3 1 1 d 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 5 4 1 7 3 8 . 0 0 0 0 < / N u m e r i c V a l u e >  
         < V a l u e > 5 4 1 7 3 8 , 0 0 0 0 < / V a l u e >  
         < C h a r t T y p e > c t D e t a i l < / C h a r t T y p e >  
         < R e f e r e n c e > 2 8 1 0 1 < / R e f e r e n c e >  
         < T B D o c N a m e > T B   @   3 1 . 1 2 . 2 0 2 0 < / T B D o c N a m e >  
         < T B C h a r t N a m e > D e t a i l < / T B C h a r t N a m e >  
         < C o l u m n N a m e > P r i o r P e r i o d 2 B a l a n c e < / C o l u m n N a m e >  
         < U s e r F r i e n d l y C o l u m n N a m e > 3 1 . 1 2 . 2 0 1 9 < / U s e r F r i e n d l y C o l u m n N a m e >  
         < A c c o u n t N u m b e r > 3 1 1 d < / A c c o u n t N u m b e r >  
         < R o u n d e d > f a l s e < / R o u n d e d >  
     < / T B L i n k >  
     < T B L i n k >  
         < V e r s i o n > 4 < / V e r s i o n >  
         < C o l u m n F i l t e r s / >  
         < D A L i n k I D > 2 c f b b 0 6 9 - 6 e 6 c - 4 e d e - 9 8 8 b - c 4 c 0 5 8 9 8 4 5 6 2 < / D A L i n k I D >  
         < L i n k T y p e > 0 < / L i n k T y p e >  
         < P a r a m e t e r s / >  
         < I n c l u d e A l l I t e m s > f a l s e < / I n c l u d e A l l I t e m s >  
         < A c t i v e > t r u e < / A c t i v e >  
         < P r o t e c t e d L i n k > f a l s e < / P r o t e c t e d L i n k >  
         < N a m e > 2 8 1 0 1   T B   @   3 1 . 1 2 . 2 0 2 0   3 1 1 e 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 3 1 1 e < / A c c o u n t N u m b e r >  
         < R o u n d e d > f a l s e < / R o u n d e d >  
     < / T B L i n k >  
     < T B L i n k >  
         < V e r s i o n > 4 < / V e r s i o n >  
         < C o l u m n F i l t e r s / >  
         < D A L i n k I D > 5 7 d 4 7 9 9 9 - 1 b 1 f - 4 e e f - a a c e - 7 c 1 e 5 5 6 4 b 6 f 9 < / D A L i n k I D >  
         < L i n k T y p e > 0 < / L i n k T y p e >  
         < P a r a m e t e r s / >  
         < I n c l u d e A l l I t e m s > f a l s e < / I n c l u d e A l l I t e m s >  
         < A c t i v e > t r u e < / A c t i v e >  
         < P r o t e c t e d L i n k > f a l s e < / P r o t e c t e d L i n k >  
         < N a m e > 2 8 1 0 1   T B   @   3 1 . 1 2 . 2 0 2 0   3 1 1 f 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 1 8 3 3 8 7 . 0 0 0 0 < / N u m e r i c V a l u e >  
         < V a l u e > 1 8 3 3 8 7 , 0 0 0 0 < / V a l u e >  
         < C h a r t T y p e > c t D e t a i l < / C h a r t T y p e >  
         < R e f e r e n c e > 2 8 1 0 1 < / R e f e r e n c e >  
         < T B D o c N a m e > T B   @   3 1 . 1 2 . 2 0 2 0 < / T B D o c N a m e >  
         < T B C h a r t N a m e > D e t a i l < / T B C h a r t N a m e >  
         < C o l u m n N a m e > P r i o r P e r i o d 2 B a l a n c e < / C o l u m n N a m e >  
         < U s e r F r i e n d l y C o l u m n N a m e > 3 1 . 1 2 . 2 0 1 9 < / U s e r F r i e n d l y C o l u m n N a m e >  
         < A c c o u n t N u m b e r > 3 1 1 f < / A c c o u n t N u m b e r >  
         < R o u n d e d > f a l s e < / R o u n d e d >  
     < / T B L i n k >  
     < T B L i n k >  
         < V e r s i o n > 4 < / V e r s i o n >  
         < C o l u m n F i l t e r s / >  
         < D A L i n k I D > b 8 6 7 2 2 0 f - 2 1 c 0 - 4 2 7 e - a 5 6 c - 9 1 b 5 d 9 2 4 2 6 d b < / D A L i n k I D >  
         < L i n k T y p e > 0 < / L i n k T y p e >  
         < P a r a m e t e r s / >  
         < I n c l u d e A l l I t e m s > f a l s e < / I n c l u d e A l l I t e m s >  
         < A c t i v e > t r u e < / A c t i v e >  
         < P r o t e c t e d L i n k > f a l s e < / P r o t e c t e d L i n k >  
         < N a m e > 2 8 1 0 1   T B   @   3 1 . 1 2 . 2 0 2 0   3 1 2 a 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 3 1 2 a < / A c c o u n t N u m b e r >  
         < R o u n d e d > f a l s e < / R o u n d e d >  
     < / T B L i n k >  
     < T B L i n k >  
         < V e r s i o n > 4 < / V e r s i o n >  
         < C o l u m n F i l t e r s / >  
         < D A L i n k I D > 8 b a 7 1 e 6 d - 3 7 9 9 - 4 9 e e - 9 d 2 d - c e 8 e b e 8 f 6 b 7 3 < / D A L i n k I D >  
         < L i n k T y p e > 0 < / L i n k T y p e >  
         < P a r a m e t e r s / >  
         < I n c l u d e A l l I t e m s > f a l s e < / I n c l u d e A l l I t e m s >  
         < A c t i v e > t r u e < / A c t i v e >  
         < P r o t e c t e d L i n k > f a l s e < / P r o t e c t e d L i n k >  
         < N a m e > 2 8 1 0 1   T B   @   3 1 . 1 2 . 2 0 2 0   3 1 2 b 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 3 1 2 b < / A c c o u n t N u m b e r >  
         < R o u n d e d > f a l s e < / R o u n d e d >  
     < / T B L i n k >  
     < T B L i n k >  
         < V e r s i o n > 4 < / V e r s i o n >  
         < C o l u m n F i l t e r s / >  
         < D A L i n k I D > e e 2 0 4 a 6 0 - 3 a b 6 - 4 2 3 0 - b c 0 4 - a 2 7 f 5 2 8 9 3 c 1 b < / D A L i n k I D >  
         < L i n k T y p e > 0 < / L i n k T y p e >  
         < P a r a m e t e r s / >  
         < I n c l u d e A l l I t e m s > f a l s e < / I n c l u d e A l l I t e m s >  
         < A c t i v e > t r u e < / A c t i v e >  
         < P r o t e c t e d L i n k > f a l s e < / P r o t e c t e d L i n k >  
         < N a m e > 2 8 1 0 1   T B   @   3 1 . 1 2 . 2 0 2 0   3 1 2 c 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 3 1 2 c < / A c c o u n t N u m b e r >  
         < R o u n d e d > f a l s e < / R o u n d e d >  
     < / T B L i n k >  
     < T B L i n k >  
         < V e r s i o n > 4 < / V e r s i o n >  
         < C o l u m n F i l t e r s / >  
         < D A L i n k I D > c 7 3 2 1 a 0 5 - 7 a 9 1 - 4 d c 6 - a c b 3 - b a f 9 7 c 3 4 3 a d 1 < / D A L i n k I D >  
         < L i n k T y p e > 0 < / L i n k T y p e >  
         < P a r a m e t e r s / >  
         < I n c l u d e A l l I t e m s > f a l s e < / I n c l u d e A l l I t e m s >  
         < A c t i v e > t r u e < / A c t i v e >  
         < P r o t e c t e d L i n k > f a l s e < / P r o t e c t e d L i n k >  
         < N a m e > 2 8 1 0 1   T B   @   3 1 . 1 2 . 2 0 2 0   3 1 2 d 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 3 1 2 d < / A c c o u n t N u m b e r >  
         < R o u n d e d > f a l s e < / R o u n d e d >  
     < / T B L i n k >  
     < T B L i n k >  
         < V e r s i o n > 4 < / V e r s i o n >  
         < C o l u m n F i l t e r s / >  
         < D A L i n k I D > b 8 3 2 b 4 d e - 5 0 b 9 - 4 0 a 8 - a 5 b a - 9 c c c 9 4 6 0 7 3 0 c < / D A L i n k I D >  
         < L i n k T y p e > 0 < / L i n k T y p e >  
         < P a r a m e t e r s / >  
         < I n c l u d e A l l I t e m s > f a l s e < / I n c l u d e A l l I t e m s >  
         < A c t i v e > t r u e < / A c t i v e >  
         < P r o t e c t e d L i n k > f a l s e < / P r o t e c t e d L i n k >  
         < N a m e > 2 8 1 0 1   T B   @   3 1 . 1 2 . 2 0 2 0   3 1 2 e 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 3 1 2 e < / A c c o u n t N u m b e r >  
         < R o u n d e d > f a l s e < / R o u n d e d >  
     < / T B L i n k >  
     < T B L i n k >  
         < V e r s i o n > 4 < / V e r s i o n >  
         < C o l u m n F i l t e r s / >  
         < D A L i n k I D > 6 b b a 6 3 8 1 - 3 9 7 1 - 4 0 a 5 - b b e 7 - b 9 6 9 9 8 6 c 1 e 0 5 < / D A L i n k I D >  
         < L i n k T y p e > 0 < / L i n k T y p e >  
         < P a r a m e t e r s / >  
         < I n c l u d e A l l I t e m s > f a l s e < / I n c l u d e A l l I t e m s >  
         < A c t i v e > t r u e < / A c t i v e >  
         < P r o t e c t e d L i n k > f a l s e < / P r o t e c t e d L i n k >  
         < N a m e > 2 8 1 0 1   T B   @   3 1 . 1 2 . 2 0 2 0   3 1 2 f 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 3 1 2 f < / A c c o u n t N u m b e r >  
         < R o u n d e d > f a l s e < / R o u n d e d >  
     < / T B L i n k >  
     < T B L i n k >  
         < V e r s i o n > 4 < / V e r s i o n >  
         < C o l u m n F i l t e r s / >  
         < D A L i n k I D > 5 4 b 5 3 9 3 5 - 8 1 0 4 - 4 d 6 b - a c 0 b - 8 e 5 0 1 8 8 7 3 b f e < / D A L i n k I D >  
         < L i n k T y p e > 0 < / L i n k T y p e >  
         < P a r a m e t e r s / >  
         < I n c l u d e A l l I t e m s > f a l s e < / I n c l u d e A l l I t e m s >  
         < A c t i v e > t r u e < / A c t i v e >  
         < P r o t e c t e d L i n k > f a l s e < / P r o t e c t e d L i n k >  
         < N a m e > 2 8 1 0 1   T B   @   3 1 . 1 2 . 2 0 2 0   3 1 3 a 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 3 1 3 a < / A c c o u n t N u m b e r >  
         < R o u n d e d > f a l s e < / R o u n d e d >  
     < / T B L i n k >  
     < T B L i n k >  
         < V e r s i o n > 4 < / V e r s i o n >  
         < C o l u m n F i l t e r s / >  
         < D A L i n k I D > 8 9 2 4 2 c 5 0 - c 8 1 b - 4 1 9 d - 8 c a 9 - 8 2 6 6 e f d 7 0 e e 6 < / D A L i n k I D >  
         < L i n k T y p e > 0 < / L i n k T y p e >  
         < P a r a m e t e r s / >  
         < I n c l u d e A l l I t e m s > f a l s e < / I n c l u d e A l l I t e m s >  
         < A c t i v e > t r u e < / A c t i v e >  
         < P r o t e c t e d L i n k > f a l s e < / P r o t e c t e d L i n k >  
         < N a m e > 2 8 1 0 1   T B   @   3 1 . 1 2 . 2 0 2 0   3 1 3 b 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 3 1 3 b < / A c c o u n t N u m b e r >  
         < R o u n d e d > f a l s e < / R o u n d e d >  
     < / T B L i n k >  
     < T B L i n k >  
         < V e r s i o n > 4 < / V e r s i o n >  
         < C o l u m n F i l t e r s / >  
         < D A L i n k I D > 5 2 0 8 1 7 f 5 - 9 6 6 b - 4 d 8 d - a 1 4 8 - 4 8 c a 7 6 6 7 f 1 7 4 < / D A L i n k I D >  
         < L i n k T y p e > 0 < / L i n k T y p e >  
         < P a r a m e t e r s / >  
         < I n c l u d e A l l I t e m s > f a l s e < / I n c l u d e A l l I t e m s >  
         < A c t i v e > t r u e < / A c t i v e >  
         < P r o t e c t e d L i n k > f a l s e < / P r o t e c t e d L i n k >  
         < N a m e > 2 8 1 0 1   T B   @   3 1 . 1 2 . 2 0 2 0   3 1 3 c 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 3 1 3 c < / A c c o u n t N u m b e r >  
         < R o u n d e d > f a l s e < / R o u n d e d >  
     < / T B L i n k >  
     < T B L i n k >  
         < V e r s i o n > 4 < / V e r s i o n >  
         < C o l u m n F i l t e r s / >  
         < D A L i n k I D > b b 3 2 8 2 e 8 - 2 5 3 4 - 4 2 1 6 - b b 9 a - b 4 1 9 1 6 7 4 6 c 2 f < / D A L i n k I D >  
         < L i n k T y p e > 0 < / L i n k T y p e >  
         < P a r a m e t e r s / >  
         < I n c l u d e A l l I t e m s > f a l s e < / I n c l u d e A l l I t e m s >  
         < A c t i v e > t r u e < / A c t i v e >  
         < P r o t e c t e d L i n k > f a l s e < / P r o t e c t e d L i n k >  
         < N a m e > 2 8 1 0 1   T B   @   3 1 . 1 2 . 2 0 2 0   3 1 3 d 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 3 1 3 d < / A c c o u n t N u m b e r >  
         < R o u n d e d > f a l s e < / R o u n d e d >  
     < / T B L i n k >  
     < T B L i n k >  
         < V e r s i o n > 4 < / V e r s i o n >  
         < C o l u m n F i l t e r s / >  
         < D A L i n k I D > e 6 f 2 b f 3 0 - 8 1 c 0 - 4 c 8 8 - b 8 4 e - 2 3 2 3 9 7 c b 6 c c 1 < / D A L i n k I D >  
         < L i n k T y p e > 0 < / L i n k T y p e >  
         < P a r a m e t e r s / >  
         < I n c l u d e A l l I t e m s > f a l s e < / I n c l u d e A l l I t e m s >  
         < A c t i v e > t r u e < / A c t i v e >  
         < P r o t e c t e d L i n k > f a l s e < / P r o t e c t e d L i n k >  
         < N a m e > 2 8 1 0 1   T B   @   3 1 . 1 2 . 2 0 2 0   3 1 3 e 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 3 1 3 e < / A c c o u n t N u m b e r >  
         < R o u n d e d > f a l s e < / R o u n d e d >  
     < / T B L i n k >  
     < T B L i n k >  
         < V e r s i o n > 4 < / V e r s i o n >  
         < C o l u m n F i l t e r s / >  
         < D A L i n k I D > a a 9 9 d c 9 b - a 9 d 8 - 4 9 9 a - b 9 b 7 - 6 4 f 5 c 5 7 5 2 c 6 1 < / D A L i n k I D >  
         < L i n k T y p e > 0 < / L i n k T y p e >  
         < P a r a m e t e r s / >  
         < I n c l u d e A l l I t e m s > f a l s e < / I n c l u d e A l l I t e m s >  
         < A c t i v e > t r u e < / A c t i v e >  
         < P r o t e c t e d L i n k > f a l s e < / P r o t e c t e d L i n k >  
         < N a m e > 2 8 1 0 1   T B   @   3 1 . 1 2 . 2 0 2 0   3 1 3 f 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 3 1 3 f < / A c c o u n t N u m b e r >  
         < R o u n d e d > f a l s e < / R o u n d e d >  
     < / T B L i n k >  
     < T B L i n k >  
         < V e r s i o n > 4 < / V e r s i o n >  
         < C o l u m n F i l t e r s / >  
         < D A L i n k I D > b 1 8 1 4 b d f - f 4 4 f - 4 b a 8 - a b 3 e - b 8 5 1 9 4 5 4 3 3 9 2 < / D A L i n k I D >  
         < L i n k T y p e > 0 < / L i n k T y p e >  
         < P a r a m e t e r s / >  
         < I n c l u d e A l l I t e m s > f a l s e < / I n c l u d e A l l I t e m s >  
         < A c t i v e > t r u e < / A c t i v e >  
         < P r o t e c t e d L i n k > f a l s e < / P r o t e c t e d L i n k >  
         < N a m e > 2 8 1 0 1   T B   @   3 1 . 1 2 . 2 0 2 0   3 1 4 a 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 6 4 9 7 5 2 . 0 0 0 0 < / N u m e r i c V a l u e >  
         < V a l u e > 6 4 9 7 5 2 , 0 0 0 0 < / V a l u e >  
         < C h a r t T y p e > c t D e t a i l < / C h a r t T y p e >  
         < R e f e r e n c e > 2 8 1 0 1 < / R e f e r e n c e >  
         < T B D o c N a m e > T B   @   3 1 . 1 2 . 2 0 2 0 < / T B D o c N a m e >  
         < T B C h a r t N a m e > D e t a i l < / T B C h a r t N a m e >  
         < C o l u m n N a m e > P r i o r P e r i o d 2 B a l a n c e < / C o l u m n N a m e >  
         < U s e r F r i e n d l y C o l u m n N a m e > 3 1 . 1 2 . 2 0 1 9 < / U s e r F r i e n d l y C o l u m n N a m e >  
         < A c c o u n t N u m b e r > 3 1 4 a < / A c c o u n t N u m b e r >  
         < R o u n d e d > f a l s e < / R o u n d e d >  
     < / T B L i n k >  
     < T B L i n k >  
         < V e r s i o n > 4 < / V e r s i o n >  
         < C o l u m n F i l t e r s / >  
         < D A L i n k I D > 8 9 a 3 2 5 0 f - 3 a 7 b - 4 0 f c - 9 1 1 c - 4 6 3 1 4 d 3 7 9 c 1 6 < / D A L i n k I D >  
         < L i n k T y p e > 0 < / L i n k T y p e >  
         < P a r a m e t e r s / >  
         < I n c l u d e A l l I t e m s > f a l s e < / I n c l u d e A l l I t e m s >  
         < A c t i v e > t r u e < / A c t i v e >  
         < P r o t e c t e d L i n k > f a l s e < / P r o t e c t e d L i n k >  
         < N a m e > 2 8 1 0 1   T B   @   3 1 . 1 2 . 2 0 2 0   3 1 4 b 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 3 1 4 b < / A c c o u n t N u m b e r >  
         < R o u n d e d > f a l s e < / R o u n d e d >  
     < / T B L i n k >  
     < T B L i n k >  
         < V e r s i o n > 4 < / V e r s i o n >  
         < C o l u m n F i l t e r s / >  
         < D A L i n k I D > 1 1 a a e f 6 7 - d 3 1 0 - 4 8 9 f - 9 9 b 3 - 8 4 5 7 f d 7 5 b 7 3 b < / D A L i n k I D >  
         < L i n k T y p e > 0 < / L i n k T y p e >  
         < P a r a m e t e r s / >  
         < I n c l u d e A l l I t e m s > f a l s e < / I n c l u d e A l l I t e m s >  
         < A c t i v e > t r u e < / A c t i v e >  
         < P r o t e c t e d L i n k > f a l s e < / P r o t e c t e d L i n k >  
         < N a m e > 2 8 1 0 1   T B   @   3 1 . 1 2 . 2 0 2 0   3 1 4 c 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 3 1 4 c < / A c c o u n t N u m b e r >  
         < R o u n d e d > f a l s e < / R o u n d e d >  
     < / T B L i n k >  
     < T B L i n k >  
         < V e r s i o n > 4 < / V e r s i o n >  
         < C o l u m n F i l t e r s / >  
         < D A L i n k I D > c c 8 1 c b 6 4 - c 2 6 e - 4 e b 0 - a f 9 1 - e e d 9 1 e d a 7 4 e d < / D A L i n k I D >  
         < L i n k T y p e > 0 < / L i n k T y p e >  
         < P a r a m e t e r s / >  
         < I n c l u d e A l l I t e m s > f a l s e < / I n c l u d e A l l I t e m s >  
         < A c t i v e > t r u e < / A c t i v e >  
         < P r o t e c t e d L i n k > f a l s e < / P r o t e c t e d L i n k >  
         < N a m e > 2 8 1 0 1   T B   @   3 1 . 1 2 . 2 0 2 0   3 1 4 d 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 3 1 4 d < / A c c o u n t N u m b e r >  
         < R o u n d e d > f a l s e < / R o u n d e d >  
     < / T B L i n k >  
     < T B L i n k >  
         < V e r s i o n > 4 < / V e r s i o n >  
         < C o l u m n F i l t e r s / >  
         < D A L i n k I D > 7 d c 7 c a 2 3 - b 3 e 0 - 4 8 f f - 8 4 9 0 - c 5 4 d a 0 4 7 a 3 6 9 < / D A L i n k I D >  
         < L i n k T y p e > 0 < / L i n k T y p e >  
         < P a r a m e t e r s / >  
         < I n c l u d e A l l I t e m s > f a l s e < / I n c l u d e A l l I t e m s >  
         < A c t i v e > t r u e < / A c t i v e >  
         < P r o t e c t e d L i n k > f a l s e < / P r o t e c t e d L i n k >  
         < N a m e > 2 8 1 0 1   T B   @   3 1 . 1 2 . 2 0 2 0   3 1 4 e 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 4 8 8 8 7 4 . 0 0 0 0 < / N u m e r i c V a l u e >  
         < V a l u e > 4 8 8 8 7 4 , 0 0 0 0 < / V a l u e >  
         < C h a r t T y p e > c t D e t a i l < / C h a r t T y p e >  
         < R e f e r e n c e > 2 8 1 0 1 < / R e f e r e n c e >  
         < T B D o c N a m e > T B   @   3 1 . 1 2 . 2 0 2 0 < / T B D o c N a m e >  
         < T B C h a r t N a m e > D e t a i l < / T B C h a r t N a m e >  
         < C o l u m n N a m e > P r i o r P e r i o d 2 B a l a n c e < / C o l u m n N a m e >  
         < U s e r F r i e n d l y C o l u m n N a m e > 3 1 . 1 2 . 2 0 1 9 < / U s e r F r i e n d l y C o l u m n N a m e >  
         < A c c o u n t N u m b e r > 3 1 4 e < / A c c o u n t N u m b e r >  
         < R o u n d e d > f a l s e < / R o u n d e d >  
     < / T B L i n k >  
     < T B L i n k >  
         < V e r s i o n > 4 < / V e r s i o n >  
         < C o l u m n F i l t e r s / >  
         < D A L i n k I D > 6 1 d 9 0 2 b 7 - 2 f e 1 - 4 3 3 d - 8 d 9 5 - 7 e 2 3 e b 0 6 e 1 5 4 < / D A L i n k I D >  
         < L i n k T y p e > 0 < / L i n k T y p e >  
         < P a r a m e t e r s / >  
         < I n c l u d e A l l I t e m s > f a l s e < / I n c l u d e A l l I t e m s >  
         < A c t i v e > t r u e < / A c t i v e >  
         < P r o t e c t e d L i n k > f a l s e < / P r o t e c t e d L i n k >  
         < N a m e > 2 8 1 0 1   T B   @   3 1 . 1 2 . 2 0 2 0   3 1 4 f 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 3 1 4 f < / A c c o u n t N u m b e r >  
         < R o u n d e d > f a l s e < / R o u n d e d >  
     < / T B L i n k >  
     < T B L i n k >  
         < V e r s i o n > 4 < / V e r s i o n >  
         < C o l u m n F i l t e r s / >  
         < D A L i n k I D > 7 6 d 2 3 9 8 c - 7 b 8 d - 4 8 e 6 - a 0 9 b - 1 9 2 6 d a c 9 b 4 7 e < / D A L i n k I D >  
         < L i n k T y p e > 0 < / L i n k T y p e >  
         < P a r a m e t e r s / >  
         < I n c l u d e A l l I t e m s > f a l s e < / I n c l u d e A l l I t e m s >  
         < A c t i v e > t r u e < / A c t i v e >  
         < P r o t e c t e d L i n k > f a l s e < / P r o t e c t e d L i n k >  
         < N a m e > 2 8 1 0 1   T B   @   3 1 . 1 2 . 2 0 2 0   3 1 4 g 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 - 9 5 4 4 . 0 0 0 0 < / N u m e r i c V a l u e >  
         < V a l u e > - 9 5 4 4 , 0 0 0 0 < / V a l u e >  
         < C h a r t T y p e > c t D e t a i l < / C h a r t T y p e >  
         < R e f e r e n c e > 2 8 1 0 1 < / R e f e r e n c e >  
         < T B D o c N a m e > T B   @   3 1 . 1 2 . 2 0 2 0 < / T B D o c N a m e >  
         < T B C h a r t N a m e > D e t a i l < / T B C h a r t N a m e >  
         < C o l u m n N a m e > P r i o r P e r i o d 2 B a l a n c e < / C o l u m n N a m e >  
         < U s e r F r i e n d l y C o l u m n N a m e > 3 1 . 1 2 . 2 0 1 9 < / U s e r F r i e n d l y C o l u m n N a m e >  
         < A c c o u n t N u m b e r > 3 1 4 g < / A c c o u n t N u m b e r >  
         < R o u n d e d > f a l s e < / R o u n d e d >  
     < / T B L i n k >  
     < T B L i n k >  
         < V e r s i o n > 4 < / V e r s i o n >  
         < C o l u m n F i l t e r s / >  
         < D A L i n k I D > 5 c b 8 d c 8 1 - c b 8 b - 4 f 6 1 - 8 a 7 6 - 3 d f 8 4 f d 4 9 1 b d < / D A L i n k I D >  
         < L i n k T y p e > 0 < / L i n k T y p e >  
         < P a r a m e t e r s / >  
         < I n c l u d e A l l I t e m s > f a l s e < / I n c l u d e A l l I t e m s >  
         < A c t i v e > t r u e < / A c t i v e >  
         < P r o t e c t e d L i n k > f a l s e < / P r o t e c t e d L i n k >  
         < N a m e > 2 8 1 0 1   T B   @   3 1 . 1 2 . 2 0 2 0   3 1 4 h 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 3 1 4 h < / A c c o u n t N u m b e r >  
         < R o u n d e d > f a l s e < / R o u n d e d >  
     < / T B L i n k >  
     < T B L i n k >  
         < V e r s i o n > 4 < / V e r s i o n >  
         < C o l u m n F i l t e r s / >  
         < D A L i n k I D > 2 f 2 5 5 0 7 3 - 7 c a 5 - 4 4 3 5 - a 3 e b - a e 9 9 0 d a 4 d 6 8 1 < / D A L i n k I D >  
         < L i n k T y p e > 0 < / L i n k T y p e >  
         < P a r a m e t e r s / >  
         < I n c l u d e A l l I t e m s > f a l s e < / I n c l u d e A l l I t e m s >  
         < A c t i v e > t r u e < / A c t i v e >  
         < P r o t e c t e d L i n k > f a l s e < / P r o t e c t e d L i n k >  
         < N a m e > 2 8 1 0 1   T B   @   3 1 . 1 2 . 2 0 2 0   3 1 5 a 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 3 1 5 a < / A c c o u n t N u m b e r >  
         < R o u n d e d > f a l s e < / R o u n d e d >  
     < / T B L i n k >  
     < T B L i n k >  
         < V e r s i o n > 4 < / V e r s i o n >  
         < C o l u m n F i l t e r s / >  
         < D A L i n k I D > 8 d 7 8 e c 7 c - 3 6 c b - 4 8 0 e - 9 e 3 d - c e a 2 4 f 0 c 6 5 7 6 < / D A L i n k I D >  
         < L i n k T y p e > 0 < / L i n k T y p e >  
         < P a r a m e t e r s / >  
         < I n c l u d e A l l I t e m s > f a l s e < / I n c l u d e A l l I t e m s >  
         < A c t i v e > t r u e < / A c t i v e >  
         < P r o t e c t e d L i n k > f a l s e < / P r o t e c t e d L i n k >  
         < N a m e > 2 8 1 0 1   T B   @   3 1 . 1 2 . 2 0 2 0   3 1 5 b 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 3 1 5 b < / A c c o u n t N u m b e r >  
         < R o u n d e d > f a l s e < / R o u n d e d >  
     < / T B L i n k >  
     < T B L i n k >  
         < V e r s i o n > 4 < / V e r s i o n >  
         < C o l u m n F i l t e r s / >  
         < D A L i n k I D > 4 f c 5 c c a 0 - 1 8 f b - 4 7 3 2 - 8 4 5 9 - 0 a 2 b b d c 0 b d 9 f < / D A L i n k I D >  
         < L i n k T y p e > 0 < / L i n k T y p e >  
         < P a r a m e t e r s / >  
         < I n c l u d e A l l I t e m s > f a l s e < / I n c l u d e A l l I t e m s >  
         < A c t i v e > t r u e < / A c t i v e >  
         < P r o t e c t e d L i n k > f a l s e < / P r o t e c t e d L i n k >  
         < N a m e > 2 8 1 0 1   T B   @   3 1 . 1 2 . 2 0 2 0   3 1 5 c 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 3 1 5 c < / A c c o u n t N u m b e r >  
         < R o u n d e d > f a l s e < / R o u n d e d >  
     < / T B L i n k >  
     < T B L i n k >  
         < V e r s i o n > 4 < / V e r s i o n >  
         < C o l u m n F i l t e r s / >  
         < D A L i n k I D > 5 0 7 2 0 5 7 2 - 9 1 e e - 4 f a e - a a 6 7 - a f f f 7 b 1 a e 4 2 9 < / D A L i n k I D >  
         < L i n k T y p e > 0 < / L i n k T y p e >  
         < P a r a m e t e r s / >  
         < I n c l u d e A l l I t e m s > f a l s e < / I n c l u d e A l l I t e m s >  
         < A c t i v e > t r u e < / A c t i v e >  
         < P r o t e c t e d L i n k > f a l s e < / P r o t e c t e d L i n k >  
         < N a m e > 2 8 1 0 1   T B   @   3 1 . 1 2 . 2 0 2 0   3 1 5 d 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 1 9 8 0 5 0 9 . 0 0 0 0 < / N u m e r i c V a l u e >  
         < V a l u e > 1 9 8 0 5 0 9 , 0 0 0 0 < / V a l u e >  
         < C h a r t T y p e > c t D e t a i l < / C h a r t T y p e >  
         < R e f e r e n c e > 2 8 1 0 1 < / R e f e r e n c e >  
         < T B D o c N a m e > T B   @   3 1 . 1 2 . 2 0 2 0 < / T B D o c N a m e >  
         < T B C h a r t N a m e > D e t a i l < / T B C h a r t N a m e >  
         < C o l u m n N a m e > P r i o r P e r i o d 2 B a l a n c e < / C o l u m n N a m e >  
         < U s e r F r i e n d l y C o l u m n N a m e > 3 1 . 1 2 . 2 0 1 9 < / U s e r F r i e n d l y C o l u m n N a m e >  
         < A c c o u n t N u m b e r > 3 1 5 d < / A c c o u n t N u m b e r >  
         < R o u n d e d > f a l s e < / R o u n d e d >  
     < / T B L i n k >  
     < T B L i n k >  
         < V e r s i o n > 4 < / V e r s i o n >  
         < C o l u m n F i l t e r s / >  
         < D A L i n k I D > e c 9 a 5 1 0 3 - b 0 3 d - 4 d c 3 - 9 1 c 1 - a 2 b 2 d a 0 4 6 1 0 f < / D A L i n k I D >  
         < L i n k T y p e > 0 < / L i n k T y p e >  
         < P a r a m e t e r s / >  
         < I n c l u d e A l l I t e m s > f a l s e < / I n c l u d e A l l I t e m s >  
         < A c t i v e > t r u e < / A c t i v e >  
         < P r o t e c t e d L i n k > f a l s e < / P r o t e c t e d L i n k >  
         < N a m e > 2 8 1 0 1   T B   @   3 1 . 1 2 . 2 0 2 0   3 1 5 e 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 3 1 5 e < / A c c o u n t N u m b e r >  
         < R o u n d e d > f a l s e < / R o u n d e d >  
     < / T B L i n k >  
     < T B L i n k >  
         < V e r s i o n > 4 < / V e r s i o n >  
         < C o l u m n F i l t e r s / >  
         < D A L i n k I D > a c c d 1 b c 2 - 1 2 0 9 - 4 a 1 d - a 8 f f - 1 3 3 5 a d b a a c 1 7 < / D A L i n k I D >  
         < L i n k T y p e > 0 < / L i n k T y p e >  
         < P a r a m e t e r s / >  
         < I n c l u d e A l l I t e m s > f a l s e < / I n c l u d e A l l I t e m s >  
         < A c t i v e > t r u e < / A c t i v e >  
         < P r o t e c t e d L i n k > f a l s e < / P r o t e c t e d L i n k >  
         < N a m e > 2 8 1 0 1   T B   @   3 1 . 1 2 . 2 0 2 0   3 1 5 f 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 3 1 5 f < / A c c o u n t N u m b e r >  
         < R o u n d e d > f a l s e < / R o u n d e d >  
     < / T B L i n k >  
     < T B L i n k >  
         < V e r s i o n > 4 < / V e r s i o n >  
         < C o l u m n F i l t e r s / >  
         < D A L i n k I D > 2 9 3 5 9 b 2 f - 5 b d 2 - 4 8 d f - a f c 8 - 5 2 7 9 7 8 6 0 9 d 6 9 < / D A L i n k I D >  
         < L i n k T y p e > 0 < / L i n k T y p e >  
         < P a r a m e t e r s / >  
         < I n c l u d e A l l I t e m s > f a l s e < / I n c l u d e A l l I t e m s >  
         < A c t i v e > t r u e < / A c t i v e >  
         < P r o t e c t e d L i n k > f a l s e < / P r o t e c t e d L i n k >  
         < N a m e > 2 8 1 0 1   T B   @   3 1 . 1 2 . 2 0 2 0   3 1 6 a 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 3 1 6 a < / A c c o u n t N u m b e r >  
         < R o u n d e d > f a l s e < / R o u n d e d >  
     < / T B L i n k >  
     < T B L i n k >  
         < V e r s i o n > 4 < / V e r s i o n >  
         < C o l u m n F i l t e r s / >  
         < D A L i n k I D > 9 4 1 e 1 8 4 8 - b 6 6 5 - 4 2 f 0 - b a 8 8 - 5 6 8 6 0 d c c d c e 4 < / D A L i n k I D >  
         < L i n k T y p e > 0 < / L i n k T y p e >  
         < P a r a m e t e r s / >  
         < I n c l u d e A l l I t e m s > f a l s e < / I n c l u d e A l l I t e m s >  
         < A c t i v e > t r u e < / A c t i v e >  
         < P r o t e c t e d L i n k > f a l s e < / P r o t e c t e d L i n k >  
         < N a m e > 2 8 1 0 1   T B   @   3 1 . 1 2 . 2 0 2 0   3 1 6 b 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 3 1 6 b < / A c c o u n t N u m b e r >  
         < R o u n d e d > f a l s e < / R o u n d e d >  
     < / T B L i n k >  
     < T B L i n k >  
         < V e r s i o n > 4 < / V e r s i o n >  
         < C o l u m n F i l t e r s / >  
         < D A L i n k I D > 1 2 0 9 f d 8 2 - 2 9 5 3 - 4 c 1 2 - b a d c - 3 0 3 3 4 1 a d f e 6 6 < / D A L i n k I D >  
         < L i n k T y p e > 0 < / L i n k T y p e >  
         < P a r a m e t e r s / >  
         < I n c l u d e A l l I t e m s > f a l s e < / I n c l u d e A l l I t e m s >  
         < A c t i v e > t r u e < / A c t i v e >  
         < P r o t e c t e d L i n k > f a l s e < / P r o t e c t e d L i n k >  
         < N a m e > 2 8 1 0 1   T B   @   3 1 . 1 2 . 2 0 2 0   3 1 6 c 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 3 1 6 c < / A c c o u n t N u m b e r >  
         < R o u n d e d > f a l s e < / R o u n d e d >  
     < / T B L i n k >  
     < T B L i n k >  
         < V e r s i o n > 4 < / V e r s i o n >  
         < C o l u m n F i l t e r s / >  
         < D A L i n k I D > 0 0 d a c 9 c 7 - 4 4 0 2 - 4 b 8 c - 9 7 8 b - 5 c 4 d 2 9 b 5 2 5 6 e < / D A L i n k I D >  
         < L i n k T y p e > 0 < / L i n k T y p e >  
         < P a r a m e t e r s / >  
         < I n c l u d e A l l I t e m s > f a l s e < / I n c l u d e A l l I t e m s >  
         < A c t i v e > t r u e < / A c t i v e >  
         < P r o t e c t e d L i n k > f a l s e < / P r o t e c t e d L i n k >  
         < N a m e > 2 8 1 0 1   T B   @   3 1 . 1 2 . 2 0 2 0   3 1 6 d 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 3 1 6 d < / A c c o u n t N u m b e r >  
         < R o u n d e d > f a l s e < / R o u n d e d >  
     < / T B L i n k >  
     < T B L i n k >  
         < V e r s i o n > 4 < / V e r s i o n >  
         < C o l u m n F i l t e r s / >  
         < D A L i n k I D > 3 0 1 c 2 1 b 8 - f 6 1 0 - 4 1 9 5 - a 7 b 6 - 5 f 2 f 5 4 4 8 f 2 b 6 < / D A L i n k I D >  
         < L i n k T y p e > 0 < / L i n k T y p e >  
         < P a r a m e t e r s / >  
         < I n c l u d e A l l I t e m s > f a l s e < / I n c l u d e A l l I t e m s >  
         < A c t i v e > t r u e < / A c t i v e >  
         < P r o t e c t e d L i n k > f a l s e < / P r o t e c t e d L i n k >  
         < N a m e > 2 8 1 0 1   T B   @   3 1 . 1 2 . 2 0 2 0   3 2 1 a 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 3 2 1 a < / A c c o u n t N u m b e r >  
         < R o u n d e d > f a l s e < / R o u n d e d >  
     < / T B L i n k >  
     < T B L i n k >  
         < V e r s i o n > 4 < / V e r s i o n >  
         < C o l u m n F i l t e r s / >  
         < D A L i n k I D > 2 0 a 7 e 7 7 8 - d e 8 f - 4 f d e - 8 1 7 6 - 7 9 b 5 4 0 7 6 4 3 f 1 < / D A L i n k I D >  
         < L i n k T y p e > 0 < / L i n k T y p e >  
         < P a r a m e t e r s / >  
         < I n c l u d e A l l I t e m s > f a l s e < / I n c l u d e A l l I t e m s >  
         < A c t i v e > t r u e < / A c t i v e >  
         < P r o t e c t e d L i n k > f a l s e < / P r o t e c t e d L i n k >  
         < N a m e > 2 8 1 0 1   T B   @   3 1 . 1 2 . 2 0 2 0   3 2 1 b 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 3 2 1 b < / A c c o u n t N u m b e r >  
         < R o u n d e d > f a l s e < / R o u n d e d >  
     < / T B L i n k >  
     < T B L i n k >  
         < V e r s i o n > 4 < / V e r s i o n >  
         < C o l u m n F i l t e r s / >  
         < D A L i n k I D > 1 b 4 d 3 9 9 e - b 2 d 8 - 4 d 7 3 - a a 9 a - 7 3 7 e 6 3 c 1 e 3 f 8 < / D A L i n k I D >  
         < L i n k T y p e > 0 < / L i n k T y p e >  
         < P a r a m e t e r s / >  
         < I n c l u d e A l l I t e m s > f a l s e < / I n c l u d e A l l I t e m s >  
         < A c t i v e > t r u e < / A c t i v e >  
         < P r o t e c t e d L i n k > f a l s e < / P r o t e c t e d L i n k >  
         < N a m e > 2 8 1 0 1   T B   @   3 1 . 1 2 . 2 0 2 0   3 2 1 c 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 3 2 1 c < / A c c o u n t N u m b e r >  
         < R o u n d e d > f a l s e < / R o u n d e d >  
     < / T B L i n k >  
     < T B L i n k >  
         < V e r s i o n > 4 < / V e r s i o n >  
         < C o l u m n F i l t e r s / >  
         < D A L i n k I D > 7 8 d 8 8 9 0 5 - 4 9 8 0 - 4 2 9 f - b c a d - 9 a f e 1 7 f d e 7 9 6 < / D A L i n k I D >  
         < L i n k T y p e > 0 < / L i n k T y p e >  
         < P a r a m e t e r s / >  
         < I n c l u d e A l l I t e m s > f a l s e < / I n c l u d e A l l I t e m s >  
         < A c t i v e > t r u e < / A c t i v e >  
         < P r o t e c t e d L i n k > f a l s e < / P r o t e c t e d L i n k >  
         < N a m e > 2 8 1 0 1   T B   @   3 1 . 1 2 . 2 0 2 0   3 2 1 d 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 - 1 0 1 7 6 1 7 . 0 0 0 0 < / N u m e r i c V a l u e >  
         < V a l u e > - 1 0 1 7 6 1 7 , 0 0 0 0 < / V a l u e >  
         < C h a r t T y p e > c t D e t a i l < / C h a r t T y p e >  
         < R e f e r e n c e > 2 8 1 0 1 < / R e f e r e n c e >  
         < T B D o c N a m e > T B   @   3 1 . 1 2 . 2 0 2 0 < / T B D o c N a m e >  
         < T B C h a r t N a m e > D e t a i l < / T B C h a r t N a m e >  
         < C o l u m n N a m e > P r i o r P e r i o d 2 B a l a n c e < / C o l u m n N a m e >  
         < U s e r F r i e n d l y C o l u m n N a m e > 3 1 . 1 2 . 2 0 1 9 < / U s e r F r i e n d l y C o l u m n N a m e >  
         < A c c o u n t N u m b e r > 3 2 1 d < / A c c o u n t N u m b e r >  
         < R o u n d e d > f a l s e < / R o u n d e d >  
     < / T B L i n k >  
     < T B L i n k >  
         < V e r s i o n > 4 < / V e r s i o n >  
         < C o l u m n F i l t e r s / >  
         < D A L i n k I D > 6 1 4 b 1 7 4 6 - c c 1 c - 4 f 1 d - 8 0 e e - a 7 b c 7 8 e 4 5 0 e c < / D A L i n k I D >  
         < L i n k T y p e > 0 < / L i n k T y p e >  
         < P a r a m e t e r s / >  
         < I n c l u d e A l l I t e m s > f a l s e < / I n c l u d e A l l I t e m s >  
         < A c t i v e > t r u e < / A c t i v e >  
         < P r o t e c t e d L i n k > f a l s e < / P r o t e c t e d L i n k >  
         < N a m e > 2 8 1 0 1   T B   @   3 1 . 1 2 . 2 0 2 0   3 2 1 e 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 - 1 4 7 1 1 4 . 0 0 0 0 < / N u m e r i c V a l u e >  
         < V a l u e > - 1 4 7 1 1 4 , 0 0 0 0 < / V a l u e >  
         < C h a r t T y p e > c t D e t a i l < / C h a r t T y p e >  
         < R e f e r e n c e > 2 8 1 0 1 < / R e f e r e n c e >  
         < T B D o c N a m e > T B   @   3 1 . 1 2 . 2 0 2 0 < / T B D o c N a m e >  
         < T B C h a r t N a m e > D e t a i l < / T B C h a r t N a m e >  
         < C o l u m n N a m e > P r i o r P e r i o d 2 B a l a n c e < / C o l u m n N a m e >  
         < U s e r F r i e n d l y C o l u m n N a m e > 3 1 . 1 2 . 2 0 1 9 < / U s e r F r i e n d l y C o l u m n N a m e >  
         < A c c o u n t N u m b e r > 3 2 1 e < / A c c o u n t N u m b e r >  
         < R o u n d e d > f a l s e < / R o u n d e d >  
     < / T B L i n k >  
     < T B L i n k >  
         < V e r s i o n > 4 < / V e r s i o n >  
         < C o l u m n F i l t e r s / >  
         < D A L i n k I D > a 6 9 d a c 4 c - e f 7 a - 4 0 3 8 - b 6 3 8 - 9 5 9 a e 5 5 b 9 c c 4 < / D A L i n k I D >  
         < L i n k T y p e > 0 < / L i n k T y p e >  
         < P a r a m e t e r s / >  
         < I n c l u d e A l l I t e m s > f a l s e < / I n c l u d e A l l I t e m s >  
         < A c t i v e > t r u e < / A c t i v e >  
         < P r o t e c t e d L i n k > f a l s e < / P r o t e c t e d L i n k >  
         < N a m e > 2 8 1 0 1   T B   @   3 1 . 1 2 . 2 0 2 0   3 2 1 f 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 - 1 1 6 2 9 8 6 . 0 0 0 0 < / N u m e r i c V a l u e >  
         < V a l u e > - 1 1 6 2 9 8 6 , 0 0 0 0 < / V a l u e >  
         < C h a r t T y p e > c t D e t a i l < / C h a r t T y p e >  
         < R e f e r e n c e > 2 8 1 0 1 < / R e f e r e n c e >  
         < T B D o c N a m e > T B   @   3 1 . 1 2 . 2 0 2 0 < / T B D o c N a m e >  
         < T B C h a r t N a m e > D e t a i l < / T B C h a r t N a m e >  
         < C o l u m n N a m e > P r i o r P e r i o d 2 B a l a n c e < / C o l u m n N a m e >  
         < U s e r F r i e n d l y C o l u m n N a m e > 3 1 . 1 2 . 2 0 1 9 < / U s e r F r i e n d l y C o l u m n N a m e >  
         < A c c o u n t N u m b e r > 3 2 1 f < / A c c o u n t N u m b e r >  
         < R o u n d e d > f a l s e < / R o u n d e d >  
     < / T B L i n k >  
     < T B L i n k >  
         < V e r s i o n > 4 < / V e r s i o n >  
         < C o l u m n F i l t e r s / >  
         < D A L i n k I D > 2 3 9 3 7 5 0 2 - 4 9 9 8 - 4 c 4 9 - a b b 8 - 3 c 2 7 a c e 0 4 b f a < / D A L i n k I D >  
         < L i n k T y p e > 0 < / L i n k T y p e >  
         < P a r a m e t e r s / >  
         < I n c l u d e A l l I t e m s > f a l s e < / I n c l u d e A l l I t e m s >  
         < A c t i v e > t r u e < / A c t i v e >  
         < P r o t e c t e d L i n k > f a l s e < / P r o t e c t e d L i n k >  
         < N a m e > 2 8 1 0 1   T B   @   3 1 . 1 2 . 2 0 2 0   3 2 2 a 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 3 2 2 a < / A c c o u n t N u m b e r >  
         < R o u n d e d > f a l s e < / R o u n d e d >  
     < / T B L i n k >  
     < T B L i n k >  
         < V e r s i o n > 4 < / V e r s i o n >  
         < C o l u m n F i l t e r s / >  
         < D A L i n k I D > e b c d d 3 b 2 - 5 b d c - 4 9 2 2 - a 1 5 d - 4 9 a 9 5 7 d d 7 a 0 5 < / D A L i n k I D >  
         < L i n k T y p e > 0 < / L i n k T y p e >  
         < P a r a m e t e r s / >  
         < I n c l u d e A l l I t e m s > f a l s e < / I n c l u d e A l l I t e m s >  
         < A c t i v e > t r u e < / A c t i v e >  
         < P r o t e c t e d L i n k > f a l s e < / P r o t e c t e d L i n k >  
         < N a m e > 2 8 1 0 1   T B   @   3 1 . 1 2 . 2 0 2 0   3 2 2 b 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 3 2 2 b < / A c c o u n t N u m b e r >  
         < R o u n d e d > f a l s e < / R o u n d e d >  
     < / T B L i n k >  
     < T B L i n k >  
         < V e r s i o n > 4 < / V e r s i o n >  
         < C o l u m n F i l t e r s / >  
         < D A L i n k I D > 6 4 4 a 9 4 6 2 - f 9 8 1 - 4 4 3 c - 8 4 d 8 - 4 4 7 3 9 5 3 2 6 4 2 f < / D A L i n k I D >  
         < L i n k T y p e > 0 < / L i n k T y p e >  
         < P a r a m e t e r s / >  
         < I n c l u d e A l l I t e m s > f a l s e < / I n c l u d e A l l I t e m s >  
         < A c t i v e > t r u e < / A c t i v e >  
         < P r o t e c t e d L i n k > f a l s e < / P r o t e c t e d L i n k >  
         < N a m e > 2 8 1 0 1   T B   @   3 1 . 1 2 . 2 0 2 0   3 2 2 c 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 3 2 2 c < / A c c o u n t N u m b e r >  
         < R o u n d e d > f a l s e < / R o u n d e d >  
     < / T B L i n k >  
     < T B L i n k >  
         < V e r s i o n > 4 < / V e r s i o n >  
         < C o l u m n F i l t e r s / >  
         < D A L i n k I D > 3 c f f 9 5 8 e - 7 7 f b - 4 0 c e - 8 4 c d - 4 8 7 0 2 3 6 3 a d 2 0 < / D A L i n k I D >  
         < L i n k T y p e > 0 < / L i n k T y p e >  
         < P a r a m e t e r s / >  
         < I n c l u d e A l l I t e m s > f a l s e < / I n c l u d e A l l I t e m s >  
         < A c t i v e > t r u e < / A c t i v e >  
         < P r o t e c t e d L i n k > f a l s e < / P r o t e c t e d L i n k >  
         < N a m e > 2 8 1 0 1   T B   @   3 1 . 1 2 . 2 0 2 0   3 2 3 a 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 - 2 3 8 7 3 . 0 0 0 0 < / N u m e r i c V a l u e >  
         < V a l u e > - 2 3 8 7 3 , 0 0 0 0 < / V a l u e >  
         < C h a r t T y p e > c t D e t a i l < / C h a r t T y p e >  
         < R e f e r e n c e > 2 8 1 0 1 < / R e f e r e n c e >  
         < T B D o c N a m e > T B   @   3 1 . 1 2 . 2 0 2 0 < / T B D o c N a m e >  
         < T B C h a r t N a m e > D e t a i l < / T B C h a r t N a m e >  
         < C o l u m n N a m e > P r i o r P e r i o d 2 B a l a n c e < / C o l u m n N a m e >  
         < U s e r F r i e n d l y C o l u m n N a m e > 3 1 . 1 2 . 2 0 1 9 < / U s e r F r i e n d l y C o l u m n N a m e >  
         < A c c o u n t N u m b e r > 3 2 3 a < / A c c o u n t N u m b e r >  
         < R o u n d e d > f a l s e < / R o u n d e d >  
     < / T B L i n k >  
     < T B L i n k >  
         < V e r s i o n > 4 < / V e r s i o n >  
         < C o l u m n F i l t e r s / >  
         < D A L i n k I D > 6 2 8 0 0 6 0 1 - 6 1 2 9 - 4 e 9 9 - a 1 d d - 8 c 6 8 f d c 4 f c 0 b < / D A L i n k I D >  
         < L i n k T y p e > 0 < / L i n k T y p e >  
         < P a r a m e t e r s / >  
         < I n c l u d e A l l I t e m s > f a l s e < / I n c l u d e A l l I t e m s >  
         < A c t i v e > t r u e < / A c t i v e >  
         < P r o t e c t e d L i n k > f a l s e < / P r o t e c t e d L i n k >  
         < N a m e > 2 8 1 0 1   T B   @   3 1 . 1 2 . 2 0 2 0   3 2 3 b 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 - 1 3 3 5 0 . 0 0 0 0 < / N u m e r i c V a l u e >  
         < V a l u e > - 1 3 3 5 0 , 0 0 0 0 < / V a l u e >  
         < C h a r t T y p e > c t D e t a i l < / C h a r t T y p e >  
         < R e f e r e n c e > 2 8 1 0 1 < / R e f e r e n c e >  
         < T B D o c N a m e > T B   @   3 1 . 1 2 . 2 0 2 0 < / T B D o c N a m e >  
         < T B C h a r t N a m e > D e t a i l < / T B C h a r t N a m e >  
         < C o l u m n N a m e > P r i o r P e r i o d 2 B a l a n c e < / C o l u m n N a m e >  
         < U s e r F r i e n d l y C o l u m n N a m e > 3 1 . 1 2 . 2 0 1 9 < / U s e r F r i e n d l y C o l u m n N a m e >  
         < A c c o u n t N u m b e r > 3 2 3 b < / A c c o u n t N u m b e r >  
         < R o u n d e d > f a l s e < / R o u n d e d >  
     < / T B L i n k >  
     < T B L i n k >  
         < V e r s i o n > 4 < / V e r s i o n >  
         < C o l u m n F i l t e r s / >  
         < D A L i n k I D > e 0 c a a f 8 8 - 1 1 d 8 - 4 e 0 f - 9 2 f 4 - d 9 7 d 3 6 9 a 2 6 4 6 < / D A L i n k I D >  
         < L i n k T y p e > 0 < / L i n k T y p e >  
         < P a r a m e t e r s / >  
         < I n c l u d e A l l I t e m s > f a l s e < / I n c l u d e A l l I t e m s >  
         < A c t i v e > t r u e < / A c t i v e >  
         < P r o t e c t e d L i n k > f a l s e < / P r o t e c t e d L i n k >  
         < N a m e > 2 8 1 0 1   T B   @   3 1 . 1 2 . 2 0 2 0   3 2 4 a 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 - 7 4 0 0 0 . 0 0 0 0 < / N u m e r i c V a l u e >  
         < V a l u e > - 7 4 0 0 0 , 0 0 0 0 < / V a l u e >  
         < C h a r t T y p e > c t D e t a i l < / C h a r t T y p e >  
         < R e f e r e n c e > 2 8 1 0 1 < / R e f e r e n c e >  
         < T B D o c N a m e > T B   @   3 1 . 1 2 . 2 0 2 0 < / T B D o c N a m e >  
         < T B C h a r t N a m e > D e t a i l < / T B C h a r t N a m e >  
         < C o l u m n N a m e > P r i o r P e r i o d 2 B a l a n c e < / C o l u m n N a m e >  
         < U s e r F r i e n d l y C o l u m n N a m e > 3 1 . 1 2 . 2 0 1 9 < / U s e r F r i e n d l y C o l u m n N a m e >  
         < A c c o u n t N u m b e r > 3 2 4 a < / A c c o u n t N u m b e r >  
         < R o u n d e d > f a l s e < / R o u n d e d >  
     < / T B L i n k >  
     < T B L i n k >  
         < V e r s i o n > 4 < / V e r s i o n >  
         < C o l u m n F i l t e r s / >  
         < D A L i n k I D > 7 a 9 b b 7 1 8 - 2 f b 9 - 4 5 1 8 - 9 1 9 1 - 1 3 c a e e 5 1 7 e d 3 < / D A L i n k I D >  
         < L i n k T y p e > 0 < / L i n k T y p e >  
         < P a r a m e t e r s / >  
         < I n c l u d e A l l I t e m s > f a l s e < / I n c l u d e A l l I t e m s >  
         < A c t i v e > t r u e < / A c t i v e >  
         < P r o t e c t e d L i n k > f a l s e < / P r o t e c t e d L i n k >  
         < N a m e > 2 8 1 0 1   T B   @   3 1 . 1 2 . 2 0 2 0   3 2 4 b 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 3 2 4 b < / A c c o u n t N u m b e r >  
         < R o u n d e d > f a l s e < / R o u n d e d >  
     < / T B L i n k >  
     < T B L i n k >  
         < V e r s i o n > 4 < / V e r s i o n >  
         < C o l u m n F i l t e r s / >  
         < D A L i n k I D > 1 c f 3 8 5 1 1 - d 9 8 5 - 4 1 2 c - a 2 4 4 - c 0 f c f 0 5 4 a 5 8 9 < / D A L i n k I D >  
         < L i n k T y p e > 0 < / L i n k T y p e >  
         < P a r a m e t e r s / >  
         < I n c l u d e A l l I t e m s > f a l s e < / I n c l u d e A l l I t e m s >  
         < A c t i v e > t r u e < / A c t i v e >  
         < P r o t e c t e d L i n k > f a l s e < / P r o t e c t e d L i n k >  
         < N a m e > 2 8 1 0 1   T B   @   3 1 . 1 2 . 2 0 2 0   3 2 4 c 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 - 2 9 2 2 5 9 . 0 0 0 0 < / N u m e r i c V a l u e >  
         < V a l u e > - 2 9 2 2 5 9 , 0 0 0 0 < / V a l u e >  
         < C h a r t T y p e > c t D e t a i l < / C h a r t T y p e >  
         < R e f e r e n c e > 2 8 1 0 1 < / R e f e r e n c e >  
         < T B D o c N a m e > T B   @   3 1 . 1 2 . 2 0 2 0 < / T B D o c N a m e >  
         < T B C h a r t N a m e > D e t a i l < / T B C h a r t N a m e >  
         < C o l u m n N a m e > P r i o r P e r i o d 2 B a l a n c e < / C o l u m n N a m e >  
         < U s e r F r i e n d l y C o l u m n N a m e > 3 1 . 1 2 . 2 0 1 9 < / U s e r F r i e n d l y C o l u m n N a m e >  
         < A c c o u n t N u m b e r > 3 2 4 c < / A c c o u n t N u m b e r >  
         < R o u n d e d > f a l s e < / R o u n d e d >  
     < / T B L i n k >  
     < T B L i n k >  
         < V e r s i o n > 4 < / V e r s i o n >  
         < C o l u m n F i l t e r s / >  
         < D A L i n k I D > 0 7 b 5 4 9 5 5 - b 5 2 8 - 4 7 a c - b f d 7 - c 2 b f 5 0 c 7 1 b f d < / D A L i n k I D >  
         < L i n k T y p e > 0 < / L i n k T y p e >  
         < P a r a m e t e r s / >  
         < I n c l u d e A l l I t e m s > f a l s e < / I n c l u d e A l l I t e m s >  
         < A c t i v e > t r u e < / A c t i v e >  
         < P r o t e c t e d L i n k > f a l s e < / P r o t e c t e d L i n k >  
         < N a m e > 2 8 1 0 1   T B   @   3 1 . 1 2 . 2 0 2 0   3 2 5 a 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 3 2 5 a < / A c c o u n t N u m b e r >  
         < R o u n d e d > f a l s e < / R o u n d e d >  
     < / T B L i n k >  
     < T B L i n k >  
         < V e r s i o n > 4 < / V e r s i o n >  
         < C o l u m n F i l t e r s / >  
         < D A L i n k I D > a d 7 0 f 2 8 3 - 1 3 2 7 - 4 6 c 2 - 9 1 5 1 - a a 6 8 3 a 9 9 d 7 7 5 < / D A L i n k I D >  
         < L i n k T y p e > 0 < / L i n k T y p e >  
         < P a r a m e t e r s / >  
         < I n c l u d e A l l I t e m s > f a l s e < / I n c l u d e A l l I t e m s >  
         < A c t i v e > t r u e < / A c t i v e >  
         < P r o t e c t e d L i n k > f a l s e < / P r o t e c t e d L i n k >  
         < N a m e > 2 8 1 0 1   T B   @   3 1 . 1 2 . 2 0 2 0   3 2 5 b 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 3 2 5 b < / A c c o u n t N u m b e r >  
         < R o u n d e d > f a l s e < / R o u n d e d >  
     < / T B L i n k >  
     < T B L i n k >  
         < V e r s i o n > 4 < / V e r s i o n >  
         < C o l u m n F i l t e r s / >  
         < D A L i n k I D > 7 1 6 2 9 5 d f - 4 2 b e - 4 e 5 7 - 8 9 b 9 - b 0 0 a 0 d 3 9 8 0 5 e < / D A L i n k I D >  
         < L i n k T y p e > 0 < / L i n k T y p e >  
         < P a r a m e t e r s / >  
         < I n c l u d e A l l I t e m s > f a l s e < / I n c l u d e A l l I t e m s >  
         < A c t i v e > t r u e < / A c t i v e >  
         < P r o t e c t e d L i n k > f a l s e < / P r o t e c t e d L i n k >  
         < N a m e > 2 8 1 0 1   T B   @   3 1 . 1 2 . 2 0 2 0   3 2 5 c 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 3 2 5 c < / A c c o u n t N u m b e r >  
         < R o u n d e d > f a l s e < / R o u n d e d >  
     < / T B L i n k >  
     < T B L i n k >  
         < V e r s i o n > 4 < / V e r s i o n >  
         < C o l u m n F i l t e r s / >  
         < D A L i n k I D > 9 a a 1 7 7 3 2 - 2 b 2 1 - 4 b e a - b 6 0 9 - c 1 5 9 f 3 5 e 1 7 c 3 < / D A L i n k I D >  
         < L i n k T y p e > 0 < / L i n k T y p e >  
         < P a r a m e t e r s / >  
         < I n c l u d e A l l I t e m s > f a l s e < / I n c l u d e A l l I t e m s >  
         < A c t i v e > t r u e < / A c t i v e >  
         < P r o t e c t e d L i n k > f a l s e < / P r o t e c t e d L i n k >  
         < N a m e > 2 8 1 0 1   T B   @   3 1 . 1 2 . 2 0 2 0   3 2 6 a 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 - 1 5 8 3 3 . 0 0 0 0 < / N u m e r i c V a l u e >  
         < V a l u e > - 1 5 8 3 3 , 0 0 0 0 < / V a l u e >  
         < C h a r t T y p e > c t D e t a i l < / C h a r t T y p e >  
         < R e f e r e n c e > 2 8 1 0 1 < / R e f e r e n c e >  
         < T B D o c N a m e > T B   @   3 1 . 1 2 . 2 0 2 0 < / T B D o c N a m e >  
         < T B C h a r t N a m e > D e t a i l < / T B C h a r t N a m e >  
         < C o l u m n N a m e > P r i o r P e r i o d 2 B a l a n c e < / C o l u m n N a m e >  
         < U s e r F r i e n d l y C o l u m n N a m e > 3 1 . 1 2 . 2 0 1 9 < / U s e r F r i e n d l y C o l u m n N a m e >  
         < A c c o u n t N u m b e r > 3 2 6 a < / A c c o u n t N u m b e r >  
         < R o u n d e d > f a l s e < / R o u n d e d >  
     < / T B L i n k >  
     < T B L i n k >  
         < V e r s i o n > 4 < / V e r s i o n >  
         < C o l u m n F i l t e r s / >  
         < D A L i n k I D > 0 0 7 7 1 2 2 4 - 5 a a 0 - 4 2 e 5 - 9 1 b c - 6 4 d 3 b f 6 1 b 0 5 d < / D A L i n k I D >  
         < L i n k T y p e > 0 < / L i n k T y p e >  
         < P a r a m e t e r s / >  
         < I n c l u d e A l l I t e m s > f a l s e < / I n c l u d e A l l I t e m s >  
         < A c t i v e > t r u e < / A c t i v e >  
         < P r o t e c t e d L i n k > f a l s e < / P r o t e c t e d L i n k >  
         < N a m e > 2 8 1 0 1   T B   @   3 1 . 1 2 . 2 0 2 0   3 2 6 b 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 3 2 6 b < / A c c o u n t N u m b e r >  
         < R o u n d e d > f a l s e < / R o u n d e d >  
     < / T B L i n k >  
     < T B L i n k >  
         < V e r s i o n > 4 < / V e r s i o n >  
         < C o l u m n F i l t e r s / >  
         < D A L i n k I D > 6 2 0 5 0 b 5 d - 7 5 e c - 4 e 9 8 - b 8 9 7 - 5 5 6 6 b 5 b 3 e 1 6 a < / D A L i n k I D >  
         < L i n k T y p e > 0 < / L i n k T y p e >  
         < P a r a m e t e r s / >  
         < I n c l u d e A l l I t e m s > f a l s e < / I n c l u d e A l l I t e m s >  
         < A c t i v e > t r u e < / A c t i v e >  
         < P r o t e c t e d L i n k > f a l s e < / P r o t e c t e d L i n k >  
         < N a m e > 2 8 1 0 1   T B   @   3 1 . 1 2 . 2 0 2 0   3 2 6 c 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 - 5 1 0 . 0 0 0 0 < / N u m e r i c V a l u e >  
         < V a l u e > - 5 1 0 , 0 0 0 0 < / V a l u e >  
         < C h a r t T y p e > c t D e t a i l < / C h a r t T y p e >  
         < R e f e r e n c e > 2 8 1 0 1 < / R e f e r e n c e >  
         < T B D o c N a m e > T B   @   3 1 . 1 2 . 2 0 2 0 < / T B D o c N a m e >  
         < T B C h a r t N a m e > D e t a i l < / T B C h a r t N a m e >  
         < C o l u m n N a m e > P r i o r P e r i o d 2 B a l a n c e < / C o l u m n N a m e >  
         < U s e r F r i e n d l y C o l u m n N a m e > 3 1 . 1 2 . 2 0 1 9 < / U s e r F r i e n d l y C o l u m n N a m e >  
         < A c c o u n t N u m b e r > 3 2 6 c < / A c c o u n t N u m b e r >  
         < R o u n d e d > f a l s e < / R o u n d e d >  
     < / T B L i n k >  
     < T B L i n k >  
         < V e r s i o n > 4 < / V e r s i o n >  
         < C o l u m n F i l t e r s / >  
         < D A L i n k I D > 9 c 5 1 f 4 a c - 7 f 8 1 - 4 a 6 e - 8 5 0 d - d d 6 0 b f 2 6 7 d 9 d < / D A L i n k I D >  
         < L i n k T y p e > 0 < / L i n k T y p e >  
         < P a r a m e t e r s / >  
         < I n c l u d e A l l I t e m s > f a l s e < / I n c l u d e A l l I t e m s >  
         < A c t i v e > t r u e < / A c t i v e >  
         < P r o t e c t e d L i n k > f a l s e < / P r o t e c t e d L i n k >  
         < N a m e > 2 8 1 0 1   T B   @   3 1 . 1 2 . 2 0 2 0   3 3 1 x 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 - 6 5 5 0 1 . 0 0 0 0 < / N u m e r i c V a l u e >  
         < V a l u e > - 6 5 5 0 1 , 0 0 0 0 < / V a l u e >  
         < C h a r t T y p e > c t D e t a i l < / C h a r t T y p e >  
         < R e f e r e n c e > 2 8 1 0 1 < / R e f e r e n c e >  
         < T B D o c N a m e > T B   @   3 1 . 1 2 . 2 0 2 0 < / T B D o c N a m e >  
         < T B C h a r t N a m e > D e t a i l < / T B C h a r t N a m e >  
         < C o l u m n N a m e > P r i o r P e r i o d 2 B a l a n c e < / C o l u m n N a m e >  
         < U s e r F r i e n d l y C o l u m n N a m e > 3 1 . 1 2 . 2 0 1 9 < / U s e r F r i e n d l y C o l u m n N a m e >  
         < A c c o u n t N u m b e r > 3 3 1 x < / A c c o u n t N u m b e r >  
         < R o u n d e d > f a l s e < / R o u n d e d >  
     < / T B L i n k >  
     < T B L i n k >  
         < V e r s i o n > 4 < / V e r s i o n >  
         < C o l u m n F i l t e r s / >  
         < D A L i n k I D > 2 d c 6 a d c 4 - 2 3 c 4 - 4 d 8 e - a 4 6 a - b e 7 6 a b e 1 9 4 8 b < / D A L i n k I D >  
         < L i n k T y p e > 0 < / L i n k T y p e >  
         < P a r a m e t e r s / >  
         < I n c l u d e A l l I t e m s > f a l s e < / I n c l u d e A l l I t e m s >  
         < A c t i v e > t r u e < / A c t i v e >  
         < P r o t e c t e d L i n k > f a l s e < / P r o t e c t e d L i n k >  
         < N a m e > 2 8 1 0 1   T B   @   3 1 . 1 2 . 2 0 2 0   3 3 3 x 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 3 3 3 x < / A c c o u n t N u m b e r >  
         < R o u n d e d > f a l s e < / R o u n d e d >  
     < / T B L i n k >  
     < T B L i n k >  
         < V e r s i o n > 4 < / V e r s i o n >  
         < C o l u m n F i l t e r s / >  
         < D A L i n k I D > 1 3 f 0 3 5 f 6 - b 4 0 1 - 4 1 4 6 - 8 d 1 2 - 0 0 d 0 3 c 6 e b f e a < / D A L i n k I D >  
         < L i n k T y p e > 0 < / L i n k T y p e >  
         < P a r a m e t e r s / >  
         < I n c l u d e A l l I t e m s > f a l s e < / I n c l u d e A l l I t e m s >  
         < A c t i v e > t r u e < / A c t i v e >  
         < P r o t e c t e d L i n k > f a l s e < / P r o t e c t e d L i n k >  
         < N a m e > 2 8 1 0 1   T B   @   3 1 . 1 2 . 2 0 2 0   3 3 5 a 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 3 3 5 a < / A c c o u n t N u m b e r >  
         < R o u n d e d > f a l s e < / R o u n d e d >  
     < / T B L i n k >  
     < T B L i n k >  
         < V e r s i o n > 4 < / V e r s i o n >  
         < C o l u m n F i l t e r s / >  
         < D A L i n k I D > f 6 e 2 5 e b 3 - e d b e - 4 3 e 7 - 8 b 3 9 - f a 1 9 b 9 0 b 2 4 3 0 < / D A L i n k I D >  
         < L i n k T y p e > 0 < / L i n k T y p e >  
         < P a r a m e t e r s / >  
         < I n c l u d e A l l I t e m s > f a l s e < / I n c l u d e A l l I t e m s >  
         < A c t i v e > t r u e < / A c t i v e >  
         < P r o t e c t e d L i n k > f a l s e < / P r o t e c t e d L i n k >  
         < N a m e > 2 8 1 0 1   T B   @   3 1 . 1 2 . 2 0 2 0   3 3 5 b 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 6 8 8 4 . 0 0 0 0 < / N u m e r i c V a l u e >  
         < V a l u e > 6 8 8 4 , 0 0 0 0 < / V a l u e >  
         < C h a r t T y p e > c t D e t a i l < / C h a r t T y p e >  
         < R e f e r e n c e > 2 8 1 0 1 < / R e f e r e n c e >  
         < T B D o c N a m e > T B   @   3 1 . 1 2 . 2 0 2 0 < / T B D o c N a m e >  
         < T B C h a r t N a m e > D e t a i l < / T B C h a r t N a m e >  
         < C o l u m n N a m e > P r i o r P e r i o d 2 B a l a n c e < / C o l u m n N a m e >  
         < U s e r F r i e n d l y C o l u m n N a m e > 3 1 . 1 2 . 2 0 1 9 < / U s e r F r i e n d l y C o l u m n N a m e >  
         < A c c o u n t N u m b e r > 3 3 5 b < / A c c o u n t N u m b e r >  
         < R o u n d e d > f a l s e < / R o u n d e d >  
     < / T B L i n k >  
     < T B L i n k >  
         < V e r s i o n > 4 < / V e r s i o n >  
         < C o l u m n F i l t e r s / >  
         < D A L i n k I D > 3 c 8 6 7 5 d 2 - 6 3 9 c - 4 6 a 1 - 9 4 4 2 - 7 c 4 0 9 b c 4 8 0 6 2 < / D A L i n k I D >  
         < L i n k T y p e > 0 < / L i n k T y p e >  
         < P a r a m e t e r s / >  
         < I n c l u d e A l l I t e m s > f a l s e < / I n c l u d e A l l I t e m s >  
         < A c t i v e > t r u e < / A c t i v e >  
         < P r o t e c t e d L i n k > f a l s e < / P r o t e c t e d L i n k >  
         < N a m e > 2 8 1 0 1   T B   @   3 1 . 1 2 . 2 0 2 0   3 3 6 a 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 3 3 6 a < / A c c o u n t N u m b e r >  
         < R o u n d e d > f a l s e < / R o u n d e d >  
     < / T B L i n k >  
     < T B L i n k >  
         < V e r s i o n > 4 < / V e r s i o n >  
         < C o l u m n F i l t e r s / >  
         < D A L i n k I D > 4 8 7 9 f b f a - e 3 7 9 - 4 3 c 9 - b c e 7 - d 0 2 a a 0 e 5 6 c 8 8 < / D A L i n k I D >  
         < L i n k T y p e > 0 < / L i n k T y p e >  
         < P a r a m e t e r s / >  
         < I n c l u d e A l l I t e m s > f a l s e < / I n c l u d e A l l I t e m s >  
         < A c t i v e > t r u e < / A c t i v e >  
         < P r o t e c t e d L i n k > f a l s e < / P r o t e c t e d L i n k >  
         < N a m e > 2 8 1 0 1   T B   @   3 1 . 1 2 . 2 0 2 0   3 3 6 b 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 3 3 6 b < / A c c o u n t N u m b e r >  
         < R o u n d e d > f a l s e < / R o u n d e d >  
     < / T B L i n k >  
     < T B L i n k >  
         < V e r s i o n > 4 < / V e r s i o n >  
         < C o l u m n F i l t e r s / >  
         < D A L i n k I D > 7 b a b 7 8 9 8 - 6 7 7 c - 4 c a 1 - a 2 9 b - 4 9 c b f a 9 9 1 2 e 1 < / D A L i n k I D >  
         < L i n k T y p e > 0 < / L i n k T y p e >  
         < P a r a m e t e r s / >  
         < I n c l u d e A l l I t e m s > f a l s e < / I n c l u d e A l l I t e m s >  
         < A c t i v e > t r u e < / A c t i v e >  
         < P r o t e c t e d L i n k > f a l s e < / P r o t e c t e d L i n k >  
         < N a m e > 2 8 1 0 1   T B   @   3 1 . 1 2 . 2 0 2 0   3 3 6 c 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 - 4 9 5 2 7 . 0 0 0 0 < / N u m e r i c V a l u e >  
         < V a l u e > - 4 9 5 2 7 , 0 0 0 0 < / V a l u e >  
         < C h a r t T y p e > c t D e t a i l < / C h a r t T y p e >  
         < R e f e r e n c e > 2 8 1 0 1 < / R e f e r e n c e >  
         < T B D o c N a m e > T B   @   3 1 . 1 2 . 2 0 2 0 < / T B D o c N a m e >  
         < T B C h a r t N a m e > D e t a i l < / T B C h a r t N a m e >  
         < C o l u m n N a m e > P r i o r P e r i o d 2 B a l a n c e < / C o l u m n N a m e >  
         < U s e r F r i e n d l y C o l u m n N a m e > 3 1 . 1 2 . 2 0 1 9 < / U s e r F r i e n d l y C o l u m n N a m e >  
         < A c c o u n t N u m b e r > 3 3 6 c < / A c c o u n t N u m b e r >  
         < R o u n d e d > f a l s e < / R o u n d e d >  
     < / T B L i n k >  
     < T B L i n k >  
         < V e r s i o n > 4 < / V e r s i o n >  
         < C o l u m n F i l t e r s / >  
         < D A L i n k I D > 3 5 d d f 4 5 d - f 2 1 b - 4 5 3 a - b 2 d 7 - 0 e 1 e 6 b b 6 f d d f < / D A L i n k I D >  
         < L i n k T y p e > 0 < / L i n k T y p e >  
         < P a r a m e t e r s / >  
         < I n c l u d e A l l I t e m s > f a l s e < / I n c l u d e A l l I t e m s >  
         < A c t i v e > t r u e < / A c t i v e >  
         < P r o t e c t e d L i n k > f a l s e < / P r o t e c t e d L i n k >  
         < N a m e > 2 8 1 0 1   T B   @   3 1 . 1 2 . 2 0 2 0   3 3 6 d 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 3 3 6 d < / A c c o u n t N u m b e r >  
         < R o u n d e d > f a l s e < / R o u n d e d >  
     < / T B L i n k >  
     < T B L i n k >  
         < V e r s i o n > 4 < / V e r s i o n >  
         < C o l u m n F i l t e r s / >  
         < D A L i n k I D > 7 0 3 d 8 3 9 6 - 9 2 0 e - 4 c 0 4 - 9 7 5 4 - 0 4 8 9 6 7 1 f 8 c b 2 < / D A L i n k I D >  
         < L i n k T y p e > 0 < / L i n k T y p e >  
         < P a r a m e t e r s / >  
         < I n c l u d e A l l I t e m s > f a l s e < / I n c l u d e A l l I t e m s >  
         < A c t i v e > t r u e < / A c t i v e >  
         < P r o t e c t e d L i n k > f a l s e < / P r o t e c t e d L i n k >  
         < N a m e > 2 8 1 0 1   T B   @   3 1 . 1 2 . 2 0 2 0   3 4 1 a 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 3 4 1 a < / A c c o u n t N u m b e r >  
         < R o u n d e d > f a l s e < / R o u n d e d >  
     < / T B L i n k >  
     < T B L i n k >  
         < V e r s i o n > 4 < / V e r s i o n >  
         < C o l u m n F i l t e r s / >  
         < D A L i n k I D > 2 0 f 2 7 2 a b - 5 5 c a - 4 5 4 6 - a 4 1 4 - 4 9 f c 9 d f b 7 0 5 4 < / D A L i n k I D >  
         < L i n k T y p e > 0 < / L i n k T y p e >  
         < P a r a m e t e r s / >  
         < I n c l u d e A l l I t e m s > f a l s e < / I n c l u d e A l l I t e m s >  
         < A c t i v e > t r u e < / A c t i v e >  
         < P r o t e c t e d L i n k > f a l s e < / P r o t e c t e d L i n k >  
         < N a m e > 2 8 1 0 1   T B   @   3 1 . 1 2 . 2 0 2 0   3 4 1 b 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 1 8 8 5 9 0 . 0 0 0 0 < / N u m e r i c V a l u e >  
         < V a l u e > 1 8 8 5 9 0 , 0 0 0 0 < / V a l u e >  
         < C h a r t T y p e > c t D e t a i l < / C h a r t T y p e >  
         < R e f e r e n c e > 2 8 1 0 1 < / R e f e r e n c e >  
         < T B D o c N a m e > T B   @   3 1 . 1 2 . 2 0 2 0 < / T B D o c N a m e >  
         < T B C h a r t N a m e > D e t a i l < / T B C h a r t N a m e >  
         < C o l u m n N a m e > P r i o r P e r i o d 2 B a l a n c e < / C o l u m n N a m e >  
         < U s e r F r i e n d l y C o l u m n N a m e > 3 1 . 1 2 . 2 0 1 9 < / U s e r F r i e n d l y C o l u m n N a m e >  
         < A c c o u n t N u m b e r > 3 4 1 b < / A c c o u n t N u m b e r >  
         < R o u n d e d > f a l s e < / R o u n d e d >  
     < / T B L i n k >  
     < T B L i n k >  
         < V e r s i o n > 4 < / V e r s i o n >  
         < C o l u m n F i l t e r s / >  
         < D A L i n k I D > 3 a 1 9 0 0 8 4 - 8 0 9 e - 4 e 4 9 - a b a c - e 1 3 b 4 8 6 f d 9 b e < / D A L i n k I D >  
         < L i n k T y p e > 0 < / L i n k T y p e >  
         < P a r a m e t e r s / >  
         < I n c l u d e A l l I t e m s > f a l s e < / I n c l u d e A l l I t e m s >  
         < A c t i v e > t r u e < / A c t i v e >  
         < P r o t e c t e d L i n k > f a l s e < / P r o t e c t e d L i n k >  
         < N a m e > 2 8 1 0 1   T B   @   3 1 . 1 2 . 2 0 2 0   3 4 2 a 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 - 1 1 9 7 8 . 0 0 0 0 < / N u m e r i c V a l u e >  
         < V a l u e > - 1 1 9 7 8 , 0 0 0 0 < / V a l u e >  
         < C h a r t T y p e > c t D e t a i l < / C h a r t T y p e >  
         < R e f e r e n c e > 2 8 1 0 1 < / R e f e r e n c e >  
         < T B D o c N a m e > T B   @   3 1 . 1 2 . 2 0 2 0 < / T B D o c N a m e >  
         < T B C h a r t N a m e > D e t a i l < / T B C h a r t N a m e >  
         < C o l u m n N a m e > P r i o r P e r i o d 2 B a l a n c e < / C o l u m n N a m e >  
         < U s e r F r i e n d l y C o l u m n N a m e > 3 1 . 1 2 . 2 0 1 9 < / U s e r F r i e n d l y C o l u m n N a m e >  
         < A c c o u n t N u m b e r > 3 4 2 a < / A c c o u n t N u m b e r >  
         < R o u n d e d > f a l s e < / R o u n d e d >  
     < / T B L i n k >  
     < T B L i n k >  
         < V e r s i o n > 4 < / V e r s i o n >  
         < C o l u m n F i l t e r s / >  
         < D A L i n k I D > 6 4 2 9 e c e a - 3 8 9 d - 4 0 3 4 - 9 7 9 d - 1 1 4 f f 3 f 2 f 2 a a < / D A L i n k I D >  
         < L i n k T y p e > 0 < / L i n k T y p e >  
         < P a r a m e t e r s / >  
         < I n c l u d e A l l I t e m s > f a l s e < / I n c l u d e A l l I t e m s >  
         < A c t i v e > t r u e < / A c t i v e >  
         < P r o t e c t e d L i n k > f a l s e < / P r o t e c t e d L i n k >  
         < N a m e > 2 8 1 0 1   T B   @   3 1 . 1 2 . 2 0 2 0   3 4 2 b 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 3 4 2 b < / A c c o u n t N u m b e r >  
         < R o u n d e d > f a l s e < / R o u n d e d >  
     < / T B L i n k >  
     < T B L i n k >  
         < V e r s i o n > 4 < / V e r s i o n >  
         < C o l u m n F i l t e r s / >  
         < D A L i n k I D > b 2 0 a 6 5 e a - 1 b d e - 4 e e 9 - 9 a 4 d - 8 b f d 9 5 3 f f b 5 e < / D A L i n k I D >  
         < L i n k T y p e > 0 < / L i n k T y p e >  
         < P a r a m e t e r s / >  
         < I n c l u d e A l l I t e m s > f a l s e < / I n c l u d e A l l I t e m s >  
         < A c t i v e > t r u e < / A c t i v e >  
         < P r o t e c t e d L i n k > f a l s e < / P r o t e c t e d L i n k >  
         < N a m e > 2 8 1 0 1   T B   @   3 1 . 1 2 . 2 0 2 0   3 4 3 a 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 3 4 3 a < / A c c o u n t N u m b e r >  
         < R o u n d e d > f a l s e < / R o u n d e d >  
     < / T B L i n k >  
     < T B L i n k >  
         < V e r s i o n > 4 < / V e r s i o n >  
         < C o l u m n F i l t e r s / >  
         < D A L i n k I D > 4 f 8 d 2 9 0 7 - c 2 2 f - 4 e f 9 - b f 6 a - 1 6 0 3 5 2 d 0 7 1 6 9 < / D A L i n k I D >  
         < L i n k T y p e > 0 < / L i n k T y p e >  
         < P a r a m e t e r s / >  
         < I n c l u d e A l l I t e m s > f a l s e < / I n c l u d e A l l I t e m s >  
         < A c t i v e > t r u e < / A c t i v e >  
         < P r o t e c t e d L i n k > f a l s e < / P r o t e c t e d L i n k >  
         < N a m e > 2 8 1 0 1   T B   @   3 1 . 1 2 . 2 0 2 0   3 4 3 b 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 3 4 3 b < / A c c o u n t N u m b e r >  
         < R o u n d e d > f a l s e < / R o u n d e d >  
     < / T B L i n k >  
     < T B L i n k >  
         < V e r s i o n > 4 < / V e r s i o n >  
         < C o l u m n F i l t e r s / >  
         < D A L i n k I D > 0 c 6 5 1 7 f 1 - 6 5 e d - 4 7 c 2 - a b 7 e - 2 c 0 9 3 9 0 a 0 9 c a < / D A L i n k I D >  
         < L i n k T y p e > 0 < / L i n k T y p e >  
         < P a r a m e t e r s / >  
         < I n c l u d e A l l I t e m s > f a l s e < / I n c l u d e A l l I t e m s >  
         < A c t i v e > t r u e < / A c t i v e >  
         < P r o t e c t e d L i n k > f a l s e < / P r o t e c t e d L i n k >  
         < N a m e > 2 8 1 0 1   T B   @   3 1 . 1 2 . 2 0 2 0   3 4 5 a 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 - 1 0 9 5 . 0 0 0 0 < / N u m e r i c V a l u e >  
         < V a l u e > - 1 0 9 5 , 0 0 0 0 < / V a l u e >  
         < C h a r t T y p e > c t D e t a i l < / C h a r t T y p e >  
         < R e f e r e n c e > 2 8 1 0 1 < / R e f e r e n c e >  
         < T B D o c N a m e > T B   @   3 1 . 1 2 . 2 0 2 0 < / T B D o c N a m e >  
         < T B C h a r t N a m e > D e t a i l < / T B C h a r t N a m e >  
         < C o l u m n N a m e > P r i o r P e r i o d 2 B a l a n c e < / C o l u m n N a m e >  
         < U s e r F r i e n d l y C o l u m n N a m e > 3 1 . 1 2 . 2 0 1 9 < / U s e r F r i e n d l y C o l u m n N a m e >  
         < A c c o u n t N u m b e r > 3 4 5 a < / A c c o u n t N u m b e r >  
         < R o u n d e d > f a l s e < / R o u n d e d >  
     < / T B L i n k >  
     < T B L i n k >  
         < V e r s i o n > 4 < / V e r s i o n >  
         < C o l u m n F i l t e r s / >  
         < D A L i n k I D > e 8 c 8 c f 3 4 - c a 1 9 - 4 0 3 5 - b f 5 0 - 6 1 d 9 8 7 d 0 d f d 9 < / D A L i n k I D >  
         < L i n k T y p e > 0 < / L i n k T y p e >  
         < P a r a m e t e r s / >  
         < I n c l u d e A l l I t e m s > f a l s e < / I n c l u d e A l l I t e m s >  
         < A c t i v e > t r u e < / A c t i v e >  
         < P r o t e c t e d L i n k > f a l s e < / P r o t e c t e d L i n k >  
         < N a m e > 2 8 1 0 1   T B   @   3 1 . 1 2 . 2 0 2 0   3 4 5 b 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 3 4 5 b < / A c c o u n t N u m b e r >  
         < R o u n d e d > f a l s e < / R o u n d e d >  
     < / T B L i n k >  
     < T B L i n k >  
         < V e r s i o n > 4 < / V e r s i o n >  
         < C o l u m n F i l t e r s / >  
         < D A L i n k I D > 0 e a 2 3 5 5 1 - b 0 a c - 4 c 9 c - a 4 1 6 - d 9 a d 6 3 a 1 0 4 2 d < / D A L i n k I D >  
         < L i n k T y p e > 0 < / L i n k T y p e >  
         < P a r a m e t e r s / >  
         < I n c l u d e A l l I t e m s > f a l s e < / I n c l u d e A l l I t e m s >  
         < A c t i v e > t r u e < / A c t i v e >  
         < P r o t e c t e d L i n k > f a l s e < / P r o t e c t e d L i n k >  
         < N a m e > 2 8 1 0 1   T B   @   3 1 . 1 2 . 2 0 2 0   3 4 6 a 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 3 4 6 a < / A c c o u n t N u m b e r >  
         < R o u n d e d > f a l s e < / R o u n d e d >  
     < / T B L i n k >  
     < T B L i n k >  
         < V e r s i o n > 4 < / V e r s i o n >  
         < C o l u m n F i l t e r s / >  
         < D A L i n k I D > b 1 c 5 7 3 d 8 - f 0 8 c - 4 2 d 4 - 8 3 2 c - 4 d 7 0 2 0 5 7 3 a b a < / D A L i n k I D >  
         < L i n k T y p e > 0 < / L i n k T y p e >  
         < P a r a m e t e r s / >  
         < I n c l u d e A l l I t e m s > f a l s e < / I n c l u d e A l l I t e m s >  
         < A c t i v e > t r u e < / A c t i v e >  
         < P r o t e c t e d L i n k > f a l s e < / P r o t e c t e d L i n k >  
         < N a m e > 2 8 1 0 1   T B   @   3 1 . 1 2 . 2 0 2 0   3 4 6 b 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 3 4 6 b < / A c c o u n t N u m b e r >  
         < R o u n d e d > f a l s e < / R o u n d e d >  
     < / T B L i n k >  
     < T B L i n k >  
         < V e r s i o n > 4 < / V e r s i o n >  
         < C o l u m n F i l t e r s / >  
         < D A L i n k I D > e 9 d d b 4 0 1 - f 2 1 1 - 4 9 3 0 - b d 1 b - 1 7 3 5 3 e a 1 f 8 d b < / D A L i n k I D >  
         < L i n k T y p e > 0 < / L i n k T y p e >  
         < P a r a m e t e r s / >  
         < I n c l u d e A l l I t e m s > f a l s e < / I n c l u d e A l l I t e m s >  
         < A c t i v e > t r u e < / A c t i v e >  
         < P r o t e c t e d L i n k > f a l s e < / P r o t e c t e d L i n k >  
         < N a m e > 2 8 1 0 1   T B   @   3 1 . 1 2 . 2 0 2 0   3 4 7 a 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 3 4 7 a < / A c c o u n t N u m b e r >  
         < R o u n d e d > f a l s e < / R o u n d e d >  
     < / T B L i n k >  
     < T B L i n k >  
         < V e r s i o n > 4 < / V e r s i o n >  
         < C o l u m n F i l t e r s / >  
         < D A L i n k I D > a b 6 7 f c c 9 - c 5 6 5 - 4 a c e - 9 4 7 7 - 5 1 4 a 5 1 8 7 8 e f 5 < / D A L i n k I D >  
         < L i n k T y p e > 0 < / L i n k T y p e >  
         < P a r a m e t e r s / >  
         < I n c l u d e A l l I t e m s > f a l s e < / I n c l u d e A l l I t e m s >  
         < A c t i v e > t r u e < / A c t i v e >  
         < P r o t e c t e d L i n k > f a l s e < / P r o t e c t e d L i n k >  
         < N a m e > 2 8 1 0 1   T B   @   3 1 . 1 2 . 2 0 2 0   3 4 7 b 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 3 4 7 b < / A c c o u n t N u m b e r >  
         < R o u n d e d > f a l s e < / R o u n d e d >  
     < / T B L i n k >  
     < T B L i n k >  
         < V e r s i o n > 4 < / V e r s i o n >  
         < C o l u m n F i l t e r s / >  
         < D A L i n k I D > f 9 f f 7 3 c c - e c 8 c - 4 b 4 3 - 8 d 3 0 - d 8 0 4 0 4 8 1 a d e 0 < / D A L i n k I D >  
         < L i n k T y p e > 0 < / L i n k T y p e >  
         < P a r a m e t e r s / >  
         < I n c l u d e A l l I t e m s > f a l s e < / I n c l u d e A l l I t e m s >  
         < A c t i v e > t r u e < / A c t i v e >  
         < P r o t e c t e d L i n k > f a l s e < / P r o t e c t e d L i n k >  
         < N a m e > 2 8 1 0 1   T B   @   3 1 . 1 2 . 2 0 2 0   3 5 1 a 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 3 5 1 a < / A c c o u n t N u m b e r >  
         < R o u n d e d > f a l s e < / R o u n d e d >  
     < / T B L i n k >  
     < T B L i n k >  
         < V e r s i o n > 4 < / V e r s i o n >  
         < C o l u m n F i l t e r s / >  
         < D A L i n k I D > a 9 e 3 a e b b - 4 c 2 9 - 4 6 8 c - 9 c 7 c - 2 d 5 9 1 d 9 4 8 5 6 a < / D A L i n k I D >  
         < L i n k T y p e > 0 < / L i n k T y p e >  
         < P a r a m e t e r s / >  
         < I n c l u d e A l l I t e m s > f a l s e < / I n c l u d e A l l I t e m s >  
         < A c t i v e > t r u e < / A c t i v e >  
         < P r o t e c t e d L i n k > f a l s e < / P r o t e c t e d L i n k >  
         < N a m e > 2 8 1 0 1   T B   @   3 1 . 1 2 . 2 0 2 0   3 5 1 b 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 3 5 1 b < / A c c o u n t N u m b e r >  
         < R o u n d e d > f a l s e < / R o u n d e d >  
     < / T B L i n k >  
     < T B L i n k >  
         < V e r s i o n > 4 < / V e r s i o n >  
         < C o l u m n F i l t e r s / >  
         < D A L i n k I D > a 0 4 6 a e 8 8 - 2 5 b 6 - 4 0 a e - 8 a 3 1 - d 0 1 4 9 c 4 2 c f 2 0 < / D A L i n k I D >  
         < L i n k T y p e > 0 < / L i n k T y p e >  
         < P a r a m e t e r s / >  
         < I n c l u d e A l l I t e m s > f a l s e < / I n c l u d e A l l I t e m s >  
         < A c t i v e > t r u e < / A c t i v e >  
         < P r o t e c t e d L i n k > f a l s e < / P r o t e c t e d L i n k >  
         < N a m e > 2 8 1 0 1   T B   @   3 1 . 1 2 . 2 0 2 0   3 5 1 c 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 5 2 1 9 1 5 . 0 0 0 0 < / N u m e r i c V a l u e >  
         < V a l u e > 5 2 1 9 1 5 , 0 0 0 0 < / V a l u e >  
         < C h a r t T y p e > c t D e t a i l < / C h a r t T y p e >  
         < R e f e r e n c e > 2 8 1 0 1 < / R e f e r e n c e >  
         < T B D o c N a m e > T B   @   3 1 . 1 2 . 2 0 2 0 < / T B D o c N a m e >  
         < T B C h a r t N a m e > D e t a i l < / T B C h a r t N a m e >  
         < C o l u m n N a m e > P r i o r P e r i o d 2 B a l a n c e < / C o l u m n N a m e >  
         < U s e r F r i e n d l y C o l u m n N a m e > 3 1 . 1 2 . 2 0 1 9 < / U s e r F r i e n d l y C o l u m n N a m e >  
         < A c c o u n t N u m b e r > 3 5 1 c < / A c c o u n t N u m b e r >  
         < R o u n d e d > f a l s e < / R o u n d e d >  
     < / T B L i n k >  
     < T B L i n k >  
         < V e r s i o n > 4 < / V e r s i o n >  
         < C o l u m n F i l t e r s / >  
         < D A L i n k I D > f d 8 f 9 9 d 4 - 8 3 f c - 4 7 b c - 9 7 1 c - 4 7 d 8 4 f 7 1 e 0 e c < / D A L i n k I D >  
         < L i n k T y p e > 0 < / L i n k T y p e >  
         < P a r a m e t e r s / >  
         < I n c l u d e A l l I t e m s > f a l s e < / I n c l u d e A l l I t e m s >  
         < A c t i v e > t r u e < / A c t i v e >  
         < P r o t e c t e d L i n k > f a l s e < / P r o t e c t e d L i n k >  
         < N a m e > 2 8 1 0 1   T B   @   3 1 . 1 2 . 2 0 2 0   3 5 1 d 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 3 5 1 d < / A c c o u n t N u m b e r >  
         < R o u n d e d > f a l s e < / R o u n d e d >  
     < / T B L i n k >  
     < T B L i n k >  
         < V e r s i o n > 4 < / V e r s i o n >  
         < C o l u m n F i l t e r s / >  
         < D A L i n k I D > b 3 3 0 a a c 6 - 2 b 6 8 - 4 9 a c - 8 d a d - d 4 4 5 f 5 7 4 f 5 0 0 < / D A L i n k I D >  
         < L i n k T y p e > 0 < / L i n k T y p e >  
         < P a r a m e t e r s / >  
         < I n c l u d e A l l I t e m s > f a l s e < / I n c l u d e A l l I t e m s >  
         < A c t i v e > t r u e < / A c t i v e >  
         < P r o t e c t e d L i n k > f a l s e < / P r o t e c t e d L i n k >  
         < N a m e > 2 8 1 0 1   T B   @   3 1 . 1 2 . 2 0 2 0   3 5 3 x 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 3 5 3 x < / A c c o u n t N u m b e r >  
         < R o u n d e d > f a l s e < / R o u n d e d >  
     < / T B L i n k >  
     < T B L i n k >  
         < V e r s i o n > 4 < / V e r s i o n >  
         < C o l u m n F i l t e r s / >  
         < D A L i n k I D > 9 6 b e c 9 a 1 - 8 c 1 f - 4 6 f 2 - b 3 1 9 - 7 2 5 d c 9 7 f 3 b 6 0 < / D A L i n k I D >  
         < L i n k T y p e > 0 < / L i n k T y p e >  
         < P a r a m e t e r s / >  
         < I n c l u d e A l l I t e m s > f a l s e < / I n c l u d e A l l I t e m s >  
         < A c t i v e > t r u e < / A c t i v e >  
         < P r o t e c t e d L i n k > f a l s e < / P r o t e c t e d L i n k >  
         < N a m e > 2 8 1 0 1   T B   @   3 1 . 1 2 . 2 0 2 0   3 5 4 a 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 3 5 4 a < / A c c o u n t N u m b e r >  
         < R o u n d e d > f a l s e < / R o u n d e d >  
     < / T B L i n k >  
     < T B L i n k >  
         < V e r s i o n > 4 < / V e r s i o n >  
         < C o l u m n F i l t e r s / >  
         < D A L i n k I D > c 9 6 f 6 0 5 d - d 7 1 4 - 4 1 e 7 - 9 0 a d - 5 3 d 9 9 0 f 9 c 9 4 3 < / D A L i n k I D >  
         < L i n k T y p e > 0 < / L i n k T y p e >  
         < P a r a m e t e r s / >  
         < I n c l u d e A l l I t e m s > f a l s e < / I n c l u d e A l l I t e m s >  
         < A c t i v e > t r u e < / A c t i v e >  
         < P r o t e c t e d L i n k > f a l s e < / P r o t e c t e d L i n k >  
         < N a m e > 2 8 1 0 1   T B   @   3 1 . 1 2 . 2 0 2 0   3 5 4 b 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 3 5 4 b < / A c c o u n t N u m b e r >  
         < R o u n d e d > f a l s e < / R o u n d e d >  
     < / T B L i n k >  
     < T B L i n k >  
         < V e r s i o n > 4 < / V e r s i o n >  
         < C o l u m n F i l t e r s / >  
         < D A L i n k I D > 7 2 1 8 d 9 7 d - 2 b f 0 - 4 1 f 3 - 8 7 c 0 - 3 c 5 9 3 a a 1 2 8 1 f < / D A L i n k I D >  
         < L i n k T y p e > 0 < / L i n k T y p e >  
         < P a r a m e t e r s / >  
         < I n c l u d e A l l I t e m s > f a l s e < / I n c l u d e A l l I t e m s >  
         < A c t i v e > t r u e < / A c t i v e >  
         < P r o t e c t e d L i n k > f a l s e < / P r o t e c t e d L i n k >  
         < N a m e > 2 8 1 0 1   T B   @   3 1 . 1 2 . 2 0 2 0   3 5 5 a 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 3 5 5 a < / A c c o u n t N u m b e r >  
         < R o u n d e d > f a l s e < / R o u n d e d >  
     < / T B L i n k >  
     < T B L i n k >  
         < V e r s i o n > 4 < / V e r s i o n >  
         < C o l u m n F i l t e r s / >  
         < D A L i n k I D > 9 9 4 b 0 8 d d - 9 f 5 0 - 4 2 6 4 - 9 a 9 4 - 8 7 8 9 5 b a f f 4 9 f < / D A L i n k I D >  
         < L i n k T y p e > 0 < / L i n k T y p e >  
         < P a r a m e t e r s / >  
         < I n c l u d e A l l I t e m s > f a l s e < / I n c l u d e A l l I t e m s >  
         < A c t i v e > t r u e < / A c t i v e >  
         < P r o t e c t e d L i n k > f a l s e < / P r o t e c t e d L i n k >  
         < N a m e > 2 8 1 0 1   T B   @   3 1 . 1 2 . 2 0 2 0   3 5 5 b 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 3 5 5 b < / A c c o u n t N u m b e r >  
         < R o u n d e d > f a l s e < / R o u n d e d >  
     < / T B L i n k >  
     < T B L i n k >  
         < V e r s i o n > 4 < / V e r s i o n >  
         < C o l u m n F i l t e r s / >  
         < D A L i n k I D > a 6 6 5 a e 5 6 - c 0 2 2 - 4 b 3 1 - 8 7 3 9 - a a 3 e 1 4 d d 6 2 b 9 < / D A L i n k I D >  
         < L i n k T y p e > 0 < / L i n k T y p e >  
         < P a r a m e t e r s / >  
         < I n c l u d e A l l I t e m s > f a l s e < / I n c l u d e A l l I t e m s >  
         < A c t i v e > t r u e < / A c t i v e >  
         < P r o t e c t e d L i n k > f a l s e < / P r o t e c t e d L i n k >  
         < N a m e > 2 8 1 0 1   T B   @   3 1 . 1 2 . 2 0 2 0   3 5 8 a 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 3 5 8 a < / A c c o u n t N u m b e r >  
         < R o u n d e d > f a l s e < / R o u n d e d >  
     < / T B L i n k >  
     < T B L i n k >  
         < V e r s i o n > 4 < / V e r s i o n >  
         < C o l u m n F i l t e r s / >  
         < D A L i n k I D > 9 f 8 b 7 4 4 e - a 8 9 8 - 4 5 0 3 - b c 7 9 - 3 8 0 6 0 c a 6 8 5 2 d < / D A L i n k I D >  
         < L i n k T y p e > 0 < / L i n k T y p e >  
         < P a r a m e t e r s / >  
         < I n c l u d e A l l I t e m s > f a l s e < / I n c l u d e A l l I t e m s >  
         < A c t i v e > t r u e < / A c t i v e >  
         < P r o t e c t e d L i n k > f a l s e < / P r o t e c t e d L i n k >  
         < N a m e > 2 8 1 0 1   T B   @   3 1 . 1 2 . 2 0 2 0   3 5 8 b 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 3 5 8 b < / A c c o u n t N u m b e r >  
         < R o u n d e d > f a l s e < / R o u n d e d >  
     < / T B L i n k >  
     < T B L i n k >  
         < V e r s i o n > 4 < / V e r s i o n >  
         < C o l u m n F i l t e r s / >  
         < D A L i n k I D > 7 5 f 4 5 0 1 9 - 7 6 0 f - 4 1 d 9 - 8 c c 8 - 4 7 a b 5 7 a 9 e 7 d a < / D A L i n k I D >  
         < L i n k T y p e > 0 < / L i n k T y p e >  
         < P a r a m e t e r s / >  
         < I n c l u d e A l l I t e m s > f a l s e < / I n c l u d e A l l I t e m s >  
         < A c t i v e > t r u e < / A c t i v e >  
         < P r o t e c t e d L i n k > f a l s e < / P r o t e c t e d L i n k >  
         < N a m e > 2 8 1 0 1   T B   @   3 1 . 1 2 . 2 0 2 0   3 6 1 a 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 - 4 8 0 5 9 8 . 0 0 0 0 < / N u m e r i c V a l u e >  
         < V a l u e > - 4 8 0 5 9 8 , 0 0 0 0 < / V a l u e >  
         < C h a r t T y p e > c t D e t a i l < / C h a r t T y p e >  
         < R e f e r e n c e > 2 8 1 0 1 < / R e f e r e n c e >  
         < T B D o c N a m e > T B   @   3 1 . 1 2 . 2 0 2 0 < / T B D o c N a m e >  
         < T B C h a r t N a m e > D e t a i l < / T B C h a r t N a m e >  
         < C o l u m n N a m e > P r i o r P e r i o d 2 B a l a n c e < / C o l u m n N a m e >  
         < U s e r F r i e n d l y C o l u m n N a m e > 3 1 . 1 2 . 2 0 1 9 < / U s e r F r i e n d l y C o l u m n N a m e >  
         < A c c o u n t N u m b e r > 3 6 1 a < / A c c o u n t N u m b e r >  
         < R o u n d e d > f a l s e < / R o u n d e d >  
     < / T B L i n k >  
     < T B L i n k >  
         < V e r s i o n > 4 < / V e r s i o n >  
         < C o l u m n F i l t e r s / >  
         < D A L i n k I D > 7 5 8 a b 8 3 9 - 8 d f 4 - 4 8 8 7 - a f d 2 - 0 e 3 7 e 6 5 c 0 9 3 4 < / D A L i n k I D >  
         < L i n k T y p e > 0 < / L i n k T y p e >  
         < P a r a m e t e r s / >  
         < I n c l u d e A l l I t e m s > f a l s e < / I n c l u d e A l l I t e m s >  
         < A c t i v e > t r u e < / A c t i v e >  
         < P r o t e c t e d L i n k > f a l s e < / P r o t e c t e d L i n k >  
         < N a m e > 2 8 1 0 1   T B   @   3 1 . 1 2 . 2 0 2 0   3 6 1 b 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 3 6 1 b < / A c c o u n t N u m b e r >  
         < R o u n d e d > f a l s e < / R o u n d e d >  
     < / T B L i n k >  
     < T B L i n k >  
         < V e r s i o n > 4 < / V e r s i o n >  
         < C o l u m n F i l t e r s / >  
         < D A L i n k I D > c 3 7 6 6 e f 3 - 5 5 c 7 - 4 0 7 1 - b e e d - 4 a 7 f 4 b 6 6 b 5 5 c < / D A L i n k I D >  
         < L i n k T y p e > 0 < / L i n k T y p e >  
         < P a r a m e t e r s / >  
         < I n c l u d e A l l I t e m s > f a l s e < / I n c l u d e A l l I t e m s >  
         < A c t i v e > t r u e < / A c t i v e >  
         < P r o t e c t e d L i n k > f a l s e < / P r o t e c t e d L i n k >  
         < N a m e > 2 8 1 0 1   T B   @   3 1 . 1 2 . 2 0 2 0   3 6 4 x 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 - 2 0 0 0 0 0 . 0 0 0 0 < / N u m e r i c V a l u e >  
         < V a l u e > - 2 0 0 0 0 0 , 0 0 0 0 < / V a l u e >  
         < C h a r t T y p e > c t D e t a i l < / C h a r t T y p e >  
         < R e f e r e n c e > 2 8 1 0 1 < / R e f e r e n c e >  
         < T B D o c N a m e > T B   @   3 1 . 1 2 . 2 0 2 0 < / T B D o c N a m e >  
         < T B C h a r t N a m e > D e t a i l < / T B C h a r t N a m e >  
         < C o l u m n N a m e > P r i o r P e r i o d 2 B a l a n c e < / C o l u m n N a m e >  
         < U s e r F r i e n d l y C o l u m n N a m e > 3 1 . 1 2 . 2 0 1 9 < / U s e r F r i e n d l y C o l u m n N a m e >  
         < A c c o u n t N u m b e r > 3 6 4 x < / A c c o u n t N u m b e r >  
         < R o u n d e d > f a l s e < / R o u n d e d >  
     < / T B L i n k >  
     < T B L i n k >  
         < V e r s i o n > 4 < / V e r s i o n >  
         < C o l u m n F i l t e r s / >  
         < D A L i n k I D > f 2 4 4 a 1 7 b - 5 d 1 9 - 4 f 3 1 - a 8 9 4 - 9 4 c 3 e 3 1 9 e 4 d a < / D A L i n k I D >  
         < L i n k T y p e > 0 < / L i n k T y p e >  
         < P a r a m e t e r s / >  
         < I n c l u d e A l l I t e m s > f a l s e < / I n c l u d e A l l I t e m s >  
         < A c t i v e > t r u e < / A c t i v e >  
         < P r o t e c t e d L i n k > f a l s e < / P r o t e c t e d L i n k >  
         < N a m e > 2 8 1 0 1   T B   @   3 1 . 1 2 . 2 0 2 0   3 6 5 x 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 3 6 5 x < / A c c o u n t N u m b e r >  
         < R o u n d e d > f a l s e < / R o u n d e d >  
     < / T B L i n k >  
     < T B L i n k >  
         < V e r s i o n > 4 < / V e r s i o n >  
         < C o l u m n F i l t e r s / >  
         < D A L i n k I D > 5 1 7 0 8 e d c - 3 b 5 4 - 4 b d f - b b 5 0 - 2 c c 6 0 8 4 c a 7 7 f < / D A L i n k I D >  
         < L i n k T y p e > 0 < / L i n k T y p e >  
         < P a r a m e t e r s / >  
         < I n c l u d e A l l I t e m s > f a l s e < / I n c l u d e A l l I t e m s >  
         < A c t i v e > t r u e < / A c t i v e >  
         < P r o t e c t e d L i n k > f a l s e < / P r o t e c t e d L i n k >  
         < N a m e > 2 8 1 0 1   T B   @   3 1 . 1 2 . 2 0 2 0   3 6 6 x 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 3 6 6 x < / A c c o u n t N u m b e r >  
         < R o u n d e d > f a l s e < / R o u n d e d >  
     < / T B L i n k >  
     < T B L i n k >  
         < V e r s i o n > 4 < / V e r s i o n >  
         < C o l u m n F i l t e r s / >  
         < D A L i n k I D > 8 4 4 c b e 0 c - 6 6 a 8 - 4 5 8 a - b 6 e 7 - f f e 1 4 b f d f a 7 b < / D A L i n k I D >  
         < L i n k T y p e > 0 < / L i n k T y p e >  
         < P a r a m e t e r s / >  
         < I n c l u d e A l l I t e m s > f a l s e < / I n c l u d e A l l I t e m s >  
         < A c t i v e > t r u e < / A c t i v e >  
         < P r o t e c t e d L i n k > f a l s e < / P r o t e c t e d L i n k >  
         < N a m e > 2 8 1 0 1   T B   @   3 1 . 1 2 . 2 0 2 0   3 6 7 x 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 3 6 7 x < / A c c o u n t N u m b e r >  
         < R o u n d e d > f a l s e < / R o u n d e d >  
     < / T B L i n k >  
     < T B L i n k >  
         < V e r s i o n > 4 < / V e r s i o n >  
         < C o l u m n F i l t e r s / >  
         < D A L i n k I D > 9 8 4 6 7 9 b f - e 5 5 e - 4 4 8 9 - 9 a f c - 5 a 2 5 2 b 9 9 b 0 6 3 < / D A L i n k I D >  
         < L i n k T y p e > 0 < / L i n k T y p e >  
         < P a r a m e t e r s / >  
         < I n c l u d e A l l I t e m s > f a l s e < / I n c l u d e A l l I t e m s >  
         < A c t i v e > t r u e < / A c t i v e >  
         < P r o t e c t e d L i n k > f a l s e < / P r o t e c t e d L i n k >  
         < N a m e > 2 8 1 0 1   T B   @   3 1 . 1 2 . 2 0 2 0   3 6 8 x 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 3 6 8 x < / A c c o u n t N u m b e r >  
         < R o u n d e d > f a l s e < / R o u n d e d >  
     < / T B L i n k >  
     < T B L i n k >  
         < V e r s i o n > 4 < / V e r s i o n >  
         < C o l u m n F i l t e r s / >  
         < D A L i n k I D > 9 3 f 0 1 f 5 2 - 6 e 9 8 - 4 e 6 7 - b c 3 3 - a 5 1 a 2 9 4 3 8 f 4 5 < / D A L i n k I D >  
         < L i n k T y p e > 0 < / L i n k T y p e >  
         < P a r a m e t e r s / >  
         < I n c l u d e A l l I t e m s > f a l s e < / I n c l u d e A l l I t e m s >  
         < A c t i v e > t r u e < / A c t i v e >  
         < P r o t e c t e d L i n k > f a l s e < / P r o t e c t e d L i n k >  
         < N a m e > 2 8 1 0 1   T B   @   3 1 . 1 2 . 2 0 2 0   3 7 1 a 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 3 7 1 a < / A c c o u n t N u m b e r >  
         < R o u n d e d > f a l s e < / R o u n d e d >  
     < / T B L i n k >  
     < T B L i n k >  
         < V e r s i o n > 4 < / V e r s i o n >  
         < C o l u m n F i l t e r s / >  
         < D A L i n k I D > 0 a 8 0 b f e e - 8 0 4 a - 4 f 1 7 - 9 8 d d - 6 5 6 6 e 8 2 5 e e 6 2 < / D A L i n k I D >  
         < L i n k T y p e > 0 < / L i n k T y p e >  
         < P a r a m e t e r s / >  
         < I n c l u d e A l l I t e m s > f a l s e < / I n c l u d e A l l I t e m s >  
         < A c t i v e > t r u e < / A c t i v e >  
         < P r o t e c t e d L i n k > f a l s e < / P r o t e c t e d L i n k >  
         < N a m e > 2 8 1 0 1   T B   @   3 1 . 1 2 . 2 0 2 0   3 7 1 b 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 3 7 1 b < / A c c o u n t N u m b e r >  
         < R o u n d e d > f a l s e < / R o u n d e d >  
     < / T B L i n k >  
     < T B L i n k >  
         < V e r s i o n > 4 < / V e r s i o n >  
         < C o l u m n F i l t e r s / >  
         < D A L i n k I D > e 9 6 e 3 a 7 f - d 5 4 6 - 4 3 0 6 - 9 3 b 4 - 8 6 f d b f c 7 a 5 4 5 < / D A L i n k I D >  
         < L i n k T y p e > 0 < / L i n k T y p e >  
         < P a r a m e t e r s / >  
         < I n c l u d e A l l I t e m s > f a l s e < / I n c l u d e A l l I t e m s >  
         < A c t i v e > t r u e < / A c t i v e >  
         < P r o t e c t e d L i n k > f a l s e < / P r o t e c t e d L i n k >  
         < N a m e > 2 8 1 0 1   T B   @   3 1 . 1 2 . 2 0 2 0   3 7 2 a 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 3 7 2 a < / A c c o u n t N u m b e r >  
         < R o u n d e d > f a l s e < / R o u n d e d >  
     < / T B L i n k >  
     < T B L i n k >  
         < V e r s i o n > 4 < / V e r s i o n >  
         < C o l u m n F i l t e r s / >  
         < D A L i n k I D > e 2 1 7 6 d 7 2 - 5 0 9 9 - 4 e 8 a - 9 4 c 3 - 4 e 2 2 c 6 c e 6 c 1 e < / D A L i n k I D >  
         < L i n k T y p e > 0 < / L i n k T y p e >  
         < P a r a m e t e r s / >  
         < I n c l u d e A l l I t e m s > f a l s e < / I n c l u d e A l l I t e m s >  
         < A c t i v e > t r u e < / A c t i v e >  
         < P r o t e c t e d L i n k > f a l s e < / P r o t e c t e d L i n k >  
         < N a m e > 2 8 1 0 1   T B   @   3 1 . 1 2 . 2 0 2 0   3 7 2 b 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 3 7 2 b < / A c c o u n t N u m b e r >  
         < R o u n d e d > f a l s e < / R o u n d e d >  
     < / T B L i n k >  
     < T B L i n k >  
         < V e r s i o n > 4 < / V e r s i o n >  
         < C o l u m n F i l t e r s / >  
         < D A L i n k I D > 9 6 e a d e 7 e - 9 9 a b - 4 c 0 a - a 2 2 9 - c 7 8 9 e c d 8 5 5 f 0 < / D A L i n k I D >  
         < L i n k T y p e > 0 < / L i n k T y p e >  
         < P a r a m e t e r s / >  
         < I n c l u d e A l l I t e m s > f a l s e < / I n c l u d e A l l I t e m s >  
         < A c t i v e > t r u e < / A c t i v e >  
         < P r o t e c t e d L i n k > f a l s e < / P r o t e c t e d L i n k >  
         < N a m e > 2 8 1 0 1   T B   @   3 1 . 1 2 . 2 0 2 0   3 7 3 a 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 3 7 3 a < / A c c o u n t N u m b e r >  
         < R o u n d e d > f a l s e < / R o u n d e d >  
     < / T B L i n k >  
     < T B L i n k >  
         < V e r s i o n > 4 < / V e r s i o n >  
         < C o l u m n F i l t e r s / >  
         < D A L i n k I D > 0 b 6 a c 9 8 1 - 2 7 c 4 - 4 3 b 6 - 8 6 c 4 - 0 4 6 d f c b 3 1 d 8 7 < / D A L i n k I D >  
         < L i n k T y p e > 0 < / L i n k T y p e >  
         < P a r a m e t e r s / >  
         < I n c l u d e A l l I t e m s > f a l s e < / I n c l u d e A l l I t e m s >  
         < A c t i v e > t r u e < / A c t i v e >  
         < P r o t e c t e d L i n k > f a l s e < / P r o t e c t e d L i n k >  
         < N a m e > 2 8 1 0 1   T B   @   3 1 . 1 2 . 2 0 2 0   3 7 3 b 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 3 7 3 b < / A c c o u n t N u m b e r >  
         < R o u n d e d > f a l s e < / R o u n d e d >  
     < / T B L i n k >  
     < T B L i n k >  
         < V e r s i o n > 4 < / V e r s i o n >  
         < C o l u m n F i l t e r s / >  
         < D A L i n k I D > 7 d 3 7 9 5 6 5 - c 9 7 a - 4 5 f 5 - a b 1 a - d c 4 b b e a 6 b b e e < / D A L i n k I D >  
         < L i n k T y p e > 0 < / L i n k T y p e >  
         < P a r a m e t e r s / >  
         < I n c l u d e A l l I t e m s > f a l s e < / I n c l u d e A l l I t e m s >  
         < A c t i v e > t r u e < / A c t i v e >  
         < P r o t e c t e d L i n k > f a l s e < / P r o t e c t e d L i n k >  
         < N a m e > 2 8 1 0 1   T B   @   3 1 . 1 2 . 2 0 2 0   3 7 3 c 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 3 7 3 c < / A c c o u n t N u m b e r >  
         < R o u n d e d > f a l s e < / R o u n d e d >  
     < / T B L i n k >  
     < T B L i n k >  
         < V e r s i o n > 4 < / V e r s i o n >  
         < C o l u m n F i l t e r s / >  
         < D A L i n k I D > 7 2 1 b 2 2 e 0 - 1 9 4 a - 4 3 9 5 - 8 f 8 6 - c 7 e a 3 6 8 1 b 4 2 3 < / D A L i n k I D >  
         < L i n k T y p e > 0 < / L i n k T y p e >  
         < P a r a m e t e r s / >  
         < I n c l u d e A l l I t e m s > f a l s e < / I n c l u d e A l l I t e m s >  
         < A c t i v e > t r u e < / A c t i v e >  
         < P r o t e c t e d L i n k > f a l s e < / P r o t e c t e d L i n k >  
         < N a m e > 2 8 1 0 1   T B   @   3 1 . 1 2 . 2 0 2 0   3 7 3 d 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 3 7 3 d < / A c c o u n t N u m b e r >  
         < R o u n d e d > f a l s e < / R o u n d e d >  
     < / T B L i n k >  
     < T B L i n k >  
         < V e r s i o n > 4 < / V e r s i o n >  
         < C o l u m n F i l t e r s / >  
         < D A L i n k I D > 1 3 4 e c 2 8 e - e b b d - 4 c 6 5 - a 7 6 0 - 5 9 2 3 2 5 d d 9 9 e 5 < / D A L i n k I D >  
         < L i n k T y p e > 0 < / L i n k T y p e >  
         < P a r a m e t e r s / >  
         < I n c l u d e A l l I t e m s > f a l s e < / I n c l u d e A l l I t e m s >  
         < A c t i v e > t r u e < / A c t i v e >  
         < P r o t e c t e d L i n k > f a l s e < / P r o t e c t e d L i n k >  
         < N a m e > 2 8 1 0 1   T B   @   3 1 . 1 2 . 2 0 2 0   3 7 4 a 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 3 7 4 a < / A c c o u n t N u m b e r >  
         < R o u n d e d > f a l s e < / R o u n d e d >  
     < / T B L i n k >  
     < T B L i n k >  
         < V e r s i o n > 4 < / V e r s i o n >  
         < C o l u m n F i l t e r s / >  
         < D A L i n k I D > d a f 5 3 d 5 f - 4 b 0 6 - 4 7 b 2 - b 7 8 1 - f 8 5 8 5 2 d 0 0 d 0 1 < / D A L i n k I D >  
         < L i n k T y p e > 0 < / L i n k T y p e >  
         < P a r a m e t e r s / >  
         < I n c l u d e A l l I t e m s > f a l s e < / I n c l u d e A l l I t e m s >  
         < A c t i v e > t r u e < / A c t i v e >  
         < P r o t e c t e d L i n k > f a l s e < / P r o t e c t e d L i n k >  
         < N a m e > 2 8 1 0 1   T B   @   3 1 . 1 2 . 2 0 2 0   3 7 4 b 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 3 7 4 b < / A c c o u n t N u m b e r >  
         < R o u n d e d > f a l s e < / R o u n d e d >  
     < / T B L i n k >  
     < T B L i n k >  
         < V e r s i o n > 4 < / V e r s i o n >  
         < C o l u m n F i l t e r s / >  
         < D A L i n k I D > 3 1 9 9 7 c 8 3 - a 3 5 c - 4 5 0 6 - 8 e 0 2 - 9 e e 2 4 c 2 6 0 d 3 a < / D A L i n k I D >  
         < L i n k T y p e > 0 < / L i n k T y p e >  
         < P a r a m e t e r s / >  
         < I n c l u d e A l l I t e m s > f a l s e < / I n c l u d e A l l I t e m s >  
         < A c t i v e > t r u e < / A c t i v e >  
         < P r o t e c t e d L i n k > f a l s e < / P r o t e c t e d L i n k >  
         < N a m e > 2 8 1 0 1   T B   @   3 1 . 1 2 . 2 0 2 0   3 7 5 a 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 3 7 5 a < / A c c o u n t N u m b e r >  
         < R o u n d e d > f a l s e < / R o u n d e d >  
     < / T B L i n k >  
     < T B L i n k >  
         < V e r s i o n > 4 < / V e r s i o n >  
         < C o l u m n F i l t e r s / >  
         < D A L i n k I D > c 0 7 c 0 2 1 d - a 2 9 9 - 4 3 7 4 - 8 5 2 1 - a e 3 3 4 0 3 1 0 d a d < / D A L i n k I D >  
         < L i n k T y p e > 0 < / L i n k T y p e >  
         < P a r a m e t e r s / >  
         < I n c l u d e A l l I t e m s > f a l s e < / I n c l u d e A l l I t e m s >  
         < A c t i v e > t r u e < / A c t i v e >  
         < P r o t e c t e d L i n k > f a l s e < / P r o t e c t e d L i n k >  
         < N a m e > 2 8 1 0 1   T B   @   3 1 . 1 2 . 2 0 2 0   3 7 5 b 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 3 7 5 b < / A c c o u n t N u m b e r >  
         < R o u n d e d > f a l s e < / R o u n d e d >  
     < / T B L i n k >  
     < T B L i n k >  
         < V e r s i o n > 4 < / V e r s i o n >  
         < C o l u m n F i l t e r s / >  
         < D A L i n k I D > 6 4 9 8 0 a 2 e - 1 c 5 d - 4 f d 3 - b d 6 b - 3 b 0 3 3 6 7 b 9 e f 1 < / D A L i n k I D >  
         < L i n k T y p e > 0 < / L i n k T y p e >  
         < P a r a m e t e r s / >  
         < I n c l u d e A l l I t e m s > f a l s e < / I n c l u d e A l l I t e m s >  
         < A c t i v e > t r u e < / A c t i v e >  
         < P r o t e c t e d L i n k > f a l s e < / P r o t e c t e d L i n k >  
         < N a m e > 2 8 1 0 1   T B   @   3 1 . 1 2 . 2 0 2 0   3 7 6 a 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 3 7 6 a < / A c c o u n t N u m b e r >  
         < R o u n d e d > f a l s e < / R o u n d e d >  
     < / T B L i n k >  
     < T B L i n k >  
         < V e r s i o n > 4 < / V e r s i o n >  
         < C o l u m n F i l t e r s / >  
         < D A L i n k I D > c f 7 7 7 8 4 9 - 3 5 7 c - 4 5 9 0 - 9 f e a - 6 5 3 d e 0 8 d 8 5 2 d < / D A L i n k I D >  
         < L i n k T y p e > 0 < / L i n k T y p e >  
         < P a r a m e t e r s / >  
         < I n c l u d e A l l I t e m s > f a l s e < / I n c l u d e A l l I t e m s >  
         < A c t i v e > t r u e < / A c t i v e >  
         < P r o t e c t e d L i n k > f a l s e < / P r o t e c t e d L i n k >  
         < N a m e > 2 8 1 0 1   T B   @   3 1 . 1 2 . 2 0 2 0   3 7 6 b 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 3 7 6 b < / A c c o u n t N u m b e r >  
         < R o u n d e d > f a l s e < / R o u n d e d >  
     < / T B L i n k >  
     < T B L i n k >  
         < V e r s i o n > 4 < / V e r s i o n >  
         < C o l u m n F i l t e r s / >  
         < D A L i n k I D > d e 8 1 b 0 9 7 - 8 e e c - 4 b 0 5 - 9 c f 8 - d 8 c b 7 f a 7 a 6 0 1 < / D A L i n k I D >  
         < L i n k T y p e > 0 < / L i n k T y p e >  
         < P a r a m e t e r s / >  
         < I n c l u d e A l l I t e m s > f a l s e < / I n c l u d e A l l I t e m s >  
         < A c t i v e > t r u e < / A c t i v e >  
         < P r o t e c t e d L i n k > f a l s e < / P r o t e c t e d L i n k >  
         < N a m e > 2 8 1 0 1   T B   @   3 1 . 1 2 . 2 0 2 0   3 7 7 a 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 3 7 7 a < / A c c o u n t N u m b e r >  
         < R o u n d e d > f a l s e < / R o u n d e d >  
     < / T B L i n k >  
     < T B L i n k >  
         < V e r s i o n > 4 < / V e r s i o n >  
         < C o l u m n F i l t e r s / >  
         < D A L i n k I D > 9 2 7 2 9 a 2 8 - 2 b 7 e - 4 1 b c - b e 3 9 - 9 7 2 c 8 0 2 a 7 5 6 8 < / D A L i n k I D >  
         < L i n k T y p e > 0 < / L i n k T y p e >  
         < P a r a m e t e r s / >  
         < I n c l u d e A l l I t e m s > f a l s e < / I n c l u d e A l l I t e m s >  
         < A c t i v e > t r u e < / A c t i v e >  
         < P r o t e c t e d L i n k > f a l s e < / P r o t e c t e d L i n k >  
         < N a m e > 2 8 1 0 1   T B   @   3 1 . 1 2 . 2 0 2 0   3 7 7 b 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 3 7 7 b < / A c c o u n t N u m b e r >  
         < R o u n d e d > f a l s e < / R o u n d e d >  
     < / T B L i n k >  
     < T B L i n k >  
         < V e r s i o n > 4 < / V e r s i o n >  
         < C o l u m n F i l t e r s / >  
         < D A L i n k I D > 6 c 3 5 4 e c 1 - a b b 7 - 4 3 2 3 - 9 9 d 1 - 3 f f 3 d 3 7 8 0 c 8 1 < / D A L i n k I D >  
         < L i n k T y p e > 0 < / L i n k T y p e >  
         < P a r a m e t e r s / >  
         < I n c l u d e A l l I t e m s > f a l s e < / I n c l u d e A l l I t e m s >  
         < A c t i v e > t r u e < / A c t i v e >  
         < P r o t e c t e d L i n k > f a l s e < / P r o t e c t e d L i n k >  
         < N a m e > 2 8 1 0 1   T B   @   3 1 . 1 2 . 2 0 2 0   3 7 8 a 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 3 7 8 a < / A c c o u n t N u m b e r >  
         < R o u n d e d > f a l s e < / R o u n d e d >  
     < / T B L i n k >  
     < T B L i n k >  
         < V e r s i o n > 4 < / V e r s i o n >  
         < C o l u m n F i l t e r s / >  
         < D A L i n k I D > c e 4 a a 3 b d - f 2 f 2 - 4 5 3 4 - a b b 0 - c 1 a 7 b f 0 c 2 3 5 a < / D A L i n k I D >  
         < L i n k T y p e > 0 < / L i n k T y p e >  
         < P a r a m e t e r s / >  
         < I n c l u d e A l l I t e m s > f a l s e < / I n c l u d e A l l I t e m s >  
         < A c t i v e > t r u e < / A c t i v e >  
         < P r o t e c t e d L i n k > f a l s e < / P r o t e c t e d L i n k >  
         < N a m e > 2 8 1 0 1   T B   @   3 1 . 1 2 . 2 0 2 0   3 7 8 b 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 3 1 6 3 . 0 0 0 0 < / N u m e r i c V a l u e >  
         < V a l u e > 3 1 6 3 , 0 0 0 0 < / V a l u e >  
         < C h a r t T y p e > c t D e t a i l < / C h a r t T y p e >  
         < R e f e r e n c e > 2 8 1 0 1 < / R e f e r e n c e >  
         < T B D o c N a m e > T B   @   3 1 . 1 2 . 2 0 2 0 < / T B D o c N a m e >  
         < T B C h a r t N a m e > D e t a i l < / T B C h a r t N a m e >  
         < C o l u m n N a m e > P r i o r P e r i o d 2 B a l a n c e < / C o l u m n N a m e >  
         < U s e r F r i e n d l y C o l u m n N a m e > 3 1 . 1 2 . 2 0 1 9 < / U s e r F r i e n d l y C o l u m n N a m e >  
         < A c c o u n t N u m b e r > 3 7 8 b < / A c c o u n t N u m b e r >  
         < R o u n d e d > f a l s e < / R o u n d e d >  
     < / T B L i n k >  
     < T B L i n k >  
         < V e r s i o n > 4 < / V e r s i o n >  
         < C o l u m n F i l t e r s / >  
         < D A L i n k I D > a 0 2 5 5 6 8 2 - a 1 4 0 - 4 2 c a - 9 9 d b - e 7 b 3 d 1 8 4 1 f 3 9 < / D A L i n k I D >  
         < L i n k T y p e > 0 < / L i n k T y p e >  
         < P a r a m e t e r s / >  
         < I n c l u d e A l l I t e m s > f a l s e < / I n c l u d e A l l I t e m s >  
         < A c t i v e > t r u e < / A c t i v e >  
         < P r o t e c t e d L i n k > f a l s e < / P r o t e c t e d L i n k >  
         < N a m e > 2 8 1 0 1   T B   @   3 1 . 1 2 . 2 0 2 0   3 7 9 x 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 - 5 6 7 . 0 0 0 0 < / N u m e r i c V a l u e >  
         < V a l u e > - 5 6 7 , 0 0 0 0 < / V a l u e >  
         < C h a r t T y p e > c t D e t a i l < / C h a r t T y p e >  
         < R e f e r e n c e > 2 8 1 0 1 < / R e f e r e n c e >  
         < T B D o c N a m e > T B   @   3 1 . 1 2 . 2 0 2 0 < / T B D o c N a m e >  
         < T B C h a r t N a m e > D e t a i l < / T B C h a r t N a m e >  
         < C o l u m n N a m e > P r i o r P e r i o d 2 B a l a n c e < / C o l u m n N a m e >  
         < U s e r F r i e n d l y C o l u m n N a m e > 3 1 . 1 2 . 2 0 1 9 < / U s e r F r i e n d l y C o l u m n N a m e >  
         < A c c o u n t N u m b e r > 3 7 9 x < / A c c o u n t N u m b e r >  
         < R o u n d e d > f a l s e < / R o u n d e d >  
     < / T B L i n k >  
     < T B L i n k >  
         < V e r s i o n > 4 < / V e r s i o n >  
         < C o l u m n F i l t e r s / >  
         < D A L i n k I D > 1 d 3 4 7 3 3 1 - e f 8 3 - 4 d 0 a - 9 1 3 4 - 8 c b 5 3 2 4 6 4 d 1 0 < / D A L i n k I D >  
         < L i n k T y p e > 0 < / L i n k T y p e >  
         < P a r a m e t e r s / >  
         < I n c l u d e A l l I t e m s > f a l s e < / I n c l u d e A l l I t e m s >  
         < A c t i v e > t r u e < / A c t i v e >  
         < P r o t e c t e d L i n k > f a l s e < / P r o t e c t e d L i n k >  
         < N a m e > 2 8 1 0 1   T B   @   3 1 . 1 2 . 2 0 2 0   3 8 1 a 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 5 7 4 2 7 . 0 0 0 0 < / N u m e r i c V a l u e >  
         < V a l u e > 5 7 4 2 7 , 0 0 0 0 < / V a l u e >  
         < C h a r t T y p e > c t D e t a i l < / C h a r t T y p e >  
         < R e f e r e n c e > 2 8 1 0 1 < / R e f e r e n c e >  
         < T B D o c N a m e > T B   @   3 1 . 1 2 . 2 0 2 0 < / T B D o c N a m e >  
         < T B C h a r t N a m e > D e t a i l < / T B C h a r t N a m e >  
         < C o l u m n N a m e > P r i o r P e r i o d 2 B a l a n c e < / C o l u m n N a m e >  
         < U s e r F r i e n d l y C o l u m n N a m e > 3 1 . 1 2 . 2 0 1 9 < / U s e r F r i e n d l y C o l u m n N a m e >  
         < A c c o u n t N u m b e r > 3 8 1 a < / A c c o u n t N u m b e r >  
         < R o u n d e d > f a l s e < / R o u n d e d >  
     < / T B L i n k >  
     < T B L i n k >  
         < V e r s i o n > 4 < / V e r s i o n >  
         < C o l u m n F i l t e r s / >  
         < D A L i n k I D > 3 d 4 f f a 6 d - 0 5 d 8 - 4 2 8 3 - 9 4 c 8 - f 5 6 3 a 1 9 4 6 7 2 2 < / D A L i n k I D >  
         < L i n k T y p e > 0 < / L i n k T y p e >  
         < P a r a m e t e r s / >  
         < I n c l u d e A l l I t e m s > f a l s e < / I n c l u d e A l l I t e m s >  
         < A c t i v e > t r u e < / A c t i v e >  
         < P r o t e c t e d L i n k > f a l s e < / P r o t e c t e d L i n k >  
         < N a m e > 2 8 1 0 1   T B   @   3 1 . 1 2 . 2 0 2 0   3 8 1 b 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 3 2 5 7 . 0 0 0 0 < / N u m e r i c V a l u e >  
         < V a l u e > 3 2 5 7 , 0 0 0 0 < / V a l u e >  
         < C h a r t T y p e > c t D e t a i l < / C h a r t T y p e >  
         < R e f e r e n c e > 2 8 1 0 1 < / R e f e r e n c e >  
         < T B D o c N a m e > T B   @   3 1 . 1 2 . 2 0 2 0 < / T B D o c N a m e >  
         < T B C h a r t N a m e > D e t a i l < / T B C h a r t N a m e >  
         < C o l u m n N a m e > P r i o r P e r i o d 2 B a l a n c e < / C o l u m n N a m e >  
         < U s e r F r i e n d l y C o l u m n N a m e > 3 1 . 1 2 . 2 0 1 9 < / U s e r F r i e n d l y C o l u m n N a m e >  
         < A c c o u n t N u m b e r > 3 8 1 b < / A c c o u n t N u m b e r >  
         < R o u n d e d > f a l s e < / R o u n d e d >  
     < / T B L i n k >  
     < T B L i n k >  
         < V e r s i o n > 4 < / V e r s i o n >  
         < C o l u m n F i l t e r s / >  
         < D A L i n k I D > 7 b 9 d 2 4 e 5 - c d e e - 4 e 8 1 - 8 7 d 9 - a d f 9 d b f 3 9 9 2 5 < / D A L i n k I D >  
         < L i n k T y p e > 0 < / L i n k T y p e >  
         < P a r a m e t e r s / >  
         < I n c l u d e A l l I t e m s > f a l s e < / I n c l u d e A l l I t e m s >  
         < A c t i v e > t r u e < / A c t i v e >  
         < P r o t e c t e d L i n k > f a l s e < / P r o t e c t e d L i n k >  
         < N a m e > 2 8 1 0 1   T B   @   3 1 . 1 2 . 2 0 2 0   3 8 2 a 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 3 8 2 a < / A c c o u n t N u m b e r >  
         < R o u n d e d > f a l s e < / R o u n d e d >  
     < / T B L i n k >  
     < T B L i n k >  
         < V e r s i o n > 4 < / V e r s i o n >  
         < C o l u m n F i l t e r s / >  
         < D A L i n k I D > 4 b d 5 b 7 8 9 - 3 e b 9 - 4 b 0 8 - b 9 b 2 - 7 1 c 3 1 2 0 6 1 e 5 e < / D A L i n k I D >  
         < L i n k T y p e > 0 < / L i n k T y p e >  
         < P a r a m e t e r s / >  
         < I n c l u d e A l l I t e m s > f a l s e < / I n c l u d e A l l I t e m s >  
         < A c t i v e > t r u e < / A c t i v e >  
         < P r o t e c t e d L i n k > f a l s e < / P r o t e c t e d L i n k >  
         < N a m e > 2 8 1 0 1   T B   @   3 1 . 1 2 . 2 0 2 0   3 8 2 b 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 3 8 2 b < / A c c o u n t N u m b e r >  
         < R o u n d e d > f a l s e < / R o u n d e d >  
     < / T B L i n k >  
     < T B L i n k >  
         < V e r s i o n > 4 < / V e r s i o n >  
         < C o l u m n F i l t e r s / >  
         < D A L i n k I D > 2 0 2 e c 9 8 8 - d d a 0 - 4 e 1 9 - 8 f c 6 - d 7 0 f 7 b 2 3 9 e 8 f < / D A L i n k I D >  
         < L i n k T y p e > 0 < / L i n k T y p e >  
         < P a r a m e t e r s / >  
         < I n c l u d e A l l I t e m s > f a l s e < / I n c l u d e A l l I t e m s >  
         < A c t i v e > t r u e < / A c t i v e >  
         < P r o t e c t e d L i n k > f a l s e < / P r o t e c t e d L i n k >  
         < N a m e > 2 8 1 0 1   T B   @   3 1 . 1 2 . 2 0 2 0   3 8 3 a 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 3 8 3 a < / A c c o u n t N u m b e r >  
         < R o u n d e d > f a l s e < / R o u n d e d >  
     < / T B L i n k >  
     < T B L i n k >  
         < V e r s i o n > 4 < / V e r s i o n >  
         < C o l u m n F i l t e r s / >  
         < D A L i n k I D > 4 5 0 c 7 e 5 5 - 3 6 8 6 - 4 3 f 3 - 9 b f 2 - 1 4 a 2 b 8 3 9 3 a 8 3 < / D A L i n k I D >  
         < L i n k T y p e > 0 < / L i n k T y p e >  
         < P a r a m e t e r s / >  
         < I n c l u d e A l l I t e m s > f a l s e < / I n c l u d e A l l I t e m s >  
         < A c t i v e > t r u e < / A c t i v e >  
         < P r o t e c t e d L i n k > f a l s e < / P r o t e c t e d L i n k >  
         < N a m e > 2 8 1 0 1   T B   @   3 1 . 1 2 . 2 0 2 0   3 8 3 b 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 - 1 7 1 3 0 . 0 0 0 0 < / N u m e r i c V a l u e >  
         < V a l u e > - 1 7 1 3 0 , 0 0 0 0 < / V a l u e >  
         < C h a r t T y p e > c t D e t a i l < / C h a r t T y p e >  
         < R e f e r e n c e > 2 8 1 0 1 < / R e f e r e n c e >  
         < T B D o c N a m e > T B   @   3 1 . 1 2 . 2 0 2 0 < / T B D o c N a m e >  
         < T B C h a r t N a m e > D e t a i l < / T B C h a r t N a m e >  
         < C o l u m n N a m e > P r i o r P e r i o d 2 B a l a n c e < / C o l u m n N a m e >  
         < U s e r F r i e n d l y C o l u m n N a m e > 3 1 . 1 2 . 2 0 1 9 < / U s e r F r i e n d l y C o l u m n N a m e >  
         < A c c o u n t N u m b e r > 3 8 3 b < / A c c o u n t N u m b e r >  
         < R o u n d e d > f a l s e < / R o u n d e d >  
     < / T B L i n k >  
     < T B L i n k >  
         < V e r s i o n > 4 < / V e r s i o n >  
         < C o l u m n F i l t e r s / >  
         < D A L i n k I D > b d 8 1 6 b 0 9 - 3 3 4 d - 4 8 c 0 - a 0 2 f - 7 5 8 8 3 c 4 6 a 4 b 2 < / D A L i n k I D >  
         < L i n k T y p e > 0 < / L i n k T y p e >  
         < P a r a m e t e r s / >  
         < I n c l u d e A l l I t e m s > f a l s e < / I n c l u d e A l l I t e m s >  
         < A c t i v e > t r u e < / A c t i v e >  
         < P r o t e c t e d L i n k > f a l s e < / P r o t e c t e d L i n k >  
         < N a m e > 2 8 1 0 1   T B   @   3 1 . 1 2 . 2 0 2 0   3 8 4 a 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 3 8 4 a < / A c c o u n t N u m b e r >  
         < R o u n d e d > f a l s e < / R o u n d e d >  
     < / T B L i n k >  
     < T B L i n k >  
         < V e r s i o n > 4 < / V e r s i o n >  
         < C o l u m n F i l t e r s / >  
         < D A L i n k I D > 4 7 4 f 0 4 2 e - c f 8 a - 4 0 0 8 - a a c a - 6 f b 3 1 1 7 8 b 6 9 1 < / D A L i n k I D >  
         < L i n k T y p e > 0 < / L i n k T y p e >  
         < P a r a m e t e r s / >  
         < I n c l u d e A l l I t e m s > f a l s e < / I n c l u d e A l l I t e m s >  
         < A c t i v e > t r u e < / A c t i v e >  
         < P r o t e c t e d L i n k > f a l s e < / P r o t e c t e d L i n k >  
         < N a m e > 2 8 1 0 1   T B   @   3 1 . 1 2 . 2 0 2 0   3 8 4 b 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 3 8 4 b < / A c c o u n t N u m b e r >  
         < R o u n d e d > f a l s e < / R o u n d e d >  
     < / T B L i n k >  
     < T B L i n k >  
         < V e r s i o n > 4 < / V e r s i o n >  
         < C o l u m n F i l t e r s / >  
         < D A L i n k I D > f 0 5 6 0 f a e - f 5 2 4 - 4 9 7 7 - a 9 b c - 7 2 7 7 0 3 6 e 1 9 2 5 < / D A L i n k I D >  
         < L i n k T y p e > 0 < / L i n k T y p e >  
         < P a r a m e t e r s / >  
         < I n c l u d e A l l I t e m s > f a l s e < / I n c l u d e A l l I t e m s >  
         < A c t i v e > t r u e < / A c t i v e >  
         < P r o t e c t e d L i n k > f a l s e < / P r o t e c t e d L i n k >  
         < N a m e > 2 8 1 0 1   T B   @   3 1 . 1 2 . 2 0 2 0   3 8 5 a 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 3 8 5 a < / A c c o u n t N u m b e r >  
         < R o u n d e d > f a l s e < / R o u n d e d >  
     < / T B L i n k >  
     < T B L i n k >  
         < V e r s i o n > 4 < / V e r s i o n >  
         < C o l u m n F i l t e r s / >  
         < D A L i n k I D > 6 4 e a 8 f 3 2 - a c 6 f - 4 7 c 9 - a c a 4 - d 1 1 1 2 3 e 6 c c 8 e < / D A L i n k I D >  
         < L i n k T y p e > 0 < / L i n k T y p e >  
         < P a r a m e t e r s / >  
         < I n c l u d e A l l I t e m s > f a l s e < / I n c l u d e A l l I t e m s >  
         < A c t i v e > t r u e < / A c t i v e >  
         < P r o t e c t e d L i n k > f a l s e < / P r o t e c t e d L i n k >  
         < N a m e > 2 8 1 0 1   T B   @   3 1 . 1 2 . 2 0 2 0   3 8 5 b 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 3 8 5 b < / A c c o u n t N u m b e r >  
         < R o u n d e d > f a l s e < / R o u n d e d >  
     < / T B L i n k >  
     < T B L i n k >  
         < V e r s i o n > 4 < / V e r s i o n >  
         < C o l u m n F i l t e r s / >  
         < D A L i n k I D > a 1 d 5 c b a 6 - 8 7 e d - 4 4 1 d - 8 0 a 9 - 0 c e a 8 b 1 5 c b 4 d < / D A L i n k I D >  
         < L i n k T y p e > 0 < / L i n k T y p e >  
         < P a r a m e t e r s / >  
         < I n c l u d e A l l I t e m s > f a l s e < / I n c l u d e A l l I t e m s >  
         < A c t i v e > t r u e < / A c t i v e >  
         < P r o t e c t e d L i n k > f a l s e < / P r o t e c t e d L i n k >  
         < N a m e > 2 8 1 0 1   T B   @   3 1 . 1 2 . 2 0 2 0   3 9 1 a 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 3 9 1 a < / A c c o u n t N u m b e r >  
         < R o u n d e d > f a l s e < / R o u n d e d >  
     < / T B L i n k >  
     < T B L i n k >  
         < V e r s i o n > 4 < / V e r s i o n >  
         < C o l u m n F i l t e r s / >  
         < D A L i n k I D > d 0 b 2 b c 1 2 - 4 a a 3 - 4 7 e 3 - a 0 c d - 6 c 4 b 1 a 2 f 2 a 1 1 < / D A L i n k I D >  
         < L i n k T y p e > 0 < / L i n k T y p e >  
         < P a r a m e t e r s / >  
         < I n c l u d e A l l I t e m s > f a l s e < / I n c l u d e A l l I t e m s >  
         < A c t i v e > t r u e < / A c t i v e >  
         < P r o t e c t e d L i n k > f a l s e < / P r o t e c t e d L i n k >  
         < N a m e > 2 8 1 0 1   T B   @   3 1 . 1 2 . 2 0 2 0   3 9 1 b 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 3 9 1 b < / A c c o u n t N u m b e r >  
         < R o u n d e d > f a l s e < / R o u n d e d >  
     < / T B L i n k >  
     < T B L i n k >  
         < V e r s i o n > 4 < / V e r s i o n >  
         < C o l u m n F i l t e r s / >  
         < D A L i n k I D > f 1 2 f 2 7 f 6 - 7 e 9 a - 4 c 0 6 - b a c 8 - b 3 0 3 c d a d e 0 7 d < / D A L i n k I D >  
         < L i n k T y p e > 0 < / L i n k T y p e >  
         < P a r a m e t e r s / >  
         < I n c l u d e A l l I t e m s > f a l s e < / I n c l u d e A l l I t e m s >  
         < A c t i v e > t r u e < / A c t i v e >  
         < P r o t e c t e d L i n k > f a l s e < / P r o t e c t e d L i n k >  
         < N a m e > 2 8 1 0 1   T B   @   3 1 . 1 2 . 2 0 2 0   3 9 1 c 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 3 9 1 c < / A c c o u n t N u m b e r >  
         < R o u n d e d > f a l s e < / R o u n d e d >  
     < / T B L i n k >  
     < T B L i n k >  
         < V e r s i o n > 4 < / V e r s i o n >  
         < C o l u m n F i l t e r s / >  
         < D A L i n k I D > 3 8 b 3 9 c 6 2 - d 6 a 9 - 4 2 e a - 9 8 b 9 - 4 2 8 5 8 3 c e 8 f 9 b < / D A L i n k I D >  
         < L i n k T y p e > 0 < / L i n k T y p e >  
         < P a r a m e t e r s / >  
         < I n c l u d e A l l I t e m s > f a l s e < / I n c l u d e A l l I t e m s >  
         < A c t i v e > t r u e < / A c t i v e >  
         < P r o t e c t e d L i n k > f a l s e < / P r o t e c t e d L i n k >  
         < N a m e > 2 8 1 0 1   T B   @   3 1 . 1 2 . 2 0 2 0   3 9 1 d 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 3 9 1 d < / A c c o u n t N u m b e r >  
         < R o u n d e d > f a l s e < / R o u n d e d >  
     < / T B L i n k >  
     < T B L i n k >  
         < V e r s i o n > 4 < / V e r s i o n >  
         < C o l u m n F i l t e r s / >  
         < D A L i n k I D > 5 8 f 5 7 a 6 0 - 8 8 8 4 - 4 7 b f - 8 9 3 e - 9 6 1 8 9 7 8 1 c 0 1 b < / D A L i n k I D >  
         < L i n k T y p e > 0 < / L i n k T y p e >  
         < P a r a m e t e r s / >  
         < I n c l u d e A l l I t e m s > f a l s e < / I n c l u d e A l l I t e m s >  
         < A c t i v e > t r u e < / A c t i v e >  
         < P r o t e c t e d L i n k > f a l s e < / P r o t e c t e d L i n k >  
         < N a m e > 2 8 1 0 1   T B   @   3 1 . 1 2 . 2 0 2 0   3 9 1 e 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 3 9 1 e < / A c c o u n t N u m b e r >  
         < R o u n d e d > f a l s e < / R o u n d e d >  
     < / T B L i n k >  
     < T B L i n k >  
         < V e r s i o n > 4 < / V e r s i o n >  
         < C o l u m n F i l t e r s / >  
         < D A L i n k I D > 9 6 8 a 6 a 9 5 - 7 2 e e - 4 8 c 2 - 8 8 2 2 - 0 b b 6 0 7 2 d c 6 b b < / D A L i n k I D >  
         < L i n k T y p e > 0 < / L i n k T y p e >  
         < P a r a m e t e r s / >  
         < I n c l u d e A l l I t e m s > f a l s e < / I n c l u d e A l l I t e m s >  
         < A c t i v e > t r u e < / A c t i v e >  
         < P r o t e c t e d L i n k > f a l s e < / P r o t e c t e d L i n k >  
         < N a m e > 2 8 1 0 1   T B   @   3 1 . 1 2 . 2 0 2 0   3 9 1 f 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 3 9 1 f < / A c c o u n t N u m b e r >  
         < R o u n d e d > f a l s e < / R o u n d e d >  
     < / T B L i n k >  
     < T B L i n k >  
         < V e r s i o n > 4 < / V e r s i o n >  
         < C o l u m n F i l t e r s / >  
         < D A L i n k I D > 4 0 6 f 4 3 9 4 - a 1 7 9 - 4 5 1 b - a c 1 2 - f f 2 f 2 d 7 3 7 1 9 f < / D A L i n k I D >  
         < L i n k T y p e > 0 < / L i n k T y p e >  
         < P a r a m e t e r s / >  
         < I n c l u d e A l l I t e m s > f a l s e < / I n c l u d e A l l I t e m s >  
         < A c t i v e > t r u e < / A c t i v e >  
         < P r o t e c t e d L i n k > f a l s e < / P r o t e c t e d L i n k >  
         < N a m e > 2 8 1 0 1   T B   @   3 1 . 1 2 . 2 0 2 0   3 9 1 g 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 3 9 1 g < / A c c o u n t N u m b e r >  
         < R o u n d e d > f a l s e < / R o u n d e d >  
     < / T B L i n k >  
     < T B L i n k >  
         < V e r s i o n > 4 < / V e r s i o n >  
         < C o l u m n F i l t e r s / >  
         < D A L i n k I D > b e a 4 a d 5 2 - d a 6 2 - 4 6 8 1 - 9 8 a 7 - a f b 4 f 9 4 c 5 d 1 d < / D A L i n k I D >  
         < L i n k T y p e > 0 < / L i n k T y p e >  
         < P a r a m e t e r s / >  
         < I n c l u d e A l l I t e m s > f a l s e < / I n c l u d e A l l I t e m s >  
         < A c t i v e > t r u e < / A c t i v e >  
         < P r o t e c t e d L i n k > f a l s e < / P r o t e c t e d L i n k >  
         < N a m e > 2 8 1 0 1   T B   @   3 1 . 1 2 . 2 0 2 0   3 9 1 h 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 3 9 1 h < / A c c o u n t N u m b e r >  
         < R o u n d e d > f a l s e < / R o u n d e d >  
     < / T B L i n k >  
     < T B L i n k >  
         < V e r s i o n > 4 < / V e r s i o n >  
         < C o l u m n F i l t e r s / >  
         < D A L i n k I D > f 2 9 4 5 c f 1 - 6 1 9 8 - 4 9 5 a - 8 a a 5 - 9 6 0 1 9 b b 1 8 5 d c < / D A L i n k I D >  
         < L i n k T y p e > 0 < / L i n k T y p e >  
         < P a r a m e t e r s / >  
         < I n c l u d e A l l I t e m s > f a l s e < / I n c l u d e A l l I t e m s >  
         < A c t i v e > t r u e < / A c t i v e >  
         < P r o t e c t e d L i n k > f a l s e < / P r o t e c t e d L i n k >  
         < N a m e > 2 8 1 0 1   T B   @   3 1 . 1 2 . 2 0 2 0   3 9 1 i 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 3 9 1 i < / A c c o u n t N u m b e r >  
         < R o u n d e d > f a l s e < / R o u n d e d >  
     < / T B L i n k >  
     < T B L i n k >  
         < V e r s i o n > 4 < / V e r s i o n >  
         < C o l u m n F i l t e r s / >  
         < D A L i n k I D > 1 f 9 2 6 8 9 c - 2 5 7 c - 4 4 8 d - a b 2 8 - c 6 d 4 6 6 4 c 0 8 8 0 < / D A L i n k I D >  
         < L i n k T y p e > 0 < / L i n k T y p e >  
         < P a r a m e t e r s / >  
         < I n c l u d e A l l I t e m s > f a l s e < / I n c l u d e A l l I t e m s >  
         < A c t i v e > t r u e < / A c t i v e >  
         < P r o t e c t e d L i n k > f a l s e < / P r o t e c t e d L i n k >  
         < N a m e > 2 8 1 0 1   T B   @   3 1 . 1 2 . 2 0 2 0   3 9 1 j 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 - 2 8 0 5 0 . 0 0 0 0 < / N u m e r i c V a l u e >  
         < V a l u e > - 2 8 0 5 0 , 0 0 0 0 < / V a l u e >  
         < C h a r t T y p e > c t D e t a i l < / C h a r t T y p e >  
         < R e f e r e n c e > 2 8 1 0 1 < / R e f e r e n c e >  
         < T B D o c N a m e > T B   @   3 1 . 1 2 . 2 0 2 0 < / T B D o c N a m e >  
         < T B C h a r t N a m e > D e t a i l < / T B C h a r t N a m e >  
         < C o l u m n N a m e > P r i o r P e r i o d 2 B a l a n c e < / C o l u m n N a m e >  
         < U s e r F r i e n d l y C o l u m n N a m e > 3 1 . 1 2 . 2 0 1 9 < / U s e r F r i e n d l y C o l u m n N a m e >  
         < A c c o u n t N u m b e r > 3 9 1 j < / A c c o u n t N u m b e r >  
         < R o u n d e d > f a l s e < / R o u n d e d >  
     < / T B L i n k >  
     < T B L i n k >  
         < V e r s i o n > 4 < / V e r s i o n >  
         < C o l u m n F i l t e r s / >  
         < D A L i n k I D > 9 f 7 c e e d 8 - 0 4 c 0 - 4 1 e 1 - b b c 7 - a 7 d 0 d 8 f f f 1 4 0 < / D A L i n k I D >  
         < L i n k T y p e > 0 < / L i n k T y p e >  
         < P a r a m e t e r s / >  
         < I n c l u d e A l l I t e m s > f a l s e < / I n c l u d e A l l I t e m s >  
         < A c t i v e > t r u e < / A c t i v e >  
         < P r o t e c t e d L i n k > f a l s e < / P r o t e c t e d L i n k >  
         < N a m e > 2 8 1 0 1   T B   @   3 1 . 1 2 . 2 0 2 0   3 9 1 k 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 3 9 1 k < / A c c o u n t N u m b e r >  
         < R o u n d e d > f a l s e < / R o u n d e d >  
     < / T B L i n k >  
     < T B L i n k >  
         < V e r s i o n > 4 < / V e r s i o n >  
         < C o l u m n F i l t e r s / >  
         < D A L i n k I D > 1 2 0 3 4 e 0 7 - f c 8 4 - 4 5 6 b - 8 9 9 b - c 0 0 9 0 2 4 0 f 0 9 b < / D A L i n k I D >  
         < L i n k T y p e > 0 < / L i n k T y p e >  
         < P a r a m e t e r s / >  
         < I n c l u d e A l l I t e m s > f a l s e < / I n c l u d e A l l I t e m s >  
         < A c t i v e > t r u e < / A c t i v e >  
         < P r o t e c t e d L i n k > f a l s e < / P r o t e c t e d L i n k >  
         < N a m e > 2 8 1 0 1   T B   @   3 1 . 1 2 . 2 0 2 0   3 9 1 l 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 3 9 1 l < / A c c o u n t N u m b e r >  
         < R o u n d e d > f a l s e < / R o u n d e d >  
     < / T B L i n k >  
     < T B L i n k >  
         < V e r s i o n > 4 < / V e r s i o n >  
         < C o l u m n F i l t e r s / >  
         < D A L i n k I D > 7 d 9 3 d d 0 4 - 6 0 8 9 - 4 7 f f - b c d e - 6 6 1 2 3 4 8 1 d f f c < / D A L i n k I D >  
         < L i n k T y p e > 0 < / L i n k T y p e >  
         < P a r a m e t e r s / >  
         < I n c l u d e A l l I t e m s > f a l s e < / I n c l u d e A l l I t e m s >  
         < A c t i v e > t r u e < / A c t i v e >  
         < P r o t e c t e d L i n k > f a l s e < / P r o t e c t e d L i n k >  
         < N a m e > 2 8 1 0 1   T B   @   3 1 . 1 2 . 2 0 2 0   3 9 1 m 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 3 9 1 m < / A c c o u n t N u m b e r >  
         < R o u n d e d > f a l s e < / R o u n d e d >  
     < / T B L i n k >  
     < T B L i n k >  
         < V e r s i o n > 4 < / V e r s i o n >  
         < C o l u m n F i l t e r s / >  
         < D A L i n k I D > 2 c 8 d d b 4 9 - 6 0 b 2 - 4 4 f e - b 1 6 2 - b c 5 a 8 3 4 0 3 c 3 3 < / D A L i n k I D >  
         < L i n k T y p e > 0 < / L i n k T y p e >  
         < P a r a m e t e r s / >  
         < I n c l u d e A l l I t e m s > f a l s e < / I n c l u d e A l l I t e m s >  
         < A c t i v e > t r u e < / A c t i v e >  
         < P r o t e c t e d L i n k > f a l s e < / P r o t e c t e d L i n k >  
         < N a m e > 2 8 1 0 1   T B   @   3 1 . 1 2 . 2 0 2 0   3 9 1 n 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 3 9 1 n < / A c c o u n t N u m b e r >  
         < R o u n d e d > f a l s e < / R o u n d e d >  
     < / T B L i n k >  
     < T B L i n k >  
         < V e r s i o n > 4 < / V e r s i o n >  
         < C o l u m n F i l t e r s / >  
         < D A L i n k I D > 0 2 d 0 f b f 8 - 9 a 3 4 - 4 a 6 5 - b 8 3 0 - 3 d 3 e 3 a f 3 2 c 1 5 < / D A L i n k I D >  
         < L i n k T y p e > 0 < / L i n k T y p e >  
         < P a r a m e t e r s / >  
         < I n c l u d e A l l I t e m s > f a l s e < / I n c l u d e A l l I t e m s >  
         < A c t i v e > t r u e < / A c t i v e >  
         < P r o t e c t e d L i n k > f a l s e < / P r o t e c t e d L i n k >  
         < N a m e > 2 8 1 0 1   T B   @   3 1 . 1 2 . 2 0 2 0   3 9 1 o 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 3 9 1 o < / A c c o u n t N u m b e r >  
         < R o u n d e d > f a l s e < / R o u n d e d >  
     < / T B L i n k >  
     < T B L i n k >  
         < V e r s i o n > 4 < / V e r s i o n >  
         < C o l u m n F i l t e r s / >  
         < D A L i n k I D > c f 7 8 b 6 c 3 - 1 5 a e - 4 d 7 2 - a 3 f 0 - 4 e 7 c 6 e d c d 5 d d < / D A L i n k I D >  
         < L i n k T y p e > 0 < / L i n k T y p e >  
         < P a r a m e t e r s / >  
         < I n c l u d e A l l I t e m s > f a l s e < / I n c l u d e A l l I t e m s >  
         < A c t i v e > t r u e < / A c t i v e >  
         < P r o t e c t e d L i n k > f a l s e < / P r o t e c t e d L i n k >  
         < N a m e > 2 8 1 0 1   T B   @   3 1 . 1 2 . 2 0 2 0   3 9 1 p 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 3 9 1 p < / A c c o u n t N u m b e r >  
         < R o u n d e d > f a l s e < / R o u n d e d >  
     < / T B L i n k >  
     < T B L i n k >  
         < V e r s i o n > 4 < / V e r s i o n >  
         < C o l u m n F i l t e r s / >  
         < D A L i n k I D > 7 4 f 1 a 5 e 2 - a 7 e b - 4 5 1 a - 9 e 2 7 - f b 9 c 3 b 7 3 9 7 f e < / D A L i n k I D >  
         < L i n k T y p e > 0 < / L i n k T y p e >  
         < P a r a m e t e r s / >  
         < I n c l u d e A l l I t e m s > f a l s e < / I n c l u d e A l l I t e m s >  
         < A c t i v e > t r u e < / A c t i v e >  
         < P r o t e c t e d L i n k > f a l s e < / P r o t e c t e d L i n k >  
         < N a m e > 2 8 1 0 1   T B   @   3 1 . 1 2 . 2 0 2 0   3 9 1 r 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 3 9 1 r < / A c c o u n t N u m b e r >  
         < R o u n d e d > f a l s e < / R o u n d e d >  
     < / T B L i n k >  
     < T B L i n k >  
         < V e r s i o n > 4 < / V e r s i o n >  
         < C o l u m n F i l t e r s / >  
         < D A L i n k I D > 5 6 d 1 5 d 6 a - f 8 c b - 4 1 0 2 - 8 4 6 2 - 3 a f 7 5 6 7 1 2 b 2 d < / D A L i n k I D >  
         < L i n k T y p e > 0 < / L i n k T y p e >  
         < P a r a m e t e r s / >  
         < I n c l u d e A l l I t e m s > f a l s e < / I n c l u d e A l l I t e m s >  
         < A c t i v e > t r u e < / A c t i v e >  
         < P r o t e c t e d L i n k > f a l s e < / P r o t e c t e d L i n k >  
         < N a m e > 2 8 1 0 1   T B   @   3 1 . 1 2 . 2 0 2 0   3 9 5 x 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 3 9 5 x < / A c c o u n t N u m b e r >  
         < R o u n d e d > f a l s e < / R o u n d e d >  
     < / T B L i n k >  
     < T B L i n k >  
         < V e r s i o n > 4 < / V e r s i o n >  
         < C o l u m n F i l t e r s / >  
         < D A L i n k I D > 0 2 3 e f 2 b 5 - 8 0 3 2 - 4 9 2 c - a d a a - 4 3 f b d 5 4 7 8 c b d < / D A L i n k I D >  
         < L i n k T y p e > 0 < / L i n k T y p e >  
         < P a r a m e t e r s / >  
         < I n c l u d e A l l I t e m s > f a l s e < / I n c l u d e A l l I t e m s >  
         < A c t i v e > t r u e < / A c t i v e >  
         < P r o t e c t e d L i n k > f a l s e < / P r o t e c t e d L i n k >  
         < N a m e > 2 8 1 0 1   T B   @   3 1 . 1 2 . 2 0 2 0   3 9 8 a 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 3 9 8 a < / A c c o u n t N u m b e r >  
         < R o u n d e d > f a l s e < / R o u n d e d >  
     < / T B L i n k >  
     < T B L i n k >  
         < V e r s i o n > 4 < / V e r s i o n >  
         < C o l u m n F i l t e r s / >  
         < D A L i n k I D > a f e 9 f 3 8 9 - 5 e d a - 4 6 8 c - a d 2 2 - 4 c 0 6 7 7 8 9 3 4 a 8 < / D A L i n k I D >  
         < L i n k T y p e > 0 < / L i n k T y p e >  
         < P a r a m e t e r s / >  
         < I n c l u d e A l l I t e m s > f a l s e < / I n c l u d e A l l I t e m s >  
         < A c t i v e > t r u e < / A c t i v e >  
         < P r o t e c t e d L i n k > f a l s e < / P r o t e c t e d L i n k >  
         < N a m e > 2 8 1 0 1   T B   @   3 1 . 1 2 . 2 0 2 0   4 1 1 x 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 - 2 0 0 6 0 0 . 0 0 0 0 < / N u m e r i c V a l u e >  
         < V a l u e > - 2 0 0 6 0 0 , 0 0 0 0 < / V a l u e >  
         < C h a r t T y p e > c t D e t a i l < / C h a r t T y p e >  
         < R e f e r e n c e > 2 8 1 0 1 < / R e f e r e n c e >  
         < T B D o c N a m e > T B   @   3 1 . 1 2 . 2 0 2 0 < / T B D o c N a m e >  
         < T B C h a r t N a m e > D e t a i l < / T B C h a r t N a m e >  
         < C o l u m n N a m e > P r i o r P e r i o d 2 B a l a n c e < / C o l u m n N a m e >  
         < U s e r F r i e n d l y C o l u m n N a m e > 3 1 . 1 2 . 2 0 1 9 < / U s e r F r i e n d l y C o l u m n N a m e >  
         < A c c o u n t N u m b e r > 4 1 1 x < / A c c o u n t N u m b e r >  
         < R o u n d e d > f a l s e < / R o u n d e d >  
     < / T B L i n k >  
     < T B L i n k >  
         < V e r s i o n > 4 < / V e r s i o n >  
         < C o l u m n F i l t e r s / >  
         < D A L i n k I D > 3 f 6 4 7 9 8 b - 2 1 4 c - 4 0 4 d - 9 6 3 9 - 9 e 6 c a b f 9 8 c 0 c < / D A L i n k I D >  
         < L i n k T y p e > 0 < / L i n k T y p e >  
         < P a r a m e t e r s / >  
         < I n c l u d e A l l I t e m s > f a l s e < / I n c l u d e A l l I t e m s >  
         < A c t i v e > t r u e < / A c t i v e >  
         < P r o t e c t e d L i n k > f a l s e < / P r o t e c t e d L i n k >  
         < N a m e > 2 8 1 0 1   T B   @   3 1 . 1 2 . 2 0 2 0   4 1 2 x 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 4 1 2 x < / A c c o u n t N u m b e r >  
         < R o u n d e d > f a l s e < / R o u n d e d >  
     < / T B L i n k >  
     < T B L i n k >  
         < V e r s i o n > 4 < / V e r s i o n >  
         < C o l u m n F i l t e r s / >  
         < D A L i n k I D > 0 0 2 b 5 8 7 5 - 5 8 a 3 - 4 d 5 3 - b f a 5 - f 4 a 8 b 7 2 1 f d d 1 < / D A L i n k I D >  
         < L i n k T y p e > 0 < / L i n k T y p e >  
         < P a r a m e t e r s / >  
         < I n c l u d e A l l I t e m s > f a l s e < / I n c l u d e A l l I t e m s >  
         < A c t i v e > t r u e < / A c t i v e >  
         < P r o t e c t e d L i n k > f a l s e < / P r o t e c t e d L i n k >  
         < N a m e > 2 8 1 0 1   T B   @   3 1 . 1 2 . 2 0 2 0   4 1 3 x 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 - 3 3 1 9 . 0 0 0 0 < / N u m e r i c V a l u e >  
         < V a l u e > - 3 3 1 9 , 0 0 0 0 < / V a l u e >  
         < C h a r t T y p e > c t D e t a i l < / C h a r t T y p e >  
         < R e f e r e n c e > 2 8 1 0 1 < / R e f e r e n c e >  
         < T B D o c N a m e > T B   @   3 1 . 1 2 . 2 0 2 0 < / T B D o c N a m e >  
         < T B C h a r t N a m e > D e t a i l < / T B C h a r t N a m e >  
         < C o l u m n N a m e > P r i o r P e r i o d 2 B a l a n c e < / C o l u m n N a m e >  
         < U s e r F r i e n d l y C o l u m n N a m e > 3 1 . 1 2 . 2 0 1 9 < / U s e r F r i e n d l y C o l u m n N a m e >  
         < A c c o u n t N u m b e r > 4 1 3 x < / A c c o u n t N u m b e r >  
         < R o u n d e d > f a l s e < / R o u n d e d >  
     < / T B L i n k >  
     < T B L i n k >  
         < V e r s i o n > 4 < / V e r s i o n >  
         < C o l u m n F i l t e r s / >  
         < D A L i n k I D > 9 a 9 f 8 7 9 8 - f 3 b c - 4 4 1 5 - 8 8 6 f - a b 8 4 c 1 6 f 9 2 6 7 < / D A L i n k I D >  
         < L i n k T y p e > 0 < / L i n k T y p e >  
         < P a r a m e t e r s / >  
         < I n c l u d e A l l I t e m s > f a l s e < / I n c l u d e A l l I t e m s >  
         < A c t i v e > t r u e < / A c t i v e >  
         < P r o t e c t e d L i n k > f a l s e < / P r o t e c t e d L i n k >  
         < N a m e > 2 8 1 0 1   T B   @   3 1 . 1 2 . 2 0 2 0   4 1 4 x 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 4 1 4 x < / A c c o u n t N u m b e r >  
         < R o u n d e d > f a l s e < / R o u n d e d >  
     < / T B L i n k >  
     < T B L i n k >  
         < V e r s i o n > 4 < / V e r s i o n >  
         < C o l u m n F i l t e r s / >  
         < D A L i n k I D > 5 0 f 5 7 3 7 1 - b 9 e 3 - 4 0 a 4 - 8 7 9 d - b 5 4 2 4 5 0 0 2 d 0 2 < / D A L i n k I D >  
         < L i n k T y p e > 0 < / L i n k T y p e >  
         < P a r a m e t e r s / >  
         < I n c l u d e A l l I t e m s > f a l s e < / I n c l u d e A l l I t e m s >  
         < A c t i v e > t r u e < / A c t i v e >  
         < P r o t e c t e d L i n k > f a l s e < / P r o t e c t e d L i n k >  
         < N a m e > 2 8 1 0 1   T B   @   3 1 . 1 2 . 2 0 2 0   4 1 5 x 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 4 1 5 x < / A c c o u n t N u m b e r >  
         < R o u n d e d > f a l s e < / R o u n d e d >  
     < / T B L i n k >  
     < T B L i n k >  
         < V e r s i o n > 4 < / V e r s i o n >  
         < C o l u m n F i l t e r s / >  
         < D A L i n k I D > b 9 a 3 6 2 e 2 - 3 4 9 3 - 4 b d 9 - a 9 9 c - 6 4 c 5 0 5 e c e 6 5 8 < / D A L i n k I D >  
         < L i n k T y p e > 0 < / L i n k T y p e >  
         < P a r a m e t e r s / >  
         < I n c l u d e A l l I t e m s > f a l s e < / I n c l u d e A l l I t e m s >  
         < A c t i v e > t r u e < / A c t i v e >  
         < P r o t e c t e d L i n k > f a l s e < / P r o t e c t e d L i n k >  
         < N a m e > 2 8 1 0 1   T B   @   3 1 . 1 2 . 2 0 2 0   4 1 6 x 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 4 1 6 x < / A c c o u n t N u m b e r >  
         < R o u n d e d > f a l s e < / R o u n d e d >  
     < / T B L i n k >  
     < T B L i n k >  
         < V e r s i o n > 4 < / V e r s i o n >  
         < C o l u m n F i l t e r s / >  
         < D A L i n k I D > d 7 1 f b 8 f d - 4 b 1 7 - 4 4 3 9 - 9 e e c - c 8 2 7 8 b a 9 f 3 0 b < / D A L i n k I D >  
         < L i n k T y p e > 0 < / L i n k T y p e >  
         < P a r a m e t e r s / >  
         < I n c l u d e A l l I t e m s > f a l s e < / I n c l u d e A l l I t e m s >  
         < A c t i v e > t r u e < / A c t i v e >  
         < P r o t e c t e d L i n k > f a l s e < / P r o t e c t e d L i n k >  
         < N a m e > 2 8 1 0 1   T B   @   3 1 . 1 2 . 2 0 2 0   4 1 7 a 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 4 1 7 a < / A c c o u n t N u m b e r >  
         < R o u n d e d > f a l s e < / R o u n d e d >  
     < / T B L i n k >  
     < T B L i n k >  
         < V e r s i o n > 4 < / V e r s i o n >  
         < C o l u m n F i l t e r s / >  
         < D A L i n k I D > 5 d f 9 9 0 0 1 - 9 d 3 d - 4 b d 4 - b d 2 f - 0 d 4 b 9 2 8 4 4 d 5 d < / D A L i n k I D >  
         < L i n k T y p e > 0 < / L i n k T y p e >  
         < P a r a m e t e r s / >  
         < I n c l u d e A l l I t e m s > f a l s e < / I n c l u d e A l l I t e m s >  
         < A c t i v e > t r u e < / A c t i v e >  
         < P r o t e c t e d L i n k > f a l s e < / P r o t e c t e d L i n k >  
         < N a m e > 2 8 1 0 1   T B   @   3 1 . 1 2 . 2 0 2 0   4 1 7 b 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 4 1 7 b < / A c c o u n t N u m b e r >  
         < R o u n d e d > f a l s e < / R o u n d e d >  
     < / T B L i n k >  
     < T B L i n k >  
         < V e r s i o n > 4 < / V e r s i o n >  
         < C o l u m n F i l t e r s / >  
         < D A L i n k I D > c 3 0 9 a 2 a c - e b 1 4 - 4 c d 9 - 8 3 8 2 - 7 4 f 0 f e 1 c 4 5 4 0 < / D A L i n k I D >  
         < L i n k T y p e > 0 < / L i n k T y p e >  
         < P a r a m e t e r s / >  
         < I n c l u d e A l l I t e m s > f a l s e < / I n c l u d e A l l I t e m s >  
         < A c t i v e > t r u e < / A c t i v e >  
         < P r o t e c t e d L i n k > f a l s e < / P r o t e c t e d L i n k >  
         < N a m e > 2 8 1 0 1   T B   @   3 1 . 1 2 . 2 0 2 0   4 1 8 x 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 4 1 8 x < / A c c o u n t N u m b e r >  
         < R o u n d e d > f a l s e < / R o u n d e d >  
     < / T B L i n k >  
     < T B L i n k >  
         < V e r s i o n > 4 < / V e r s i o n >  
         < C o l u m n F i l t e r s / >  
         < D A L i n k I D > 3 6 4 c 0 b 9 7 - 1 f 4 7 - 4 d 3 0 - 9 6 4 1 - 2 a 6 4 c b b 6 3 5 3 4 < / D A L i n k I D >  
         < L i n k T y p e > 0 < / L i n k T y p e >  
         < P a r a m e t e r s / >  
         < I n c l u d e A l l I t e m s > f a l s e < / I n c l u d e A l l I t e m s >  
         < A c t i v e > t r u e < / A c t i v e >  
         < P r o t e c t e d L i n k > f a l s e < / P r o t e c t e d L i n k >  
         < N a m e > 2 8 1 0 1   T B   @   3 1 . 1 2 . 2 0 2 0   4 1 9 x 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 4 1 9 x < / A c c o u n t N u m b e r >  
         < R o u n d e d > f a l s e < / R o u n d e d >  
     < / T B L i n k >  
     < T B L i n k >  
         < V e r s i o n > 4 < / V e r s i o n >  
         < C o l u m n F i l t e r s / >  
         < D A L i n k I D > a 9 d c c 2 e 8 - 0 8 d 7 - 4 f a 5 - 8 3 0 9 - 7 7 4 3 0 f 7 a b 5 c 2 < / D A L i n k I D >  
         < L i n k T y p e > 0 < / L i n k T y p e >  
         < P a r a m e t e r s / >  
         < I n c l u d e A l l I t e m s > f a l s e < / I n c l u d e A l l I t e m s >  
         < A c t i v e > t r u e < / A c t i v e >  
         < P r o t e c t e d L i n k > f a l s e < / P r o t e c t e d L i n k >  
         < N a m e > 2 8 1 0 1   T B   @   3 1 . 1 2 . 2 0 2 0   4 2 1 a 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 - 4 0 1 2 0 . 0 0 0 0 < / N u m e r i c V a l u e >  
         < V a l u e > - 4 0 1 2 0 , 0 0 0 0 < / V a l u e >  
         < C h a r t T y p e > c t D e t a i l < / C h a r t T y p e >  
         < R e f e r e n c e > 2 8 1 0 1 < / R e f e r e n c e >  
         < T B D o c N a m e > T B   @   3 1 . 1 2 . 2 0 2 0 < / T B D o c N a m e >  
         < T B C h a r t N a m e > D e t a i l < / T B C h a r t N a m e >  
         < C o l u m n N a m e > P r i o r P e r i o d 2 B a l a n c e < / C o l u m n N a m e >  
         < U s e r F r i e n d l y C o l u m n N a m e > 3 1 . 1 2 . 2 0 1 9 < / U s e r F r i e n d l y C o l u m n N a m e >  
         < A c c o u n t N u m b e r > 4 2 1 a < / A c c o u n t N u m b e r >  
         < R o u n d e d > f a l s e < / R o u n d e d >  
     < / T B L i n k >  
     < T B L i n k >  
         < V e r s i o n > 4 < / V e r s i o n >  
         < C o l u m n F i l t e r s / >  
         < D A L i n k I D > 1 2 b 3 1 8 4 5 - 1 a 5 3 - 4 2 a b - b 8 8 3 - 3 5 4 0 2 2 2 2 e 7 4 9 < / D A L i n k I D >  
         < L i n k T y p e > 0 < / L i n k T y p e >  
         < P a r a m e t e r s / >  
         < I n c l u d e A l l I t e m s > f a l s e < / I n c l u d e A l l I t e m s >  
         < A c t i v e > t r u e < / A c t i v e >  
         < P r o t e c t e d L i n k > f a l s e < / P r o t e c t e d L i n k >  
         < N a m e > 2 8 1 0 1   T B   @   3 1 . 1 2 . 2 0 2 0   4 2 1 b 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 4 2 1 b < / A c c o u n t N u m b e r >  
         < R o u n d e d > f a l s e < / R o u n d e d >  
     < / T B L i n k >  
     < T B L i n k >  
         < V e r s i o n > 4 < / V e r s i o n >  
         < C o l u m n F i l t e r s / >  
         < D A L i n k I D > e 8 e 9 d b 9 1 - 1 e 6 a - 4 f e b - a 3 4 f - 8 8 d a 7 f 9 2 3 1 4 b < / D A L i n k I D >  
         < L i n k T y p e > 0 < / L i n k T y p e >  
         < P a r a m e t e r s / >  
         < I n c l u d e A l l I t e m s > f a l s e < / I n c l u d e A l l I t e m s >  
         < A c t i v e > t r u e < / A c t i v e >  
         < P r o t e c t e d L i n k > f a l s e < / P r o t e c t e d L i n k >  
         < N a m e > 2 8 1 0 1   T B   @   3 1 . 1 2 . 2 0 2 0   4 2 2 x 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 4 2 2 x < / A c c o u n t N u m b e r >  
         < R o u n d e d > f a l s e < / R o u n d e d >  
     < / T B L i n k >  
     < T B L i n k >  
         < V e r s i o n > 4 < / V e r s i o n >  
         < C o l u m n F i l t e r s / >  
         < D A L i n k I D > 1 c 3 d e 6 f 7 - f c 8 5 - 4 0 4 0 - 9 b 1 9 - c 9 e 0 4 b 1 c 9 d 0 6 < / D A L i n k I D >  
         < L i n k T y p e > 0 < / L i n k T y p e >  
         < P a r a m e t e r s / >  
         < I n c l u d e A l l I t e m s > f a l s e < / I n c l u d e A l l I t e m s >  
         < A c t i v e > t r u e < / A c t i v e >  
         < P r o t e c t e d L i n k > f a l s e < / P r o t e c t e d L i n k >  
         < N a m e > 2 8 1 0 1   T B   @   3 1 . 1 2 . 2 0 2 0   4 2 3 x 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 4 2 3 x < / A c c o u n t N u m b e r >  
         < R o u n d e d > f a l s e < / R o u n d e d >  
     < / T B L i n k >  
     < T B L i n k >  
         < V e r s i o n > 4 < / V e r s i o n >  
         < C o l u m n F i l t e r s / >  
         < D A L i n k I D > 1 c 4 e 3 f 7 e - 6 f b 3 - 4 d f b - b 2 5 6 - 6 d b f a e 4 0 3 a 9 f < / D A L i n k I D >  
         < L i n k T y p e > 0 < / L i n k T y p e >  
         < P a r a m e t e r s / >  
         < I n c l u d e A l l I t e m s > f a l s e < / I n c l u d e A l l I t e m s >  
         < A c t i v e > t r u e < / A c t i v e >  
         < P r o t e c t e d L i n k > f a l s e < / P r o t e c t e d L i n k >  
         < N a m e > 2 8 1 0 1   T B   @   3 1 . 1 2 . 2 0 2 0   4 2 7 x 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 - 2 7 9 2 8 1 . 0 0 0 0 < / N u m e r i c V a l u e >  
         < V a l u e > - 2 7 9 2 8 1 , 0 0 0 0 < / V a l u e >  
         < C h a r t T y p e > c t D e t a i l < / C h a r t T y p e >  
         < R e f e r e n c e > 2 8 1 0 1 < / R e f e r e n c e >  
         < T B D o c N a m e > T B   @   3 1 . 1 2 . 2 0 2 0 < / T B D o c N a m e >  
         < T B C h a r t N a m e > D e t a i l < / T B C h a r t N a m e >  
         < C o l u m n N a m e > P r i o r P e r i o d 2 B a l a n c e < / C o l u m n N a m e >  
         < U s e r F r i e n d l y C o l u m n N a m e > 3 1 . 1 2 . 2 0 1 9 < / U s e r F r i e n d l y C o l u m n N a m e >  
         < A c c o u n t N u m b e r > 4 2 7 x < / A c c o u n t N u m b e r >  
         < R o u n d e d > f a l s e < / R o u n d e d >  
     < / T B L i n k >  
     < T B L i n k >  
         < V e r s i o n > 4 < / V e r s i o n >  
         < C o l u m n F i l t e r s / >  
         < D A L i n k I D > 9 3 3 b a 5 4 e - e 4 1 b - 4 e 6 b - b 9 6 1 - 5 c c 3 a 2 1 e 1 e b d < / D A L i n k I D >  
         < L i n k T y p e > 0 < / L i n k T y p e >  
         < P a r a m e t e r s / >  
         < I n c l u d e A l l I t e m s > f a l s e < / I n c l u d e A l l I t e m s >  
         < A c t i v e > t r u e < / A c t i v e >  
         < P r o t e c t e d L i n k > f a l s e < / P r o t e c t e d L i n k >  
         < N a m e > 2 8 1 0 1   T B   @   3 1 . 1 2 . 2 0 2 0   4 2 8 x 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 - 1 1 1 0 2 9 7 . 0 0 0 0 < / N u m e r i c V a l u e >  
         < V a l u e > - 1 1 1 0 2 9 7 , 0 0 0 0 < / V a l u e >  
         < C h a r t T y p e > c t D e t a i l < / C h a r t T y p e >  
         < R e f e r e n c e > 2 8 1 0 1 < / R e f e r e n c e >  
         < T B D o c N a m e > T B   @   3 1 . 1 2 . 2 0 2 0 < / T B D o c N a m e >  
         < T B C h a r t N a m e > D e t a i l < / T B C h a r t N a m e >  
         < C o l u m n N a m e > P r i o r P e r i o d 2 B a l a n c e < / C o l u m n N a m e >  
         < U s e r F r i e n d l y C o l u m n N a m e > 3 1 . 1 2 . 2 0 1 9 < / U s e r F r i e n d l y C o l u m n N a m e >  
         < A c c o u n t N u m b e r > 4 2 8 x < / A c c o u n t N u m b e r >  
         < R o u n d e d > f a l s e < / R o u n d e d >  
     < / T B L i n k >  
     < T B L i n k >  
         < V e r s i o n > 4 < / V e r s i o n >  
         < C o l u m n F i l t e r s / >  
         < D A L i n k I D > 8 e e 4 6 5 a 0 - c 5 5 d - 4 8 f 7 - b 7 b 1 - 3 1 b 7 f b 6 3 4 c 1 4 < / D A L i n k I D >  
         < L i n k T y p e > 0 < / L i n k T y p e >  
         < P a r a m e t e r s / >  
         < I n c l u d e A l l I t e m s > f a l s e < / I n c l u d e A l l I t e m s >  
         < A c t i v e > t r u e < / A c t i v e >  
         < P r o t e c t e d L i n k > f a l s e < / P r o t e c t e d L i n k >  
         < N a m e > 2 8 1 0 1   T B   @   3 1 . 1 2 . 2 0 2 0   4 2 9 x 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 4 2 9 x < / A c c o u n t N u m b e r >  
         < R o u n d e d > f a l s e < / R o u n d e d >  
     < / T B L i n k >  
     < T B L i n k >  
         < V e r s i o n > 4 < / V e r s i o n >  
         < C o l u m n F i l t e r s / >  
         < D A L i n k I D > d d 2 f 4 4 a a - d 3 7 4 - 4 7 0 3 - b d d 4 - 8 d b 7 6 2 e 4 4 c 5 e < / D A L i n k I D >  
         < L i n k T y p e > 0 < / L i n k T y p e >  
         < P a r a m e t e r s / >  
         < I n c l u d e A l l I t e m s > f a l s e < / I n c l u d e A l l I t e m s >  
         < A c t i v e > t r u e < / A c t i v e >  
         < P r o t e c t e d L i n k > f a l s e < / P r o t e c t e d L i n k >  
         < N a m e > 2 8 1 0 1   T B   @   3 1 . 1 2 . 2 0 2 0   4 3 1 x 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 4 3 1 x < / A c c o u n t N u m b e r >  
         < R o u n d e d > f a l s e < / R o u n d e d >  
     < / T B L i n k >  
     < T B L i n k >  
         < V e r s i o n > 4 < / V e r s i o n >  
         < C o l u m n F i l t e r s / >  
         < D A L i n k I D > e 9 7 2 c 7 c 1 - 1 4 2 1 - 4 1 4 9 - a 5 b 4 - f 8 d e e 5 d 8 1 f 8 9 < / D A L i n k I D >  
         < L i n k T y p e > 0 < / L i n k T y p e >  
         < P a r a m e t e r s / >  
         < I n c l u d e A l l I t e m s > f a l s e < / I n c l u d e A l l I t e m s >  
         < A c t i v e > t r u e < / A c t i v e >  
         < P r o t e c t e d L i n k > f a l s e < / P r o t e c t e d L i n k >  
         < N a m e > 2 8 1 0 1   T B   @   3 1 . 1 2 . 2 0 2 0   4 5 1 a 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 4 5 1 a < / A c c o u n t N u m b e r >  
         < R o u n d e d > f a l s e < / R o u n d e d >  
     < / T B L i n k >  
     < T B L i n k >  
         < V e r s i o n > 4 < / V e r s i o n >  
         < C o l u m n F i l t e r s / >  
         < D A L i n k I D > 0 a 5 1 6 9 7 d - 6 d 1 9 - 4 b c b - 9 3 d 0 - a f a f 1 f 4 2 0 b 1 7 < / D A L i n k I D >  
         < L i n k T y p e > 0 < / L i n k T y p e >  
         < P a r a m e t e r s / >  
         < I n c l u d e A l l I t e m s > f a l s e < / I n c l u d e A l l I t e m s >  
         < A c t i v e > t r u e < / A c t i v e >  
         < P r o t e c t e d L i n k > f a l s e < / P r o t e c t e d L i n k >  
         < N a m e > 2 8 1 0 1   T B   @   3 1 . 1 2 . 2 0 2 0   4 5 1 b 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 4 5 1 b < / A c c o u n t N u m b e r >  
         < R o u n d e d > f a l s e < / R o u n d e d >  
     < / T B L i n k >  
     < T B L i n k >  
         < V e r s i o n > 4 < / V e r s i o n >  
         < C o l u m n F i l t e r s / >  
         < D A L i n k I D > 2 c 8 b 7 9 d 1 - 3 d c 8 - 4 2 a e - 9 d 5 2 - 3 a 0 7 c 1 8 3 4 6 c 7 < / D A L i n k I D >  
         < L i n k T y p e > 0 < / L i n k T y p e >  
         < P a r a m e t e r s / >  
         < I n c l u d e A l l I t e m s > f a l s e < / I n c l u d e A l l I t e m s >  
         < A c t i v e > t r u e < / A c t i v e >  
         < P r o t e c t e d L i n k > f a l s e < / P r o t e c t e d L i n k >  
         < N a m e > 2 8 1 0 1   T B   @   3 1 . 1 2 . 2 0 2 0   4 5 9 a 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 - 7 3 8 0 . 0 0 0 0 < / N u m e r i c V a l u e >  
         < V a l u e > - 7 3 8 0 , 0 0 0 0 < / V a l u e >  
         < C h a r t T y p e > c t D e t a i l < / C h a r t T y p e >  
         < R e f e r e n c e > 2 8 1 0 1 < / R e f e r e n c e >  
         < T B D o c N a m e > T B   @   3 1 . 1 2 . 2 0 2 0 < / T B D o c N a m e >  
         < T B C h a r t N a m e > D e t a i l < / T B C h a r t N a m e >  
         < C o l u m n N a m e > P r i o r P e r i o d 2 B a l a n c e < / C o l u m n N a m e >  
         < U s e r F r i e n d l y C o l u m n N a m e > 3 1 . 1 2 . 2 0 1 9 < / U s e r F r i e n d l y C o l u m n N a m e >  
         < A c c o u n t N u m b e r > 4 5 9 a < / A c c o u n t N u m b e r >  
         < R o u n d e d > f a l s e < / R o u n d e d >  
     < / T B L i n k >  
     < T B L i n k >  
         < V e r s i o n > 4 < / V e r s i o n >  
         < C o l u m n F i l t e r s / >  
         < D A L i n k I D > 2 8 7 1 9 1 0 7 - 2 8 a 8 - 4 7 5 8 - 8 c f 9 - 7 5 a 6 6 8 1 9 6 c 2 b < / D A L i n k I D >  
         < L i n k T y p e > 0 < / L i n k T y p e >  
         < P a r a m e t e r s / >  
         < I n c l u d e A l l I t e m s > f a l s e < / I n c l u d e A l l I t e m s >  
         < A c t i v e > t r u e < / A c t i v e >  
         < P r o t e c t e d L i n k > f a l s e < / P r o t e c t e d L i n k >  
         < N a m e > 2 8 1 0 1   T B   @   3 1 . 1 2 . 2 0 2 0   4 5 9 b 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 4 5 9 b < / A c c o u n t N u m b e r >  
         < R o u n d e d > f a l s e < / R o u n d e d >  
     < / T B L i n k >  
     < T B L i n k >  
         < V e r s i o n > 4 < / V e r s i o n >  
         < C o l u m n F i l t e r s / >  
         < D A L i n k I D > 2 9 7 4 3 0 7 d - 7 1 1 2 - 4 4 4 3 - a 8 3 4 - f 6 2 0 c 9 a e 3 f 8 d < / D A L i n k I D >  
         < L i n k T y p e > 0 < / L i n k T y p e >  
         < P a r a m e t e r s / >  
         < I n c l u d e A l l I t e m s > f a l s e < / I n c l u d e A l l I t e m s >  
         < A c t i v e > t r u e < / A c t i v e >  
         < P r o t e c t e d L i n k > f a l s e < / P r o t e c t e d L i n k >  
         < N a m e > 2 8 1 0 1   T B   @   3 1 . 1 2 . 2 0 2 0   4 6 1 a 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 - 1 4 2 3 2 5 1 . 0 0 0 0 < / N u m e r i c V a l u e >  
         < V a l u e > - 1 4 2 3 2 5 1 , 0 0 0 0 < / V a l u e >  
         < C h a r t T y p e > c t D e t a i l < / C h a r t T y p e >  
         < R e f e r e n c e > 2 8 1 0 1 < / R e f e r e n c e >  
         < T B D o c N a m e > T B   @   3 1 . 1 2 . 2 0 2 0 < / T B D o c N a m e >  
         < T B C h a r t N a m e > D e t a i l < / T B C h a r t N a m e >  
         < C o l u m n N a m e > P r i o r P e r i o d 2 B a l a n c e < / C o l u m n N a m e >  
         < U s e r F r i e n d l y C o l u m n N a m e > 3 1 . 1 2 . 2 0 1 9 < / U s e r F r i e n d l y C o l u m n N a m e >  
         < A c c o u n t N u m b e r > 4 6 1 a < / A c c o u n t N u m b e r >  
         < R o u n d e d > f a l s e < / R o u n d e d >  
     < / T B L i n k >  
     < T B L i n k >  
         < V e r s i o n > 4 < / V e r s i o n >  
         < C o l u m n F i l t e r s / >  
         < D A L i n k I D > 5 5 c c e c 6 d - 7 d d 1 - 4 e 1 c - 9 b 6 5 - 0 5 3 5 1 e 6 5 3 2 c a < / D A L i n k I D >  
         < L i n k T y p e > 0 < / L i n k T y p e >  
         < P a r a m e t e r s / >  
         < I n c l u d e A l l I t e m s > f a l s e < / I n c l u d e A l l I t e m s >  
         < A c t i v e > t r u e < / A c t i v e >  
         < P r o t e c t e d L i n k > f a l s e < / P r o t e c t e d L i n k >  
         < N a m e > 2 8 1 0 1   T B   @   3 1 . 1 2 . 2 0 2 0   4 6 1 b 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 4 6 1 b < / A c c o u n t N u m b e r >  
         < R o u n d e d > f a l s e < / R o u n d e d >  
     < / T B L i n k >  
     < T B L i n k >  
         < V e r s i o n > 4 < / V e r s i o n >  
         < C o l u m n F i l t e r s / >  
         < D A L i n k I D > 9 6 0 b e 1 9 3 - 5 b d c - 4 c 7 c - 8 d b 4 - b 5 f d a a 0 e b 1 e 9 < / D A L i n k I D >  
         < L i n k T y p e > 0 < / L i n k T y p e >  
         < P a r a m e t e r s / >  
         < I n c l u d e A l l I t e m s > f a l s e < / I n c l u d e A l l I t e m s >  
         < A c t i v e > t r u e < / A c t i v e >  
         < P r o t e c t e d L i n k > f a l s e < / P r o t e c t e d L i n k >  
         < N a m e > 2 8 1 0 1   T B   @   3 1 . 1 2 . 2 0 2 0   4 7 1 a 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 4 7 1 a < / A c c o u n t N u m b e r >  
         < R o u n d e d > f a l s e < / R o u n d e d >  
     < / T B L i n k >  
     < T B L i n k >  
         < V e r s i o n > 4 < / V e r s i o n >  
         < C o l u m n F i l t e r s / >  
         < D A L i n k I D > 5 1 2 5 6 e 8 3 - 0 a 5 9 - 4 6 c 0 - 9 c 0 0 - a 3 5 c d 0 2 8 6 7 3 9 < / D A L i n k I D >  
         < L i n k T y p e > 0 < / L i n k T y p e >  
         < P a r a m e t e r s / >  
         < I n c l u d e A l l I t e m s > f a l s e < / I n c l u d e A l l I t e m s >  
         < A c t i v e > t r u e < / A c t i v e >  
         < P r o t e c t e d L i n k > f a l s e < / P r o t e c t e d L i n k >  
         < N a m e > 2 8 1 0 1   T B   @   3 1 . 1 2 . 2 0 2 0   4 7 1 b 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 4 7 1 b < / A c c o u n t N u m b e r >  
         < R o u n d e d > f a l s e < / R o u n d e d >  
     < / T B L i n k >  
     < T B L i n k >  
         < V e r s i o n > 4 < / V e r s i o n >  
         < C o l u m n F i l t e r s / >  
         < D A L i n k I D > 7 c d 2 8 9 9 a - 5 1 5 2 - 4 4 6 3 - 8 e 4 a - a a e 1 9 6 6 4 9 1 a 0 < / D A L i n k I D >  
         < L i n k T y p e > 0 < / L i n k T y p e >  
         < P a r a m e t e r s / >  
         < I n c l u d e A l l I t e m s > f a l s e < / I n c l u d e A l l I t e m s >  
         < A c t i v e > t r u e < / A c t i v e >  
         < P r o t e c t e d L i n k > f a l s e < / P r o t e c t e d L i n k >  
         < N a m e > 2 8 1 0 1   T B   @   3 1 . 1 2 . 2 0 2 0   4 7 1 c 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 4 7 1 c < / A c c o u n t N u m b e r >  
         < R o u n d e d > f a l s e < / R o u n d e d >  
     < / T B L i n k >  
     < T B L i n k >  
         < V e r s i o n > 4 < / V e r s i o n >  
         < C o l u m n F i l t e r s / >  
         < D A L i n k I D > f 0 9 2 c e 7 b - 9 a b 7 - 4 7 3 0 - b 6 6 9 - 3 8 f d 0 e 2 7 5 5 1 3 < / D A L i n k I D >  
         < L i n k T y p e > 0 < / L i n k T y p e >  
         < P a r a m e t e r s / >  
         < I n c l u d e A l l I t e m s > f a l s e < / I n c l u d e A l l I t e m s >  
         < A c t i v e > t r u e < / A c t i v e >  
         < P r o t e c t e d L i n k > f a l s e < / P r o t e c t e d L i n k >  
         < N a m e > 2 8 1 0 1   T B   @   3 1 . 1 2 . 2 0 2 0   4 7 1 d 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 4 7 1 d < / A c c o u n t N u m b e r >  
         < R o u n d e d > f a l s e < / R o u n d e d >  
     < / T B L i n k >  
     < T B L i n k >  
         < V e r s i o n > 4 < / V e r s i o n >  
         < C o l u m n F i l t e r s / >  
         < D A L i n k I D > 4 1 0 9 3 2 4 3 - 4 1 0 a - 4 b 4 6 - 9 9 3 8 - 4 a 0 c e c a 1 e d 6 7 < / D A L i n k I D >  
         < L i n k T y p e > 0 < / L i n k T y p e >  
         < P a r a m e t e r s / >  
         < I n c l u d e A l l I t e m s > f a l s e < / I n c l u d e A l l I t e m s >  
         < A c t i v e > t r u e < / A c t i v e >  
         < P r o t e c t e d L i n k > f a l s e < / P r o t e c t e d L i n k >  
         < N a m e > 2 8 1 0 1   T B   @   3 1 . 1 2 . 2 0 2 0   4 7 2 x 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 - 8 0 3 9 . 0 0 0 0 < / N u m e r i c V a l u e >  
         < V a l u e > - 8 0 3 9 , 0 0 0 0 < / V a l u e >  
         < C h a r t T y p e > c t D e t a i l < / C h a r t T y p e >  
         < R e f e r e n c e > 2 8 1 0 1 < / R e f e r e n c e >  
         < T B D o c N a m e > T B   @   3 1 . 1 2 . 2 0 2 0 < / T B D o c N a m e >  
         < T B C h a r t N a m e > D e t a i l < / T B C h a r t N a m e >  
         < C o l u m n N a m e > P r i o r P e r i o d 2 B a l a n c e < / C o l u m n N a m e >  
         < U s e r F r i e n d l y C o l u m n N a m e > 3 1 . 1 2 . 2 0 1 9 < / U s e r F r i e n d l y C o l u m n N a m e >  
         < A c c o u n t N u m b e r > 4 7 2 x < / A c c o u n t N u m b e r >  
         < R o u n d e d > f a l s e < / R o u n d e d >  
     < / T B L i n k >  
     < T B L i n k >  
         < V e r s i o n > 4 < / V e r s i o n >  
         < C o l u m n F i l t e r s / >  
         < D A L i n k I D > b 9 5 3 e 4 b d - 2 d d c - 4 9 c 5 - b 1 c a - 2 9 d 4 d 1 a 8 9 4 3 f < / D A L i n k I D >  
         < L i n k T y p e > 0 < / L i n k T y p e >  
         < P a r a m e t e r s / >  
         < I n c l u d e A l l I t e m s > f a l s e < / I n c l u d e A l l I t e m s >  
         < A c t i v e > t r u e < / A c t i v e >  
         < P r o t e c t e d L i n k > f a l s e < / P r o t e c t e d L i n k >  
         < N a m e > 2 8 1 0 1   T B   @   3 1 . 1 2 . 2 0 2 0   4 7 3 a 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 4 7 3 a < / A c c o u n t N u m b e r >  
         < R o u n d e d > f a l s e < / R o u n d e d >  
     < / T B L i n k >  
     < T B L i n k >  
         < V e r s i o n > 4 < / V e r s i o n >  
         < C o l u m n F i l t e r s / >  
         < D A L i n k I D > d 2 e 5 a e d c - f 5 3 4 - 4 9 7 3 - b f 8 6 - 8 1 0 4 3 6 e 1 a 4 c 6 < / D A L i n k I D >  
         < L i n k T y p e > 0 < / L i n k T y p e >  
         < P a r a m e t e r s / >  
         < I n c l u d e A l l I t e m s > f a l s e < / I n c l u d e A l l I t e m s >  
         < A c t i v e > t r u e < / A c t i v e >  
         < P r o t e c t e d L i n k > f a l s e < / P r o t e c t e d L i n k >  
         < N a m e > 2 8 1 0 1   T B   @   3 1 . 1 2 . 2 0 2 0   4 7 3 b 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 4 7 3 b < / A c c o u n t N u m b e r >  
         < R o u n d e d > f a l s e < / R o u n d e d >  
     < / T B L i n k >  
     < T B L i n k >  
         < V e r s i o n > 4 < / V e r s i o n >  
         < C o l u m n F i l t e r s / >  
         < D A L i n k I D > 5 2 e 6 c 8 6 9 - 9 9 5 7 - 4 6 b c - 8 4 3 2 - 8 8 f 4 6 3 5 7 3 c 3 1 < / D A L i n k I D >  
         < L i n k T y p e > 0 < / L i n k T y p e >  
         < P a r a m e t e r s / >  
         < I n c l u d e A l l I t e m s > f a l s e < / I n c l u d e A l l I t e m s >  
         < A c t i v e > t r u e < / A c t i v e >  
         < P r o t e c t e d L i n k > f a l s e < / P r o t e c t e d L i n k >  
         < N a m e > 2 8 1 0 1   T B   @   3 1 . 1 2 . 2 0 2 0   4 7 4 a 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 - 5 4 9 0 . 0 0 0 0 < / N u m e r i c V a l u e >  
         < V a l u e > - 5 4 9 0 , 0 0 0 0 < / V a l u e >  
         < C h a r t T y p e > c t D e t a i l < / C h a r t T y p e >  
         < R e f e r e n c e > 2 8 1 0 1 < / R e f e r e n c e >  
         < T B D o c N a m e > T B   @   3 1 . 1 2 . 2 0 2 0 < / T B D o c N a m e >  
         < T B C h a r t N a m e > D e t a i l < / T B C h a r t N a m e >  
         < C o l u m n N a m e > P r i o r P e r i o d 2 B a l a n c e < / C o l u m n N a m e >  
         < U s e r F r i e n d l y C o l u m n N a m e > 3 1 . 1 2 . 2 0 1 9 < / U s e r F r i e n d l y C o l u m n N a m e >  
         < A c c o u n t N u m b e r > 4 7 4 a < / A c c o u n t N u m b e r >  
         < R o u n d e d > f a l s e < / R o u n d e d >  
     < / T B L i n k >  
     < T B L i n k >  
         < V e r s i o n > 4 < / V e r s i o n >  
         < C o l u m n F i l t e r s / >  
         < D A L i n k I D > 0 c e 8 0 2 b 4 - e 3 d d - 4 f 7 5 - b 5 2 7 - 9 3 5 a 7 f c 3 f e 9 c < / D A L i n k I D >  
         < L i n k T y p e > 0 < / L i n k T y p e >  
         < P a r a m e t e r s / >  
         < I n c l u d e A l l I t e m s > f a l s e < / I n c l u d e A l l I t e m s >  
         < A c t i v e > t r u e < / A c t i v e >  
         < P r o t e c t e d L i n k > f a l s e < / P r o t e c t e d L i n k >  
         < N a m e > 2 8 1 0 1   T B   @   3 1 . 1 2 . 2 0 2 0   4 7 4 b 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 - 4 8 7 6 . 0 0 0 0 < / N u m e r i c V a l u e >  
         < V a l u e > - 4 8 7 6 , 0 0 0 0 < / V a l u e >  
         < C h a r t T y p e > c t D e t a i l < / C h a r t T y p e >  
         < R e f e r e n c e > 2 8 1 0 1 < / R e f e r e n c e >  
         < T B D o c N a m e > T B   @   3 1 . 1 2 . 2 0 2 0 < / T B D o c N a m e >  
         < T B C h a r t N a m e > D e t a i l < / T B C h a r t N a m e >  
         < C o l u m n N a m e > P r i o r P e r i o d 2 B a l a n c e < / C o l u m n N a m e >  
         < U s e r F r i e n d l y C o l u m n N a m e > 3 1 . 1 2 . 2 0 1 9 < / U s e r F r i e n d l y C o l u m n N a m e >  
         < A c c o u n t N u m b e r > 4 7 4 b < / A c c o u n t N u m b e r >  
         < R o u n d e d > f a l s e < / R o u n d e d >  
     < / T B L i n k >  
     < T B L i n k >  
         < V e r s i o n > 4 < / V e r s i o n >  
         < C o l u m n F i l t e r s / >  
         < D A L i n k I D > 5 8 4 6 8 4 8 2 - c 9 a a - 4 7 0 6 - 9 2 5 8 - 6 1 2 c a d 6 f 2 3 d 5 < / D A L i n k I D >  
         < L i n k T y p e > 0 < / L i n k T y p e >  
         < P a r a m e t e r s / >  
         < I n c l u d e A l l I t e m s > f a l s e < / I n c l u d e A l l I t e m s >  
         < A c t i v e > t r u e < / A c t i v e >  
         < P r o t e c t e d L i n k > f a l s e < / P r o t e c t e d L i n k >  
         < N a m e > 2 8 1 0 1   T B   @   3 1 . 1 2 . 2 0 2 0   4 7 5 a 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 4 7 5 a < / A c c o u n t N u m b e r >  
         < R o u n d e d > f a l s e < / R o u n d e d >  
     < / T B L i n k >  
     < T B L i n k >  
         < V e r s i o n > 4 < / V e r s i o n >  
         < C o l u m n F i l t e r s / >  
         < D A L i n k I D > f 6 d f b c c 1 - c 8 7 2 - 4 5 4 4 - 9 1 2 e - 3 9 a 7 a b 6 7 4 8 c 4 < / D A L i n k I D >  
         < L i n k T y p e > 0 < / L i n k T y p e >  
         < P a r a m e t e r s / >  
         < I n c l u d e A l l I t e m s > f a l s e < / I n c l u d e A l l I t e m s >  
         < A c t i v e > t r u e < / A c t i v e >  
         < P r o t e c t e d L i n k > f a l s e < / P r o t e c t e d L i n k >  
         < N a m e > 2 8 1 0 1   T B   @   3 1 . 1 2 . 2 0 2 0   4 7 5 b 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 4 7 5 b < / A c c o u n t N u m b e r >  
         < R o u n d e d > f a l s e < / R o u n d e d >  
     < / T B L i n k >  
     < T B L i n k >  
         < V e r s i o n > 4 < / V e r s i o n >  
         < C o l u m n F i l t e r s / >  
         < D A L i n k I D > e d 7 7 2 5 a b - e b 6 b - 4 d 2 8 - 8 8 9 c - 2 e 2 8 0 4 9 a 6 c 8 8 < / D A L i n k I D >  
         < L i n k T y p e > 0 < / L i n k T y p e >  
         < P a r a m e t e r s / >  
         < I n c l u d e A l l I t e m s > f a l s e < / I n c l u d e A l l I t e m s >  
         < A c t i v e > t r u e < / A c t i v e >  
         < P r o t e c t e d L i n k > f a l s e < / P r o t e c t e d L i n k >  
         < N a m e > 2 8 1 0 1   T B   @   3 1 . 1 2 . 2 0 2 0   4 7 5 c 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 4 7 5 c < / A c c o u n t N u m b e r >  
         < R o u n d e d > f a l s e < / R o u n d e d >  
     < / T B L i n k >  
     < T B L i n k >  
         < V e r s i o n > 4 < / V e r s i o n >  
         < C o l u m n F i l t e r s / >  
         < D A L i n k I D > 4 9 5 4 e 3 0 c - 2 7 4 4 - 4 a 4 9 - a 4 4 a - a 6 a 6 b 2 8 f 3 b 3 2 < / D A L i n k I D >  
         < L i n k T y p e > 0 < / L i n k T y p e >  
         < P a r a m e t e r s / >  
         < I n c l u d e A l l I t e m s > f a l s e < / I n c l u d e A l l I t e m s >  
         < A c t i v e > t r u e < / A c t i v e >  
         < P r o t e c t e d L i n k > f a l s e < / P r o t e c t e d L i n k >  
         < N a m e > 2 8 1 0 1   T B   @   3 1 . 1 2 . 2 0 2 0   4 7 5 d 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 4 7 5 d < / A c c o u n t N u m b e r >  
         < R o u n d e d > f a l s e < / R o u n d e d >  
     < / T B L i n k >  
     < T B L i n k >  
         < V e r s i o n > 4 < / V e r s i o n >  
         < C o l u m n F i l t e r s / >  
         < D A L i n k I D > c b a 1 3 9 7 3 - 6 9 f 1 - 4 7 1 a - b d 0 6 - 7 0 3 e 3 f 7 8 2 1 2 9 < / D A L i n k I D >  
         < L i n k T y p e > 0 < / L i n k T y p e >  
         < P a r a m e t e r s / >  
         < I n c l u d e A l l I t e m s > f a l s e < / I n c l u d e A l l I t e m s >  
         < A c t i v e > t r u e < / A c t i v e >  
         < P r o t e c t e d L i n k > f a l s e < / P r o t e c t e d L i n k >  
         < N a m e > 2 8 1 0 1   T B   @   3 1 . 1 2 . 2 0 2 0   4 7 5 e 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 4 7 5 e < / A c c o u n t N u m b e r >  
         < R o u n d e d > f a l s e < / R o u n d e d >  
     < / T B L i n k >  
     < T B L i n k >  
         < V e r s i o n > 4 < / V e r s i o n >  
         < C o l u m n F i l t e r s / >  
         < D A L i n k I D > b 2 9 1 9 8 1 0 - 9 9 4 4 - 4 5 9 d - 9 d 1 e - 9 8 a 6 a e 3 3 b a 8 2 < / D A L i n k I D >  
         < L i n k T y p e > 0 < / L i n k T y p e >  
         < P a r a m e t e r s / >  
         < I n c l u d e A l l I t e m s > f a l s e < / I n c l u d e A l l I t e m s >  
         < A c t i v e > t r u e < / A c t i v e >  
         < P r o t e c t e d L i n k > f a l s e < / P r o t e c t e d L i n k >  
         < N a m e > 2 8 1 0 1   T B   @   3 1 . 1 2 . 2 0 2 0   4 7 5 f 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 4 7 5 f < / A c c o u n t N u m b e r >  
         < R o u n d e d > f a l s e < / R o u n d e d >  
     < / T B L i n k >  
     < T B L i n k >  
         < V e r s i o n > 4 < / V e r s i o n >  
         < C o l u m n F i l t e r s / >  
         < D A L i n k I D > 2 8 d a d b 0 1 - 4 9 3 7 - 4 b c 3 - b d e 6 - e 1 0 b 8 b 2 c 7 2 3 7 < / D A L i n k I D >  
         < L i n k T y p e > 0 < / L i n k T y p e >  
         < P a r a m e t e r s / >  
         < I n c l u d e A l l I t e m s > f a l s e < / I n c l u d e A l l I t e m s >  
         < A c t i v e > t r u e < / A c t i v e >  
         < P r o t e c t e d L i n k > f a l s e < / P r o t e c t e d L i n k >  
         < N a m e > 2 8 1 0 1   T B   @   3 1 . 1 2 . 2 0 2 0   4 7 5 g 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 4 7 5 g < / A c c o u n t N u m b e r >  
         < R o u n d e d > f a l s e < / R o u n d e d >  
     < / T B L i n k >  
     < T B L i n k >  
         < V e r s i o n > 4 < / V e r s i o n >  
         < C o l u m n F i l t e r s / >  
         < D A L i n k I D > c f c b 4 8 2 2 - b 1 1 4 - 4 d c 4 - 9 e b 1 - 9 f 7 c b 5 a 6 3 9 9 2 < / D A L i n k I D >  
         < L i n k T y p e > 0 < / L i n k T y p e >  
         < P a r a m e t e r s / >  
         < I n c l u d e A l l I t e m s > f a l s e < / I n c l u d e A l l I t e m s >  
         < A c t i v e > t r u e < / A c t i v e >  
         < P r o t e c t e d L i n k > f a l s e < / P r o t e c t e d L i n k >  
         < N a m e > 2 8 1 0 1   T B   @   3 1 . 1 2 . 2 0 2 0   4 7 5 h 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 4 7 5 h < / A c c o u n t N u m b e r >  
         < R o u n d e d > f a l s e < / R o u n d e d >  
     < / T B L i n k >  
     < T B L i n k >  
         < V e r s i o n > 4 < / V e r s i o n >  
         < C o l u m n F i l t e r s / >  
         < D A L i n k I D > 1 5 3 7 8 0 8 f - 2 1 6 7 - 4 4 f e - b 7 b 3 - 4 6 f 0 b 0 5 5 2 d f d < / D A L i n k I D >  
         < L i n k T y p e > 0 < / L i n k T y p e >  
         < P a r a m e t e r s / >  
         < I n c l u d e A l l I t e m s > f a l s e < / I n c l u d e A l l I t e m s >  
         < A c t i v e > t r u e < / A c t i v e >  
         < P r o t e c t e d L i n k > f a l s e < / P r o t e c t e d L i n k >  
         < N a m e > 2 8 1 0 1   T B   @   3 1 . 1 2 . 2 0 2 0   4 7 6 a 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 4 7 6 a < / A c c o u n t N u m b e r >  
         < R o u n d e d > f a l s e < / R o u n d e d >  
     < / T B L i n k >  
     < T B L i n k >  
         < V e r s i o n > 4 < / V e r s i o n >  
         < C o l u m n F i l t e r s / >  
         < D A L i n k I D > f c 7 1 f 4 4 2 - 5 6 d 9 - 4 2 5 f - 9 0 9 7 - 5 4 c 4 6 4 9 8 9 7 6 c < / D A L i n k I D >  
         < L i n k T y p e > 0 < / L i n k T y p e >  
         < P a r a m e t e r s / >  
         < I n c l u d e A l l I t e m s > f a l s e < / I n c l u d e A l l I t e m s >  
         < A c t i v e > t r u e < / A c t i v e >  
         < P r o t e c t e d L i n k > f a l s e < / P r o t e c t e d L i n k >  
         < N a m e > 2 8 1 0 1   T B   @   3 1 . 1 2 . 2 0 2 0   4 7 6 b 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 4 7 6 b < / A c c o u n t N u m b e r >  
         < R o u n d e d > f a l s e < / R o u n d e d >  
     < / T B L i n k >  
     < T B L i n k >  
         < V e r s i o n > 4 < / V e r s i o n >  
         < C o l u m n F i l t e r s / >  
         < D A L i n k I D > 7 7 0 3 2 1 7 e - d 0 b 6 - 4 8 c c - a 9 9 0 - a 7 0 1 1 7 4 0 8 2 1 5 < / D A L i n k I D >  
         < L i n k T y p e > 0 < / L i n k T y p e >  
         < P a r a m e t e r s / >  
         < I n c l u d e A l l I t e m s > f a l s e < / I n c l u d e A l l I t e m s >  
         < A c t i v e > t r u e < / A c t i v e >  
         < P r o t e c t e d L i n k > f a l s e < / P r o t e c t e d L i n k >  
         < N a m e > 2 8 1 0 1   T B   @   3 1 . 1 2 . 2 0 2 0   4 7 6 c 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 4 7 6 c < / A c c o u n t N u m b e r >  
         < R o u n d e d > f a l s e < / R o u n d e d >  
     < / T B L i n k >  
     < T B L i n k >  
         < V e r s i o n > 4 < / V e r s i o n >  
         < C o l u m n F i l t e r s / >  
         < D A L i n k I D > 1 6 b b 7 0 b 2 - 4 f 7 5 - 4 2 c 0 - 8 7 5 5 - 9 c 9 b 9 0 7 5 8 e 6 5 < / D A L i n k I D >  
         < L i n k T y p e > 0 < / L i n k T y p e >  
         < P a r a m e t e r s / >  
         < I n c l u d e A l l I t e m s > f a l s e < / I n c l u d e A l l I t e m s >  
         < A c t i v e > t r u e < / A c t i v e >  
         < P r o t e c t e d L i n k > f a l s e < / P r o t e c t e d L i n k >  
         < N a m e > 2 8 1 0 1   T B   @   3 1 . 1 2 . 2 0 2 0   4 7 6 d 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 4 7 6 d < / A c c o u n t N u m b e r >  
         < R o u n d e d > f a l s e < / R o u n d e d >  
     < / T B L i n k >  
     < T B L i n k >  
         < V e r s i o n > 4 < / V e r s i o n >  
         < C o l u m n F i l t e r s / >  
         < D A L i n k I D > 3 d 4 2 b 1 f 8 - 4 c 0 1 - 4 b b b - 9 5 7 6 - 7 a e f 2 6 4 4 e 0 6 e < / D A L i n k I D >  
         < L i n k T y p e > 0 < / L i n k T y p e >  
         < P a r a m e t e r s / >  
         < I n c l u d e A l l I t e m s > f a l s e < / I n c l u d e A l l I t e m s >  
         < A c t i v e > t r u e < / A c t i v e >  
         < P r o t e c t e d L i n k > f a l s e < / P r o t e c t e d L i n k >  
         < N a m e > 2 8 1 0 1   T B   @   3 1 . 1 2 . 2 0 2 0   4 7 6 e 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 4 7 6 e < / A c c o u n t N u m b e r >  
         < R o u n d e d > f a l s e < / R o u n d e d >  
     < / T B L i n k >  
     < T B L i n k >  
         < V e r s i o n > 4 < / V e r s i o n >  
         < C o l u m n F i l t e r s / >  
         < D A L i n k I D > 9 7 d 0 9 d 9 9 - b 0 0 7 - 4 8 5 9 - a f c 8 - 2 5 b a 0 0 6 6 9 e 9 b < / D A L i n k I D >  
         < L i n k T y p e > 0 < / L i n k T y p e >  
         < P a r a m e t e r s / >  
         < I n c l u d e A l l I t e m s > f a l s e < / I n c l u d e A l l I t e m s >  
         < A c t i v e > t r u e < / A c t i v e >  
         < P r o t e c t e d L i n k > f a l s e < / P r o t e c t e d L i n k >  
         < N a m e > 2 8 1 0 1   T B   @   3 1 . 1 2 . 2 0 2 0   4 7 6 f 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 4 7 6 f < / A c c o u n t N u m b e r >  
         < R o u n d e d > f a l s e < / R o u n d e d >  
     < / T B L i n k >  
     < T B L i n k >  
         < V e r s i o n > 4 < / V e r s i o n >  
         < C o l u m n F i l t e r s / >  
         < D A L i n k I D > c 5 c 1 7 d d b - f 1 b b - 4 8 8 7 - 8 3 8 2 - 6 a 1 3 8 8 3 2 5 4 f 5 < / D A L i n k I D >  
         < L i n k T y p e > 0 < / L i n k T y p e >  
         < P a r a m e t e r s / >  
         < I n c l u d e A l l I t e m s > f a l s e < / I n c l u d e A l l I t e m s >  
         < A c t i v e > t r u e < / A c t i v e >  
         < P r o t e c t e d L i n k > f a l s e < / P r o t e c t e d L i n k >  
         < N a m e > 2 8 1 0 1   T B   @   3 1 . 1 2 . 2 0 2 0   4 7 8 a 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 4 7 8 a < / A c c o u n t N u m b e r >  
         < R o u n d e d > f a l s e < / R o u n d e d >  
     < / T B L i n k >  
     < T B L i n k >  
         < V e r s i o n > 4 < / V e r s i o n >  
         < C o l u m n F i l t e r s / >  
         < D A L i n k I D > d 7 d 2 b 4 a 6 - 8 6 3 b - 4 e 9 9 - b 3 a 2 - 2 c b 7 3 9 6 4 7 6 9 7 < / D A L i n k I D >  
         < L i n k T y p e > 0 < / L i n k T y p e >  
         < P a r a m e t e r s / >  
         < I n c l u d e A l l I t e m s > f a l s e < / I n c l u d e A l l I t e m s >  
         < A c t i v e > t r u e < / A c t i v e >  
         < P r o t e c t e d L i n k > f a l s e < / P r o t e c t e d L i n k >  
         < N a m e > 2 8 1 0 1   T B   @   3 1 . 1 2 . 2 0 2 0   4 7 8 b 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 4 7 8 b < / A c c o u n t N u m b e r >  
         < R o u n d e d > f a l s e < / R o u n d e d >  
     < / T B L i n k >  
     < T B L i n k >  
         < V e r s i o n > 4 < / V e r s i o n >  
         < C o l u m n F i l t e r s / >  
         < D A L i n k I D > 1 8 a b 3 d a f - b 9 6 b - 4 9 b 9 - b 9 8 c - e 0 2 4 2 6 b 7 f 7 d 9 < / D A L i n k I D >  
         < L i n k T y p e > 0 < / L i n k T y p e >  
         < P a r a m e t e r s / >  
         < I n c l u d e A l l I t e m s > f a l s e < / I n c l u d e A l l I t e m s >  
         < A c t i v e > t r u e < / A c t i v e >  
         < P r o t e c t e d L i n k > f a l s e < / P r o t e c t e d L i n k >  
         < N a m e > 2 8 1 0 1   T B   @   3 1 . 1 2 . 2 0 2 0   4 7 8 c 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 4 7 8 c < / A c c o u n t N u m b e r >  
         < R o u n d e d > f a l s e < / R o u n d e d >  
     < / T B L i n k >  
     < T B L i n k >  
         < V e r s i o n > 4 < / V e r s i o n >  
         < C o l u m n F i l t e r s / >  
         < D A L i n k I D > b 0 e e 9 8 4 c - a 0 e 3 - 4 f 7 b - a 5 5 7 - 3 a f 4 7 d b 2 d 7 b 1 < / D A L i n k I D >  
         < L i n k T y p e > 0 < / L i n k T y p e >  
         < P a r a m e t e r s / >  
         < I n c l u d e A l l I t e m s > f a l s e < / I n c l u d e A l l I t e m s >  
         < A c t i v e > t r u e < / A c t i v e >  
         < P r o t e c t e d L i n k > f a l s e < / P r o t e c t e d L i n k >  
         < N a m e > 2 8 1 0 1   T B   @   3 1 . 1 2 . 2 0 2 0   4 7 8 d 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 4 7 8 d < / A c c o u n t N u m b e r >  
         < R o u n d e d > f a l s e < / R o u n d e d >  
     < / T B L i n k >  
     < T B L i n k >  
         < V e r s i o n > 4 < / V e r s i o n >  
         < C o l u m n F i l t e r s / >  
         < D A L i n k I D > 7 2 3 a c 0 1 2 - 6 2 5 7 - 4 1 6 a - 8 4 9 e - b f f f 3 1 0 d c d 1 b < / D A L i n k I D >  
         < L i n k T y p e > 0 < / L i n k T y p e >  
         < P a r a m e t e r s / >  
         < I n c l u d e A l l I t e m s > f a l s e < / I n c l u d e A l l I t e m s >  
         < A c t i v e > t r u e < / A c t i v e >  
         < P r o t e c t e d L i n k > f a l s e < / P r o t e c t e d L i n k >  
         < N a m e > 2 8 1 0 1   T B   @   3 1 . 1 2 . 2 0 2 0   4 7 8 e 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 4 7 8 e < / A c c o u n t N u m b e r >  
         < R o u n d e d > f a l s e < / R o u n d e d >  
     < / T B L i n k >  
     < T B L i n k >  
         < V e r s i o n > 4 < / V e r s i o n >  
         < C o l u m n F i l t e r s / >  
         < D A L i n k I D > c 1 8 2 7 b 0 9 - 0 9 6 1 - 4 f b e - b 8 b 6 - c e f 9 1 d 4 0 4 0 f b < / D A L i n k I D >  
         < L i n k T y p e > 0 < / L i n k T y p e >  
         < P a r a m e t e r s / >  
         < I n c l u d e A l l I t e m s > f a l s e < / I n c l u d e A l l I t e m s >  
         < A c t i v e > t r u e < / A c t i v e >  
         < P r o t e c t e d L i n k > f a l s e < / P r o t e c t e d L i n k >  
         < N a m e > 2 8 1 0 1   T B   @   3 1 . 1 2 . 2 0 2 0   4 7 9 a 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 4 7 9 a < / A c c o u n t N u m b e r >  
         < R o u n d e d > f a l s e < / R o u n d e d >  
     < / T B L i n k >  
     < T B L i n k >  
         < V e r s i o n > 4 < / V e r s i o n >  
         < C o l u m n F i l t e r s / >  
         < D A L i n k I D > f f 0 0 b e 8 3 - 3 0 4 2 - 4 c 6 b - 8 0 9 b - 0 0 c 3 9 b 2 8 a d 1 3 < / D A L i n k I D >  
         < L i n k T y p e > 0 < / L i n k T y p e >  
         < P a r a m e t e r s / >  
         < I n c l u d e A l l I t e m s > f a l s e < / I n c l u d e A l l I t e m s >  
         < A c t i v e > t r u e < / A c t i v e >  
         < P r o t e c t e d L i n k > f a l s e < / P r o t e c t e d L i n k >  
         < N a m e > 2 8 1 0 1   T B   @   3 1 . 1 2 . 2 0 2 0   4 7 9 b 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 4 7 9 b < / A c c o u n t N u m b e r >  
         < R o u n d e d > f a l s e < / R o u n d e d >  
     < / T B L i n k >  
     < T B L i n k >  
         < V e r s i o n > 4 < / V e r s i o n >  
         < C o l u m n F i l t e r s / >  
         < D A L i n k I D > 9 2 1 2 0 9 1 4 - 7 9 b 5 - 4 a 4 0 - 8 a 4 c - 0 1 e 4 8 c 4 7 d a d 8 < / D A L i n k I D >  
         < L i n k T y p e > 0 < / L i n k T y p e >  
         < P a r a m e t e r s / >  
         < I n c l u d e A l l I t e m s > f a l s e < / I n c l u d e A l l I t e m s >  
         < A c t i v e > t r u e < / A c t i v e >  
         < P r o t e c t e d L i n k > f a l s e < / P r o t e c t e d L i n k >  
         < N a m e > 2 8 1 0 1   T B   @   3 1 . 1 2 . 2 0 2 0   4 7 9 c 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 4 7 9 c < / A c c o u n t N u m b e r >  
         < R o u n d e d > f a l s e < / R o u n d e d >  
     < / T B L i n k >  
     < T B L i n k >  
         < V e r s i o n > 4 < / V e r s i o n >  
         < C o l u m n F i l t e r s / >  
         < D A L i n k I D > 1 8 f b 4 f 3 d - 3 b 4 f - 4 c 5 5 - 9 2 4 f - e d d 0 c 4 f c b 0 5 f < / D A L i n k I D >  
         < L i n k T y p e > 0 < / L i n k T y p e >  
         < P a r a m e t e r s / >  
         < I n c l u d e A l l I t e m s > f a l s e < / I n c l u d e A l l I t e m s >  
         < A c t i v e > t r u e < / A c t i v e >  
         < P r o t e c t e d L i n k > f a l s e < / P r o t e c t e d L i n k >  
         < N a m e > 2 8 1 0 1   T B   @   3 1 . 1 2 . 2 0 2 0   4 7 9 d 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 4 7 9 d < / A c c o u n t N u m b e r >  
         < R o u n d e d > f a l s e < / R o u n d e d >  
     < / T B L i n k >  
     < T B L i n k >  
         < V e r s i o n > 4 < / V e r s i o n >  
         < C o l u m n F i l t e r s / >  
         < D A L i n k I D > d b 7 5 2 2 d c - 3 9 0 6 - 4 3 b 8 - b 8 a d - b 8 b 8 d c 4 5 5 1 5 8 < / D A L i n k I D >  
         < L i n k T y p e > 0 < / L i n k T y p e >  
         < P a r a m e t e r s / >  
         < I n c l u d e A l l I t e m s > f a l s e < / I n c l u d e A l l I t e m s >  
         < A c t i v e > t r u e < / A c t i v e >  
         < P r o t e c t e d L i n k > f a l s e < / P r o t e c t e d L i n k >  
         < N a m e > 2 8 1 0 1   T B   @   3 1 . 1 2 . 2 0 2 0   4 8 1 a 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 4 8 1 a < / A c c o u n t N u m b e r >  
         < R o u n d e d > f a l s e < / R o u n d e d >  
     < / T B L i n k >  
     < T B L i n k >  
         < V e r s i o n > 4 < / V e r s i o n >  
         < C o l u m n F i l t e r s / >  
         < D A L i n k I D > 6 e 3 b 8 5 2 f - 0 8 e 4 - 4 8 7 1 - b 7 e d - 9 3 9 3 5 3 f 9 9 5 a f < / D A L i n k I D >  
         < L i n k T y p e > 0 < / L i n k T y p e >  
         < P a r a m e t e r s / >  
         < I n c l u d e A l l I t e m s > f a l s e < / I n c l u d e A l l I t e m s >  
         < A c t i v e > t r u e < / A c t i v e >  
         < P r o t e c t e d L i n k > f a l s e < / P r o t e c t e d L i n k >  
         < N a m e > 2 8 1 0 1   T B   @   3 1 . 1 2 . 2 0 2 0   4 8 1 b 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 2 0 3 4 0 4 . 0 0 0 0 < / N u m e r i c V a l u e >  
         < V a l u e > 2 0 3 4 0 4 , 0 0 0 0 < / V a l u e >  
         < C h a r t T y p e > c t D e t a i l < / C h a r t T y p e >  
         < R e f e r e n c e > 2 8 1 0 1 < / R e f e r e n c e >  
         < T B D o c N a m e > T B   @   3 1 . 1 2 . 2 0 2 0 < / T B D o c N a m e >  
         < T B C h a r t N a m e > D e t a i l < / T B C h a r t N a m e >  
         < C o l u m n N a m e > P r i o r P e r i o d 2 B a l a n c e < / C o l u m n N a m e >  
         < U s e r F r i e n d l y C o l u m n N a m e > 3 1 . 1 2 . 2 0 1 9 < / U s e r F r i e n d l y C o l u m n N a m e >  
         < A c c o u n t N u m b e r > 4 8 1 b < / A c c o u n t N u m b e r >  
         < R o u n d e d > f a l s e < / R o u n d e d >  
     < / T B L i n k >  
     < T B L i n k >  
         < V e r s i o n > 4 < / V e r s i o n >  
         < C o l u m n F i l t e r s / >  
         < D A L i n k I D > 2 2 e 2 9 5 1 f - 1 8 f a - 4 5 b 4 - 8 6 1 b - c e d b 5 5 c 1 5 9 d e < / D A L i n k I D >  
         < L i n k T y p e > 0 < / L i n k T y p e >  
         < P a r a m e t e r s / >  
         < I n c l u d e A l l I t e m s > f a l s e < / I n c l u d e A l l I t e m s >  
         < A c t i v e > t r u e < / A c t i v e >  
         < P r o t e c t e d L i n k > f a l s e < / P r o t e c t e d L i n k >  
         < N a m e > 2 8 1 0 1   T B   @   3 1 . 1 2 . 2 0 2 0   4 9 1 x 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 4 9 1 x < / A c c o u n t N u m b e r >  
         < R o u n d e d > f a l s e < / R o u n d e d >  
     < / T B L i n k >  
     < T B L i n k >  
         < V e r s i o n > 4 < / V e r s i o n >  
         < C o l u m n F i l t e r s / >  
         < D A L i n k I D > 1 f 4 8 5 8 4 c - 8 0 c f - 4 b 4 b - 9 d b 9 - c 6 0 7 6 f 9 b e 6 8 1 < / D A L i n k I D >  
         < L i n k T y p e > 0 < / L i n k T y p e >  
         < P a r a m e t e r s / >  
         < I n c l u d e A l l I t e m s > f a l s e < / I n c l u d e A l l I t e m s >  
         < A c t i v e > t r u e < / A c t i v e >  
         < P r o t e c t e d L i n k > f a l s e < / P r o t e c t e d L i n k >  
         < N a m e > 2 8 1 0 1   T B   @   3 1 . 1 2 . 2 0 2 0   5 0 1 x 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 1 0 5 7 7 9 0 . 0 0 0 0 < / N u m e r i c V a l u e >  
         < V a l u e > 1 0 5 7 7 9 0 , 0 0 0 0 < / V a l u e >  
         < C h a r t T y p e > c t D e t a i l < / C h a r t T y p e >  
         < R e f e r e n c e > 2 8 1 0 1 < / R e f e r e n c e >  
         < T B D o c N a m e > T B   @   3 1 . 1 2 . 2 0 2 0 < / T B D o c N a m e >  
         < T B C h a r t N a m e > D e t a i l < / T B C h a r t N a m e >  
         < C o l u m n N a m e > P r i o r P e r i o d 2 B a l a n c e < / C o l u m n N a m e >  
         < U s e r F r i e n d l y C o l u m n N a m e > 3 1 . 1 2 . 2 0 1 9 < / U s e r F r i e n d l y C o l u m n N a m e >  
         < A c c o u n t N u m b e r > 5 0 1 x < / A c c o u n t N u m b e r >  
         < R o u n d e d > f a l s e < / R o u n d e d >  
     < / T B L i n k >  
     < T B L i n k >  
         < V e r s i o n > 4 < / V e r s i o n >  
         < C o l u m n F i l t e r s / >  
         < D A L i n k I D > 1 8 1 2 5 e 1 0 - 8 8 d 2 - 4 3 2 a - a 2 9 4 - f b 7 c 1 3 1 9 0 5 3 8 < / D A L i n k I D >  
         < L i n k T y p e > 0 < / L i n k T y p e >  
         < P a r a m e t e r s / >  
         < I n c l u d e A l l I t e m s > f a l s e < / I n c l u d e A l l I t e m s >  
         < A c t i v e > t r u e < / A c t i v e >  
         < P r o t e c t e d L i n k > f a l s e < / P r o t e c t e d L i n k >  
         < N a m e > 2 8 1 0 1   T B   @   3 1 . 1 2 . 2 0 2 0   5 0 2 x 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 1 3 7 5 9 7 . 0 0 0 0 < / N u m e r i c V a l u e >  
         < V a l u e > 1 3 7 5 9 7 , 0 0 0 0 < / V a l u e >  
         < C h a r t T y p e > c t D e t a i l < / C h a r t T y p e >  
         < R e f e r e n c e > 2 8 1 0 1 < / R e f e r e n c e >  
         < T B D o c N a m e > T B   @   3 1 . 1 2 . 2 0 2 0 < / T B D o c N a m e >  
         < T B C h a r t N a m e > D e t a i l < / T B C h a r t N a m e >  
         < C o l u m n N a m e > P r i o r P e r i o d 2 B a l a n c e < / C o l u m n N a m e >  
         < U s e r F r i e n d l y C o l u m n N a m e > 3 1 . 1 2 . 2 0 1 9 < / U s e r F r i e n d l y C o l u m n N a m e >  
         < A c c o u n t N u m b e r > 5 0 2 x < / A c c o u n t N u m b e r >  
         < R o u n d e d > f a l s e < / R o u n d e d >  
     < / T B L i n k >  
     < T B L i n k >  
         < V e r s i o n > 4 < / V e r s i o n >  
         < C o l u m n F i l t e r s / >  
         < D A L i n k I D > 8 0 6 5 8 a f 1 - f 0 3 c - 4 c 9 3 - 8 5 3 b - f 5 a 2 d d f 8 1 6 9 9 < / D A L i n k I D >  
         < L i n k T y p e > 0 < / L i n k T y p e >  
         < P a r a m e t e r s / >  
         < I n c l u d e A l l I t e m s > f a l s e < / I n c l u d e A l l I t e m s >  
         < A c t i v e > t r u e < / A c t i v e >  
         < P r o t e c t e d L i n k > f a l s e < / P r o t e c t e d L i n k >  
         < N a m e > 2 8 1 0 1   T B   @   3 1 . 1 2 . 2 0 2 0   5 0 3 x 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 5 0 3 x < / A c c o u n t N u m b e r >  
         < R o u n d e d > f a l s e < / R o u n d e d >  
     < / T B L i n k >  
     < T B L i n k >  
         < V e r s i o n > 4 < / V e r s i o n >  
         < C o l u m n F i l t e r s / >  
         < D A L i n k I D > c 9 e d 3 a 7 1 - 8 d 2 b - 4 e 4 f - a b c 5 - b 1 f b e e a 4 1 d e e < / D A L i n k I D >  
         < L i n k T y p e > 0 < / L i n k T y p e >  
         < P a r a m e t e r s / >  
         < I n c l u d e A l l I t e m s > f a l s e < / I n c l u d e A l l I t e m s >  
         < A c t i v e > t r u e < / A c t i v e >  
         < P r o t e c t e d L i n k > f a l s e < / P r o t e c t e d L i n k >  
         < N a m e > 2 8 1 0 1   T B   @   3 1 . 1 2 . 2 0 2 0   5 0 4 x 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 1 5 2 5 1 0 5 . 0 0 0 0 < / N u m e r i c V a l u e >  
         < V a l u e > 1 5 2 5 1 0 5 , 0 0 0 0 < / V a l u e >  
         < C h a r t T y p e > c t D e t a i l < / C h a r t T y p e >  
         < R e f e r e n c e > 2 8 1 0 1 < / R e f e r e n c e >  
         < T B D o c N a m e > T B   @   3 1 . 1 2 . 2 0 2 0 < / T B D o c N a m e >  
         < T B C h a r t N a m e > D e t a i l < / T B C h a r t N a m e >  
         < C o l u m n N a m e > P r i o r P e r i o d 2 B a l a n c e < / C o l u m n N a m e >  
         < U s e r F r i e n d l y C o l u m n N a m e > 3 1 . 1 2 . 2 0 1 9 < / U s e r F r i e n d l y C o l u m n N a m e >  
         < A c c o u n t N u m b e r > 5 0 4 x < / A c c o u n t N u m b e r >  
         < R o u n d e d > f a l s e < / R o u n d e d >  
     < / T B L i n k >  
     < T B L i n k >  
         < V e r s i o n > 4 < / V e r s i o n >  
         < C o l u m n F i l t e r s / >  
         < D A L i n k I D > 1 4 c 8 7 e 1 8 - 7 9 f 4 - 4 c f 5 - a 6 4 c - 3 7 4 0 8 6 5 2 0 0 8 f < / D A L i n k I D >  
         < L i n k T y p e > 0 < / L i n k T y p e >  
         < P a r a m e t e r s / >  
         < I n c l u d e A l l I t e m s > f a l s e < / I n c l u d e A l l I t e m s >  
         < A c t i v e > t r u e < / A c t i v e >  
         < P r o t e c t e d L i n k > f a l s e < / P r o t e c t e d L i n k >  
         < N a m e > 2 8 1 0 1   T B   @   3 1 . 1 2 . 2 0 2 0   5 0 5 x 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 3 9 0 6 0 . 0 0 0 0 < / N u m e r i c V a l u e >  
         < V a l u e > 3 9 0 6 0 , 0 0 0 0 < / V a l u e >  
         < C h a r t T y p e > c t D e t a i l < / C h a r t T y p e >  
         < R e f e r e n c e > 2 8 1 0 1 < / R e f e r e n c e >  
         < T B D o c N a m e > T B   @   3 1 . 1 2 . 2 0 2 0 < / T B D o c N a m e >  
         < T B C h a r t N a m e > D e t a i l < / T B C h a r t N a m e >  
         < C o l u m n N a m e > P r i o r P e r i o d 2 B a l a n c e < / C o l u m n N a m e >  
         < U s e r F r i e n d l y C o l u m n N a m e > 3 1 . 1 2 . 2 0 1 9 < / U s e r F r i e n d l y C o l u m n N a m e >  
         < A c c o u n t N u m b e r > 5 0 5 x < / A c c o u n t N u m b e r >  
         < R o u n d e d > f a l s e < / R o u n d e d >  
     < / T B L i n k >  
     < T B L i n k >  
         < V e r s i o n > 4 < / V e r s i o n >  
         < C o l u m n F i l t e r s / >  
         < D A L i n k I D > 9 b 4 e 8 a 5 6 - 2 c 1 a - 4 2 d 8 - 9 7 c c - 8 7 a b c 5 0 e b d c 2 < / D A L i n k I D >  
         < L i n k T y p e > 0 < / L i n k T y p e >  
         < P a r a m e t e r s / >  
         < I n c l u d e A l l I t e m s > f a l s e < / I n c l u d e A l l I t e m s >  
         < A c t i v e > t r u e < / A c t i v e >  
         < P r o t e c t e d L i n k > f a l s e < / P r o t e c t e d L i n k >  
         < N a m e > 2 8 1 0 1   T B   @   3 1 . 1 2 . 2 0 2 0   5 0 7 x 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 5 0 7 x < / A c c o u n t N u m b e r >  
         < R o u n d e d > f a l s e < / R o u n d e d >  
     < / T B L i n k >  
     < T B L i n k >  
         < V e r s i o n > 4 < / V e r s i o n >  
         < C o l u m n F i l t e r s / >  
         < D A L i n k I D > 9 8 2 e 7 d 3 e - c 5 7 f - 4 d 8 2 - 9 e b 0 - 2 5 7 9 a e 8 7 1 f 8 a < / D A L i n k I D >  
         < L i n k T y p e > 0 < / L i n k T y p e >  
         < P a r a m e t e r s / >  
         < I n c l u d e A l l I t e m s > f a l s e < / I n c l u d e A l l I t e m s >  
         < A c t i v e > t r u e < / A c t i v e >  
         < P r o t e c t e d L i n k > f a l s e < / P r o t e c t e d L i n k >  
         < N a m e > 2 8 1 0 1   T B   @   3 1 . 1 2 . 2 0 2 0   5 1 1 x 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 2 1 9 0 3 . 0 0 0 0 < / N u m e r i c V a l u e >  
         < V a l u e > 2 1 9 0 3 , 0 0 0 0 < / V a l u e >  
         < C h a r t T y p e > c t D e t a i l < / C h a r t T y p e >  
         < R e f e r e n c e > 2 8 1 0 1 < / R e f e r e n c e >  
         < T B D o c N a m e > T B   @   3 1 . 1 2 . 2 0 2 0 < / T B D o c N a m e >  
         < T B C h a r t N a m e > D e t a i l < / T B C h a r t N a m e >  
         < C o l u m n N a m e > P r i o r P e r i o d 2 B a l a n c e < / C o l u m n N a m e >  
         < U s e r F r i e n d l y C o l u m n N a m e > 3 1 . 1 2 . 2 0 1 9 < / U s e r F r i e n d l y C o l u m n N a m e >  
         < A c c o u n t N u m b e r > 5 1 1 x < / A c c o u n t N u m b e r >  
         < R o u n d e d > f a l s e < / R o u n d e d >  
     < / T B L i n k >  
     < T B L i n k >  
         < V e r s i o n > 4 < / V e r s i o n >  
         < C o l u m n F i l t e r s / >  
         < D A L i n k I D > c 8 2 e 7 3 8 5 - 5 8 5 e - 4 c 6 4 - 8 8 9 7 - c b 3 7 6 9 7 a 7 a 5 9 < / D A L i n k I D >  
         < L i n k T y p e > 0 < / L i n k T y p e >  
         < P a r a m e t e r s / >  
         < I n c l u d e A l l I t e m s > f a l s e < / I n c l u d e A l l I t e m s >  
         < A c t i v e > t r u e < / A c t i v e >  
         < P r o t e c t e d L i n k > f a l s e < / P r o t e c t e d L i n k >  
         < N a m e > 2 8 1 0 1   T B   @   3 1 . 1 2 . 2 0 2 0   5 1 2 x 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 1 1 3 6 . 0 0 0 0 < / N u m e r i c V a l u e >  
         < V a l u e > 1 1 3 6 , 0 0 0 0 < / V a l u e >  
         < C h a r t T y p e > c t D e t a i l < / C h a r t T y p e >  
         < R e f e r e n c e > 2 8 1 0 1 < / R e f e r e n c e >  
         < T B D o c N a m e > T B   @   3 1 . 1 2 . 2 0 2 0 < / T B D o c N a m e >  
         < T B C h a r t N a m e > D e t a i l < / T B C h a r t N a m e >  
         < C o l u m n N a m e > P r i o r P e r i o d 2 B a l a n c e < / C o l u m n N a m e >  
         < U s e r F r i e n d l y C o l u m n N a m e > 3 1 . 1 2 . 2 0 1 9 < / U s e r F r i e n d l y C o l u m n N a m e >  
         < A c c o u n t N u m b e r > 5 1 2 x < / A c c o u n t N u m b e r >  
         < R o u n d e d > f a l s e < / R o u n d e d >  
     < / T B L i n k >  
     < T B L i n k >  
         < V e r s i o n > 4 < / V e r s i o n >  
         < C o l u m n F i l t e r s / >  
         < D A L i n k I D > f a 1 d a 6 7 d - 4 2 3 1 - 4 4 5 8 - a d c 6 - 2 1 f 7 1 f d 5 e f 2 2 < / D A L i n k I D >  
         < L i n k T y p e > 0 < / L i n k T y p e >  
         < P a r a m e t e r s / >  
         < I n c l u d e A l l I t e m s > f a l s e < / I n c l u d e A l l I t e m s >  
         < A c t i v e > t r u e < / A c t i v e >  
         < P r o t e c t e d L i n k > f a l s e < / P r o t e c t e d L i n k >  
         < N a m e > 2 8 1 0 1   T B   @   3 1 . 1 2 . 2 0 2 0   5 1 3 x 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 1 7 0 8 5 . 0 0 0 0 < / N u m e r i c V a l u e >  
         < V a l u e > 1 7 0 8 5 , 0 0 0 0 < / V a l u e >  
         < C h a r t T y p e > c t D e t a i l < / C h a r t T y p e >  
         < R e f e r e n c e > 2 8 1 0 1 < / R e f e r e n c e >  
         < T B D o c N a m e > T B   @   3 1 . 1 2 . 2 0 2 0 < / T B D o c N a m e >  
         < T B C h a r t N a m e > D e t a i l < / T B C h a r t N a m e >  
         < C o l u m n N a m e > P r i o r P e r i o d 2 B a l a n c e < / C o l u m n N a m e >  
         < U s e r F r i e n d l y C o l u m n N a m e > 3 1 . 1 2 . 2 0 1 9 < / U s e r F r i e n d l y C o l u m n N a m e >  
         < A c c o u n t N u m b e r > 5 1 3 x < / A c c o u n t N u m b e r >  
         < R o u n d e d > f a l s e < / R o u n d e d >  
     < / T B L i n k >  
     < T B L i n k >  
         < V e r s i o n > 4 < / V e r s i o n >  
         < C o l u m n F i l t e r s / >  
         < D A L i n k I D > 2 b a f 0 b d a - d 8 4 e - 4 8 3 e - b 5 f 0 - 6 8 f 0 7 6 5 7 8 8 b b < / D A L i n k I D >  
         < L i n k T y p e > 0 < / L i n k T y p e >  
         < P a r a m e t e r s / >  
         < I n c l u d e A l l I t e m s > f a l s e < / I n c l u d e A l l I t e m s >  
         < A c t i v e > t r u e < / A c t i v e >  
         < P r o t e c t e d L i n k > f a l s e < / P r o t e c t e d L i n k >  
         < N a m e > 2 8 1 0 1   T B   @   3 1 . 1 2 . 2 0 2 0   5 1 8 a 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 1 7 7 1 8 5 5 . 0 0 0 0 < / N u m e r i c V a l u e >  
         < V a l u e > 1 7 7 1 8 5 5 , 0 0 0 0 < / V a l u e >  
         < C h a r t T y p e > c t D e t a i l < / C h a r t T y p e >  
         < R e f e r e n c e > 2 8 1 0 1 < / R e f e r e n c e >  
         < T B D o c N a m e > T B   @   3 1 . 1 2 . 2 0 2 0 < / T B D o c N a m e >  
         < T B C h a r t N a m e > D e t a i l < / T B C h a r t N a m e >  
         < C o l u m n N a m e > P r i o r P e r i o d 2 B a l a n c e < / C o l u m n N a m e >  
         < U s e r F r i e n d l y C o l u m n N a m e > 3 1 . 1 2 . 2 0 1 9 < / U s e r F r i e n d l y C o l u m n N a m e >  
         < A c c o u n t N u m b e r > 5 1 8 a < / A c c o u n t N u m b e r >  
         < R o u n d e d > f a l s e < / R o u n d e d >  
     < / T B L i n k >  
     < T B L i n k >  
         < V e r s i o n > 4 < / V e r s i o n >  
         < C o l u m n F i l t e r s / >  
         < D A L i n k I D > b 2 6 5 0 a d 8 - c b 8 f - 4 8 f 4 - b 9 2 0 - b 7 8 d 2 d b e 3 4 e 9 < / D A L i n k I D >  
         < L i n k T y p e > 0 < / L i n k T y p e >  
         < P a r a m e t e r s / >  
         < I n c l u d e A l l I t e m s > f a l s e < / I n c l u d e A l l I t e m s >  
         < A c t i v e > t r u e < / A c t i v e >  
         < P r o t e c t e d L i n k > f a l s e < / P r o t e c t e d L i n k >  
         < N a m e > 2 8 1 0 1   T B   @   3 1 . 1 2 . 2 0 2 0   5 1 8 b 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 5 1 8 b < / A c c o u n t N u m b e r >  
         < R o u n d e d > f a l s e < / R o u n d e d >  
     < / T B L i n k >  
     < T B L i n k >  
         < V e r s i o n > 4 < / V e r s i o n >  
         < C o l u m n F i l t e r s / >  
         < D A L i n k I D > 6 b c d 2 d 5 b - e c d 9 - 4 2 2 6 - 8 c 4 9 - e e 7 1 c 0 c e 1 8 4 1 < / D A L i n k I D >  
         < L i n k T y p e > 0 < / L i n k T y p e >  
         < P a r a m e t e r s / >  
         < I n c l u d e A l l I t e m s > f a l s e < / I n c l u d e A l l I t e m s >  
         < A c t i v e > t r u e < / A c t i v e >  
         < P r o t e c t e d L i n k > f a l s e < / P r o t e c t e d L i n k >  
         < N a m e > 2 8 1 0 1   T B   @   3 1 . 1 2 . 2 0 2 0   5 1 8 c 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 5 1 8 c < / A c c o u n t N u m b e r >  
         < R o u n d e d > f a l s e < / R o u n d e d >  
     < / T B L i n k >  
     < T B L i n k >  
         < V e r s i o n > 4 < / V e r s i o n >  
         < C o l u m n F i l t e r s / >  
         < D A L i n k I D > 1 d f e 3 5 8 1 - 5 2 f 3 - 4 a b e - 9 6 6 f - d 5 4 4 2 f 8 a 6 e c 5 < / D A L i n k I D >  
         < L i n k T y p e > 0 < / L i n k T y p e >  
         < P a r a m e t e r s / >  
         < I n c l u d e A l l I t e m s > f a l s e < / I n c l u d e A l l I t e m s >  
         < A c t i v e > t r u e < / A c t i v e >  
         < P r o t e c t e d L i n k > f a l s e < / P r o t e c t e d L i n k >  
         < N a m e > 2 8 1 0 1   T B   @   3 1 . 1 2 . 2 0 2 0   5 2 1 x 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 1 1 5 2 3 1 0 . 0 0 0 0 < / N u m e r i c V a l u e >  
         < V a l u e > 1 1 5 2 3 1 0 , 0 0 0 0 < / V a l u e >  
         < C h a r t T y p e > c t D e t a i l < / C h a r t T y p e >  
         < R e f e r e n c e > 2 8 1 0 1 < / R e f e r e n c e >  
         < T B D o c N a m e > T B   @   3 1 . 1 2 . 2 0 2 0 < / T B D o c N a m e >  
         < T B C h a r t N a m e > D e t a i l < / T B C h a r t N a m e >  
         < C o l u m n N a m e > P r i o r P e r i o d 2 B a l a n c e < / C o l u m n N a m e >  
         < U s e r F r i e n d l y C o l u m n N a m e > 3 1 . 1 2 . 2 0 1 9 < / U s e r F r i e n d l y C o l u m n N a m e >  
         < A c c o u n t N u m b e r > 5 2 1 x < / A c c o u n t N u m b e r >  
         < R o u n d e d > f a l s e < / R o u n d e d >  
     < / T B L i n k >  
     < T B L i n k >  
         < V e r s i o n > 4 < / V e r s i o n >  
         < C o l u m n F i l t e r s / >  
         < D A L i n k I D > 8 e e f 8 5 b 0 - a 7 b b - 4 9 2 6 - 8 b d 1 - 6 9 6 8 e 2 e 0 c 6 5 b < / D A L i n k I D >  
         < L i n k T y p e > 0 < / L i n k T y p e >  
         < P a r a m e t e r s / >  
         < I n c l u d e A l l I t e m s > f a l s e < / I n c l u d e A l l I t e m s >  
         < A c t i v e > t r u e < / A c t i v e >  
         < P r o t e c t e d L i n k > f a l s e < / P r o t e c t e d L i n k >  
         < N a m e > 2 8 1 0 1   T B   @   3 1 . 1 2 . 2 0 2 0   5 2 2 x 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 5 2 2 x < / A c c o u n t N u m b e r >  
         < R o u n d e d > f a l s e < / R o u n d e d >  
     < / T B L i n k >  
     < T B L i n k >  
         < V e r s i o n > 4 < / V e r s i o n >  
         < C o l u m n F i l t e r s / >  
         < D A L i n k I D > 8 9 f 8 f c f 3 - 2 7 5 b - 4 b e 0 - a 4 8 7 - 8 4 0 3 d e 3 2 7 c 6 e < / D A L i n k I D >  
         < L i n k T y p e > 0 < / L i n k T y p e >  
         < P a r a m e t e r s / >  
         < I n c l u d e A l l I t e m s > f a l s e < / I n c l u d e A l l I t e m s >  
         < A c t i v e > t r u e < / A c t i v e >  
         < P r o t e c t e d L i n k > f a l s e < / P r o t e c t e d L i n k >  
         < N a m e > 2 8 1 0 1   T B   @   3 1 . 1 2 . 2 0 2 0   5 2 3 x 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 1 9 9 2 0 . 0 0 0 0 < / N u m e r i c V a l u e >  
         < V a l u e > 1 9 9 2 0 , 0 0 0 0 < / V a l u e >  
         < C h a r t T y p e > c t D e t a i l < / C h a r t T y p e >  
         < R e f e r e n c e > 2 8 1 0 1 < / R e f e r e n c e >  
         < T B D o c N a m e > T B   @   3 1 . 1 2 . 2 0 2 0 < / T B D o c N a m e >  
         < T B C h a r t N a m e > D e t a i l < / T B C h a r t N a m e >  
         < C o l u m n N a m e > P r i o r P e r i o d 2 B a l a n c e < / C o l u m n N a m e >  
         < U s e r F r i e n d l y C o l u m n N a m e > 3 1 . 1 2 . 2 0 1 9 < / U s e r F r i e n d l y C o l u m n N a m e >  
         < A c c o u n t N u m b e r > 5 2 3 x < / A c c o u n t N u m b e r >  
         < R o u n d e d > f a l s e < / R o u n d e d >  
     < / T B L i n k >  
     < T B L i n k >  
         < V e r s i o n > 4 < / V e r s i o n >  
         < C o l u m n F i l t e r s / >  
         < D A L i n k I D > 9 b d 6 7 3 f b - 1 3 4 3 - 4 4 c 3 - a 4 6 6 - 3 7 f 6 d 6 a 7 a 4 5 b < / D A L i n k I D >  
         < L i n k T y p e > 0 < / L i n k T y p e >  
         < P a r a m e t e r s / >  
         < I n c l u d e A l l I t e m s > f a l s e < / I n c l u d e A l l I t e m s >  
         < A c t i v e > t r u e < / A c t i v e >  
         < P r o t e c t e d L i n k > f a l s e < / P r o t e c t e d L i n k >  
         < N a m e > 2 8 1 0 1   T B   @   3 1 . 1 2 . 2 0 2 0   5 2 4 x 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 4 2 2 3 6 3 . 0 0 0 0 < / N u m e r i c V a l u e >  
         < V a l u e > 4 2 2 3 6 3 , 0 0 0 0 < / V a l u e >  
         < C h a r t T y p e > c t D e t a i l < / C h a r t T y p e >  
         < R e f e r e n c e > 2 8 1 0 1 < / R e f e r e n c e >  
         < T B D o c N a m e > T B   @   3 1 . 1 2 . 2 0 2 0 < / T B D o c N a m e >  
         < T B C h a r t N a m e > D e t a i l < / T B C h a r t N a m e >  
         < C o l u m n N a m e > P r i o r P e r i o d 2 B a l a n c e < / C o l u m n N a m e >  
         < U s e r F r i e n d l y C o l u m n N a m e > 3 1 . 1 2 . 2 0 1 9 < / U s e r F r i e n d l y C o l u m n N a m e >  
         < A c c o u n t N u m b e r > 5 2 4 x < / A c c o u n t N u m b e r >  
         < R o u n d e d > f a l s e < / R o u n d e d >  
     < / T B L i n k >  
     < T B L i n k >  
         < V e r s i o n > 4 < / V e r s i o n >  
         < C o l u m n F i l t e r s / >  
         < D A L i n k I D > 7 0 7 e 4 a 1 a - a 6 c 2 - 4 d 0 0 - a 0 5 8 - 6 8 7 b f a 5 9 6 c 3 7 < / D A L i n k I D >  
         < L i n k T y p e > 0 < / L i n k T y p e >  
         < P a r a m e t e r s / >  
         < I n c l u d e A l l I t e m s > f a l s e < / I n c l u d e A l l I t e m s >  
         < A c t i v e > t r u e < / A c t i v e >  
         < P r o t e c t e d L i n k > f a l s e < / P r o t e c t e d L i n k >  
         < N a m e > 2 8 1 0 1   T B   @   3 1 . 1 2 . 2 0 2 0   5 2 5 x 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 5 2 5 x < / A c c o u n t N u m b e r >  
         < R o u n d e d > f a l s e < / R o u n d e d >  
     < / T B L i n k >  
     < T B L i n k >  
         < V e r s i o n > 4 < / V e r s i o n >  
         < C o l u m n F i l t e r s / >  
         < D A L i n k I D > 9 c f 7 7 e 0 c - 1 0 f f - 4 e f 4 - a 8 4 2 - 4 c 7 4 1 a 1 7 c 9 b 4 < / D A L i n k I D >  
         < L i n k T y p e > 0 < / L i n k T y p e >  
         < P a r a m e t e r s / >  
         < I n c l u d e A l l I t e m s > f a l s e < / I n c l u d e A l l I t e m s >  
         < A c t i v e > t r u e < / A c t i v e >  
         < P r o t e c t e d L i n k > f a l s e < / P r o t e c t e d L i n k >  
         < N a m e > 2 8 1 0 1   T B   @   3 1 . 1 2 . 2 0 2 0   5 2 6 x 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 5 2 6 x < / A c c o u n t N u m b e r >  
         < R o u n d e d > f a l s e < / R o u n d e d >  
     < / T B L i n k >  
     < T B L i n k >  
         < V e r s i o n > 4 < / V e r s i o n >  
         < C o l u m n F i l t e r s / >  
         < D A L i n k I D > b 6 1 f 6 e b b - f 0 3 e - 4 5 7 5 - b 5 b 5 - f 0 4 b 6 3 0 4 2 e 5 3 < / D A L i n k I D >  
         < L i n k T y p e > 0 < / L i n k T y p e >  
         < P a r a m e t e r s / >  
         < I n c l u d e A l l I t e m s > f a l s e < / I n c l u d e A l l I t e m s >  
         < A c t i v e > t r u e < / A c t i v e >  
         < P r o t e c t e d L i n k > f a l s e < / P r o t e c t e d L i n k >  
         < N a m e > 2 8 1 0 1   T B   @   3 1 . 1 2 . 2 0 2 0   5 2 7 x 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 5 8 5 0 8 . 0 0 0 0 < / N u m e r i c V a l u e >  
         < V a l u e > 5 8 5 0 8 , 0 0 0 0 < / V a l u e >  
         < C h a r t T y p e > c t D e t a i l < / C h a r t T y p e >  
         < R e f e r e n c e > 2 8 1 0 1 < / R e f e r e n c e >  
         < T B D o c N a m e > T B   @   3 1 . 1 2 . 2 0 2 0 < / T B D o c N a m e >  
         < T B C h a r t N a m e > D e t a i l < / T B C h a r t N a m e >  
         < C o l u m n N a m e > P r i o r P e r i o d 2 B a l a n c e < / C o l u m n N a m e >  
         < U s e r F r i e n d l y C o l u m n N a m e > 3 1 . 1 2 . 2 0 1 9 < / U s e r F r i e n d l y C o l u m n N a m e >  
         < A c c o u n t N u m b e r > 5 2 7 x < / A c c o u n t N u m b e r >  
         < R o u n d e d > f a l s e < / R o u n d e d >  
     < / T B L i n k >  
     < T B L i n k >  
         < V e r s i o n > 4 < / V e r s i o n >  
         < C o l u m n F i l t e r s / >  
         < D A L i n k I D > 2 b 7 4 d 7 1 7 - 4 4 6 f - 4 8 3 b - a 8 4 8 - e 5 6 4 7 c b b 8 6 2 8 < / D A L i n k I D >  
         < L i n k T y p e > 0 < / L i n k T y p e >  
         < P a r a m e t e r s / >  
         < I n c l u d e A l l I t e m s > f a l s e < / I n c l u d e A l l I t e m s >  
         < A c t i v e > t r u e < / A c t i v e >  
         < P r o t e c t e d L i n k > f a l s e < / P r o t e c t e d L i n k >  
         < N a m e > 2 8 1 0 1   T B   @   3 1 . 1 2 . 2 0 2 0   5 2 8 x 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 5 2 8 x < / A c c o u n t N u m b e r >  
         < R o u n d e d > f a l s e < / R o u n d e d >  
     < / T B L i n k >  
     < T B L i n k >  
         < V e r s i o n > 4 < / V e r s i o n >  
         < C o l u m n F i l t e r s / >  
         < D A L i n k I D > 6 8 d 5 2 7 a 9 - e 4 e b - 4 8 f b - 9 3 6 8 - 5 9 0 9 4 c f 7 9 5 4 9 < / D A L i n k I D >  
         < L i n k T y p e > 0 < / L i n k T y p e >  
         < P a r a m e t e r s / >  
         < I n c l u d e A l l I t e m s > f a l s e < / I n c l u d e A l l I t e m s >  
         < A c t i v e > t r u e < / A c t i v e >  
         < P r o t e c t e d L i n k > f a l s e < / P r o t e c t e d L i n k >  
         < N a m e > 2 8 1 0 1   T B   @   3 1 . 1 2 . 2 0 2 0   5 3 1 x 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 6 5 3 . 0 0 0 0 < / N u m e r i c V a l u e >  
         < V a l u e > 6 5 3 , 0 0 0 0 < / V a l u e >  
         < C h a r t T y p e > c t D e t a i l < / C h a r t T y p e >  
         < R e f e r e n c e > 2 8 1 0 1 < / R e f e r e n c e >  
         < T B D o c N a m e > T B   @   3 1 . 1 2 . 2 0 2 0 < / T B D o c N a m e >  
         < T B C h a r t N a m e > D e t a i l < / T B C h a r t N a m e >  
         < C o l u m n N a m e > P r i o r P e r i o d 2 B a l a n c e < / C o l u m n N a m e >  
         < U s e r F r i e n d l y C o l u m n N a m e > 3 1 . 1 2 . 2 0 1 9 < / U s e r F r i e n d l y C o l u m n N a m e >  
         < A c c o u n t N u m b e r > 5 3 1 x < / A c c o u n t N u m b e r >  
         < R o u n d e d > f a l s e < / R o u n d e d >  
     < / T B L i n k >  
     < T B L i n k >  
         < V e r s i o n > 4 < / V e r s i o n >  
         < C o l u m n F i l t e r s / >  
         < D A L i n k I D > a e c 1 f 7 7 1 - 8 9 7 f - 4 2 3 e - 8 8 9 1 - 3 b 5 8 e 4 4 2 3 f 0 2 < / D A L i n k I D >  
         < L i n k T y p e > 0 < / L i n k T y p e >  
         < P a r a m e t e r s / >  
         < I n c l u d e A l l I t e m s > f a l s e < / I n c l u d e A l l I t e m s >  
         < A c t i v e > t r u e < / A c t i v e >  
         < P r o t e c t e d L i n k > f a l s e < / P r o t e c t e d L i n k >  
         < N a m e > 2 8 1 0 1   T B   @   3 1 . 1 2 . 2 0 2 0   5 3 2 x 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 5 6 4 0 9 . 0 0 0 0 < / N u m e r i c V a l u e >  
         < V a l u e > 5 6 4 0 9 , 0 0 0 0 < / V a l u e >  
         < C h a r t T y p e > c t D e t a i l < / C h a r t T y p e >  
         < R e f e r e n c e > 2 8 1 0 1 < / R e f e r e n c e >  
         < T B D o c N a m e > T B   @   3 1 . 1 2 . 2 0 2 0 < / T B D o c N a m e >  
         < T B C h a r t N a m e > D e t a i l < / T B C h a r t N a m e >  
         < C o l u m n N a m e > P r i o r P e r i o d 2 B a l a n c e < / C o l u m n N a m e >  
         < U s e r F r i e n d l y C o l u m n N a m e > 3 1 . 1 2 . 2 0 1 9 < / U s e r F r i e n d l y C o l u m n N a m e >  
         < A c c o u n t N u m b e r > 5 3 2 x < / A c c o u n t N u m b e r >  
         < R o u n d e d > f a l s e < / R o u n d e d >  
     < / T B L i n k >  
     < T B L i n k >  
         < V e r s i o n > 4 < / V e r s i o n >  
         < C o l u m n F i l t e r s / >  
         < D A L i n k I D > a 5 3 f e 5 9 4 - 3 4 6 f - 4 6 c b - a 4 a 0 - e 4 5 1 d a 6 7 2 4 a a < / D A L i n k I D >  
         < L i n k T y p e > 0 < / L i n k T y p e >  
         < P a r a m e t e r s / >  
         < I n c l u d e A l l I t e m s > f a l s e < / I n c l u d e A l l I t e m s >  
         < A c t i v e > t r u e < / A c t i v e >  
         < P r o t e c t e d L i n k > f a l s e < / P r o t e c t e d L i n k >  
         < N a m e > 2 8 1 0 1   T B   @   3 1 . 1 2 . 2 0 2 0   5 3 8 x 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 1 3 5 2 4 . 0 0 0 0 < / N u m e r i c V a l u e >  
         < V a l u e > 1 3 5 2 4 , 0 0 0 0 < / V a l u e >  
         < C h a r t T y p e > c t D e t a i l < / C h a r t T y p e >  
         < R e f e r e n c e > 2 8 1 0 1 < / R e f e r e n c e >  
         < T B D o c N a m e > T B   @   3 1 . 1 2 . 2 0 2 0 < / T B D o c N a m e >  
         < T B C h a r t N a m e > D e t a i l < / T B C h a r t N a m e >  
         < C o l u m n N a m e > P r i o r P e r i o d 2 B a l a n c e < / C o l u m n N a m e >  
         < U s e r F r i e n d l y C o l u m n N a m e > 3 1 . 1 2 . 2 0 1 9 < / U s e r F r i e n d l y C o l u m n N a m e >  
         < A c c o u n t N u m b e r > 5 3 8 x < / A c c o u n t N u m b e r >  
         < R o u n d e d > f a l s e < / R o u n d e d >  
     < / T B L i n k >  
     < T B L i n k >  
         < V e r s i o n > 4 < / V e r s i o n >  
         < C o l u m n F i l t e r s / >  
         < D A L i n k I D > b 8 2 d 6 1 6 0 - f f 2 9 - 4 d 8 2 - 9 f 6 b - a 0 5 1 3 e 6 a 4 7 a 3 < / D A L i n k I D >  
         < L i n k T y p e > 0 < / L i n k T y p e >  
         < P a r a m e t e r s / >  
         < I n c l u d e A l l I t e m s > f a l s e < / I n c l u d e A l l I t e m s >  
         < A c t i v e > t r u e < / A c t i v e >  
         < P r o t e c t e d L i n k > f a l s e < / P r o t e c t e d L i n k >  
         < N a m e > 2 8 1 0 1   T B   @   3 1 . 1 2 . 2 0 2 0   5 4 1 x 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 5 4 1 x < / A c c o u n t N u m b e r >  
         < R o u n d e d > f a l s e < / R o u n d e d >  
     < / T B L i n k >  
     < T B L i n k >  
         < V e r s i o n > 4 < / V e r s i o n >  
         < C o l u m n F i l t e r s / >  
         < D A L i n k I D > 5 2 5 f d 8 2 8 - 9 e 7 3 - 4 0 a 4 - a 4 f 0 - e a 8 c 5 0 9 a 6 4 d d < / D A L i n k I D >  
         < L i n k T y p e > 0 < / L i n k T y p e >  
         < P a r a m e t e r s / >  
         < I n c l u d e A l l I t e m s > f a l s e < / I n c l u d e A l l I t e m s >  
         < A c t i v e > t r u e < / A c t i v e >  
         < P r o t e c t e d L i n k > f a l s e < / P r o t e c t e d L i n k >  
         < N a m e > 2 8 1 0 1   T B   @   3 1 . 1 2 . 2 0 2 0   5 4 2 x 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 7 2 5 5 . 0 0 0 0 < / N u m e r i c V a l u e >  
         < V a l u e > 7 2 5 5 , 0 0 0 0 < / V a l u e >  
         < C h a r t T y p e > c t D e t a i l < / C h a r t T y p e >  
         < R e f e r e n c e > 2 8 1 0 1 < / R e f e r e n c e >  
         < T B D o c N a m e > T B   @   3 1 . 1 2 . 2 0 2 0 < / T B D o c N a m e >  
         < T B C h a r t N a m e > D e t a i l < / T B C h a r t N a m e >  
         < C o l u m n N a m e > P r i o r P e r i o d 2 B a l a n c e < / C o l u m n N a m e >  
         < U s e r F r i e n d l y C o l u m n N a m e > 3 1 . 1 2 . 2 0 1 9 < / U s e r F r i e n d l y C o l u m n N a m e >  
         < A c c o u n t N u m b e r > 5 4 2 x < / A c c o u n t N u m b e r >  
         < R o u n d e d > f a l s e < / R o u n d e d >  
     < / T B L i n k >  
     < T B L i n k >  
         < V e r s i o n > 4 < / V e r s i o n >  
         < C o l u m n F i l t e r s / >  
         < D A L i n k I D > 2 7 c 0 f 9 1 4 - 5 9 d e - 4 f d c - b 1 7 0 - 5 d 1 8 c b 3 1 d 4 4 2 < / D A L i n k I D >  
         < L i n k T y p e > 0 < / L i n k T y p e >  
         < P a r a m e t e r s / >  
         < I n c l u d e A l l I t e m s > f a l s e < / I n c l u d e A l l I t e m s >  
         < A c t i v e > t r u e < / A c t i v e >  
         < P r o t e c t e d L i n k > f a l s e < / P r o t e c t e d L i n k >  
         < N a m e > 2 8 1 0 1   T B   @   3 1 . 1 2 . 2 0 2 0   5 4 3 x 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 5 4 3 x < / A c c o u n t N u m b e r >  
         < R o u n d e d > f a l s e < / R o u n d e d >  
     < / T B L i n k >  
     < T B L i n k >  
         < V e r s i o n > 4 < / V e r s i o n >  
         < C o l u m n F i l t e r s / >  
         < D A L i n k I D > 1 2 6 3 6 e 0 f - b 1 6 5 - 4 6 c a - 9 6 e e - c c b 8 c 5 6 c 3 4 5 a < / D A L i n k I D >  
         < L i n k T y p e > 0 < / L i n k T y p e >  
         < P a r a m e t e r s / >  
         < I n c l u d e A l l I t e m s > f a l s e < / I n c l u d e A l l I t e m s >  
         < A c t i v e > t r u e < / A c t i v e >  
         < P r o t e c t e d L i n k > f a l s e < / P r o t e c t e d L i n k >  
         < N a m e > 2 8 1 0 1   T B   @   3 1 . 1 2 . 2 0 2 0   5 4 4 x 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 1 6 5 . 0 0 0 0 < / N u m e r i c V a l u e >  
         < V a l u e > 1 6 5 , 0 0 0 0 < / V a l u e >  
         < C h a r t T y p e > c t D e t a i l < / C h a r t T y p e >  
         < R e f e r e n c e > 2 8 1 0 1 < / R e f e r e n c e >  
         < T B D o c N a m e > T B   @   3 1 . 1 2 . 2 0 2 0 < / T B D o c N a m e >  
         < T B C h a r t N a m e > D e t a i l < / T B C h a r t N a m e >  
         < C o l u m n N a m e > P r i o r P e r i o d 2 B a l a n c e < / C o l u m n N a m e >  
         < U s e r F r i e n d l y C o l u m n N a m e > 3 1 . 1 2 . 2 0 1 9 < / U s e r F r i e n d l y C o l u m n N a m e >  
         < A c c o u n t N u m b e r > 5 4 4 x < / A c c o u n t N u m b e r >  
         < R o u n d e d > f a l s e < / R o u n d e d >  
     < / T B L i n k >  
     < T B L i n k >  
         < V e r s i o n > 4 < / V e r s i o n >  
         < C o l u m n F i l t e r s / >  
         < D A L i n k I D > 7 4 d 5 0 0 d 9 - 0 d f b - 4 3 1 3 - 8 a d c - c 3 f f 3 7 9 9 7 9 f f < / D A L i n k I D >  
         < L i n k T y p e > 0 < / L i n k T y p e >  
         < P a r a m e t e r s / >  
         < I n c l u d e A l l I t e m s > f a l s e < / I n c l u d e A l l I t e m s >  
         < A c t i v e > t r u e < / A c t i v e >  
         < P r o t e c t e d L i n k > f a l s e < / P r o t e c t e d L i n k >  
         < N a m e > 2 8 1 0 1   T B   @   3 1 . 1 2 . 2 0 2 0   5 4 5 x 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 1 9 4 7 . 0 0 0 0 < / N u m e r i c V a l u e >  
         < V a l u e > 1 9 4 7 , 0 0 0 0 < / V a l u e >  
         < C h a r t T y p e > c t D e t a i l < / C h a r t T y p e >  
         < R e f e r e n c e > 2 8 1 0 1 < / R e f e r e n c e >  
         < T B D o c N a m e > T B   @   3 1 . 1 2 . 2 0 2 0 < / T B D o c N a m e >  
         < T B C h a r t N a m e > D e t a i l < / T B C h a r t N a m e >  
         < C o l u m n N a m e > P r i o r P e r i o d 2 B a l a n c e < / C o l u m n N a m e >  
         < U s e r F r i e n d l y C o l u m n N a m e > 3 1 . 1 2 . 2 0 1 9 < / U s e r F r i e n d l y C o l u m n N a m e >  
         < A c c o u n t N u m b e r > 5 4 5 x < / A c c o u n t N u m b e r >  
         < R o u n d e d > f a l s e < / R o u n d e d >  
     < / T B L i n k >  
     < T B L i n k >  
         < V e r s i o n > 4 < / V e r s i o n >  
         < C o l u m n F i l t e r s / >  
         < D A L i n k I D > 7 b d 3 c c d e - 7 b a f - 4 e a c - 8 4 b 9 - 5 f 2 8 9 4 a c a 6 d 6 < / D A L i n k I D >  
         < L i n k T y p e > 0 < / L i n k T y p e >  
         < P a r a m e t e r s / >  
         < I n c l u d e A l l I t e m s > f a l s e < / I n c l u d e A l l I t e m s >  
         < A c t i v e > t r u e < / A c t i v e >  
         < P r o t e c t e d L i n k > f a l s e < / P r o t e c t e d L i n k >  
         < N a m e > 2 8 1 0 1   T B   @   3 1 . 1 2 . 2 0 2 0   5 4 6 x 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 1 0 1 0 . 0 0 0 0 < / N u m e r i c V a l u e >  
         < V a l u e > 1 0 1 0 , 0 0 0 0 < / V a l u e >  
         < C h a r t T y p e > c t D e t a i l < / C h a r t T y p e >  
         < R e f e r e n c e > 2 8 1 0 1 < / R e f e r e n c e >  
         < T B D o c N a m e > T B   @   3 1 . 1 2 . 2 0 2 0 < / T B D o c N a m e >  
         < T B C h a r t N a m e > D e t a i l < / T B C h a r t N a m e >  
         < C o l u m n N a m e > P r i o r P e r i o d 2 B a l a n c e < / C o l u m n N a m e >  
         < U s e r F r i e n d l y C o l u m n N a m e > 3 1 . 1 2 . 2 0 1 9 < / U s e r F r i e n d l y C o l u m n N a m e >  
         < A c c o u n t N u m b e r > 5 4 6 x < / A c c o u n t N u m b e r >  
         < R o u n d e d > f a l s e < / R o u n d e d >  
     < / T B L i n k >  
     < T B L i n k >  
         < V e r s i o n > 4 < / V e r s i o n >  
         < C o l u m n F i l t e r s / >  
         < D A L i n k I D > 6 e 8 e 7 3 3 7 - a e c c - 4 f 4 c - a a 6 e - 6 0 2 9 9 1 0 5 4 5 9 c < / D A L i n k I D >  
         < L i n k T y p e > 0 < / L i n k T y p e >  
         < P a r a m e t e r s / >  
         < I n c l u d e A l l I t e m s > f a l s e < / I n c l u d e A l l I t e m s >  
         < A c t i v e > t r u e < / A c t i v e >  
         < P r o t e c t e d L i n k > f a l s e < / P r o t e c t e d L i n k >  
         < N a m e > 2 8 1 0 1   T B   @   3 1 . 1 2 . 2 0 2 0   5 4 7 x 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 3 2 1 4 . 0 0 0 0 < / N u m e r i c V a l u e >  
         < V a l u e > 3 2 1 4 , 0 0 0 0 < / V a l u e >  
         < C h a r t T y p e > c t D e t a i l < / C h a r t T y p e >  
         < R e f e r e n c e > 2 8 1 0 1 < / R e f e r e n c e >  
         < T B D o c N a m e > T B   @   3 1 . 1 2 . 2 0 2 0 < / T B D o c N a m e >  
         < T B C h a r t N a m e > D e t a i l < / T B C h a r t N a m e >  
         < C o l u m n N a m e > P r i o r P e r i o d 2 B a l a n c e < / C o l u m n N a m e >  
         < U s e r F r i e n d l y C o l u m n N a m e > 3 1 . 1 2 . 2 0 1 9 < / U s e r F r i e n d l y C o l u m n N a m e >  
         < A c c o u n t N u m b e r > 5 4 7 x < / A c c o u n t N u m b e r >  
         < R o u n d e d > f a l s e < / R o u n d e d >  
     < / T B L i n k >  
     < T B L i n k >  
         < V e r s i o n > 4 < / V e r s i o n >  
         < C o l u m n F i l t e r s / >  
         < D A L i n k I D > a 7 f f f 0 e 4 - 1 c 4 b - 4 d 0 b - a 0 a 8 - 9 8 4 e 4 9 5 2 9 5 e 8 < / D A L i n k I D >  
         < L i n k T y p e > 0 < / L i n k T y p e >  
         < P a r a m e t e r s / >  
         < I n c l u d e A l l I t e m s > f a l s e < / I n c l u d e A l l I t e m s >  
         < A c t i v e > t r u e < / A c t i v e >  
         < P r o t e c t e d L i n k > f a l s e < / P r o t e c t e d L i n k >  
         < N a m e > 2 8 1 0 1   T B   @   3 1 . 1 2 . 2 0 2 0   5 4 8 x 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 2 0 2 3 3 . 0 0 0 0 < / N u m e r i c V a l u e >  
         < V a l u e > 2 0 2 3 3 , 0 0 0 0 < / V a l u e >  
         < C h a r t T y p e > c t D e t a i l < / C h a r t T y p e >  
         < R e f e r e n c e > 2 8 1 0 1 < / R e f e r e n c e >  
         < T B D o c N a m e > T B   @   3 1 . 1 2 . 2 0 2 0 < / T B D o c N a m e >  
         < T B C h a r t N a m e > D e t a i l < / T B C h a r t N a m e >  
         < C o l u m n N a m e > P r i o r P e r i o d 2 B a l a n c e < / C o l u m n N a m e >  
         < U s e r F r i e n d l y C o l u m n N a m e > 3 1 . 1 2 . 2 0 1 9 < / U s e r F r i e n d l y C o l u m n N a m e >  
         < A c c o u n t N u m b e r > 5 4 8 x < / A c c o u n t N u m b e r >  
         < R o u n d e d > f a l s e < / R o u n d e d >  
     < / T B L i n k >  
     < T B L i n k >  
         < V e r s i o n > 4 < / V e r s i o n >  
         < C o l u m n F i l t e r s / >  
         < D A L i n k I D > c e 8 1 4 8 b f - 3 f 8 5 - 4 a a 9 - a 1 e d - d 4 2 c 6 b 6 5 3 c b d < / D A L i n k I D >  
         < L i n k T y p e > 0 < / L i n k T y p e >  
         < P a r a m e t e r s / >  
         < I n c l u d e A l l I t e m s > f a l s e < / I n c l u d e A l l I t e m s >  
         < A c t i v e > t r u e < / A c t i v e >  
         < P r o t e c t e d L i n k > f a l s e < / P r o t e c t e d L i n k >  
         < N a m e > 2 8 1 0 1   T B   @   3 1 . 1 2 . 2 0 2 0   5 4 9 x 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 1 8 5 7 4 . 0 0 0 0 < / N u m e r i c V a l u e >  
         < V a l u e > 1 8 5 7 4 , 0 0 0 0 < / V a l u e >  
         < C h a r t T y p e > c t D e t a i l < / C h a r t T y p e >  
         < R e f e r e n c e > 2 8 1 0 1 < / R e f e r e n c e >  
         < T B D o c N a m e > T B   @   3 1 . 1 2 . 2 0 2 0 < / T B D o c N a m e >  
         < T B C h a r t N a m e > D e t a i l < / T B C h a r t N a m e >  
         < C o l u m n N a m e > P r i o r P e r i o d 2 B a l a n c e < / C o l u m n N a m e >  
         < U s e r F r i e n d l y C o l u m n N a m e > 3 1 . 1 2 . 2 0 1 9 < / U s e r F r i e n d l y C o l u m n N a m e >  
         < A c c o u n t N u m b e r > 5 4 9 x < / A c c o u n t N u m b e r >  
         < R o u n d e d > f a l s e < / R o u n d e d >  
     < / T B L i n k >  
     < T B L i n k >  
         < V e r s i o n > 4 < / V e r s i o n >  
         < C o l u m n F i l t e r s / >  
         < D A L i n k I D > e a 9 6 8 6 a 2 - c 4 0 d - 4 a 9 0 - 8 4 7 a - 9 7 d f 0 3 6 b f 4 0 1 < / D A L i n k I D >  
         < L i n k T y p e > 0 < / L i n k T y p e >  
         < P a r a m e t e r s / >  
         < I n c l u d e A l l I t e m s > f a l s e < / I n c l u d e A l l I t e m s >  
         < A c t i v e > t r u e < / A c t i v e >  
         < P r o t e c t e d L i n k > f a l s e < / P r o t e c t e d L i n k >  
         < N a m e > 2 8 1 0 1   T B   @   3 1 . 1 2 . 2 0 2 0   5 5 1 x 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 3 3 0 0 0 9 . 0 0 0 0 < / N u m e r i c V a l u e >  
         < V a l u e > 3 3 0 0 0 9 , 0 0 0 0 < / V a l u e >  
         < C h a r t T y p e > c t D e t a i l < / C h a r t T y p e >  
         < R e f e r e n c e > 2 8 1 0 1 < / R e f e r e n c e >  
         < T B D o c N a m e > T B   @   3 1 . 1 2 . 2 0 2 0 < / T B D o c N a m e >  
         < T B C h a r t N a m e > D e t a i l < / T B C h a r t N a m e >  
         < C o l u m n N a m e > P r i o r P e r i o d 2 B a l a n c e < / C o l u m n N a m e >  
         < U s e r F r i e n d l y C o l u m n N a m e > 3 1 . 1 2 . 2 0 1 9 < / U s e r F r i e n d l y C o l u m n N a m e >  
         < A c c o u n t N u m b e r > 5 5 1 x < / A c c o u n t N u m b e r >  
         < R o u n d e d > f a l s e < / R o u n d e d >  
     < / T B L i n k >  
     < T B L i n k >  
         < V e r s i o n > 4 < / V e r s i o n >  
         < C o l u m n F i l t e r s / >  
         < D A L i n k I D > a d 1 1 b e 6 c - 5 1 c 7 - 4 f f a - 8 0 b 0 - 8 b c 8 c 3 d 2 8 b f a < / D A L i n k I D >  
         < L i n k T y p e > 0 < / L i n k T y p e >  
         < P a r a m e t e r s / >  
         < I n c l u d e A l l I t e m s > f a l s e < / I n c l u d e A l l I t e m s >  
         < A c t i v e > t r u e < / A c t i v e >  
         < P r o t e c t e d L i n k > f a l s e < / P r o t e c t e d L i n k >  
         < N a m e > 2 8 1 0 1   T B   @   3 1 . 1 2 . 2 0 2 0   5 5 3 x 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 5 5 3 x < / A c c o u n t N u m b e r >  
         < R o u n d e d > f a l s e < / R o u n d e d >  
     < / T B L i n k >  
     < T B L i n k >  
         < V e r s i o n > 4 < / V e r s i o n >  
         < C o l u m n F i l t e r s / >  
         < D A L i n k I D > 5 7 e 4 b 7 8 9 - 9 f d c - 4 e f 8 - a 0 a e - 6 c 9 c b 7 e 8 e 3 4 1 < / D A L i n k I D >  
         < L i n k T y p e > 0 < / L i n k T y p e >  
         < P a r a m e t e r s / >  
         < I n c l u d e A l l I t e m s > f a l s e < / I n c l u d e A l l I t e m s >  
         < A c t i v e > t r u e < / A c t i v e >  
         < P r o t e c t e d L i n k > f a l s e < / P r o t e c t e d L i n k >  
         < N a m e > 2 8 1 0 1   T B   @   3 1 . 1 2 . 2 0 2 0   5 5 5 x 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 5 5 5 x < / A c c o u n t N u m b e r >  
         < R o u n d e d > f a l s e < / R o u n d e d >  
     < / T B L i n k >  
     < T B L i n k >  
         < V e r s i o n > 4 < / V e r s i o n >  
         < C o l u m n F i l t e r s / >  
         < D A L i n k I D > 6 9 9 f f a 2 3 - 6 9 1 4 - 4 9 b 6 - b d 6 a - 2 e f 6 2 f c a e 3 e e < / D A L i n k I D >  
         < L i n k T y p e > 0 < / L i n k T y p e >  
         < P a r a m e t e r s / >  
         < I n c l u d e A l l I t e m s > f a l s e < / I n c l u d e A l l I t e m s >  
         < A c t i v e > t r u e < / A c t i v e >  
         < P r o t e c t e d L i n k > f a l s e < / P r o t e c t e d L i n k >  
         < N a m e > 2 8 1 0 1   T B   @   3 1 . 1 2 . 2 0 2 0   5 5 7 x 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 5 5 7 x < / A c c o u n t N u m b e r >  
         < R o u n d e d > f a l s e < / R o u n d e d >  
     < / T B L i n k >  
     < T B L i n k >  
         < V e r s i o n > 4 < / V e r s i o n >  
         < C o l u m n F i l t e r s / >  
         < D A L i n k I D > a 3 3 7 d f a c - e 8 1 f - 4 4 d e - a f 9 9 - 2 0 1 a 1 9 5 1 6 a b 0 < / D A L i n k I D >  
         < L i n k T y p e > 0 < / L i n k T y p e >  
         < P a r a m e t e r s / >  
         < I n c l u d e A l l I t e m s > f a l s e < / I n c l u d e A l l I t e m s >  
         < A c t i v e > t r u e < / A c t i v e >  
         < P r o t e c t e d L i n k > f a l s e < / P r o t e c t e d L i n k >  
         < N a m e > 2 8 1 0 1   T B   @   3 1 . 1 2 . 2 0 2 0   5 6 1 x 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 5 6 1 x < / A c c o u n t N u m b e r >  
         < R o u n d e d > f a l s e < / R o u n d e d >  
     < / T B L i n k >  
     < T B L i n k >  
         < V e r s i o n > 4 < / V e r s i o n >  
         < C o l u m n F i l t e r s / >  
         < D A L i n k I D > 9 2 9 3 b 9 c f - 1 4 7 9 - 4 d c b - a 8 a 2 - 8 1 f d d 5 e f f 5 c 6 < / D A L i n k I D >  
         < L i n k T y p e > 0 < / L i n k T y p e >  
         < P a r a m e t e r s / >  
         < I n c l u d e A l l I t e m s > f a l s e < / I n c l u d e A l l I t e m s >  
         < A c t i v e > t r u e < / A c t i v e >  
         < P r o t e c t e d L i n k > f a l s e < / P r o t e c t e d L i n k >  
         < N a m e > 2 8 1 0 1   T B   @   3 1 . 1 2 . 2 0 2 0   5 6 2 a 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 3 2 5 5 2 . 0 0 0 0 < / N u m e r i c V a l u e >  
         < V a l u e > 3 2 5 5 2 , 0 0 0 0 < / V a l u e >  
         < C h a r t T y p e > c t D e t a i l < / C h a r t T y p e >  
         < R e f e r e n c e > 2 8 1 0 1 < / R e f e r e n c e >  
         < T B D o c N a m e > T B   @   3 1 . 1 2 . 2 0 2 0 < / T B D o c N a m e >  
         < T B C h a r t N a m e > D e t a i l < / T B C h a r t N a m e >  
         < C o l u m n N a m e > P r i o r P e r i o d 2 B a l a n c e < / C o l u m n N a m e >  
         < U s e r F r i e n d l y C o l u m n N a m e > 3 1 . 1 2 . 2 0 1 9 < / U s e r F r i e n d l y C o l u m n N a m e >  
         < A c c o u n t N u m b e r > 5 6 2 a < / A c c o u n t N u m b e r >  
         < R o u n d e d > f a l s e < / R o u n d e d >  
     < / T B L i n k >  
     < T B L i n k >  
         < V e r s i o n > 4 < / V e r s i o n >  
         < C o l u m n F i l t e r s / >  
         < D A L i n k I D > 7 c 3 2 e d 7 2 - d b 3 8 - 4 3 2 5 - a 2 4 9 - 6 9 c f a 4 7 b e c f e < / D A L i n k I D >  
         < L i n k T y p e > 0 < / L i n k T y p e >  
         < P a r a m e t e r s / >  
         < I n c l u d e A l l I t e m s > f a l s e < / I n c l u d e A l l I t e m s >  
         < A c t i v e > t r u e < / A c t i v e >  
         < P r o t e c t e d L i n k > f a l s e < / P r o t e c t e d L i n k >  
         < N a m e > 2 8 1 0 1   T B   @   3 1 . 1 2 . 2 0 2 0   5 6 2 b 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 1 5 7 5 9 6 . 0 0 0 0 < / N u m e r i c V a l u e >  
         < V a l u e > 1 5 7 5 9 6 , 0 0 0 0 < / V a l u e >  
         < C h a r t T y p e > c t D e t a i l < / C h a r t T y p e >  
         < R e f e r e n c e > 2 8 1 0 1 < / R e f e r e n c e >  
         < T B D o c N a m e > T B   @   3 1 . 1 2 . 2 0 2 0 < / T B D o c N a m e >  
         < T B C h a r t N a m e > D e t a i l < / T B C h a r t N a m e >  
         < C o l u m n N a m e > P r i o r P e r i o d 2 B a l a n c e < / C o l u m n N a m e >  
         < U s e r F r i e n d l y C o l u m n N a m e > 3 1 . 1 2 . 2 0 1 9 < / U s e r F r i e n d l y C o l u m n N a m e >  
         < A c c o u n t N u m b e r > 5 6 2 b < / A c c o u n t N u m b e r >  
         < R o u n d e d > f a l s e < / R o u n d e d >  
     < / T B L i n k >  
     < T B L i n k >  
         < V e r s i o n > 4 < / V e r s i o n >  
         < C o l u m n F i l t e r s / >  
         < D A L i n k I D > f 1 c 0 6 7 c a - b 5 0 8 - 4 7 5 8 - 9 4 f 8 - 2 3 a 3 a 3 f 7 c f 4 4 < / D A L i n k I D >  
         < L i n k T y p e > 0 < / L i n k T y p e >  
         < P a r a m e t e r s / >  
         < I n c l u d e A l l I t e m s > f a l s e < / I n c l u d e A l l I t e m s >  
         < A c t i v e > t r u e < / A c t i v e >  
         < P r o t e c t e d L i n k > f a l s e < / P r o t e c t e d L i n k >  
         < N a m e > 2 8 1 0 1   T B   @   3 1 . 1 2 . 2 0 2 0   5 6 3 x 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 3 8 8 6 . 0 0 0 0 < / N u m e r i c V a l u e >  
         < V a l u e > 3 8 8 6 , 0 0 0 0 < / V a l u e >  
         < C h a r t T y p e > c t D e t a i l < / C h a r t T y p e >  
         < R e f e r e n c e > 2 8 1 0 1 < / R e f e r e n c e >  
         < T B D o c N a m e > T B   @   3 1 . 1 2 . 2 0 2 0 < / T B D o c N a m e >  
         < T B C h a r t N a m e > D e t a i l < / T B C h a r t N a m e >  
         < C o l u m n N a m e > P r i o r P e r i o d 2 B a l a n c e < / C o l u m n N a m e >  
         < U s e r F r i e n d l y C o l u m n N a m e > 3 1 . 1 2 . 2 0 1 9 < / U s e r F r i e n d l y C o l u m n N a m e >  
         < A c c o u n t N u m b e r > 5 6 3 x < / A c c o u n t N u m b e r >  
         < R o u n d e d > f a l s e < / R o u n d e d >  
     < / T B L i n k >  
     < T B L i n k >  
         < V e r s i o n > 4 < / V e r s i o n >  
         < C o l u m n F i l t e r s / >  
         < D A L i n k I D > a 5 4 1 7 6 c 7 - 5 e 4 6 - 4 4 6 d - 8 f 3 0 - 7 b f 0 7 2 a d 5 1 f 8 < / D A L i n k I D >  
         < L i n k T y p e > 0 < / L i n k T y p e >  
         < P a r a m e t e r s / >  
         < I n c l u d e A l l I t e m s > f a l s e < / I n c l u d e A l l I t e m s >  
         < A c t i v e > t r u e < / A c t i v e >  
         < P r o t e c t e d L i n k > f a l s e < / P r o t e c t e d L i n k >  
         < N a m e > 2 8 1 0 1   T B   @   3 1 . 1 2 . 2 0 2 0   5 6 4 x 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 5 6 4 x < / A c c o u n t N u m b e r >  
         < R o u n d e d > f a l s e < / R o u n d e d >  
     < / T B L i n k >  
     < T B L i n k >  
         < V e r s i o n > 4 < / V e r s i o n >  
         < C o l u m n F i l t e r s / >  
         < D A L i n k I D > 2 1 6 9 c 0 b 1 - 6 2 c 1 - 4 0 2 3 - 8 2 2 4 - 7 1 2 d e 6 d 4 b 9 8 4 < / D A L i n k I D >  
         < L i n k T y p e > 0 < / L i n k T y p e >  
         < P a r a m e t e r s / >  
         < I n c l u d e A l l I t e m s > f a l s e < / I n c l u d e A l l I t e m s >  
         < A c t i v e > t r u e < / A c t i v e >  
         < P r o t e c t e d L i n k > f a l s e < / P r o t e c t e d L i n k >  
         < N a m e > 2 8 1 0 1   T B   @   3 1 . 1 2 . 2 0 2 0   5 6 5 x 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 5 6 5 x < / A c c o u n t N u m b e r >  
         < R o u n d e d > f a l s e < / R o u n d e d >  
     < / T B L i n k >  
     < T B L i n k >  
         < V e r s i o n > 4 < / V e r s i o n >  
         < C o l u m n F i l t e r s / >  
         < D A L i n k I D > 7 d 4 e d c 3 5 - 6 3 b a - 4 7 8 0 - 9 9 a c - d 4 f 0 8 1 b f 5 3 8 e < / D A L i n k I D >  
         < L i n k T y p e > 0 < / L i n k T y p e >  
         < P a r a m e t e r s / >  
         < I n c l u d e A l l I t e m s > f a l s e < / I n c l u d e A l l I t e m s >  
         < A c t i v e > t r u e < / A c t i v e >  
         < P r o t e c t e d L i n k > f a l s e < / P r o t e c t e d L i n k >  
         < N a m e > 2 8 1 0 1   T B   @   3 1 . 1 2 . 2 0 2 0   5 6 6 x 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 5 6 6 x < / A c c o u n t N u m b e r >  
         < R o u n d e d > f a l s e < / R o u n d e d >  
     < / T B L i n k >  
     < T B L i n k >  
         < V e r s i o n > 4 < / V e r s i o n >  
         < C o l u m n F i l t e r s / >  
         < D A L i n k I D > 3 e 9 8 2 a 5 8 - 5 b a 9 - 4 7 b a - b a 1 4 - 1 7 3 a 1 a c 9 c 8 4 7 < / D A L i n k I D >  
         < L i n k T y p e > 0 < / L i n k T y p e >  
         < P a r a m e t e r s / >  
         < I n c l u d e A l l I t e m s > f a l s e < / I n c l u d e A l l I t e m s >  
         < A c t i v e > t r u e < / A c t i v e >  
         < P r o t e c t e d L i n k > f a l s e < / P r o t e c t e d L i n k >  
         < N a m e > 2 8 1 0 1   T B   @   3 1 . 1 2 . 2 0 2 0   5 6 7 x 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 5 6 7 x < / A c c o u n t N u m b e r >  
         < R o u n d e d > f a l s e < / R o u n d e d >  
     < / T B L i n k >  
     < T B L i n k >  
         < V e r s i o n > 4 < / V e r s i o n >  
         < C o l u m n F i l t e r s / >  
         < D A L i n k I D > 8 f 6 6 1 3 6 a - d c d f - 4 8 c c - b 5 3 6 - a 5 d 1 6 4 b 0 d 7 1 b < / D A L i n k I D >  
         < L i n k T y p e > 0 < / L i n k T y p e >  
         < P a r a m e t e r s / >  
         < I n c l u d e A l l I t e m s > f a l s e < / I n c l u d e A l l I t e m s >  
         < A c t i v e > t r u e < / A c t i v e >  
         < P r o t e c t e d L i n k > f a l s e < / P r o t e c t e d L i n k >  
         < N a m e > 2 8 1 0 1   T B   @   3 1 . 1 2 . 2 0 2 0   5 6 8 x 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 1 7 7 6 4 . 0 0 0 0 < / N u m e r i c V a l u e >  
         < V a l u e > 1 7 7 6 4 , 0 0 0 0 < / V a l u e >  
         < C h a r t T y p e > c t D e t a i l < / C h a r t T y p e >  
         < R e f e r e n c e > 2 8 1 0 1 < / R e f e r e n c e >  
         < T B D o c N a m e > T B   @   3 1 . 1 2 . 2 0 2 0 < / T B D o c N a m e >  
         < T B C h a r t N a m e > D e t a i l < / T B C h a r t N a m e >  
         < C o l u m n N a m e > P r i o r P e r i o d 2 B a l a n c e < / C o l u m n N a m e >  
         < U s e r F r i e n d l y C o l u m n N a m e > 3 1 . 1 2 . 2 0 1 9 < / U s e r F r i e n d l y C o l u m n N a m e >  
         < A c c o u n t N u m b e r > 5 6 8 x < / A c c o u n t N u m b e r >  
         < R o u n d e d > f a l s e < / R o u n d e d >  
     < / T B L i n k >  
     < T B L i n k >  
         < V e r s i o n > 4 < / V e r s i o n >  
         < C o l u m n F i l t e r s / >  
         < D A L i n k I D > 2 d 6 2 a 1 6 d - a 8 0 a - 4 b f 7 - 8 c d d - 4 e a f b 3 7 7 0 5 c 0 < / D A L i n k I D >  
         < L i n k T y p e > 0 < / L i n k T y p e >  
         < P a r a m e t e r s / >  
         < I n c l u d e A l l I t e m s > f a l s e < / I n c l u d e A l l I t e m s >  
         < A c t i v e > t r u e < / A c t i v e >  
         < P r o t e c t e d L i n k > f a l s e < / P r o t e c t e d L i n k >  
         < N a m e > 2 8 1 0 1   T B   @   3 1 . 1 2 . 2 0 2 0   5 6 9 x 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 5 6 9 x < / A c c o u n t N u m b e r >  
         < R o u n d e d > f a l s e < / R o u n d e d >  
     < / T B L i n k >  
     < T B L i n k >  
         < V e r s i o n > 4 < / V e r s i o n >  
         < C o l u m n F i l t e r s / >  
         < D A L i n k I D > 9 c 1 2 6 7 9 7 - 6 8 6 c - 4 b 2 b - 9 2 0 1 - 0 e 1 3 4 f e 7 3 b 5 b < / D A L i n k I D >  
         < L i n k T y p e > 0 < / L i n k T y p e >  
         < P a r a m e t e r s / >  
         < I n c l u d e A l l I t e m s > f a l s e < / I n c l u d e A l l I t e m s >  
         < A c t i v e > t r u e < / A c t i v e >  
         < P r o t e c t e d L i n k > f a l s e < / P r o t e c t e d L i n k >  
         < N a m e > 2 8 1 0 1   T B   @   3 1 . 1 2 . 2 0 2 0   5 9 1 x 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 5 9 1 x < / A c c o u n t N u m b e r >  
         < R o u n d e d > f a l s e < / R o u n d e d >  
     < / T B L i n k >  
     < T B L i n k >  
         < V e r s i o n > 4 < / V e r s i o n >  
         < C o l u m n F i l t e r s / >  
         < D A L i n k I D > 8 8 e 6 9 2 5 f - 9 5 8 3 - 4 c 9 1 - a f 8 b - 4 7 2 d c a 8 c 9 4 b 6 < / D A L i n k I D >  
         < L i n k T y p e > 0 < / L i n k T y p e >  
         < P a r a m e t e r s / >  
         < I n c l u d e A l l I t e m s > f a l s e < / I n c l u d e A l l I t e m s >  
         < A c t i v e > t r u e < / A c t i v e >  
         < P r o t e c t e d L i n k > f a l s e < / P r o t e c t e d L i n k >  
         < N a m e > 2 8 1 0 1   T B   @   3 1 . 1 2 . 2 0 2 0   5 9 2 x 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 - 4 4 8 4 9 . 0 0 0 0 < / N u m e r i c V a l u e >  
         < V a l u e > - 4 4 8 4 9 , 0 0 0 0 < / V a l u e >  
         < C h a r t T y p e > c t D e t a i l < / C h a r t T y p e >  
         < R e f e r e n c e > 2 8 1 0 1 < / R e f e r e n c e >  
         < T B D o c N a m e > T B   @   3 1 . 1 2 . 2 0 2 0 < / T B D o c N a m e >  
         < T B C h a r t N a m e > D e t a i l < / T B C h a r t N a m e >  
         < C o l u m n N a m e > P r i o r P e r i o d 2 B a l a n c e < / C o l u m n N a m e >  
         < U s e r F r i e n d l y C o l u m n N a m e > 3 1 . 1 2 . 2 0 1 9 < / U s e r F r i e n d l y C o l u m n N a m e >  
         < A c c o u n t N u m b e r > 5 9 2 x < / A c c o u n t N u m b e r >  
         < R o u n d e d > f a l s e < / R o u n d e d >  
     < / T B L i n k >  
     < T B L i n k >  
         < V e r s i o n > 4 < / V e r s i o n >  
         < C o l u m n F i l t e r s / >  
         < D A L i n k I D > 1 1 0 2 b 0 1 5 - 2 3 b 2 - 4 4 8 d - 9 7 f 8 - b 3 f 2 1 4 b 5 4 a 7 2 < / D A L i n k I D >  
         < L i n k T y p e > 0 < / L i n k T y p e >  
         < P a r a m e t e r s / >  
         < I n c l u d e A l l I t e m s > f a l s e < / I n c l u d e A l l I t e m s >  
         < A c t i v e > t r u e < / A c t i v e >  
         < P r o t e c t e d L i n k > f a l s e < / P r o t e c t e d L i n k >  
         < N a m e > 2 8 1 0 1   T B   @   3 1 . 1 2 . 2 0 2 0   5 9 5 x 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 5 9 5 x < / A c c o u n t N u m b e r >  
         < R o u n d e d > f a l s e < / R o u n d e d >  
     < / T B L i n k >  
     < T B L i n k >  
         < V e r s i o n > 4 < / V e r s i o n >  
         < C o l u m n F i l t e r s / >  
         < D A L i n k I D > 9 0 0 c 9 c 1 7 - c 9 5 c - 4 9 e b - a 4 6 b - 5 f 5 f 2 8 d 7 b 9 0 7 < / D A L i n k I D >  
         < L i n k T y p e > 0 < / L i n k T y p e >  
         < P a r a m e t e r s / >  
         < I n c l u d e A l l I t e m s > f a l s e < / I n c l u d e A l l I t e m s >  
         < A c t i v e > t r u e < / A c t i v e >  
         < P r o t e c t e d L i n k > f a l s e < / P r o t e c t e d L i n k >  
         < N a m e > 2 8 1 0 1   T B   @   3 1 . 1 2 . 2 0 2 0   5 9 6 x 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 5 9 6 x < / A c c o u n t N u m b e r >  
         < R o u n d e d > f a l s e < / R o u n d e d >  
     < / T B L i n k >  
     < T B L i n k >  
         < V e r s i o n > 4 < / V e r s i o n >  
         < C o l u m n F i l t e r s / >  
         < D A L i n k I D > f 9 3 a 6 4 2 0 - 1 2 2 e - 4 9 7 c - b 8 8 6 - a e e 5 5 9 4 5 4 3 e f < / D A L i n k I D >  
         < L i n k T y p e > 0 < / L i n k T y p e >  
         < P a r a m e t e r s / >  
         < I n c l u d e A l l I t e m s > f a l s e < / I n c l u d e A l l I t e m s >  
         < A c t i v e > t r u e < / A c t i v e >  
         < P r o t e c t e d L i n k > f a l s e < / P r o t e c t e d L i n k >  
         < N a m e > 2 8 1 0 1   T B   @   3 1 . 1 2 . 2 0 2 0   6 0 1 a 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 - 3 7 8 4 1 6 9 . 0 0 0 0 < / N u m e r i c V a l u e >  
         < V a l u e > - 3 7 8 4 1 6 9 , 0 0 0 0 < / V a l u e >  
         < C h a r t T y p e > c t D e t a i l < / C h a r t T y p e >  
         < R e f e r e n c e > 2 8 1 0 1 < / R e f e r e n c e >  
         < T B D o c N a m e > T B   @   3 1 . 1 2 . 2 0 2 0 < / T B D o c N a m e >  
         < T B C h a r t N a m e > D e t a i l < / T B C h a r t N a m e >  
         < C o l u m n N a m e > P r i o r P e r i o d 2 B a l a n c e < / C o l u m n N a m e >  
         < U s e r F r i e n d l y C o l u m n N a m e > 3 1 . 1 2 . 2 0 1 9 < / U s e r F r i e n d l y C o l u m n N a m e >  
         < A c c o u n t N u m b e r > 6 0 1 a < / A c c o u n t N u m b e r >  
         < R o u n d e d > f a l s e < / R o u n d e d >  
     < / T B L i n k >  
     < T B L i n k >  
         < V e r s i o n > 4 < / V e r s i o n >  
         < C o l u m n F i l t e r s / >  
         < D A L i n k I D > 0 6 3 b 0 e 9 7 - 7 f f 6 - 4 4 4 2 - 9 a e c - a 1 6 c c 1 3 9 c d 0 e < / D A L i n k I D >  
         < L i n k T y p e > 0 < / L i n k T y p e >  
         < P a r a m e t e r s / >  
         < I n c l u d e A l l I t e m s > f a l s e < / I n c l u d e A l l I t e m s >  
         < A c t i v e > t r u e < / A c t i v e >  
         < P r o t e c t e d L i n k > f a l s e < / P r o t e c t e d L i n k >  
         < N a m e > 2 8 1 0 1   T B   @   3 1 . 1 2 . 2 0 2 0   6 0 1 b 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 - 2 5 7 8 1 0 . 0 0 0 0 < / N u m e r i c V a l u e >  
         < V a l u e > - 2 5 7 8 1 0 , 0 0 0 0 < / V a l u e >  
         < C h a r t T y p e > c t D e t a i l < / C h a r t T y p e >  
         < R e f e r e n c e > 2 8 1 0 1 < / R e f e r e n c e >  
         < T B D o c N a m e > T B   @   3 1 . 1 2 . 2 0 2 0 < / T B D o c N a m e >  
         < T B C h a r t N a m e > D e t a i l < / T B C h a r t N a m e >  
         < C o l u m n N a m e > P r i o r P e r i o d 2 B a l a n c e < / C o l u m n N a m e >  
         < U s e r F r i e n d l y C o l u m n N a m e > 3 1 . 1 2 . 2 0 1 9 < / U s e r F r i e n d l y C o l u m n N a m e >  
         < A c c o u n t N u m b e r > 6 0 1 b < / A c c o u n t N u m b e r >  
         < R o u n d e d > f a l s e < / R o u n d e d >  
     < / T B L i n k >  
     < T B L i n k >  
         < V e r s i o n > 4 < / V e r s i o n >  
         < C o l u m n F i l t e r s / >  
         < D A L i n k I D > 8 1 c e b 7 3 4 - a 7 9 2 - 4 a 1 1 - b b c a - c 2 a f 5 0 4 a 3 c 6 6 < / D A L i n k I D >  
         < L i n k T y p e > 0 < / L i n k T y p e >  
         < P a r a m e t e r s / >  
         < I n c l u d e A l l I t e m s > f a l s e < / I n c l u d e A l l I t e m s >  
         < A c t i v e > t r u e < / A c t i v e >  
         < P r o t e c t e d L i n k > f a l s e < / P r o t e c t e d L i n k >  
         < N a m e > 2 8 1 0 1   T B   @   3 1 . 1 2 . 2 0 2 0   6 0 1 c 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 - 4 6 1 6 3 5 . 0 0 0 0 < / N u m e r i c V a l u e >  
         < V a l u e > - 4 6 1 6 3 5 , 0 0 0 0 < / V a l u e >  
         < C h a r t T y p e > c t D e t a i l < / C h a r t T y p e >  
         < R e f e r e n c e > 2 8 1 0 1 < / R e f e r e n c e >  
         < T B D o c N a m e > T B   @   3 1 . 1 2 . 2 0 2 0 < / T B D o c N a m e >  
         < T B C h a r t N a m e > D e t a i l < / T B C h a r t N a m e >  
         < C o l u m n N a m e > P r i o r P e r i o d 2 B a l a n c e < / C o l u m n N a m e >  
         < U s e r F r i e n d l y C o l u m n N a m e > 3 1 . 1 2 . 2 0 1 9 < / U s e r F r i e n d l y C o l u m n N a m e >  
         < A c c o u n t N u m b e r > 6 0 1 c < / A c c o u n t N u m b e r >  
         < R o u n d e d > f a l s e < / R o u n d e d >  
     < / T B L i n k >  
     < T B L i n k >  
         < V e r s i o n > 4 < / V e r s i o n >  
         < C o l u m n F i l t e r s / >  
         < D A L i n k I D > 7 6 0 f 1 6 a 1 - 9 6 f a - 4 b 3 c - a 2 6 2 - f a 4 d b 4 3 e 4 f 4 c < / D A L i n k I D >  
         < L i n k T y p e > 0 < / L i n k T y p e >  
         < P a r a m e t e r s / >  
         < I n c l u d e A l l I t e m s > f a l s e < / I n c l u d e A l l I t e m s >  
         < A c t i v e > t r u e < / A c t i v e >  
         < P r o t e c t e d L i n k > f a l s e < / P r o t e c t e d L i n k >  
         < N a m e > 2 8 1 0 1   T B   @   3 1 . 1 2 . 2 0 2 0   6 0 1 d 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 6 0 1 d < / A c c o u n t N u m b e r >  
         < R o u n d e d > f a l s e < / R o u n d e d >  
     < / T B L i n k >  
     < T B L i n k >  
         < V e r s i o n > 4 < / V e r s i o n >  
         < C o l u m n F i l t e r s / >  
         < D A L i n k I D > 8 b 7 5 3 2 7 7 - 7 6 2 9 - 4 d 6 1 - 8 2 c 2 - 6 7 c 1 e d c 8 3 5 b 3 < / D A L i n k I D >  
         < L i n k T y p e > 0 < / L i n k T y p e >  
         < P a r a m e t e r s / >  
         < I n c l u d e A l l I t e m s > f a l s e < / I n c l u d e A l l I t e m s >  
         < A c t i v e > t r u e < / A c t i v e >  
         < P r o t e c t e d L i n k > f a l s e < / P r o t e c t e d L i n k >  
         < N a m e > 2 8 1 0 1   T B   @   3 1 . 1 2 . 2 0 2 0   6 0 1 e 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 6 0 1 e < / A c c o u n t N u m b e r >  
         < R o u n d e d > f a l s e < / R o u n d e d >  
     < / T B L i n k >  
     < T B L i n k >  
         < V e r s i o n > 4 < / V e r s i o n >  
         < C o l u m n F i l t e r s / >  
         < D A L i n k I D > 1 e 3 c c 4 5 3 - 3 2 d 3 - 4 a f 1 - 9 6 3 1 - 3 9 a 5 e f 2 a 4 9 e 6 < / D A L i n k I D >  
         < L i n k T y p e > 0 < / L i n k T y p e >  
         < P a r a m e t e r s / >  
         < I n c l u d e A l l I t e m s > f a l s e < / I n c l u d e A l l I t e m s >  
         < A c t i v e > t r u e < / A c t i v e >  
         < P r o t e c t e d L i n k > f a l s e < / P r o t e c t e d L i n k >  
         < N a m e > 2 8 1 0 1   T B   @   3 1 . 1 2 . 2 0 2 0   6 0 2 a 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 - 2 5 4 8 0 0 . 0 0 0 0 < / N u m e r i c V a l u e >  
         < V a l u e > - 2 5 4 8 0 0 , 0 0 0 0 < / V a l u e >  
         < C h a r t T y p e > c t D e t a i l < / C h a r t T y p e >  
         < R e f e r e n c e > 2 8 1 0 1 < / R e f e r e n c e >  
         < T B D o c N a m e > T B   @   3 1 . 1 2 . 2 0 2 0 < / T B D o c N a m e >  
         < T B C h a r t N a m e > D e t a i l < / T B C h a r t N a m e >  
         < C o l u m n N a m e > P r i o r P e r i o d 2 B a l a n c e < / C o l u m n N a m e >  
         < U s e r F r i e n d l y C o l u m n N a m e > 3 1 . 1 2 . 2 0 1 9 < / U s e r F r i e n d l y C o l u m n N a m e >  
         < A c c o u n t N u m b e r > 6 0 2 a < / A c c o u n t N u m b e r >  
         < R o u n d e d > f a l s e < / R o u n d e d >  
     < / T B L i n k >  
     < T B L i n k >  
         < V e r s i o n > 4 < / V e r s i o n >  
         < C o l u m n F i l t e r s / >  
         < D A L i n k I D > f 5 e b 9 d b 2 - 0 9 f 8 - 4 3 8 d - a 0 2 4 - d 7 b 2 2 6 4 0 e 4 b 5 < / D A L i n k I D >  
         < L i n k T y p e > 0 < / L i n k T y p e >  
         < P a r a m e t e r s / >  
         < I n c l u d e A l l I t e m s > f a l s e < / I n c l u d e A l l I t e m s >  
         < A c t i v e > t r u e < / A c t i v e >  
         < P r o t e c t e d L i n k > f a l s e < / P r o t e c t e d L i n k >  
         < N a m e > 2 8 1 0 1   T B   @   3 1 . 1 2 . 2 0 2 0   6 0 2 b 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 - 8 5 6 7 8 . 0 0 0 0 < / N u m e r i c V a l u e >  
         < V a l u e > - 8 5 6 7 8 , 0 0 0 0 < / V a l u e >  
         < C h a r t T y p e > c t D e t a i l < / C h a r t T y p e >  
         < R e f e r e n c e > 2 8 1 0 1 < / R e f e r e n c e >  
         < T B D o c N a m e > T B   @   3 1 . 1 2 . 2 0 2 0 < / T B D o c N a m e >  
         < T B C h a r t N a m e > D e t a i l < / T B C h a r t N a m e >  
         < C o l u m n N a m e > P r i o r P e r i o d 2 B a l a n c e < / C o l u m n N a m e >  
         < U s e r F r i e n d l y C o l u m n N a m e > 3 1 . 1 2 . 2 0 1 9 < / U s e r F r i e n d l y C o l u m n N a m e >  
         < A c c o u n t N u m b e r > 6 0 2 b < / A c c o u n t N u m b e r >  
         < R o u n d e d > f a l s e < / R o u n d e d >  
     < / T B L i n k >  
     < T B L i n k >  
         < V e r s i o n > 4 < / V e r s i o n >  
         < C o l u m n F i l t e r s / >  
         < D A L i n k I D > 1 6 a f 0 0 b 9 - f 1 f 0 - 4 b a b - a 2 8 5 - 0 7 6 5 f e 4 6 6 f a e < / D A L i n k I D >  
         < L i n k T y p e > 0 < / L i n k T y p e >  
         < P a r a m e t e r s / >  
         < I n c l u d e A l l I t e m s > f a l s e < / I n c l u d e A l l I t e m s >  
         < A c t i v e > t r u e < / A c t i v e >  
         < P r o t e c t e d L i n k > f a l s e < / P r o t e c t e d L i n k >  
         < N a m e > 2 8 1 0 1   T B   @   3 1 . 1 2 . 2 0 2 0   6 0 2 c 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 - 3 2 7 9 0 . 0 0 0 0 < / N u m e r i c V a l u e >  
         < V a l u e > - 3 2 7 9 0 , 0 0 0 0 < / V a l u e >  
         < C h a r t T y p e > c t D e t a i l < / C h a r t T y p e >  
         < R e f e r e n c e > 2 8 1 0 1 < / R e f e r e n c e >  
         < T B D o c N a m e > T B   @   3 1 . 1 2 . 2 0 2 0 < / T B D o c N a m e >  
         < T B C h a r t N a m e > D e t a i l < / T B C h a r t N a m e >  
         < C o l u m n N a m e > P r i o r P e r i o d 2 B a l a n c e < / C o l u m n N a m e >  
         < U s e r F r i e n d l y C o l u m n N a m e > 3 1 . 1 2 . 2 0 1 9 < / U s e r F r i e n d l y C o l u m n N a m e >  
         < A c c o u n t N u m b e r > 6 0 2 c < / A c c o u n t N u m b e r >  
         < R o u n d e d > f a l s e < / R o u n d e d >  
     < / T B L i n k >  
     < T B L i n k >  
         < V e r s i o n > 4 < / V e r s i o n >  
         < C o l u m n F i l t e r s / >  
         < D A L i n k I D > 3 2 c a f 4 0 b - 5 c 6 d - 4 6 0 6 - 9 8 1 1 - e 3 6 9 9 2 0 2 c 6 2 d < / D A L i n k I D >  
         < L i n k T y p e > 0 < / L i n k T y p e >  
         < P a r a m e t e r s / >  
         < I n c l u d e A l l I t e m s > f a l s e < / I n c l u d e A l l I t e m s >  
         < A c t i v e > t r u e < / A c t i v e >  
         < P r o t e c t e d L i n k > f a l s e < / P r o t e c t e d L i n k >  
         < N a m e > 2 8 1 0 1   T B   @   3 1 . 1 2 . 2 0 2 0   6 0 2 d 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 6 0 2 d < / A c c o u n t N u m b e r >  
         < R o u n d e d > f a l s e < / R o u n d e d >  
     < / T B L i n k >  
     < T B L i n k >  
         < V e r s i o n > 4 < / V e r s i o n >  
         < C o l u m n F i l t e r s / >  
         < D A L i n k I D > 9 b 1 0 4 a 5 f - 0 0 3 2 - 4 2 3 4 - b 2 6 6 - 5 7 a c d e 7 2 4 a 0 7 < / D A L i n k I D >  
         < L i n k T y p e > 0 < / L i n k T y p e >  
         < P a r a m e t e r s / >  
         < I n c l u d e A l l I t e m s > f a l s e < / I n c l u d e A l l I t e m s >  
         < A c t i v e > t r u e < / A c t i v e >  
         < P r o t e c t e d L i n k > f a l s e < / P r o t e c t e d L i n k >  
         < N a m e > 2 8 1 0 1   T B   @   3 1 . 1 2 . 2 0 2 0   6 0 2 e 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 6 0 2 e < / A c c o u n t N u m b e r >  
         < R o u n d e d > f a l s e < / R o u n d e d >  
     < / T B L i n k >  
     < T B L i n k >  
         < V e r s i o n > 4 < / V e r s i o n >  
         < C o l u m n F i l t e r s / >  
         < D A L i n k I D > e 2 8 8 c e 0 9 - 4 2 1 b - 4 7 7 8 - b 8 9 a - f b a b d 5 f 6 3 f 3 2 < / D A L i n k I D >  
         < L i n k T y p e > 0 < / L i n k T y p e >  
         < P a r a m e t e r s / >  
         < I n c l u d e A l l I t e m s > f a l s e < / I n c l u d e A l l I t e m s >  
         < A c t i v e > t r u e < / A c t i v e >  
         < P r o t e c t e d L i n k > f a l s e < / P r o t e c t e d L i n k >  
         < N a m e > 2 8 1 0 1   T B   @   3 1 . 1 2 . 2 0 2 0   6 0 4 a 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 - 1 3 1 2 4 . 0 0 0 0 < / N u m e r i c V a l u e >  
         < V a l u e > - 1 3 1 2 4 , 0 0 0 0 < / V a l u e >  
         < C h a r t T y p e > c t D e t a i l < / C h a r t T y p e >  
         < R e f e r e n c e > 2 8 1 0 1 < / R e f e r e n c e >  
         < T B D o c N a m e > T B   @   3 1 . 1 2 . 2 0 2 0 < / T B D o c N a m e >  
         < T B C h a r t N a m e > D e t a i l < / T B C h a r t N a m e >  
         < C o l u m n N a m e > P r i o r P e r i o d 2 B a l a n c e < / C o l u m n N a m e >  
         < U s e r F r i e n d l y C o l u m n N a m e > 3 1 . 1 2 . 2 0 1 9 < / U s e r F r i e n d l y C o l u m n N a m e >  
         < A c c o u n t N u m b e r > 6 0 4 a < / A c c o u n t N u m b e r >  
         < R o u n d e d > f a l s e < / R o u n d e d >  
     < / T B L i n k >  
     < T B L i n k >  
         < V e r s i o n > 4 < / V e r s i o n >  
         < C o l u m n F i l t e r s / >  
         < D A L i n k I D > 6 4 7 b d 4 b c - e e 2 3 - 4 a 5 a - 8 6 b 6 - 4 4 9 2 4 4 7 3 2 9 e 9 < / D A L i n k I D >  
         < L i n k T y p e > 0 < / L i n k T y p e >  
         < P a r a m e t e r s / >  
         < I n c l u d e A l l I t e m s > f a l s e < / I n c l u d e A l l I t e m s >  
         < A c t i v e > t r u e < / A c t i v e >  
         < P r o t e c t e d L i n k > f a l s e < / P r o t e c t e d L i n k >  
         < N a m e > 2 8 1 0 1   T B   @   3 1 . 1 2 . 2 0 2 0   6 0 4 b 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 - 4 3 6 2 3 9 . 0 0 0 0 < / N u m e r i c V a l u e >  
         < V a l u e > - 4 3 6 2 3 9 , 0 0 0 0 < / V a l u e >  
         < C h a r t T y p e > c t D e t a i l < / C h a r t T y p e >  
         < R e f e r e n c e > 2 8 1 0 1 < / R e f e r e n c e >  
         < T B D o c N a m e > T B   @   3 1 . 1 2 . 2 0 2 0 < / T B D o c N a m e >  
         < T B C h a r t N a m e > D e t a i l < / T B C h a r t N a m e >  
         < C o l u m n N a m e > P r i o r P e r i o d 2 B a l a n c e < / C o l u m n N a m e >  
         < U s e r F r i e n d l y C o l u m n N a m e > 3 1 . 1 2 . 2 0 1 9 < / U s e r F r i e n d l y C o l u m n N a m e >  
         < A c c o u n t N u m b e r > 6 0 4 b < / A c c o u n t N u m b e r >  
         < R o u n d e d > f a l s e < / R o u n d e d >  
     < / T B L i n k >  
     < T B L i n k >  
         < V e r s i o n > 4 < / V e r s i o n >  
         < C o l u m n F i l t e r s / >  
         < D A L i n k I D > f 3 1 5 5 f 1 5 - 8 0 3 7 - 4 9 2 b - a 7 b 1 - d 5 4 8 c e 6 e b a f 6 < / D A L i n k I D >  
         < L i n k T y p e > 0 < / L i n k T y p e >  
         < P a r a m e t e r s / >  
         < I n c l u d e A l l I t e m s > f a l s e < / I n c l u d e A l l I t e m s >  
         < A c t i v e > t r u e < / A c t i v e >  
         < P r o t e c t e d L i n k > f a l s e < / P r o t e c t e d L i n k >  
         < N a m e > 2 8 1 0 1   T B   @   3 1 . 1 2 . 2 0 2 0   6 0 4 c 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 - 1 1 3 4 0 6 0 . 0 0 0 0 < / N u m e r i c V a l u e >  
         < V a l u e > - 1 1 3 4 0 6 0 , 0 0 0 0 < / V a l u e >  
         < C h a r t T y p e > c t D e t a i l < / C h a r t T y p e >  
         < R e f e r e n c e > 2 8 1 0 1 < / R e f e r e n c e >  
         < T B D o c N a m e > T B   @   3 1 . 1 2 . 2 0 2 0 < / T B D o c N a m e >  
         < T B C h a r t N a m e > D e t a i l < / T B C h a r t N a m e >  
         < C o l u m n N a m e > P r i o r P e r i o d 2 B a l a n c e < / C o l u m n N a m e >  
         < U s e r F r i e n d l y C o l u m n N a m e > 3 1 . 1 2 . 2 0 1 9 < / U s e r F r i e n d l y C o l u m n N a m e >  
         < A c c o u n t N u m b e r > 6 0 4 c < / A c c o u n t N u m b e r >  
         < R o u n d e d > f a l s e < / R o u n d e d >  
     < / T B L i n k >  
     < T B L i n k >  
         < V e r s i o n > 4 < / V e r s i o n >  
         < C o l u m n F i l t e r s / >  
         < D A L i n k I D > 9 9 1 c c 8 0 b - 7 0 5 2 - 4 7 6 a - b 2 e e - 5 9 f 4 5 8 1 4 e 7 7 3 < / D A L i n k I D >  
         < L i n k T y p e > 0 < / L i n k T y p e >  
         < P a r a m e t e r s / >  
         < I n c l u d e A l l I t e m s > f a l s e < / I n c l u d e A l l I t e m s >  
         < A c t i v e > t r u e < / A c t i v e >  
         < P r o t e c t e d L i n k > f a l s e < / P r o t e c t e d L i n k >  
         < N a m e > 2 8 1 0 1   T B   @   3 1 . 1 2 . 2 0 2 0   6 0 4 d 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 6 0 4 d < / A c c o u n t N u m b e r >  
         < R o u n d e d > f a l s e < / R o u n d e d >  
     < / T B L i n k >  
     < T B L i n k >  
         < V e r s i o n > 4 < / V e r s i o n >  
         < C o l u m n F i l t e r s / >  
         < D A L i n k I D > 1 b f c 0 4 6 3 - 7 0 6 f - 4 3 e c - b 5 c 7 - 8 1 3 3 6 7 a f 5 5 3 7 < / D A L i n k I D >  
         < L i n k T y p e > 0 < / L i n k T y p e >  
         < P a r a m e t e r s / >  
         < I n c l u d e A l l I t e m s > f a l s e < / I n c l u d e A l l I t e m s >  
         < A c t i v e > t r u e < / A c t i v e >  
         < P r o t e c t e d L i n k > f a l s e < / P r o t e c t e d L i n k >  
         < N a m e > 2 8 1 0 1   T B   @   3 1 . 1 2 . 2 0 2 0   6 0 4 e 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 6 0 4 e < / A c c o u n t N u m b e r >  
         < R o u n d e d > f a l s e < / R o u n d e d >  
     < / T B L i n k >  
     < T B L i n k >  
         < V e r s i o n > 4 < / V e r s i o n >  
         < C o l u m n F i l t e r s / >  
         < D A L i n k I D > c a e 4 d 8 5 7 - 7 d 1 f - 4 4 0 0 - 9 3 b 6 - d e 4 3 0 4 1 b 6 4 b 1 < / D A L i n k I D >  
         < L i n k T y p e > 0 < / L i n k T y p e >  
         < P a r a m e t e r s / >  
         < I n c l u d e A l l I t e m s > f a l s e < / I n c l u d e A l l I t e m s >  
         < A c t i v e > t r u e < / A c t i v e >  
         < P r o t e c t e d L i n k > f a l s e < / P r o t e c t e d L i n k >  
         < N a m e > 2 8 1 0 1   T B   @   3 1 . 1 2 . 2 0 2 0   6 0 6 x 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 6 0 6 x < / A c c o u n t N u m b e r >  
         < R o u n d e d > f a l s e < / R o u n d e d >  
     < / T B L i n k >  
     < T B L i n k >  
         < V e r s i o n > 4 < / V e r s i o n >  
         < C o l u m n F i l t e r s / >  
         < D A L i n k I D > 2 1 5 d 0 c 3 9 - 1 7 b 6 - 4 0 4 c - a 0 8 1 - 5 f 2 3 8 1 7 9 0 7 f 4 < / D A L i n k I D >  
         < L i n k T y p e > 0 < / L i n k T y p e >  
         < P a r a m e t e r s / >  
         < I n c l u d e A l l I t e m s > f a l s e < / I n c l u d e A l l I t e m s >  
         < A c t i v e > t r u e < / A c t i v e >  
         < P r o t e c t e d L i n k > f a l s e < / P r o t e c t e d L i n k >  
         < N a m e > 2 8 1 0 1   T B   @   3 1 . 1 2 . 2 0 2 0   6 0 7 x 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 6 0 7 x < / A c c o u n t N u m b e r >  
         < R o u n d e d > f a l s e < / R o u n d e d >  
     < / T B L i n k >  
     < T B L i n k >  
         < V e r s i o n > 4 < / V e r s i o n >  
         < C o l u m n F i l t e r s / >  
         < D A L i n k I D > 5 1 f 7 5 c b 7 - d 8 e 9 - 4 0 f 0 - b 0 e 7 - 9 6 8 8 b 8 4 7 e 9 3 2 < / D A L i n k I D >  
         < L i n k T y p e > 0 < / L i n k T y p e >  
         < P a r a m e t e r s / >  
         < I n c l u d e A l l I t e m s > f a l s e < / I n c l u d e A l l I t e m s >  
         < A c t i v e > t r u e < / A c t i v e >  
         < P r o t e c t e d L i n k > f a l s e < / P r o t e c t e d L i n k >  
         < N a m e > 2 8 1 0 1   T B   @   3 1 . 1 2 . 2 0 2 0   6 1 1 x 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 8 5 8 1 0 . 0 0 0 0 < / N u m e r i c V a l u e >  
         < V a l u e > 8 5 8 1 0 , 0 0 0 0 < / V a l u e >  
         < C h a r t T y p e > c t D e t a i l < / C h a r t T y p e >  
         < R e f e r e n c e > 2 8 1 0 1 < / R e f e r e n c e >  
         < T B D o c N a m e > T B   @   3 1 . 1 2 . 2 0 2 0 < / T B D o c N a m e >  
         < T B C h a r t N a m e > D e t a i l < / T B C h a r t N a m e >  
         < C o l u m n N a m e > P r i o r P e r i o d 2 B a l a n c e < / C o l u m n N a m e >  
         < U s e r F r i e n d l y C o l u m n N a m e > 3 1 . 1 2 . 2 0 1 9 < / U s e r F r i e n d l y C o l u m n N a m e >  
         < A c c o u n t N u m b e r > 6 1 1 x < / A c c o u n t N u m b e r >  
         < R o u n d e d > f a l s e < / R o u n d e d >  
     < / T B L i n k >  
     < T B L i n k >  
         < V e r s i o n > 4 < / V e r s i o n >  
         < C o l u m n F i l t e r s / >  
         < D A L i n k I D > f 0 d b a 0 d a - b b c f - 4 d 4 d - 8 3 0 4 - d 3 5 6 c 0 3 9 a 7 c 5 < / D A L i n k I D >  
         < L i n k T y p e > 0 < / L i n k T y p e >  
         < P a r a m e t e r s / >  
         < I n c l u d e A l l I t e m s > f a l s e < / I n c l u d e A l l I t e m s >  
         < A c t i v e > t r u e < / A c t i v e >  
         < P r o t e c t e d L i n k > f a l s e < / P r o t e c t e d L i n k >  
         < N a m e > 2 8 1 0 1   T B   @   3 1 . 1 2 . 2 0 2 0   6 1 2 x 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 - 1 1 6 0 0 7 . 0 0 0 0 < / N u m e r i c V a l u e >  
         < V a l u e > - 1 1 6 0 0 7 , 0 0 0 0 < / V a l u e >  
         < C h a r t T y p e > c t D e t a i l < / C h a r t T y p e >  
         < R e f e r e n c e > 2 8 1 0 1 < / R e f e r e n c e >  
         < T B D o c N a m e > T B   @   3 1 . 1 2 . 2 0 2 0 < / T B D o c N a m e >  
         < T B C h a r t N a m e > D e t a i l < / T B C h a r t N a m e >  
         < C o l u m n N a m e > P r i o r P e r i o d 2 B a l a n c e < / C o l u m n N a m e >  
         < U s e r F r i e n d l y C o l u m n N a m e > 3 1 . 1 2 . 2 0 1 9 < / U s e r F r i e n d l y C o l u m n N a m e >  
         < A c c o u n t N u m b e r > 6 1 2 x < / A c c o u n t N u m b e r >  
         < R o u n d e d > f a l s e < / R o u n d e d >  
     < / T B L i n k >  
     < T B L i n k >  
         < V e r s i o n > 4 < / V e r s i o n >  
         < C o l u m n F i l t e r s / >  
         < D A L i n k I D > f e d 1 6 e e 5 - c 9 4 9 - 4 c a 7 - 8 c c a - 4 f 4 b 1 9 9 a 2 d 3 2 < / D A L i n k I D >  
         < L i n k T y p e > 0 < / L i n k T y p e >  
         < P a r a m e t e r s / >  
         < I n c l u d e A l l I t e m s > f a l s e < / I n c l u d e A l l I t e m s >  
         < A c t i v e > t r u e < / A c t i v e >  
         < P r o t e c t e d L i n k > f a l s e < / P r o t e c t e d L i n k >  
         < N a m e > 2 8 1 0 1   T B   @   3 1 . 1 2 . 2 0 2 0   6 1 3 x 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 8 1 1 9 9 . 0 0 0 0 < / N u m e r i c V a l u e >  
         < V a l u e > 8 1 1 9 9 , 0 0 0 0 < / V a l u e >  
         < C h a r t T y p e > c t D e t a i l < / C h a r t T y p e >  
         < R e f e r e n c e > 2 8 1 0 1 < / R e f e r e n c e >  
         < T B D o c N a m e > T B   @   3 1 . 1 2 . 2 0 2 0 < / T B D o c N a m e >  
         < T B C h a r t N a m e > D e t a i l < / T B C h a r t N a m e >  
         < C o l u m n N a m e > P r i o r P e r i o d 2 B a l a n c e < / C o l u m n N a m e >  
         < U s e r F r i e n d l y C o l u m n N a m e > 3 1 . 1 2 . 2 0 1 9 < / U s e r F r i e n d l y C o l u m n N a m e >  
         < A c c o u n t N u m b e r > 6 1 3 x < / A c c o u n t N u m b e r >  
         < R o u n d e d > f a l s e < / R o u n d e d >  
     < / T B L i n k >  
     < T B L i n k >  
         < V e r s i o n > 4 < / V e r s i o n >  
         < C o l u m n F i l t e r s / >  
         < D A L i n k I D > 0 b a 1 c 6 7 6 - 5 d 3 7 - 4 8 4 8 - 9 d 6 d - 9 7 f 9 8 9 9 f 0 0 c e < / D A L i n k I D >  
         < L i n k T y p e > 0 < / L i n k T y p e >  
         < P a r a m e t e r s / >  
         < I n c l u d e A l l I t e m s > f a l s e < / I n c l u d e A l l I t e m s >  
         < A c t i v e > t r u e < / A c t i v e >  
         < P r o t e c t e d L i n k > f a l s e < / P r o t e c t e d L i n k >  
         < N a m e > 2 8 1 0 1   T B   @   3 1 . 1 2 . 2 0 2 0   6 1 4 x 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 6 1 4 x < / A c c o u n t N u m b e r >  
         < R o u n d e d > f a l s e < / R o u n d e d >  
     < / T B L i n k >  
     < T B L i n k >  
         < V e r s i o n > 4 < / V e r s i o n >  
         < C o l u m n F i l t e r s / >  
         < D A L i n k I D > 7 7 3 6 c e 5 f - 6 7 d 7 - 4 f 6 7 - b 4 b 9 - 7 2 9 e 1 0 f 7 c 0 0 1 < / D A L i n k I D >  
         < L i n k T y p e > 0 < / L i n k T y p e >  
         < P a r a m e t e r s / >  
         < I n c l u d e A l l I t e m s > f a l s e < / I n c l u d e A l l I t e m s >  
         < A c t i v e > t r u e < / A c t i v e >  
         < P r o t e c t e d L i n k > f a l s e < / P r o t e c t e d L i n k >  
         < N a m e > 2 8 1 0 1   T B   @   3 1 . 1 2 . 2 0 2 0   6 2 1 x 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 - 1 0 6 6 1 . 0 0 0 0 < / N u m e r i c V a l u e >  
         < V a l u e > - 1 0 6 6 1 , 0 0 0 0 < / V a l u e >  
         < C h a r t T y p e > c t D e t a i l < / C h a r t T y p e >  
         < R e f e r e n c e > 2 8 1 0 1 < / R e f e r e n c e >  
         < T B D o c N a m e > T B   @   3 1 . 1 2 . 2 0 2 0 < / T B D o c N a m e >  
         < T B C h a r t N a m e > D e t a i l < / T B C h a r t N a m e >  
         < C o l u m n N a m e > P r i o r P e r i o d 2 B a l a n c e < / C o l u m n N a m e >  
         < U s e r F r i e n d l y C o l u m n N a m e > 3 1 . 1 2 . 2 0 1 9 < / U s e r F r i e n d l y C o l u m n N a m e >  
         < A c c o u n t N u m b e r > 6 2 1 x < / A c c o u n t N u m b e r >  
         < R o u n d e d > f a l s e < / R o u n d e d >  
     < / T B L i n k >  
     < T B L i n k >  
         < V e r s i o n > 4 < / V e r s i o n >  
         < C o l u m n F i l t e r s / >  
         < D A L i n k I D > 7 f 5 c 6 a 7 5 - 9 8 d f - 4 0 7 9 - 8 2 0 6 - 0 f a 0 d 2 a 6 1 1 2 d < / D A L i n k I D >  
         < L i n k T y p e > 0 < / L i n k T y p e >  
         < P a r a m e t e r s / >  
         < I n c l u d e A l l I t e m s > f a l s e < / I n c l u d e A l l I t e m s >  
         < A c t i v e > t r u e < / A c t i v e >  
         < P r o t e c t e d L i n k > f a l s e < / P r o t e c t e d L i n k >  
         < N a m e > 2 8 1 0 1   T B   @   3 1 . 1 2 . 2 0 2 0   6 2 2 x 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 6 2 2 x < / A c c o u n t N u m b e r >  
         < R o u n d e d > f a l s e < / R o u n d e d >  
     < / T B L i n k >  
     < T B L i n k >  
         < V e r s i o n > 4 < / V e r s i o n >  
         < C o l u m n F i l t e r s / >  
         < D A L i n k I D > 3 3 6 9 5 c 5 7 - e a a 1 - 4 b 5 8 - 8 4 0 9 - 0 6 e b 8 1 e c c 3 f a < / D A L i n k I D >  
         < L i n k T y p e > 0 < / L i n k T y p e >  
         < P a r a m e t e r s / >  
         < I n c l u d e A l l I t e m s > f a l s e < / I n c l u d e A l l I t e m s >  
         < A c t i v e > t r u e < / A c t i v e >  
         < P r o t e c t e d L i n k > f a l s e < / P r o t e c t e d L i n k >  
         < N a m e > 2 8 1 0 1   T B   @   3 1 . 1 2 . 2 0 2 0   6 2 3 x 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 6 2 3 x < / A c c o u n t N u m b e r >  
         < R o u n d e d > f a l s e < / R o u n d e d >  
     < / T B L i n k >  
     < T B L i n k >  
         < V e r s i o n > 4 < / V e r s i o n >  
         < C o l u m n F i l t e r s / >  
         < D A L i n k I D > 5 7 8 c 6 4 0 a - 1 d 6 0 - 4 2 9 d - b 6 7 e - 3 7 3 8 8 8 d 3 4 8 7 4 < / D A L i n k I D >  
         < L i n k T y p e > 0 < / L i n k T y p e >  
         < P a r a m e t e r s / >  
         < I n c l u d e A l l I t e m s > f a l s e < / I n c l u d e A l l I t e m s >  
         < A c t i v e > t r u e < / A c t i v e >  
         < P r o t e c t e d L i n k > f a l s e < / P r o t e c t e d L i n k >  
         < N a m e > 2 8 1 0 1   T B   @   3 1 . 1 2 . 2 0 2 0   6 2 4 x 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 6 2 4 x < / A c c o u n t N u m b e r >  
         < R o u n d e d > f a l s e < / R o u n d e d >  
     < / T B L i n k >  
     < T B L i n k >  
         < V e r s i o n > 4 < / V e r s i o n >  
         < C o l u m n F i l t e r s / >  
         < D A L i n k I D > 7 a 1 1 c a c 3 - b 6 f d - 4 d b d - b 2 5 9 - d a f 1 6 1 4 b 3 f b e < / D A L i n k I D >  
         < L i n k T y p e > 0 < / L i n k T y p e >  
         < P a r a m e t e r s / >  
         < I n c l u d e A l l I t e m s > f a l s e < / I n c l u d e A l l I t e m s >  
         < A c t i v e > t r u e < / A c t i v e >  
         < P r o t e c t e d L i n k > f a l s e < / P r o t e c t e d L i n k >  
         < N a m e > 2 8 1 0 1   T B   @   3 1 . 1 2 . 2 0 2 0   6 4 1 x 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 6 4 1 x < / A c c o u n t N u m b e r >  
         < R o u n d e d > f a l s e < / R o u n d e d >  
     < / T B L i n k >  
     < T B L i n k >  
         < V e r s i o n > 4 < / V e r s i o n >  
         < C o l u m n F i l t e r s / >  
         < D A L i n k I D > f 2 3 6 d b a 7 - 4 2 5 1 - 4 4 e 9 - 8 1 8 2 - 5 d 0 3 c 3 8 3 6 0 4 1 < / D A L i n k I D >  
         < L i n k T y p e > 0 < / L i n k T y p e >  
         < P a r a m e t e r s / >  
         < I n c l u d e A l l I t e m s > f a l s e < / I n c l u d e A l l I t e m s >  
         < A c t i v e > t r u e < / A c t i v e >  
         < P r o t e c t e d L i n k > f a l s e < / P r o t e c t e d L i n k >  
         < N a m e > 2 8 1 0 1   T B   @   3 1 . 1 2 . 2 0 2 0   6 4 2 x 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 - 2 4 5 3 4 . 0 0 0 0 < / N u m e r i c V a l u e >  
         < V a l u e > - 2 4 5 3 4 , 0 0 0 0 < / V a l u e >  
         < C h a r t T y p e > c t D e t a i l < / C h a r t T y p e >  
         < R e f e r e n c e > 2 8 1 0 1 < / R e f e r e n c e >  
         < T B D o c N a m e > T B   @   3 1 . 1 2 . 2 0 2 0 < / T B D o c N a m e >  
         < T B C h a r t N a m e > D e t a i l < / T B C h a r t N a m e >  
         < C o l u m n N a m e > P r i o r P e r i o d 2 B a l a n c e < / C o l u m n N a m e >  
         < U s e r F r i e n d l y C o l u m n N a m e > 3 1 . 1 2 . 2 0 1 9 < / U s e r F r i e n d l y C o l u m n N a m e >  
         < A c c o u n t N u m b e r > 6 4 2 x < / A c c o u n t N u m b e r >  
         < R o u n d e d > f a l s e < / R o u n d e d >  
     < / T B L i n k >  
     < T B L i n k >  
         < V e r s i o n > 4 < / V e r s i o n >  
         < C o l u m n F i l t e r s / >  
         < D A L i n k I D > c f 7 1 6 3 8 c - 7 4 e d - 4 4 e 1 - b 3 2 b - 0 6 e 7 8 6 3 e c 0 a 7 < / D A L i n k I D >  
         < L i n k T y p e > 0 < / L i n k T y p e >  
         < P a r a m e t e r s / >  
         < I n c l u d e A l l I t e m s > f a l s e < / I n c l u d e A l l I t e m s >  
         < A c t i v e > t r u e < / A c t i v e >  
         < P r o t e c t e d L i n k > f a l s e < / P r o t e c t e d L i n k >  
         < N a m e > 2 8 1 0 1   T B   @   3 1 . 1 2 . 2 0 2 0   6 4 4 x 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 6 4 4 x < / A c c o u n t N u m b e r >  
         < R o u n d e d > f a l s e < / R o u n d e d >  
     < / T B L i n k >  
     < T B L i n k >  
         < V e r s i o n > 4 < / V e r s i o n >  
         < C o l u m n F i l t e r s / >  
         < D A L i n k I D > d 7 f 8 8 e 0 5 - d 9 7 d - 4 9 6 3 - 8 d a e - 0 9 f 0 8 c 5 5 2 1 3 0 < / D A L i n k I D >  
         < L i n k T y p e > 0 < / L i n k T y p e >  
         < P a r a m e t e r s / >  
         < I n c l u d e A l l I t e m s > f a l s e < / I n c l u d e A l l I t e m s >  
         < A c t i v e > t r u e < / A c t i v e >  
         < P r o t e c t e d L i n k > f a l s e < / P r o t e c t e d L i n k >  
         < N a m e > 2 8 1 0 1   T B   @   3 1 . 1 2 . 2 0 2 0   6 4 5 x 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 6 4 5 x < / A c c o u n t N u m b e r >  
         < R o u n d e d > f a l s e < / R o u n d e d >  
     < / T B L i n k >  
     < T B L i n k >  
         < V e r s i o n > 4 < / V e r s i o n >  
         < C o l u m n F i l t e r s / >  
         < D A L i n k I D > 3 4 a 2 1 4 7 1 - e 3 3 3 - 4 2 6 1 - b 1 5 e - b 0 6 8 9 8 5 9 9 4 7 9 < / D A L i n k I D >  
         < L i n k T y p e > 0 < / L i n k T y p e >  
         < P a r a m e t e r s / >  
         < I n c l u d e A l l I t e m s > f a l s e < / I n c l u d e A l l I t e m s >  
         < A c t i v e > t r u e < / A c t i v e >  
         < P r o t e c t e d L i n k > f a l s e < / P r o t e c t e d L i n k >  
         < N a m e > 2 8 1 0 1   T B   @   3 1 . 1 2 . 2 0 2 0   6 4 6 x 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 6 4 6 x < / A c c o u n t N u m b e r >  
         < R o u n d e d > f a l s e < / R o u n d e d >  
     < / T B L i n k >  
     < T B L i n k >  
         < V e r s i o n > 4 < / V e r s i o n >  
         < C o l u m n F i l t e r s / >  
         < D A L i n k I D > 2 2 b 0 7 4 3 d - c 7 5 7 - 4 c 9 6 - a 4 0 9 - 2 e d 6 b 3 1 e d a 0 e < / D A L i n k I D >  
         < L i n k T y p e > 0 < / L i n k T y p e >  
         < P a r a m e t e r s / >  
         < I n c l u d e A l l I t e m s > f a l s e < / I n c l u d e A l l I t e m s >  
         < A c t i v e > t r u e < / A c t i v e >  
         < P r o t e c t e d L i n k > f a l s e < / P r o t e c t e d L i n k >  
         < N a m e > 2 8 1 0 1   T B   @   3 1 . 1 2 . 2 0 2 0   6 4 8 x 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 - 9 3 8 9 7 . 0 0 0 0 < / N u m e r i c V a l u e >  
         < V a l u e > - 9 3 8 9 7 , 0 0 0 0 < / V a l u e >  
         < C h a r t T y p e > c t D e t a i l < / C h a r t T y p e >  
         < R e f e r e n c e > 2 8 1 0 1 < / R e f e r e n c e >  
         < T B D o c N a m e > T B   @   3 1 . 1 2 . 2 0 2 0 < / T B D o c N a m e >  
         < T B C h a r t N a m e > D e t a i l < / T B C h a r t N a m e >  
         < C o l u m n N a m e > P r i o r P e r i o d 2 B a l a n c e < / C o l u m n N a m e >  
         < U s e r F r i e n d l y C o l u m n N a m e > 3 1 . 1 2 . 2 0 1 9 < / U s e r F r i e n d l y C o l u m n N a m e >  
         < A c c o u n t N u m b e r > 6 4 8 x < / A c c o u n t N u m b e r >  
         < R o u n d e d > f a l s e < / R o u n d e d >  
     < / T B L i n k >  
     < T B L i n k >  
         < V e r s i o n > 4 < / V e r s i o n >  
         < C o l u m n F i l t e r s / >  
         < D A L i n k I D > 2 7 a 6 1 c 4 b - 3 d b b - 4 b 0 e - 8 8 e e - 6 6 3 6 3 5 9 6 1 d 8 8 < / D A L i n k I D >  
         < L i n k T y p e > 0 < / L i n k T y p e >  
         < P a r a m e t e r s / >  
         < I n c l u d e A l l I t e m s > f a l s e < / I n c l u d e A l l I t e m s >  
         < A c t i v e > t r u e < / A c t i v e >  
         < P r o t e c t e d L i n k > f a l s e < / P r o t e c t e d L i n k >  
         < N a m e > 2 8 1 0 1   T B   @   3 1 . 1 2 . 2 0 2 0   6 5 5 x 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 6 5 5 x < / A c c o u n t N u m b e r >  
         < R o u n d e d > f a l s e < / R o u n d e d >  
     < / T B L i n k >  
     < T B L i n k >  
         < V e r s i o n > 4 < / V e r s i o n >  
         < C o l u m n F i l t e r s / >  
         < D A L i n k I D > 7 b 3 1 4 b b d - 0 6 e 5 - 4 0 5 8 - 8 4 e 5 - f 9 e a d 3 2 e 6 4 e f < / D A L i n k I D >  
         < L i n k T y p e > 0 < / L i n k T y p e >  
         < P a r a m e t e r s / >  
         < I n c l u d e A l l I t e m s > f a l s e < / I n c l u d e A l l I t e m s >  
         < A c t i v e > t r u e < / A c t i v e >  
         < P r o t e c t e d L i n k > f a l s e < / P r o t e c t e d L i n k >  
         < N a m e > 2 8 1 0 1   T B   @   3 1 . 1 2 . 2 0 2 0   6 5 7 x 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 6 5 7 x < / A c c o u n t N u m b e r >  
         < R o u n d e d > f a l s e < / R o u n d e d >  
     < / T B L i n k >  
     < T B L i n k >  
         < V e r s i o n > 4 < / V e r s i o n >  
         < C o l u m n F i l t e r s / >  
         < D A L i n k I D > 6 5 a e 1 4 2 d - 9 0 6 a - 4 1 d a - 8 5 1 a - 7 2 1 b 8 e c 3 a b 9 7 < / D A L i n k I D >  
         < L i n k T y p e > 0 < / L i n k T y p e >  
         < P a r a m e t e r s / >  
         < I n c l u d e A l l I t e m s > f a l s e < / I n c l u d e A l l I t e m s >  
         < A c t i v e > t r u e < / A c t i v e >  
         < P r o t e c t e d L i n k > f a l s e < / P r o t e c t e d L i n k >  
         < N a m e > 2 8 1 0 1   T B   @   3 1 . 1 2 . 2 0 2 0   6 6 1 x 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 6 6 1 x < / A c c o u n t N u m b e r >  
         < R o u n d e d > f a l s e < / R o u n d e d >  
     < / T B L i n k >  
     < T B L i n k >  
         < V e r s i o n > 4 < / V e r s i o n >  
         < C o l u m n F i l t e r s / >  
         < D A L i n k I D > 2 6 f e d e e 9 - a f 6 8 - 4 e d 5 - 8 c d c - 2 c 4 3 5 d 0 2 0 f a e < / D A L i n k I D >  
         < L i n k T y p e > 0 < / L i n k T y p e >  
         < P a r a m e t e r s / >  
         < I n c l u d e A l l I t e m s > f a l s e < / I n c l u d e A l l I t e m s >  
         < A c t i v e > t r u e < / A c t i v e >  
         < P r o t e c t e d L i n k > f a l s e < / P r o t e c t e d L i n k >  
         < N a m e > 2 8 1 0 1   T B   @   3 1 . 1 2 . 2 0 2 0   6 6 2 a 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 - 3 0 9 9 8 . 0 0 0 0 < / N u m e r i c V a l u e >  
         < V a l u e > - 3 0 9 9 8 , 0 0 0 0 < / V a l u e >  
         < C h a r t T y p e > c t D e t a i l < / C h a r t T y p e >  
         < R e f e r e n c e > 2 8 1 0 1 < / R e f e r e n c e >  
         < T B D o c N a m e > T B   @   3 1 . 1 2 . 2 0 2 0 < / T B D o c N a m e >  
         < T B C h a r t N a m e > D e t a i l < / T B C h a r t N a m e >  
         < C o l u m n N a m e > P r i o r P e r i o d 2 B a l a n c e < / C o l u m n N a m e >  
         < U s e r F r i e n d l y C o l u m n N a m e > 3 1 . 1 2 . 2 0 1 9 < / U s e r F r i e n d l y C o l u m n N a m e >  
         < A c c o u n t N u m b e r > 6 6 2 a < / A c c o u n t N u m b e r >  
         < R o u n d e d > f a l s e < / R o u n d e d >  
     < / T B L i n k >  
     < T B L i n k >  
         < V e r s i o n > 4 < / V e r s i o n >  
         < C o l u m n F i l t e r s / >  
         < D A L i n k I D > f 0 c a 9 2 2 a - 3 c 1 4 - 4 0 8 0 - b 6 2 8 - e a c 1 8 e a 9 0 7 0 d < / D A L i n k I D >  
         < L i n k T y p e > 0 < / L i n k T y p e >  
         < P a r a m e t e r s / >  
         < I n c l u d e A l l I t e m s > f a l s e < / I n c l u d e A l l I t e m s >  
         < A c t i v e > t r u e < / A c t i v e >  
         < P r o t e c t e d L i n k > f a l s e < / P r o t e c t e d L i n k >  
         < N a m e > 2 8 1 0 1   T B   @   3 1 . 1 2 . 2 0 2 0   6 6 2 b 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 - 1 0 2 . 0 0 0 0 < / N u m e r i c V a l u e >  
         < V a l u e > - 1 0 2 , 0 0 0 0 < / V a l u e >  
         < C h a r t T y p e > c t D e t a i l < / C h a r t T y p e >  
         < R e f e r e n c e > 2 8 1 0 1 < / R e f e r e n c e >  
         < T B D o c N a m e > T B   @   3 1 . 1 2 . 2 0 2 0 < / T B D o c N a m e >  
         < T B C h a r t N a m e > D e t a i l < / T B C h a r t N a m e >  
         < C o l u m n N a m e > P r i o r P e r i o d 2 B a l a n c e < / C o l u m n N a m e >  
         < U s e r F r i e n d l y C o l u m n N a m e > 3 1 . 1 2 . 2 0 1 9 < / U s e r F r i e n d l y C o l u m n N a m e >  
         < A c c o u n t N u m b e r > 6 6 2 b < / A c c o u n t N u m b e r >  
         < R o u n d e d > f a l s e < / R o u n d e d >  
     < / T B L i n k >  
     < T B L i n k >  
         < V e r s i o n > 4 < / V e r s i o n >  
         < C o l u m n F i l t e r s / >  
         < D A L i n k I D > f 6 4 3 7 b 7 1 - 4 b 2 3 - 4 e a 5 - b 5 6 3 - 8 0 2 5 e 9 6 6 b 9 9 6 < / D A L i n k I D >  
         < L i n k T y p e > 0 < / L i n k T y p e >  
         < P a r a m e t e r s / >  
         < I n c l u d e A l l I t e m s > f a l s e < / I n c l u d e A l l I t e m s >  
         < A c t i v e > t r u e < / A c t i v e >  
         < P r o t e c t e d L i n k > f a l s e < / P r o t e c t e d L i n k >  
         < N a m e > 2 8 1 0 1   T B   @   3 1 . 1 2 . 2 0 2 0   6 6 3 x 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 - 1 3 2 2 . 0 0 0 0 < / N u m e r i c V a l u e >  
         < V a l u e > - 1 3 2 2 , 0 0 0 0 < / V a l u e >  
         < C h a r t T y p e > c t D e t a i l < / C h a r t T y p e >  
         < R e f e r e n c e > 2 8 1 0 1 < / R e f e r e n c e >  
         < T B D o c N a m e > T B   @   3 1 . 1 2 . 2 0 2 0 < / T B D o c N a m e >  
         < T B C h a r t N a m e > D e t a i l < / T B C h a r t N a m e >  
         < C o l u m n N a m e > P r i o r P e r i o d 2 B a l a n c e < / C o l u m n N a m e >  
         < U s e r F r i e n d l y C o l u m n N a m e > 3 1 . 1 2 . 2 0 1 9 < / U s e r F r i e n d l y C o l u m n N a m e >  
         < A c c o u n t N u m b e r > 6 6 3 x < / A c c o u n t N u m b e r >  
         < R o u n d e d > f a l s e < / R o u n d e d >  
     < / T B L i n k >  
     < T B L i n k >  
         < V e r s i o n > 4 < / V e r s i o n >  
         < C o l u m n F i l t e r s / >  
         < D A L i n k I D > 9 4 2 0 6 f 7 c - 3 9 9 b - 4 e f b - 9 5 a 2 - d 6 8 4 3 e 2 c e d 4 1 < / D A L i n k I D >  
         < L i n k T y p e > 0 < / L i n k T y p e >  
         < P a r a m e t e r s / >  
         < I n c l u d e A l l I t e m s > f a l s e < / I n c l u d e A l l I t e m s >  
         < A c t i v e > t r u e < / A c t i v e >  
         < P r o t e c t e d L i n k > f a l s e < / P r o t e c t e d L i n k >  
         < N a m e > 2 8 1 0 1   T B   @   3 1 . 1 2 . 2 0 2 0   6 6 4 x 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 6 6 4 x < / A c c o u n t N u m b e r >  
         < R o u n d e d > f a l s e < / R o u n d e d >  
     < / T B L i n k >  
     < T B L i n k >  
         < V e r s i o n > 4 < / V e r s i o n >  
         < C o l u m n F i l t e r s / >  
         < D A L i n k I D > 5 4 9 9 4 7 3 a - 1 8 d 8 - 4 f 4 0 - b b 2 2 - 8 c e 8 c 5 d 0 6 3 c 7 < / D A L i n k I D >  
         < L i n k T y p e > 0 < / L i n k T y p e >  
         < P a r a m e t e r s / >  
         < I n c l u d e A l l I t e m s > f a l s e < / I n c l u d e A l l I t e m s >  
         < A c t i v e > t r u e < / A c t i v e >  
         < P r o t e c t e d L i n k > f a l s e < / P r o t e c t e d L i n k >  
         < N a m e > 2 8 1 0 1   T B   @   3 1 . 1 2 . 2 0 2 0   6 6 5 a 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 6 6 5 a < / A c c o u n t N u m b e r >  
         < R o u n d e d > f a l s e < / R o u n d e d >  
     < / T B L i n k >  
     < T B L i n k >  
         < V e r s i o n > 4 < / V e r s i o n >  
         < C o l u m n F i l t e r s / >  
         < D A L i n k I D > 3 6 6 6 c 4 4 8 - a f a f - 4 9 9 e - 9 a a 2 - 9 a e 7 e e e 0 c 9 e 9 < / D A L i n k I D >  
         < L i n k T y p e > 0 < / L i n k T y p e >  
         < P a r a m e t e r s / >  
         < I n c l u d e A l l I t e m s > f a l s e < / I n c l u d e A l l I t e m s >  
         < A c t i v e > t r u e < / A c t i v e >  
         < P r o t e c t e d L i n k > f a l s e < / P r o t e c t e d L i n k >  
         < N a m e > 2 8 1 0 1   T B   @   3 1 . 1 2 . 2 0 2 0   6 6 5 b 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 6 6 5 b < / A c c o u n t N u m b e r >  
         < R o u n d e d > f a l s e < / R o u n d e d >  
     < / T B L i n k >  
     < T B L i n k >  
         < V e r s i o n > 4 < / V e r s i o n >  
         < C o l u m n F i l t e r s / >  
         < D A L i n k I D > 1 6 4 4 e 5 6 d - b 8 2 0 - 4 5 7 d - 9 6 c 1 - 9 6 1 3 1 7 8 7 3 f 9 0 < / D A L i n k I D >  
         < L i n k T y p e > 0 < / L i n k T y p e >  
         < P a r a m e t e r s / >  
         < I n c l u d e A l l I t e m s > f a l s e < / I n c l u d e A l l I t e m s >  
         < A c t i v e > t r u e < / A c t i v e >  
         < P r o t e c t e d L i n k > f a l s e < / P r o t e c t e d L i n k >  
         < N a m e > 2 8 1 0 1   T B   @   3 1 . 1 2 . 2 0 2 0   6 6 5 c 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 6 6 5 c < / A c c o u n t N u m b e r >  
         < R o u n d e d > f a l s e < / R o u n d e d >  
     < / T B L i n k >  
     < T B L i n k >  
         < V e r s i o n > 4 < / V e r s i o n >  
         < C o l u m n F i l t e r s / >  
         < D A L i n k I D > 2 2 2 1 8 8 4 7 - 6 c 2 d - 4 4 4 b - 8 6 0 6 - b 2 1 6 8 d 7 1 e 7 b f < / D A L i n k I D >  
         < L i n k T y p e > 0 < / L i n k T y p e >  
         < P a r a m e t e r s / >  
         < I n c l u d e A l l I t e m s > f a l s e < / I n c l u d e A l l I t e m s >  
         < A c t i v e > t r u e < / A c t i v e >  
         < P r o t e c t e d L i n k > f a l s e < / P r o t e c t e d L i n k >  
         < N a m e > 2 8 1 0 1   T B   @   3 1 . 1 2 . 2 0 2 0   6 6 6 a 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 6 6 6 a < / A c c o u n t N u m b e r >  
         < R o u n d e d > f a l s e < / R o u n d e d >  
     < / T B L i n k >  
     < T B L i n k >  
         < V e r s i o n > 4 < / V e r s i o n >  
         < C o l u m n F i l t e r s / >  
         < D A L i n k I D > 9 2 b 7 1 c 3 d - 1 d 4 0 - 4 2 3 4 - a 7 d 8 - 0 3 2 d 0 c 3 f e 4 e 2 < / D A L i n k I D >  
         < L i n k T y p e > 0 < / L i n k T y p e >  
         < P a r a m e t e r s / >  
         < I n c l u d e A l l I t e m s > f a l s e < / I n c l u d e A l l I t e m s >  
         < A c t i v e > t r u e < / A c t i v e >  
         < P r o t e c t e d L i n k > f a l s e < / P r o t e c t e d L i n k >  
         < N a m e > 2 8 1 0 1   T B   @   3 1 . 1 2 . 2 0 2 0   6 6 6 b 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 6 6 6 b < / A c c o u n t N u m b e r >  
         < R o u n d e d > f a l s e < / R o u n d e d >  
     < / T B L i n k >  
     < T B L i n k >  
         < V e r s i o n > 4 < / V e r s i o n >  
         < C o l u m n F i l t e r s / >  
         < D A L i n k I D > e 3 b 5 1 8 4 5 - 4 3 d 6 - 4 a 6 f - b 8 4 4 - f 6 c 1 8 4 7 8 d 1 d 2 < / D A L i n k I D >  
         < L i n k T y p e > 0 < / L i n k T y p e >  
         < P a r a m e t e r s / >  
         < I n c l u d e A l l I t e m s > f a l s e < / I n c l u d e A l l I t e m s >  
         < A c t i v e > t r u e < / A c t i v e >  
         < P r o t e c t e d L i n k > f a l s e < / P r o t e c t e d L i n k >  
         < N a m e > 2 8 1 0 1   T B   @   3 1 . 1 2 . 2 0 2 0   6 6 6 c 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 6 6 6 c < / A c c o u n t N u m b e r >  
         < R o u n d e d > f a l s e < / R o u n d e d >  
     < / T B L i n k >  
     < T B L i n k >  
         < V e r s i o n > 4 < / V e r s i o n >  
         < C o l u m n F i l t e r s / >  
         < D A L i n k I D > 4 7 5 a 4 3 2 2 - a 2 2 a - 4 2 f 8 - 9 9 c 5 - 0 1 6 8 1 1 3 a 6 7 2 8 < / D A L i n k I D >  
         < L i n k T y p e > 0 < / L i n k T y p e >  
         < P a r a m e t e r s / >  
         < I n c l u d e A l l I t e m s > f a l s e < / I n c l u d e A l l I t e m s >  
         < A c t i v e > t r u e < / A c t i v e >  
         < P r o t e c t e d L i n k > f a l s e < / P r o t e c t e d L i n k >  
         < N a m e > 2 8 1 0 1   T B   @   3 1 . 1 2 . 2 0 2 0   6 6 7 x 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 6 6 7 x < / A c c o u n t N u m b e r >  
         < R o u n d e d > f a l s e < / R o u n d e d >  
     < / T B L i n k >  
     < T B L i n k >  
         < V e r s i o n > 4 < / V e r s i o n >  
         < C o l u m n F i l t e r s / >  
         < D A L i n k I D > e 2 b 9 0 f c e - e 4 e d - 4 9 8 0 - a 3 7 e - c 1 1 f a c e a c 0 3 d < / D A L i n k I D >  
         < L i n k T y p e > 0 < / L i n k T y p e >  
         < P a r a m e t e r s / >  
         < I n c l u d e A l l I t e m s > f a l s e < / I n c l u d e A l l I t e m s >  
         < A c t i v e > t r u e < / A c t i v e >  
         < P r o t e c t e d L i n k > f a l s e < / P r o t e c t e d L i n k >  
         < N a m e > 2 8 1 0 1   T B   @   3 1 . 1 2 . 2 0 2 0   6 6 8 x   3 1 . 1 2 . 2 0 1 9 < / 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 P r i o r P e r i o d 2 B a l a n c e < / C o l u m n N a m e >  
         < U s e r F r i e n d l y C o l u m n N a m e > 3 1 . 1 2 . 2 0 1 9 < / U s e r F r i e n d l y C o l u m n N a m e >  
         < A c c o u n t N u m b e r > 6 6 8 x < / A c c o u n t N u m b e r >  
         < R o u n d e d > f a l s e < / R o u n d e d >  
     < / T B L i n k >  
     < T B L i n k >  
         < V e r s i o n > 4 < / V e r s i o n >  
         < C o l u m n F i l t e r s / >  
         < D A L i n k I D > 9 7 b 4 c b 3 5 - 2 4 9 9 - 4 e 0 d - b 7 b d - f 1 c 4 5 2 0 3 1 8 b 6 < / D A L i n k I D >  
         < L i n k T y p e > 0 < / L i n k T y p e >  
         < P a r a m e t e r s / >  
         < I n c l u d e A l l I t e m s > f a l s e < / I n c l u d e A l l I t e m s >  
         < A c t i v e > t r u e < / A c t i v e >  
         < P r o t e c t e d L i n k > f a l s e < / P r o t e c t e d L i n k >  
         < N a m e > 2 8 1 0 1   T B   @   3 1 . 1 2 . 2 0 2 0   0 1 2 x 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 0 1 2 x < / A c c o u n t N u m b e r >  
         < R o u n d e d > f a l s e < / R o u n d e d >  
     < / T B L i n k >  
     < T B L i n k >  
         < V e r s i o n > 4 < / V e r s i o n >  
         < C o l u m n F i l t e r s / >  
         < D A L i n k I D > 5 b a 9 d 1 1 f - 3 1 1 9 - 4 3 b b - 8 a d c - 9 f 3 f e e 6 e d 9 9 4 < / D A L i n k I D >  
         < L i n k T y p e > 0 < / L i n k T y p e >  
         < P a r a m e t e r s / >  
         < I n c l u d e A l l I t e m s > f a l s e < / I n c l u d e A l l I t e m s >  
         < A c t i v e > t r u e < / A c t i v e >  
         < P r o t e c t e d L i n k > f a l s e < / P r o t e c t e d L i n k >  
         < N a m e > 2 8 1 0 1   T B   @   3 1 . 1 2 . 2 0 2 0   0 1 3 x   F i n a l < / N a m e >  
         < E n t i t y E n u m > 9 < / E n t i t y E n u m >  
         < I t e m O r d e r L i s t / >  
         < S e l e c t e d I t e m L i s t / >  
         < S e l e c t e d C o l u m n L i s t / >  
         < H a s V a l u e > t r u e < / H a s V a l u e >  
         < T B C h a r t I D > 3 0 0 1 4 7 8 6 4 3 4 0 0 0 0 0 4 9 4 < / T B C h a r t I D >  
         < C o n s o l i d a t e d C o m p a n y I D   x s i : n i l = " t r u e " / >  
         < T B D o c u m e n t I D > 3 0 0 1 4 7 8 6 4 3 4 0 0 0 0 0 0 9 9 < / T B D o c u m e n t I D >  
         < N u m e r i c V a l u e > 1 3 2 8 2 6 . 0 0 0 0 < / N u m e r i c V a l u e >  
         < V a l u e > 1 3 2 8 2 6 , 0 0 0 0 < / V a l u e >  
         < C h a r t T y p e > c t D e t a i l < / C h a r t T y p e >  
         < R e f e r e n c e > 2 8 1 0 1 < / R e f e r e n c e >  
         < T B D o c N a m e > T B   @   3 1 . 1 2 . 2 0 2 0 < / T B D o c N a m e >  
         < T B C h a r t N a m e > D e t a i l < / T B C h a r t N a m e >  
         < C o l u m n N a m e > F i n a l B a l a n c e < / C o l u m n N a m e >  
         < U s e r F r i e n d l y C o l u m n N a m e > F i n a l < / U s e r F r i e n d l y C o l u m n N a m e >  
         < A c c o u n t N u m b e r > 0 1 3 x < / A c c o u n t N u m b e r >  
         < R o u n d e d > f a l s e < / R o u n d e d >  
     < / T B L i n k >  
     < T B L i n k >  
         < V e r s i o n > 4 < / V e r s i o n >  
         < C o l u m n F i l t e r s / >  
         < D A L i n k I D > 0 9 3 2 d 0 6 c - 0 6 b 3 - 4 c b 1 - a d 1 d - 1 1 4 8 6 b c 8 3 f e 7 < / D A L i n k I D >  
         < L i n k T y p e > 0 < / L i n k T y p e >  
         < P a r a m e t e r s / >  
         < I n c l u d e A l l I t e m s > f a l s e < / I n c l u d e A l l I t e m s >  
         < A c t i v e > t r u e < / A c t i v e >  
         < P r o t e c t e d L i n k > f a l s e < / P r o t e c t e d L i n k >  
         < N a m e > 2 8 1 0 1   T B   @   3 1 . 1 2 . 2 0 2 0   0 1 4 x   F i n a l < / N a m e >  
         < E n t i t y E n u m > 9 < / E n t i t y E n u m >  
         < I t e m O r d e r L i s t / >  
         < S e l e c t e d I t e m L i s t / >  
         < S e l e c t e d C o l u m n L i s t / >  
         < H a s V a l u e > t r u e < / H a s V a l u e >  
         < T B C h a r t I D > 3 0 0 1 4 7 8 6 4 3 4 0 0 0 0 0 4 9 4 < / T B C h a r t I D >  
         < C o n s o l i d a t e d C o m p a n y I D   x s i : n i l = " t r u e " / >  
         < T B D o c u m e n t I D > 3 0 0 1 4 7 8 6 4 3 4 0 0 0 0 0 0 9 9 < / T B D o c u m e n t I D >  
         < N u m e r i c V a l u e > 1 3 9 8 2 4 5 . 0 0 0 0 < / N u m e r i c V a l u e >  
         < V a l u e > 1 3 9 8 2 4 5 , 0 0 0 0 < / V a l u e >  
         < C h a r t T y p e > c t D e t a i l < / C h a r t T y p e >  
         < R e f e r e n c e > 2 8 1 0 1 < / R e f e r e n c e >  
         < T B D o c N a m e > T B   @   3 1 . 1 2 . 2 0 2 0 < / T B D o c N a m e >  
         < T B C h a r t N a m e > D e t a i l < / T B C h a r t N a m e >  
         < C o l u m n N a m e > F i n a l B a l a n c e < / C o l u m n N a m e >  
         < U s e r F r i e n d l y C o l u m n N a m e > F i n a l < / U s e r F r i e n d l y C o l u m n N a m e >  
         < A c c o u n t N u m b e r > 0 1 4 x < / A c c o u n t N u m b e r >  
         < R o u n d e d > f a l s e < / R o u n d e d >  
     < / T B L i n k >  
     < T B L i n k >  
         < V e r s i o n > 4 < / V e r s i o n >  
         < C o l u m n F i l t e r s / >  
         < D A L i n k I D > a 6 1 7 8 4 d 4 - e f 1 8 - 4 9 8 6 - 9 6 3 b - 6 a d 3 a 5 0 0 7 1 b 8 < / D A L i n k I D >  
         < L i n k T y p e > 0 < / L i n k T y p e >  
         < P a r a m e t e r s / >  
         < I n c l u d e A l l I t e m s > f a l s e < / I n c l u d e A l l I t e m s >  
         < A c t i v e > t r u e < / A c t i v e >  
         < P r o t e c t e d L i n k > f a l s e < / P r o t e c t e d L i n k >  
         < N a m e > 2 8 1 0 1   T B   @   3 1 . 1 2 . 2 0 2 0   0 1 5 x 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 0 1 5 x < / A c c o u n t N u m b e r >  
         < R o u n d e d > f a l s e < / R o u n d e d >  
     < / T B L i n k >  
     < T B L i n k >  
         < V e r s i o n > 4 < / V e r s i o n >  
         < C o l u m n F i l t e r s / >  
         < D A L i n k I D > a 2 e c b 6 9 f - 4 f 4 f - 4 f b 5 - b 8 f 2 - 4 7 4 b e 1 1 b 1 d 2 2 < / D A L i n k I D >  
         < L i n k T y p e > 0 < / L i n k T y p e >  
         < P a r a m e t e r s / >  
         < I n c l u d e A l l I t e m s > f a l s e < / I n c l u d e A l l I t e m s >  
         < A c t i v e > t r u e < / A c t i v e >  
         < P r o t e c t e d L i n k > f a l s e < / P r o t e c t e d L i n k >  
         < N a m e > 2 8 1 0 1   T B   @   3 1 . 1 2 . 2 0 2 0   0 1 9 x 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 0 1 9 x < / A c c o u n t N u m b e r >  
         < R o u n d e d > f a l s e < / R o u n d e d >  
     < / T B L i n k >  
     < T B L i n k >  
         < V e r s i o n > 4 < / V e r s i o n >  
         < C o l u m n F i l t e r s / >  
         < D A L i n k I D > 7 c f e 1 1 8 7 - 9 b 5 a - 4 4 d 8 - 9 0 e 3 - 9 5 1 7 8 6 9 1 c 7 4 d < / D A L i n k I D >  
         < L i n k T y p e > 0 < / L i n k T y p e >  
         < P a r a m e t e r s / >  
         < I n c l u d e A l l I t e m s > f a l s e < / I n c l u d e A l l I t e m s >  
         < A c t i v e > t r u e < / A c t i v e >  
         < P r o t e c t e d L i n k > f a l s e < / P r o t e c t e d L i n k >  
         < N a m e > 2 8 1 0 1   T B   @   3 1 . 1 2 . 2 0 2 0   0 2 1 x   F i n a l < / N a m e >  
         < E n t i t y E n u m > 9 < / E n t i t y E n u m >  
         < I t e m O r d e r L i s t / >  
         < S e l e c t e d I t e m L i s t / >  
         < S e l e c t e d C o l u m n L i s t / >  
         < H a s V a l u e > t r u e < / H a s V a l u e >  
         < T B C h a r t I D > 3 0 0 1 4 7 8 6 4 3 4 0 0 0 0 0 4 9 4 < / T B C h a r t I D >  
         < C o n s o l i d a t e d C o m p a n y I D   x s i : n i l = " t r u e " / >  
         < T B D o c u m e n t I D > 3 0 0 1 4 7 8 6 4 3 4 0 0 0 0 0 0 9 9 < / T B D o c u m e n t I D >  
         < N u m e r i c V a l u e > 9 1 1 2 3 1 . 0 0 0 0 < / N u m e r i c V a l u e >  
         < V a l u e > 9 1 1 2 3 1 , 0 0 0 0 < / V a l u e >  
         < C h a r t T y p e > c t D e t a i l < / C h a r t T y p e >  
         < R e f e r e n c e > 2 8 1 0 1 < / R e f e r e n c e >  
         < T B D o c N a m e > T B   @   3 1 . 1 2 . 2 0 2 0 < / T B D o c N a m e >  
         < T B C h a r t N a m e > D e t a i l < / T B C h a r t N a m e >  
         < C o l u m n N a m e > F i n a l B a l a n c e < / C o l u m n N a m e >  
         < U s e r F r i e n d l y C o l u m n N a m e > F i n a l < / U s e r F r i e n d l y C o l u m n N a m e >  
         < A c c o u n t N u m b e r > 0 2 1 x < / A c c o u n t N u m b e r >  
         < R o u n d e d > f a l s e < / R o u n d e d >  
     < / T B L i n k >  
     < T B L i n k >  
         < V e r s i o n > 4 < / V e r s i o n >  
         < C o l u m n F i l t e r s / >  
         < D A L i n k I D > b a b e 6 d 1 6 - 9 9 9 3 - 4 b 5 a - 8 f b 1 - f 6 3 a 7 4 a 9 d 5 0 9 < / D A L i n k I D >  
         < L i n k T y p e > 0 < / L i n k T y p e >  
         < P a r a m e t e r s / >  
         < I n c l u d e A l l I t e m s > f a l s e < / I n c l u d e A l l I t e m s >  
         < A c t i v e > t r u e < / A c t i v e >  
         < P r o t e c t e d L i n k > f a l s e < / P r o t e c t e d L i n k >  
         < N a m e > 2 8 1 0 1   T B   @   3 1 . 1 2 . 2 0 2 0   0 2 2 x   F i n a l < / N a m e >  
         < E n t i t y E n u m > 9 < / E n t i t y E n u m >  
         < I t e m O r d e r L i s t / >  
         < S e l e c t e d I t e m L i s t / >  
         < S e l e c t e d C o l u m n L i s t / >  
         < H a s V a l u e > t r u e < / H a s V a l u e >  
         < T B C h a r t I D > 3 0 0 1 4 7 8 6 4 3 4 0 0 0 0 0 4 9 4 < / T B C h a r t I D >  
         < C o n s o l i d a t e d C o m p a n y I D   x s i : n i l = " t r u e " / >  
         < T B D o c u m e n t I D > 3 0 0 1 4 7 8 6 4 3 4 0 0 0 0 0 0 9 9 < / T B D o c u m e n t I D >  
         < N u m e r i c V a l u e > 5 2 7 5 4 0 7 . 0 0 0 0 < / N u m e r i c V a l u e >  
         < V a l u e > 5 2 7 5 4 0 7 , 0 0 0 0 < / V a l u e >  
         < C h a r t T y p e > c t D e t a i l < / C h a r t T y p e >  
         < R e f e r e n c e > 2 8 1 0 1 < / R e f e r e n c e >  
         < T B D o c N a m e > T B   @   3 1 . 1 2 . 2 0 2 0 < / T B D o c N a m e >  
         < T B C h a r t N a m e > D e t a i l < / T B C h a r t N a m e >  
         < C o l u m n N a m e > F i n a l B a l a n c e < / C o l u m n N a m e >  
         < U s e r F r i e n d l y C o l u m n N a m e > F i n a l < / U s e r F r i e n d l y C o l u m n N a m e >  
         < A c c o u n t N u m b e r > 0 2 2 x < / A c c o u n t N u m b e r >  
         < R o u n d e d > f a l s e < / R o u n d e d >  
     < / T B L i n k >  
     < T B L i n k >  
         < V e r s i o n > 4 < / V e r s i o n >  
         < C o l u m n F i l t e r s / >  
         < D A L i n k I D > 4 e 8 c f a 4 4 - 4 4 8 7 - 4 a 1 8 - 9 b 1 d - 1 2 1 7 d 1 4 9 9 8 4 1 < / D A L i n k I D >  
         < L i n k T y p e > 0 < / L i n k T y p e >  
         < P a r a m e t e r s / >  
         < I n c l u d e A l l I t e m s > f a l s e < / I n c l u d e A l l I t e m s >  
         < A c t i v e > t r u e < / A c t i v e >  
         < P r o t e c t e d L i n k > f a l s e < / P r o t e c t e d L i n k >  
         < N a m e > 2 8 1 0 1   T B   @   3 1 . 1 2 . 2 0 2 0   0 2 5 x 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 0 2 5 x < / A c c o u n t N u m b e r >  
         < R o u n d e d > f a l s e < / R o u n d e d >  
     < / T B L i n k >  
     < T B L i n k >  
         < V e r s i o n > 4 < / V e r s i o n >  
         < C o l u m n F i l t e r s / >  
         < D A L i n k I D > c 6 1 d 3 f e 6 - 6 4 7 4 - 4 f 4 7 - 8 4 d 4 - 2 9 3 2 1 5 2 1 c 2 0 9 < / D A L i n k I D >  
         < L i n k T y p e > 0 < / L i n k T y p e >  
         < P a r a m e t e r s / >  
         < I n c l u d e A l l I t e m s > f a l s e < / I n c l u d e A l l I t e m s >  
         < A c t i v e > t r u e < / A c t i v e >  
         < P r o t e c t e d L i n k > f a l s e < / P r o t e c t e d L i n k >  
         < N a m e > 2 8 1 0 1   T B   @   3 1 . 1 2 . 2 0 2 0   0 2 6 x 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 0 2 6 x < / A c c o u n t N u m b e r >  
         < R o u n d e d > f a l s e < / R o u n d e d >  
     < / T B L i n k >  
     < T B L i n k >  
         < V e r s i o n > 4 < / V e r s i o n >  
         < C o l u m n F i l t e r s / >  
         < D A L i n k I D > a 0 6 7 3 9 e 8 - 0 1 f 2 - 4 6 4 0 - a 2 d e - e 4 0 c 4 e 1 2 8 5 1 6 < / D A L i n k I D >  
         < L i n k T y p e > 0 < / L i n k T y p e >  
         < P a r a m e t e r s / >  
         < I n c l u d e A l l I t e m s > f a l s e < / I n c l u d e A l l I t e m s >  
         < A c t i v e > t r u e < / A c t i v e >  
         < P r o t e c t e d L i n k > f a l s e < / P r o t e c t e d L i n k >  
         < N a m e > 2 8 1 0 1   T B   @   3 1 . 1 2 . 2 0 2 0   0 2 9 x 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 0 2 9 x < / A c c o u n t N u m b e r >  
         < R o u n d e d > f a l s e < / R o u n d e d >  
     < / T B L i n k >  
     < T B L i n k >  
         < V e r s i o n > 4 < / V e r s i o n >  
         < C o l u m n F i l t e r s / >  
         < D A L i n k I D > 1 2 1 3 f a 4 a - 6 9 0 1 - 4 d a e - 8 5 1 d - 9 3 f 7 f 2 3 3 a 0 0 d < / D A L i n k I D >  
         < L i n k T y p e > 0 < / L i n k T y p e >  
         < P a r a m e t e r s / >  
         < I n c l u d e A l l I t e m s > f a l s e < / I n c l u d e A l l I t e m s >  
         < A c t i v e > t r u e < / A c t i v e >  
         < P r o t e c t e d L i n k > f a l s e < / P r o t e c t e d L i n k >  
         < N a m e > 2 8 1 0 1   T B   @   3 1 . 1 2 . 2 0 2 0   0 3 1 x   F i n a l < / N a m e >  
         < E n t i t y E n u m > 9 < / E n t i t y E n u m >  
         < I t e m O r d e r L i s t / >  
         < S e l e c t e d I t e m L i s t / >  
         < S e l e c t e d C o l u m n L i s t / >  
         < H a s V a l u e > t r u e < / H a s V a l u e >  
         < T B C h a r t I D > 3 0 0 1 4 7 8 6 4 3 4 0 0 0 0 0 4 9 4 < / T B C h a r t I D >  
         < C o n s o l i d a t e d C o m p a n y I D   x s i : n i l = " t r u e " / >  
         < T B D o c u m e n t I D > 3 0 0 1 4 7 8 6 4 3 4 0 0 0 0 0 0 9 9 < / T B D o c u m e n t I D >  
         < N u m e r i c V a l u e > 2 2 7 9 2 4 . 0 0 0 0 < / N u m e r i c V a l u e >  
         < V a l u e > 2 2 7 9 2 4 , 0 0 0 0 < / V a l u e >  
         < C h a r t T y p e > c t D e t a i l < / C h a r t T y p e >  
         < R e f e r e n c e > 2 8 1 0 1 < / R e f e r e n c e >  
         < T B D o c N a m e > T B   @   3 1 . 1 2 . 2 0 2 0 < / T B D o c N a m e >  
         < T B C h a r t N a m e > D e t a i l < / T B C h a r t N a m e >  
         < C o l u m n N a m e > F i n a l B a l a n c e < / C o l u m n N a m e >  
         < U s e r F r i e n d l y C o l u m n N a m e > F i n a l < / U s e r F r i e n d l y C o l u m n N a m e >  
         < A c c o u n t N u m b e r > 0 3 1 x < / A c c o u n t N u m b e r >  
         < R o u n d e d > f a l s e < / R o u n d e d >  
     < / T B L i n k >  
     < T B L i n k >  
         < V e r s i o n > 4 < / V e r s i o n >  
         < C o l u m n F i l t e r s / >  
         < D A L i n k I D > d c c 4 b 9 1 e - e 9 3 f - 4 5 7 2 - 9 1 d 1 - 2 4 9 f 1 4 b d 9 d c 3 < / D A L i n k I D >  
         < L i n k T y p e > 0 < / L i n k T y p e >  
         < P a r a m e t e r s / >  
         < I n c l u d e A l l I t e m s > f a l s e < / I n c l u d e A l l I t e m s >  
         < A c t i v e > t r u e < / A c t i v e >  
         < P r o t e c t e d L i n k > f a l s e < / P r o t e c t e d L i n k >  
         < N a m e > 2 8 1 0 1   T B   @   3 1 . 1 2 . 2 0 2 0   0 3 2 x 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 0 3 2 x < / A c c o u n t N u m b e r >  
         < R o u n d e d > f a l s e < / R o u n d e d >  
     < / T B L i n k >  
     < T B L i n k >  
         < V e r s i o n > 4 < / V e r s i o n >  
         < C o l u m n F i l t e r s / >  
         < D A L i n k I D > 8 b 6 4 f 0 6 2 - 6 2 5 f - 4 3 5 3 - 8 6 7 f - c a 3 f b 1 5 6 6 1 c d < / D A L i n k I D >  
         < L i n k T y p e > 0 < / L i n k T y p e >  
         < P a r a m e t e r s / >  
         < I n c l u d e A l l I t e m s > f a l s e < / I n c l u d e A l l I t e m s >  
         < A c t i v e > t r u e < / A c t i v e >  
         < P r o t e c t e d L i n k > f a l s e < / P r o t e c t e d L i n k >  
         < N a m e > 2 8 1 0 1   T B   @   3 1 . 1 2 . 2 0 2 0   0 4 1 x 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 0 4 1 x < / A c c o u n t N u m b e r >  
         < R o u n d e d > f a l s e < / R o u n d e d >  
     < / T B L i n k >  
     < T B L i n k >  
         < V e r s i o n > 4 < / V e r s i o n >  
         < C o l u m n F i l t e r s / >  
         < D A L i n k I D > 8 c 4 b 0 8 b 5 - e b 9 d - 4 b 5 3 - a c e a - 1 8 3 b 3 1 3 a 2 0 f 9 < / D A L i n k I D >  
         < L i n k T y p e > 0 < / L i n k T y p e >  
         < P a r a m e t e r s / >  
         < I n c l u d e A l l I t e m s > f a l s e < / I n c l u d e A l l I t e m s >  
         < A c t i v e > t r u e < / A c t i v e >  
         < P r o t e c t e d L i n k > f a l s e < / P r o t e c t e d L i n k >  
         < N a m e > 2 8 1 0 1   T B   @   3 1 . 1 2 . 2 0 2 0   0 4 2 x   F i n a l < / N a m e >  
         < E n t i t y E n u m > 9 < / E n t i t y E n u m >  
         < I t e m O r d e r L i s t / >  
         < S e l e c t e d I t e m L i s t / >  
         < S e l e c t e d C o l u m n L i s t / >  
         < H a s V a l u e > t r u e < / H a s V a l u e >  
         < T B C h a r t I D > 3 0 0 1 4 7 8 6 4 3 4 0 0 0 0 0 4 9 4 < / T B C h a r t I D >  
         < C o n s o l i d a t e d C o m p a n y I D   x s i : n i l = " t r u e " / >  
         < T B D o c u m e n t I D > 3 0 0 1 4 7 8 6 4 3 4 0 0 0 0 0 0 9 9 < / T B D o c u m e n t I D >  
         < N u m e r i c V a l u e > 4 4 8 4 0 0 . 0 0 0 0 < / N u m e r i c V a l u e >  
         < V a l u e > 4 4 8 4 0 0 , 0 0 0 0 < / V a l u e >  
         < C h a r t T y p e > c t D e t a i l < / C h a r t T y p e >  
         < R e f e r e n c e > 2 8 1 0 1 < / R e f e r e n c e >  
         < T B D o c N a m e > T B   @   3 1 . 1 2 . 2 0 2 0 < / T B D o c N a m e >  
         < T B C h a r t N a m e > D e t a i l < / T B C h a r t N a m e >  
         < C o l u m n N a m e > F i n a l B a l a n c e < / C o l u m n N a m e >  
         < U s e r F r i e n d l y C o l u m n N a m e > F i n a l < / U s e r F r i e n d l y C o l u m n N a m e >  
         < A c c o u n t N u m b e r > 0 4 2 x < / A c c o u n t N u m b e r >  
         < R o u n d e d > f a l s e < / R o u n d e d >  
     < / T B L i n k >  
     < T B L i n k >  
         < V e r s i o n > 4 < / V e r s i o n >  
         < C o l u m n F i l t e r s / >  
         < D A L i n k I D > f 9 9 b 2 f 3 9 - c 8 a 9 - 4 7 b 4 - a 2 9 5 - 2 f 0 1 e 0 d 7 e 4 f 1 < / D A L i n k I D >  
         < L i n k T y p e > 0 < / L i n k T y p e >  
         < P a r a m e t e r s / >  
         < I n c l u d e A l l I t e m s > f a l s e < / I n c l u d e A l l I t e m s >  
         < A c t i v e > t r u e < / A c t i v e >  
         < P r o t e c t e d L i n k > f a l s e < / P r o t e c t e d L i n k >  
         < N a m e > 2 8 1 0 1   T B   @   3 1 . 1 2 . 2 0 2 0   0 4 3 x 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 0 4 3 x < / A c c o u n t N u m b e r >  
         < R o u n d e d > f a l s e < / R o u n d e d >  
     < / T B L i n k >  
     < T B L i n k >  
         < V e r s i o n > 4 < / V e r s i o n >  
         < C o l u m n F i l t e r s / >  
         < D A L i n k I D > e 1 5 6 0 5 8 e - 2 3 7 b - 4 a 2 6 - b 8 1 6 - 3 4 1 7 4 3 d 8 0 c e f < / D A L i n k I D >  
         < L i n k T y p e > 0 < / L i n k T y p e >  
         < P a r a m e t e r s / >  
         < I n c l u d e A l l I t e m s > f a l s e < / I n c l u d e A l l I t e m s >  
         < A c t i v e > t r u e < / A c t i v e >  
         < P r o t e c t e d L i n k > f a l s e < / P r o t e c t e d L i n k >  
         < N a m e > 2 8 1 0 1   T B   @   3 1 . 1 2 . 2 0 2 0   0 5 1 x 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 0 5 1 x < / A c c o u n t N u m b e r >  
         < R o u n d e d > f a l s e < / R o u n d e d >  
     < / T B L i n k >  
     < T B L i n k >  
         < V e r s i o n > 4 < / V e r s i o n >  
         < C o l u m n F i l t e r s / >  
         < D A L i n k I D > a e f a 3 8 6 8 - 1 0 8 b - 4 7 9 b - 8 3 d 8 - b 1 f 5 6 3 2 2 6 a c d < / D A L i n k I D >  
         < L i n k T y p e > 0 < / L i n k T y p e >  
         < P a r a m e t e r s / >  
         < I n c l u d e A l l I t e m s > f a l s e < / I n c l u d e A l l I t e m s >  
         < A c t i v e > t r u e < / A c t i v e >  
         < P r o t e c t e d L i n k > f a l s e < / P r o t e c t e d L i n k >  
         < N a m e > 2 8 1 0 1   T B   @   3 1 . 1 2 . 2 0 2 0   0 5 2 x 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 0 5 2 x < / A c c o u n t N u m b e r >  
         < R o u n d e d > f a l s e < / R o u n d e d >  
     < / T B L i n k >  
     < T B L i n k >  
         < V e r s i o n > 4 < / V e r s i o n >  
         < C o l u m n F i l t e r s / >  
         < D A L i n k I D > d e f 3 9 0 b 7 - e 2 6 1 - 4 6 6 c - b c 1 c - 8 0 4 6 f 0 9 9 9 d 4 c < / D A L i n k I D >  
         < L i n k T y p e > 0 < / L i n k T y p e >  
         < P a r a m e t e r s / >  
         < I n c l u d e A l l I t e m s > f a l s e < / I n c l u d e A l l I t e m s >  
         < A c t i v e > t r u e < / A c t i v e >  
         < P r o t e c t e d L i n k > f a l s e < / P r o t e c t e d L i n k >  
         < N a m e > 2 8 1 0 1   T B   @   3 1 . 1 2 . 2 0 2 0   0 5 3 x 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 0 5 3 x < / A c c o u n t N u m b e r >  
         < R o u n d e d > f a l s e < / R o u n d e d >  
     < / T B L i n k >  
     < T B L i n k >  
         < V e r s i o n > 4 < / V e r s i o n >  
         < C o l u m n F i l t e r s / >  
         < D A L i n k I D > d 3 6 4 6 4 c c - b f 0 b - 4 e 7 8 - 9 8 b a - a f 5 2 a 9 9 b a 7 1 2 < / D A L i n k I D >  
         < L i n k T y p e > 0 < / L i n k T y p e >  
         < P a r a m e t e r s / >  
         < I n c l u d e A l l I t e m s > f a l s e < / I n c l u d e A l l I t e m s >  
         < A c t i v e > t r u e < / A c t i v e >  
         < P r o t e c t e d L i n k > f a l s e < / P r o t e c t e d L i n k >  
         < N a m e > 2 8 1 0 1   T B   @   3 1 . 1 2 . 2 0 2 0   0 6 1 x   F i n a l < / N a m e >  
         < E n t i t y E n u m > 9 < / E n t i t y E n u m >  
         < I t e m O r d e r L i s t / >  
         < S e l e c t e d I t e m L i s t / >  
         < S e l e c t e d C o l u m n L i s t / >  
         < H a s V a l u e > t r u e < / H a s V a l u e >  
         < T B C h a r t I D > 3 0 0 1 4 7 8 6 4 3 4 0 0 0 0 0 4 9 4 < / T B C h a r t I D >  
         < C o n s o l i d a t e d C o m p a n y I D   x s i : n i l = " t r u e " / >  
         < T B D o c u m e n t I D > 3 0 0 1 4 7 8 6 4 3 4 0 0 0 0 0 0 9 9 < / T B D o c u m e n t I D >  
         < N u m e r i c V a l u e > 5 0 0 0 . 0 0 0 0 < / N u m e r i c V a l u e >  
         < V a l u e > 5 0 0 0 , 0 0 0 0 < / V a l u e >  
         < C h a r t T y p e > c t D e t a i l < / C h a r t T y p e >  
         < R e f e r e n c e > 2 8 1 0 1 < / R e f e r e n c e >  
         < T B D o c N a m e > T B   @   3 1 . 1 2 . 2 0 2 0 < / T B D o c N a m e >  
         < T B C h a r t N a m e > D e t a i l < / T B C h a r t N a m e >  
         < C o l u m n N a m e > F i n a l B a l a n c e < / C o l u m n N a m e >  
         < U s e r F r i e n d l y C o l u m n N a m e > F i n a l < / U s e r F r i e n d l y C o l u m n N a m e >  
         < A c c o u n t N u m b e r > 0 6 1 x < / A c c o u n t N u m b e r >  
         < R o u n d e d > f a l s e < / R o u n d e d >  
     < / T B L i n k >  
     < T B L i n k >  
         < V e r s i o n > 4 < / V e r s i o n >  
         < C o l u m n F i l t e r s / >  
         < D A L i n k I D > f a b 9 0 9 8 e - d c 7 a - 4 c 6 8 - b 0 7 0 - 2 b 5 5 3 3 2 b 3 8 d d < / D A L i n k I D >  
         < L i n k T y p e > 0 < / L i n k T y p e >  
         < P a r a m e t e r s / >  
         < I n c l u d e A l l I t e m s > f a l s e < / I n c l u d e A l l I t e m s >  
         < A c t i v e > t r u e < / A c t i v e >  
         < P r o t e c t e d L i n k > f a l s e < / P r o t e c t e d L i n k >  
         < N a m e > 2 8 1 0 1   T B   @   3 1 . 1 2 . 2 0 2 0   0 6 2 a 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 0 6 2 a < / A c c o u n t N u m b e r >  
         < R o u n d e d > f a l s e < / R o u n d e d >  
     < / T B L i n k >  
     < T B L i n k >  
         < V e r s i o n > 4 < / V e r s i o n >  
         < C o l u m n F i l t e r s / >  
         < D A L i n k I D > d 2 8 c 9 4 e 0 - 5 2 5 d - 4 1 7 8 - 8 b 3 3 - b b f e 2 0 6 4 1 a 0 0 < / D A L i n k I D >  
         < L i n k T y p e > 0 < / L i n k T y p e >  
         < P a r a m e t e r s / >  
         < I n c l u d e A l l I t e m s > f a l s e < / I n c l u d e A l l I t e m s >  
         < A c t i v e > t r u e < / A c t i v e >  
         < P r o t e c t e d L i n k > f a l s e < / P r o t e c t e d L i n k >  
         < N a m e > 2 8 1 0 1   T B   @   3 1 . 1 2 . 2 0 2 0   0 6 2 b   F i n a l < / N a m e >  
         < E n t i t y E n u m > 9 < / E n t i t y E n u m >  
         < I t e m O r d e r L i s t / >  
         < S e l e c t e d I t e m L i s t / >  
         < S e l e c t e d C o l u m n L i s t / >  
         < H a s V a l u e > t r u e < / H a s V a l u e >  
         < T B C h a r t I D > 3 0 0 1 4 7 8 6 4 3 4 0 0 0 0 0 4 9 4 < / T B C h a r t I D >  
         < C o n s o l i d a t e d C o m p a n y I D   x s i : n i l = " t r u e " / >  
         < T B D o c u m e n t I D > 3 0 0 1 4 7 8 6 4 3 4 0 0 0 0 0 0 9 9 < / T B D o c u m e n t I D >  
         < N u m e r i c V a l u e > 1 7 0 0 . 0 0 0 0 < / N u m e r i c V a l u e >  
         < V a l u e > 1 7 0 0 , 0 0 0 0 < / V a l u e >  
         < C h a r t T y p e > c t D e t a i l < / C h a r t T y p e >  
         < R e f e r e n c e > 2 8 1 0 1 < / R e f e r e n c e >  
         < T B D o c N a m e > T B   @   3 1 . 1 2 . 2 0 2 0 < / T B D o c N a m e >  
         < T B C h a r t N a m e > D e t a i l < / T B C h a r t N a m e >  
         < C o l u m n N a m e > F i n a l B a l a n c e < / C o l u m n N a m e >  
         < U s e r F r i e n d l y C o l u m n N a m e > F i n a l < / U s e r F r i e n d l y C o l u m n N a m e >  
         < A c c o u n t N u m b e r > 0 6 2 b < / A c c o u n t N u m b e r >  
         < R o u n d e d > f a l s e < / R o u n d e d >  
     < / T B L i n k >  
     < T B L i n k >  
         < V e r s i o n > 4 < / V e r s i o n >  
         < C o l u m n F i l t e r s / >  
         < D A L i n k I D > 5 b 5 f 4 8 f 6 - 8 6 2 5 - 4 2 3 5 - 9 8 d 1 - 5 d a 0 3 3 c 1 5 f 7 6 < / D A L i n k I D >  
         < L i n k T y p e > 0 < / L i n k T y p e >  
         < P a r a m e t e r s / >  
         < I n c l u d e A l l I t e m s > f a l s e < / I n c l u d e A l l I t e m s >  
         < A c t i v e > t r u e < / A c t i v e >  
         < P r o t e c t e d L i n k > f a l s e < / P r o t e c t e d L i n k >  
         < N a m e > 2 8 1 0 1   T B   @   3 1 . 1 2 . 2 0 2 0   0 6 3 a 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 0 6 3 a < / A c c o u n t N u m b e r >  
         < R o u n d e d > f a l s e < / R o u n d e d >  
     < / T B L i n k >  
     < T B L i n k >  
         < V e r s i o n > 4 < / V e r s i o n >  
         < C o l u m n F i l t e r s / >  
         < D A L i n k I D > 6 4 e 4 0 2 b 0 - 8 f 3 f - 4 2 4 9 - 8 1 d 7 - 5 4 7 1 b 5 d 7 f f 0 9 < / D A L i n k I D >  
         < L i n k T y p e > 0 < / L i n k T y p e >  
         < P a r a m e t e r s / >  
         < I n c l u d e A l l I t e m s > f a l s e < / I n c l u d e A l l I t e m s >  
         < A c t i v e > t r u e < / A c t i v e >  
         < P r o t e c t e d L i n k > f a l s e < / P r o t e c t e d L i n k >  
         < N a m e > 2 8 1 0 1   T B   @   3 1 . 1 2 . 2 0 2 0   0 6 3 b   F i n a l < / N a m e >  
         < E n t i t y E n u m > 9 < / E n t i t y E n u m >  
         < I t e m O r d e r L i s t / >  
         < S e l e c t e d I t e m L i s t / >  
         < S e l e c t e d C o l u m n L i s t / >  
         < H a s V a l u e > t r u e < / H a s V a l u e >  
         < T B C h a r t I D > 3 0 0 1 4 7 8 6 4 3 4 0 0 0 0 0 4 9 4 < / T B C h a r t I D >  
         < C o n s o l i d a t e d C o m p a n y I D   x s i : n i l = " t r u e " / >  
         < T B D o c u m e n t I D > 3 0 0 1 4 7 8 6 4 3 4 0 0 0 0 0 0 9 9 < / T B D o c u m e n t I D >  
         < N u m e r i c V a l u e > 1 9 4 0 0 0 0 . 0 0 0 0 < / N u m e r i c V a l u e >  
         < V a l u e > 1 9 4 0 0 0 0 , 0 0 0 0 < / V a l u e >  
         < C h a r t T y p e > c t D e t a i l < / C h a r t T y p e >  
         < R e f e r e n c e > 2 8 1 0 1 < / R e f e r e n c e >  
         < T B D o c N a m e > T B   @   3 1 . 1 2 . 2 0 2 0 < / T B D o c N a m e >  
         < T B C h a r t N a m e > D e t a i l < / T B C h a r t N a m e >  
         < C o l u m n N a m e > F i n a l B a l a n c e < / C o l u m n N a m e >  
         < U s e r F r i e n d l y C o l u m n N a m e > F i n a l < / U s e r F r i e n d l y C o l u m n N a m e >  
         < A c c o u n t N u m b e r > 0 6 3 b < / A c c o u n t N u m b e r >  
         < R o u n d e d > f a l s e < / R o u n d e d >  
     < / T B L i n k >  
     < T B L i n k >  
         < V e r s i o n > 4 < / V e r s i o n >  
         < C o l u m n F i l t e r s / >  
         < D A L i n k I D > e 8 a c 9 b 2 5 - c b 6 0 - 4 a f 0 - a c 3 1 - 9 a b 7 0 f 7 4 f 0 c b < / D A L i n k I D >  
         < L i n k T y p e > 0 < / L i n k T y p e >  
         < P a r a m e t e r s / >  
         < I n c l u d e A l l I t e m s > f a l s e < / I n c l u d e A l l I t e m s >  
         < A c t i v e > t r u e < / A c t i v e >  
         < P r o t e c t e d L i n k > f a l s e < / P r o t e c t e d L i n k >  
         < N a m e > 2 8 1 0 1   T B   @   3 1 . 1 2 . 2 0 2 0   0 6 5 x 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 0 6 5 x < / A c c o u n t N u m b e r >  
         < R o u n d e d > f a l s e < / R o u n d e d >  
     < / T B L i n k >  
     < T B L i n k >  
         < V e r s i o n > 4 < / V e r s i o n >  
         < C o l u m n F i l t e r s / >  
         < D A L i n k I D > f c 4 6 2 d 9 e - 2 d e b - 4 7 3 f - b 1 c 4 - 3 e 7 7 7 2 9 0 d 1 6 5 < / D A L i n k I D >  
         < L i n k T y p e > 0 < / L i n k T y p e >  
         < P a r a m e t e r s / >  
         < I n c l u d e A l l I t e m s > f a l s e < / I n c l u d e A l l I t e m s >  
         < A c t i v e > t r u e < / A c t i v e >  
         < P r o t e c t e d L i n k > f a l s e < / P r o t e c t e d L i n k >  
         < N a m e > 2 8 1 0 1   T B   @   3 1 . 1 2 . 2 0 2 0   0 6 6 a 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 0 6 6 a < / A c c o u n t N u m b e r >  
         < R o u n d e d > f a l s e < / R o u n d e d >  
     < / T B L i n k >  
     < T B L i n k >  
         < V e r s i o n > 4 < / V e r s i o n >  
         < C o l u m n F i l t e r s / >  
         < D A L i n k I D > c 3 a 3 d 9 c 4 - 0 9 e 4 - 4 2 f 3 - 8 b 8 0 - 7 2 a 4 f 1 5 a 1 a 8 7 < / D A L i n k I D >  
         < L i n k T y p e > 0 < / L i n k T y p e >  
         < P a r a m e t e r s / >  
         < I n c l u d e A l l I t e m s > f a l s e < / I n c l u d e A l l I t e m s >  
         < A c t i v e > t r u e < / A c t i v e >  
         < P r o t e c t e d L i n k > f a l s e < / P r o t e c t e d L i n k >  
         < N a m e > 2 8 1 0 1   T B   @   3 1 . 1 2 . 2 0 2 0   0 6 6 b 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 0 6 6 b < / A c c o u n t N u m b e r >  
         < R o u n d e d > f a l s e < / R o u n d e d >  
     < / T B L i n k >  
     < T B L i n k >  
         < V e r s i o n > 4 < / V e r s i o n >  
         < C o l u m n F i l t e r s / >  
         < D A L i n k I D > 8 1 b 3 7 5 5 c - f 4 4 f - 4 1 9 d - b e 7 5 - 3 6 b e 0 b d a f 4 0 e < / D A L i n k I D >  
         < L i n k T y p e > 0 < / L i n k T y p e >  
         < P a r a m e t e r s / >  
         < I n c l u d e A l l I t e m s > f a l s e < / I n c l u d e A l l I t e m s >  
         < A c t i v e > t r u e < / A c t i v e >  
         < P r o t e c t e d L i n k > f a l s e < / P r o t e c t e d L i n k >  
         < N a m e > 2 8 1 0 1   T B   @   3 1 . 1 2 . 2 0 2 0   0 6 6 c 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 0 6 6 c < / A c c o u n t N u m b e r >  
         < R o u n d e d > f a l s e < / R o u n d e d >  
     < / T B L i n k >  
     < T B L i n k >  
         < V e r s i o n > 4 < / V e r s i o n >  
         < C o l u m n F i l t e r s / >  
         < D A L i n k I D > a 5 8 d 1 f 4 d - a 8 5 1 - 4 f c e - 8 f 1 b - 6 6 5 6 4 e 8 b 7 a a 5 < / D A L i n k I D >  
         < L i n k T y p e > 0 < / L i n k T y p e >  
         < P a r a m e t e r s / >  
         < I n c l u d e A l l I t e m s > f a l s e < / I n c l u d e A l l I t e m s >  
         < A c t i v e > t r u e < / A c t i v e >  
         < P r o t e c t e d L i n k > f a l s e < / P r o t e c t e d L i n k >  
         < N a m e > 2 8 1 0 1   T B   @   3 1 . 1 2 . 2 0 2 0   0 6 7 a 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 0 6 7 a < / A c c o u n t N u m b e r >  
         < R o u n d e d > f a l s e < / R o u n d e d >  
     < / T B L i n k >  
     < T B L i n k >  
         < V e r s i o n > 4 < / V e r s i o n >  
         < C o l u m n F i l t e r s / >  
         < D A L i n k I D > e 8 1 b f 5 1 a - 0 d 3 4 - 4 e 9 1 - a d 7 9 - 9 0 a 9 e 5 f 8 8 2 4 c < / D A L i n k I D >  
         < L i n k T y p e > 0 < / L i n k T y p e >  
         < P a r a m e t e r s / >  
         < I n c l u d e A l l I t e m s > f a l s e < / I n c l u d e A l l I t e m s >  
         < A c t i v e > t r u e < / A c t i v e >  
         < P r o t e c t e d L i n k > f a l s e < / P r o t e c t e d L i n k >  
         < N a m e > 2 8 1 0 1   T B   @   3 1 . 1 2 . 2 0 2 0   0 6 7 b 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 0 6 7 b < / A c c o u n t N u m b e r >  
         < R o u n d e d > f a l s e < / R o u n d e d >  
     < / T B L i n k >  
     < T B L i n k >  
         < V e r s i o n > 4 < / V e r s i o n >  
         < C o l u m n F i l t e r s / >  
         < D A L i n k I D > 7 8 e c 0 7 9 4 - d 2 9 0 - 4 b 8 6 - 8 c 2 0 - e 3 9 9 5 f e 5 f e 0 9 < / D A L i n k I D >  
         < L i n k T y p e > 0 < / L i n k T y p e >  
         < P a r a m e t e r s / >  
         < I n c l u d e A l l I t e m s > f a l s e < / I n c l u d e A l l I t e m s >  
         < A c t i v e > t r u e < / A c t i v e >  
         < P r o t e c t e d L i n k > f a l s e < / P r o t e c t e d L i n k >  
         < N a m e > 2 8 1 0 1   T B   @   3 1 . 1 2 . 2 0 2 0   0 6 9 a 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 0 6 9 a < / A c c o u n t N u m b e r >  
         < R o u n d e d > f a l s e < / R o u n d e d >  
     < / T B L i n k >  
     < T B L i n k >  
         < V e r s i o n > 4 < / V e r s i o n >  
         < C o l u m n F i l t e r s / >  
         < D A L i n k I D > 3 3 5 a b 2 c b - a c 4 9 - 4 3 c f - b 2 a f - 0 a b c 3 5 4 f f d 6 4 < / D A L i n k I D >  
         < L i n k T y p e > 0 < / L i n k T y p e >  
         < P a r a m e t e r s / >  
         < I n c l u d e A l l I t e m s > f a l s e < / I n c l u d e A l l I t e m s >  
         < A c t i v e > t r u e < / A c t i v e >  
         < P r o t e c t e d L i n k > f a l s e < / P r o t e c t e d L i n k >  
         < N a m e > 2 8 1 0 1   T B   @   3 1 . 1 2 . 2 0 2 0   0 6 9 b 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 0 6 9 b < / A c c o u n t N u m b e r >  
         < R o u n d e d > f a l s e < / R o u n d e d >  
     < / T B L i n k >  
     < T B L i n k >  
         < V e r s i o n > 4 < / V e r s i o n >  
         < C o l u m n F i l t e r s / >  
         < D A L i n k I D > 4 8 d 7 0 5 1 2 - 8 5 e b - 4 7 4 4 - 9 e c b - e 0 e 5 0 7 2 8 d 3 b 0 < / D A L i n k I D >  
         < L i n k T y p e > 0 < / L i n k T y p e >  
         < P a r a m e t e r s / >  
         < I n c l u d e A l l I t e m s > f a l s e < / I n c l u d e A l l I t e m s >  
         < A c t i v e > t r u e < / A c t i v e >  
         < P r o t e c t e d L i n k > f a l s e < / P r o t e c t e d L i n k >  
         < N a m e > 2 8 1 0 1   T B   @   3 1 . 1 2 . 2 0 2 0   0 7 2 x 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 0 7 2 x < / A c c o u n t N u m b e r >  
         < R o u n d e d > f a l s e < / R o u n d e d >  
     < / T B L i n k >  
     < T B L i n k >  
         < V e r s i o n > 4 < / V e r s i o n >  
         < C o l u m n F i l t e r s / >  
         < D A L i n k I D > 5 b 5 a 9 d f 5 - 3 3 f 0 - 4 0 7 b - a 8 4 7 - 6 2 1 1 4 5 1 a 2 f c 1 < / D A L i n k I D >  
         < L i n k T y p e > 0 < / L i n k T y p e >  
         < P a r a m e t e r s / >  
         < I n c l u d e A l l I t e m s > f a l s e < / I n c l u d e A l l I t e m s >  
         < A c t i v e > t r u e < / A c t i v e >  
         < P r o t e c t e d L i n k > f a l s e < / P r o t e c t e d L i n k >  
         < N a m e > 2 8 1 0 1   T B   @   3 1 . 1 2 . 2 0 2 0   0 7 3 x   F i n a l < / N a m e >  
         < E n t i t y E n u m > 9 < / E n t i t y E n u m >  
         < I t e m O r d e r L i s t / >  
         < S e l e c t e d I t e m L i s t / >  
         < S e l e c t e d C o l u m n L i s t / >  
         < H a s V a l u e > t r u e < / H a s V a l u e >  
         < T B C h a r t I D > 3 0 0 1 4 7 8 6 4 3 4 0 0 0 0 0 4 9 4 < / T B C h a r t I D >  
         < C o n s o l i d a t e d C o m p a n y I D   x s i : n i l = " t r u e " / >  
         < T B D o c u m e n t I D > 3 0 0 1 4 7 8 6 4 3 4 0 0 0 0 0 0 9 9 < / T B D o c u m e n t I D >  
         < N u m e r i c V a l u e > - 1 1 5 9 8 0 . 0 0 0 0 < / N u m e r i c V a l u e >  
         < V a l u e > - 1 1 5 9 8 0 , 0 0 0 0 < / V a l u e >  
         < C h a r t T y p e > c t D e t a i l < / C h a r t T y p e >  
         < R e f e r e n c e > 2 8 1 0 1 < / R e f e r e n c e >  
         < T B D o c N a m e > T B   @   3 1 . 1 2 . 2 0 2 0 < / T B D o c N a m e >  
         < T B C h a r t N a m e > D e t a i l < / T B C h a r t N a m e >  
         < C o l u m n N a m e > F i n a l B a l a n c e < / C o l u m n N a m e >  
         < U s e r F r i e n d l y C o l u m n N a m e > F i n a l < / U s e r F r i e n d l y C o l u m n N a m e >  
         < A c c o u n t N u m b e r > 0 7 3 x < / A c c o u n t N u m b e r >  
         < R o u n d e d > f a l s e < / R o u n d e d >  
     < / T B L i n k >  
     < T B L i n k >  
         < V e r s i o n > 4 < / V e r s i o n >  
         < C o l u m n F i l t e r s / >  
         < D A L i n k I D > f c c 0 6 1 b 2 - 8 b a d - 4 2 8 2 - 9 f d 5 - f c 9 8 7 4 0 f c 2 4 9 < / D A L i n k I D >  
         < L i n k T y p e > 0 < / L i n k T y p e >  
         < P a r a m e t e r s / >  
         < I n c l u d e A l l I t e m s > f a l s e < / I n c l u d e A l l I t e m s >  
         < A c t i v e > t r u e < / A c t i v e >  
         < P r o t e c t e d L i n k > f a l s e < / P r o t e c t e d L i n k >  
         < N a m e > 2 8 1 0 1   T B   @   3 1 . 1 2 . 2 0 2 0   0 7 4 x   F i n a l < / N a m e >  
         < E n t i t y E n u m > 9 < / E n t i t y E n u m >  
         < I t e m O r d e r L i s t / >  
         < S e l e c t e d I t e m L i s t / >  
         < S e l e c t e d C o l u m n L i s t / >  
         < H a s V a l u e > t r u e < / H a s V a l u e >  
         < T B C h a r t I D > 3 0 0 1 4 7 8 6 4 3 4 0 0 0 0 0 4 9 4 < / T B C h a r t I D >  
         < C o n s o l i d a t e d C o m p a n y I D   x s i : n i l = " t r u e " / >  
         < T B D o c u m e n t I D > 3 0 0 1 4 7 8 6 4 3 4 0 0 0 0 0 0 9 9 < / T B D o c u m e n t I D >  
         < N u m e r i c V a l u e > - 8 1 3 3 4 . 0 0 0 0 < / N u m e r i c V a l u e >  
         < V a l u e > - 8 1 3 3 4 , 0 0 0 0 < / V a l u e >  
         < C h a r t T y p e > c t D e t a i l < / C h a r t T y p e >  
         < R e f e r e n c e > 2 8 1 0 1 < / R e f e r e n c e >  
         < T B D o c N a m e > T B   @   3 1 . 1 2 . 2 0 2 0 < / T B D o c N a m e >  
         < T B C h a r t N a m e > D e t a i l < / T B C h a r t N a m e >  
         < C o l u m n N a m e > F i n a l B a l a n c e < / C o l u m n N a m e >  
         < U s e r F r i e n d l y C o l u m n N a m e > F i n a l < / U s e r F r i e n d l y C o l u m n N a m e >  
         < A c c o u n t N u m b e r > 0 7 4 x < / A c c o u n t N u m b e r >  
         < R o u n d e d > f a l s e < / R o u n d e d >  
     < / T B L i n k >  
     < T B L i n k >  
         < V e r s i o n > 4 < / V e r s i o n >  
         < C o l u m n F i l t e r s / >  
         < D A L i n k I D > 6 c 8 5 c 5 7 b - d 7 f e - 4 8 d 0 - a 2 f 4 - c 0 c 0 1 7 4 3 0 4 c 7 < / D A L i n k I D >  
         < L i n k T y p e > 0 < / L i n k T y p e >  
         < P a r a m e t e r s / >  
         < I n c l u d e A l l I t e m s > f a l s e < / I n c l u d e A l l I t e m s >  
         < A c t i v e > t r u e < / A c t i v e >  
         < P r o t e c t e d L i n k > f a l s e < / P r o t e c t e d L i n k >  
         < N a m e > 2 8 1 0 1   T B   @   3 1 . 1 2 . 2 0 2 0   0 7 5 x 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 0 7 5 x < / A c c o u n t N u m b e r >  
         < R o u n d e d > f a l s e < / R o u n d e d >  
     < / T B L i n k >  
     < T B L i n k >  
         < V e r s i o n > 4 < / V e r s i o n >  
         < C o l u m n F i l t e r s / >  
         < D A L i n k I D > 4 7 1 7 1 5 7 4 - f 7 9 e - 4 1 0 6 - a c 1 1 - 5 3 6 9 1 c d 0 0 1 2 8 < / D A L i n k I D >  
         < L i n k T y p e > 0 < / L i n k T y p e >  
         < P a r a m e t e r s / >  
         < I n c l u d e A l l I t e m s > f a l s e < / I n c l u d e A l l I t e m s >  
         < A c t i v e > t r u e < / A c t i v e >  
         < P r o t e c t e d L i n k > f a l s e < / P r o t e c t e d L i n k >  
         < N a m e > 2 8 1 0 1   T B   @   3 1 . 1 2 . 2 0 2 0   0 7 9 x 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 0 7 9 x < / A c c o u n t N u m b e r >  
         < R o u n d e d > f a l s e < / R o u n d e d >  
     < / T B L i n k >  
     < T B L i n k >  
         < V e r s i o n > 4 < / V e r s i o n >  
         < C o l u m n F i l t e r s / >  
         < D A L i n k I D > e d c 2 c 7 d 9 - 0 5 f 8 - 4 e 8 d - 9 7 e d - 7 d 8 7 3 b d 3 f d b 4 < / D A L i n k I D >  
         < L i n k T y p e > 0 < / L i n k T y p e >  
         < P a r a m e t e r s / >  
         < I n c l u d e A l l I t e m s > f a l s e < / I n c l u d e A l l I t e m s >  
         < A c t i v e > t r u e < / A c t i v e >  
         < P r o t e c t e d L i n k > f a l s e < / P r o t e c t e d L i n k >  
         < N a m e > 2 8 1 0 1   T B   @   3 1 . 1 2 . 2 0 2 0   0 8 1 x   F i n a l < / N a m e >  
         < E n t i t y E n u m > 9 < / E n t i t y E n u m >  
         < I t e m O r d e r L i s t / >  
         < S e l e c t e d I t e m L i s t / >  
         < S e l e c t e d C o l u m n L i s t / >  
         < H a s V a l u e > t r u e < / H a s V a l u e >  
         < T B C h a r t I D > 3 0 0 1 4 7 8 6 4 3 4 0 0 0 0 0 4 9 4 < / T B C h a r t I D >  
         < C o n s o l i d a t e d C o m p a n y I D   x s i : n i l = " t r u e " / >  
         < T B D o c u m e n t I D > 3 0 0 1 4 7 8 6 4 3 4 0 0 0 0 0 0 9 9 < / T B D o c u m e n t I D >  
         < N u m e r i c V a l u e > - 4 8 8 8 1 7 . 0 0 0 0 < / N u m e r i c V a l u e >  
         < V a l u e > - 4 8 8 8 1 7 , 0 0 0 0 < / V a l u e >  
         < C h a r t T y p e > c t D e t a i l < / C h a r t T y p e >  
         < R e f e r e n c e > 2 8 1 0 1 < / R e f e r e n c e >  
         < T B D o c N a m e > T B   @   3 1 . 1 2 . 2 0 2 0 < / T B D o c N a m e >  
         < T B C h a r t N a m e > D e t a i l < / T B C h a r t N a m e >  
         < C o l u m n N a m e > F i n a l B a l a n c e < / C o l u m n N a m e >  
         < U s e r F r i e n d l y C o l u m n N a m e > F i n a l < / U s e r F r i e n d l y C o l u m n N a m e >  
         < A c c o u n t N u m b e r > 0 8 1 x < / A c c o u n t N u m b e r >  
         < R o u n d e d > f a l s e < / R o u n d e d >  
     < / T B L i n k >  
     < T B L i n k >  
         < V e r s i o n > 4 < / V e r s i o n >  
         < C o l u m n F i l t e r s / >  
         < D A L i n k I D > a 0 0 5 5 0 b 3 - 6 1 c 1 - 4 a 9 a - 9 5 1 0 - 1 8 4 5 1 6 7 3 5 5 8 c < / D A L i n k I D >  
         < L i n k T y p e > 0 < / L i n k T y p e >  
         < P a r a m e t e r s / >  
         < I n c l u d e A l l I t e m s > f a l s e < / I n c l u d e A l l I t e m s >  
         < A c t i v e > t r u e < / A c t i v e >  
         < P r o t e c t e d L i n k > f a l s e < / P r o t e c t e d L i n k >  
         < N a m e > 2 8 1 0 1   T B   @   3 1 . 1 2 . 2 0 2 0   0 8 2 x   F i n a l < / N a m e >  
         < E n t i t y E n u m > 9 < / E n t i t y E n u m >  
         < I t e m O r d e r L i s t / >  
         < S e l e c t e d I t e m L i s t / >  
         < S e l e c t e d C o l u m n L i s t / >  
         < H a s V a l u e > t r u e < / H a s V a l u e >  
         < T B C h a r t I D > 3 0 0 1 4 7 8 6 4 3 4 0 0 0 0 0 4 9 4 < / T B C h a r t I D >  
         < C o n s o l i d a t e d C o m p a n y I D   x s i : n i l = " t r u e " / >  
         < T B D o c u m e n t I D > 3 0 0 1 4 7 8 6 4 3 4 0 0 0 0 0 0 9 9 < / T B D o c u m e n t I D >  
         < N u m e r i c V a l u e > - 3 1 1 1 4 7 0 . 0 0 0 0 < / N u m e r i c V a l u e >  
         < V a l u e > - 3 1 1 1 4 7 0 , 0 0 0 0 < / V a l u e >  
         < C h a r t T y p e > c t D e t a i l < / C h a r t T y p e >  
         < R e f e r e n c e > 2 8 1 0 1 < / R e f e r e n c e >  
         < T B D o c N a m e > T B   @   3 1 . 1 2 . 2 0 2 0 < / T B D o c N a m e >  
         < T B C h a r t N a m e > D e t a i l < / T B C h a r t N a m e >  
         < C o l u m n N a m e > F i n a l B a l a n c e < / C o l u m n N a m e >  
         < U s e r F r i e n d l y C o l u m n N a m e > F i n a l < / U s e r F r i e n d l y C o l u m n N a m e >  
         < A c c o u n t N u m b e r > 0 8 2 x < / A c c o u n t N u m b e r >  
         < R o u n d e d > f a l s e < / R o u n d e d >  
     < / T B L i n k >  
     < T B L i n k >  
         < V e r s i o n > 4 < / V e r s i o n >  
         < C o l u m n F i l t e r s / >  
         < D A L i n k I D > 5 4 9 a e c b 1 - 1 d 3 5 - 4 c 4 f - 8 b e f - 5 7 3 f 5 4 d 0 0 3 e 9 < / D A L i n k I D >  
         < L i n k T y p e > 0 < / L i n k T y p e >  
         < P a r a m e t e r s / >  
         < I n c l u d e A l l I t e m s > f a l s e < / I n c l u d e A l l I t e m s >  
         < A c t i v e > t r u e < / A c t i v e >  
         < P r o t e c t e d L i n k > f a l s e < / P r o t e c t e d L i n k >  
         < N a m e > 2 8 1 0 1   T B   @   3 1 . 1 2 . 2 0 2 0   0 8 5 x 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 0 8 5 x < / A c c o u n t N u m b e r >  
         < R o u n d e d > f a l s e < / R o u n d e d >  
     < / T B L i n k >  
     < T B L i n k >  
         < V e r s i o n > 4 < / V e r s i o n >  
         < C o l u m n F i l t e r s / >  
         < D A L i n k I D > 6 6 b 3 5 c 0 d - f 1 6 6 - 4 7 d 8 - b 9 6 5 - 4 6 2 d 9 a c 2 8 1 c 8 < / D A L i n k I D >  
         < L i n k T y p e > 0 < / L i n k T y p e >  
         < P a r a m e t e r s / >  
         < I n c l u d e A l l I t e m s > f a l s e < / I n c l u d e A l l I t e m s >  
         < A c t i v e > t r u e < / A c t i v e >  
         < P r o t e c t e d L i n k > f a l s e < / P r o t e c t e d L i n k >  
         < N a m e > 2 8 1 0 1   T B   @   3 1 . 1 2 . 2 0 2 0   0 8 6 x 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 0 8 6 x < / A c c o u n t N u m b e r >  
         < R o u n d e d > f a l s e < / R o u n d e d >  
     < / T B L i n k >  
     < T B L i n k >  
         < V e r s i o n > 4 < / V e r s i o n >  
         < C o l u m n F i l t e r s / >  
         < D A L i n k I D > f f 1 3 9 a a b - f 1 a 5 - 4 7 8 2 - a f f c - b a 2 d 4 7 4 2 3 9 c f < / D A L i n k I D >  
         < L i n k T y p e > 0 < / L i n k T y p e >  
         < P a r a m e t e r s / >  
         < I n c l u d e A l l I t e m s > f a l s e < / I n c l u d e A l l I t e m s >  
         < A c t i v e > t r u e < / A c t i v e >  
         < P r o t e c t e d L i n k > f a l s e < / P r o t e c t e d L i n k >  
         < N a m e > 2 8 1 0 1   T B   @   3 1 . 1 2 . 2 0 2 0   0 8 9 x 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 0 8 9 x < / A c c o u n t N u m b e r >  
         < R o u n d e d > f a l s e < / R o u n d e d >  
     < / T B L i n k >  
     < T B L i n k >  
         < V e r s i o n > 4 < / V e r s i o n >  
         < C o l u m n F i l t e r s / >  
         < D A L i n k I D > 9 4 5 f 3 d a 9 - 4 6 f e - 4 9 5 0 - b e 4 a - 9 3 7 9 a 3 2 3 0 0 0 1 < / D A L i n k I D >  
         < L i n k T y p e > 0 < / L i n k T y p e >  
         < P a r a m e t e r s / >  
         < I n c l u d e A l l I t e m s > f a l s e < / I n c l u d e A l l I t e m s >  
         < A c t i v e > t r u e < / A c t i v e >  
         < P r o t e c t e d L i n k > f a l s e < / P r o t e c t e d L i n k >  
         < N a m e > 2 8 1 0 1   T B   @   3 1 . 1 2 . 2 0 2 0   0 9 1 a 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 0 9 1 a < / A c c o u n t N u m b e r >  
         < R o u n d e d > f a l s e < / R o u n d e d >  
     < / T B L i n k >  
     < T B L i n k >  
         < V e r s i o n > 4 < / V e r s i o n >  
         < C o l u m n F i l t e r s / >  
         < D A L i n k I D > 6 d 1 f 2 4 8 e - b 3 8 c - 4 b 1 4 - b 0 d f - 3 a 5 7 f 3 9 d 5 c 6 6 < / D A L i n k I D >  
         < L i n k T y p e > 0 < / L i n k T y p e >  
         < P a r a m e t e r s / >  
         < I n c l u d e A l l I t e m s > f a l s e < / I n c l u d e A l l I t e m s >  
         < A c t i v e > t r u e < / A c t i v e >  
         < P r o t e c t e d L i n k > f a l s e < / P r o t e c t e d L i n k >  
         < N a m e > 2 8 1 0 1   T B   @   3 1 . 1 2 . 2 0 2 0   0 9 1 b 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 0 9 1 b < / A c c o u n t N u m b e r >  
         < R o u n d e d > f a l s e < / R o u n d e d >  
     < / T B L i n k >  
     < T B L i n k >  
         < V e r s i o n > 4 < / V e r s i o n >  
         < C o l u m n F i l t e r s / >  
         < D A L i n k I D > a 9 5 f c 5 2 7 - 7 8 e e - 4 6 0 8 - b e c 0 - 8 4 b 2 d b b a d f 3 8 < / D A L i n k I D >  
         < L i n k T y p e > 0 < / L i n k T y p e >  
         < P a r a m e t e r s / >  
         < I n c l u d e A l l I t e m s > f a l s e < / I n c l u d e A l l I t e m s >  
         < A c t i v e > t r u e < / A c t i v e >  
         < P r o t e c t e d L i n k > f a l s e < / P r o t e c t e d L i n k >  
         < N a m e > 2 8 1 0 1   T B   @   3 1 . 1 2 . 2 0 2 0   0 9 1 c 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 0 9 1 c < / A c c o u n t N u m b e r >  
         < R o u n d e d > f a l s e < / R o u n d e d >  
     < / T B L i n k >  
     < T B L i n k >  
         < V e r s i o n > 4 < / V e r s i o n >  
         < C o l u m n F i l t e r s / >  
         < D A L i n k I D > c 8 d 2 8 b 2 1 - 8 a a e - 4 4 a d - 9 6 1 1 - 4 c a 2 6 7 1 a 3 3 d 1 < / D A L i n k I D >  
         < L i n k T y p e > 0 < / L i n k T y p e >  
         < P a r a m e t e r s / >  
         < I n c l u d e A l l I t e m s > f a l s e < / I n c l u d e A l l I t e m s >  
         < A c t i v e > t r u e < / A c t i v e >  
         < P r o t e c t e d L i n k > f a l s e < / P r o t e c t e d L i n k >  
         < N a m e > 2 8 1 0 1   T B   @   3 1 . 1 2 . 2 0 2 0   0 9 1 d 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 0 9 1 d < / A c c o u n t N u m b e r >  
         < R o u n d e d > f a l s e < / R o u n d e d >  
     < / T B L i n k >  
     < T B L i n k >  
         < V e r s i o n > 4 < / V e r s i o n >  
         < C o l u m n F i l t e r s / >  
         < D A L i n k I D > 3 d d 5 e b 5 3 - f 5 a d - 4 f 3 0 - b 1 1 d - b d 2 d 9 6 a 9 7 7 7 4 < / D A L i n k I D >  
         < L i n k T y p e > 0 < / L i n k T y p e >  
         < P a r a m e t e r s / >  
         < I n c l u d e A l l I t e m s > f a l s e < / I n c l u d e A l l I t e m s >  
         < A c t i v e > t r u e < / A c t i v e >  
         < P r o t e c t e d L i n k > f a l s e < / P r o t e c t e d L i n k >  
         < N a m e > 2 8 1 0 1   T B   @   3 1 . 1 2 . 2 0 2 0   0 9 1 e 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 0 9 1 e < / A c c o u n t N u m b e r >  
         < R o u n d e d > f a l s e < / R o u n d e d >  
     < / T B L i n k >  
     < T B L i n k >  
         < V e r s i o n > 4 < / V e r s i o n >  
         < C o l u m n F i l t e r s / >  
         < D A L i n k I D > 0 5 4 0 e 6 5 f - 9 8 9 8 - 4 b a 2 - 9 4 0 d - c a 3 2 c f d 2 1 2 e 5 < / D A L i n k I D >  
         < L i n k T y p e > 0 < / L i n k T y p e >  
         < P a r a m e t e r s / >  
         < I n c l u d e A l l I t e m s > f a l s e < / I n c l u d e A l l I t e m s >  
         < A c t i v e > t r u e < / A c t i v e >  
         < P r o t e c t e d L i n k > f a l s e < / P r o t e c t e d L i n k >  
         < N a m e > 2 8 1 0 1   T B   @   3 1 . 1 2 . 2 0 2 0   0 9 2 a 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 0 9 2 a < / A c c o u n t N u m b e r >  
         < R o u n d e d > f a l s e < / R o u n d e d >  
     < / T B L i n k >  
     < T B L i n k >  
         < V e r s i o n > 4 < / V e r s i o n >  
         < C o l u m n F i l t e r s / >  
         < D A L i n k I D > c 4 5 e 9 7 9 a - 8 4 2 2 - 4 3 a 3 - b 9 f 1 - 8 d 8 1 c 5 3 4 7 6 2 f < / D A L i n k I D >  
         < L i n k T y p e > 0 < / L i n k T y p e >  
         < P a r a m e t e r s / >  
         < I n c l u d e A l l I t e m s > f a l s e < / I n c l u d e A l l I t e m s >  
         < A c t i v e > t r u e < / A c t i v e >  
         < P r o t e c t e d L i n k > f a l s e < / P r o t e c t e d L i n k >  
         < N a m e > 2 8 1 0 1   T B   @   3 1 . 1 2 . 2 0 2 0   0 9 2 b 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 0 9 2 b < / A c c o u n t N u m b e r >  
         < R o u n d e d > f a l s e < / R o u n d e d >  
     < / T B L i n k >  
     < T B L i n k >  
         < V e r s i o n > 4 < / V e r s i o n >  
         < C o l u m n F i l t e r s / >  
         < D A L i n k I D > b 6 8 b 3 b c 8 - 3 4 7 0 - 4 8 6 a - 8 9 3 2 - 2 f 9 5 e c 4 c a 4 7 a < / D A L i n k I D >  
         < L i n k T y p e > 0 < / L i n k T y p e >  
         < P a r a m e t e r s / >  
         < I n c l u d e A l l I t e m s > f a l s e < / I n c l u d e A l l I t e m s >  
         < A c t i v e > t r u e < / A c t i v e >  
         < P r o t e c t e d L i n k > f a l s e < / P r o t e c t e d L i n k >  
         < N a m e > 2 8 1 0 1   T B   @   3 1 . 1 2 . 2 0 2 0   0 9 2 c 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 0 9 2 c < / A c c o u n t N u m b e r >  
         < R o u n d e d > f a l s e < / R o u n d e d >  
     < / T B L i n k >  
     < T B L i n k >  
         < V e r s i o n > 4 < / V e r s i o n >  
         < C o l u m n F i l t e r s / >  
         < D A L i n k I D > 2 2 2 8 6 9 0 8 - e 7 9 4 - 4 2 0 5 - a 7 7 c - a a b b 1 9 3 4 4 d 3 b < / D A L i n k I D >  
         < L i n k T y p e > 0 < / L i n k T y p e >  
         < P a r a m e t e r s / >  
         < I n c l u d e A l l I t e m s > f a l s e < / I n c l u d e A l l I t e m s >  
         < A c t i v e > t r u e < / A c t i v e >  
         < P r o t e c t e d L i n k > f a l s e < / P r o t e c t e d L i n k >  
         < N a m e > 2 8 1 0 1   T B   @   3 1 . 1 2 . 2 0 2 0   0 9 2 d 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 0 9 2 d < / A c c o u n t N u m b e r >  
         < R o u n d e d > f a l s e < / R o u n d e d >  
     < / T B L i n k >  
     < T B L i n k >  
         < V e r s i o n > 4 < / V e r s i o n >  
         < C o l u m n F i l t e r s / >  
         < D A L i n k I D > 5 c 2 c 5 2 e e - 5 9 b 1 - 4 a 8 4 - b 0 a 8 - 2 b 6 a c d 9 3 2 a 2 d < / D A L i n k I D >  
         < L i n k T y p e > 0 < / L i n k T y p e >  
         < P a r a m e t e r s / >  
         < I n c l u d e A l l I t e m s > f a l s e < / I n c l u d e A l l I t e m s >  
         < A c t i v e > t r u e < / A c t i v e >  
         < P r o t e c t e d L i n k > f a l s e < / P r o t e c t e d L i n k >  
         < N a m e > 2 8 1 0 1   T B   @   3 1 . 1 2 . 2 0 2 0   0 9 2 e 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 0 9 2 e < / A c c o u n t N u m b e r >  
         < R o u n d e d > f a l s e < / R o u n d e d >  
     < / T B L i n k >  
     < T B L i n k >  
         < V e r s i o n > 4 < / V e r s i o n >  
         < C o l u m n F i l t e r s / >  
         < D A L i n k I D > e f 8 8 b a 9 0 - 0 8 8 d - 4 7 3 5 - b d 8 3 - 4 7 1 2 2 c d 1 6 a d 2 < / D A L i n k I D >  
         < L i n k T y p e > 0 < / L i n k T y p e >  
         < P a r a m e t e r s / >  
         < I n c l u d e A l l I t e m s > f a l s e < / I n c l u d e A l l I t e m s >  
         < A c t i v e > t r u e < / A c t i v e >  
         < P r o t e c t e d L i n k > f a l s e < / P r o t e c t e d L i n k >  
         < N a m e > 2 8 1 0 1   T B   @   3 1 . 1 2 . 2 0 2 0   0 9 2 f 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 0 9 2 f < / A c c o u n t N u m b e r >  
         < R o u n d e d > f a l s e < / R o u n d e d >  
     < / T B L i n k >  
     < T B L i n k >  
         < V e r s i o n > 4 < / V e r s i o n >  
         < C o l u m n F i l t e r s / >  
         < D A L i n k I D > b e 3 f c a 8 1 - c e d d - 4 4 4 1 - b 1 3 1 - c d 4 9 0 5 f 7 4 b 8 1 < / D A L i n k I D >  
         < L i n k T y p e > 0 < / L i n k T y p e >  
         < P a r a m e t e r s / >  
         < I n c l u d e A l l I t e m s > f a l s e < / I n c l u d e A l l I t e m s >  
         < A c t i v e > t r u e < / A c t i v e >  
         < P r o t e c t e d L i n k > f a l s e < / P r o t e c t e d L i n k >  
         < N a m e > 2 8 1 0 1   T B   @   3 1 . 1 2 . 2 0 2 0   0 9 3 x 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 0 9 3 x < / A c c o u n t N u m b e r >  
         < R o u n d e d > f a l s e < / R o u n d e d >  
     < / T B L i n k >  
     < T B L i n k >  
         < V e r s i o n > 4 < / V e r s i o n >  
         < C o l u m n F i l t e r s / >  
         < D A L i n k I D > 0 6 a 5 4 e 1 d - b 8 7 2 - 4 a e b - a 7 2 9 - d e 0 b 2 6 4 7 a 6 7 6 < / D A L i n k I D >  
         < L i n k T y p e > 0 < / L i n k T y p e >  
         < P a r a m e t e r s / >  
         < I n c l u d e A l l I t e m s > f a l s e < / I n c l u d e A l l I t e m s >  
         < A c t i v e > t r u e < / A c t i v e >  
         < P r o t e c t e d L i n k > f a l s e < / P r o t e c t e d L i n k >  
         < N a m e > 2 8 1 0 1   T B   @   3 1 . 1 2 . 2 0 2 0   0 9 4 x 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 0 9 4 x < / A c c o u n t N u m b e r >  
         < R o u n d e d > f a l s e < / R o u n d e d >  
     < / T B L i n k >  
     < T B L i n k >  
         < V e r s i o n > 4 < / V e r s i o n >  
         < C o l u m n F i l t e r s / >  
         < D A L i n k I D > a c 9 7 f 3 8 8 - 8 1 5 2 - 4 6 1 5 - a 3 0 b - d b 5 8 a 8 a f 7 9 9 e < / D A L i n k I D >  
         < L i n k T y p e > 0 < / L i n k T y p e >  
         < P a r a m e t e r s / >  
         < I n c l u d e A l l I t e m s > f a l s e < / I n c l u d e A l l I t e m s >  
         < A c t i v e > t r u e < / A c t i v e >  
         < P r o t e c t e d L i n k > f a l s e < / P r o t e c t e d L i n k >  
         < N a m e > 2 8 1 0 1   T B   @   3 1 . 1 2 . 2 0 2 0   0 9 5 a 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 0 9 5 a < / A c c o u n t N u m b e r >  
         < R o u n d e d > f a l s e < / R o u n d e d >  
     < / T B L i n k >  
     < T B L i n k >  
         < V e r s i o n > 4 < / V e r s i o n >  
         < C o l u m n F i l t e r s / >  
         < D A L i n k I D > 3 6 6 f 1 7 8 f - f 3 0 1 - 4 8 9 f - 9 7 b 2 - 9 8 1 a b 8 b 4 6 4 a 3 < / D A L i n k I D >  
         < L i n k T y p e > 0 < / L i n k T y p e >  
         < P a r a m e t e r s / >  
         < I n c l u d e A l l I t e m s > f a l s e < / I n c l u d e A l l I t e m s >  
         < A c t i v e > t r u e < / A c t i v e >  
         < P r o t e c t e d L i n k > f a l s e < / P r o t e c t e d L i n k >  
         < N a m e > 2 8 1 0 1   T B   @   3 1 . 1 2 . 2 0 2 0   0 9 5 b 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 0 9 5 b < / A c c o u n t N u m b e r >  
         < R o u n d e d > f a l s e < / R o u n d e d >  
     < / T B L i n k >  
     < T B L i n k >  
         < V e r s i o n > 4 < / V e r s i o n >  
         < C o l u m n F i l t e r s / >  
         < D A L i n k I D > 1 3 2 7 b 5 5 1 - 1 9 9 4 - 4 d a e - a 1 a a - 9 5 2 7 3 1 d d 1 e 8 3 < / D A L i n k I D >  
         < L i n k T y p e > 0 < / L i n k T y p e >  
         < P a r a m e t e r s / >  
         < I n c l u d e A l l I t e m s > f a l s e < / I n c l u d e A l l I t e m s >  
         < A c t i v e > t r u e < / A c t i v e >  
         < P r o t e c t e d L i n k > f a l s e < / P r o t e c t e d L i n k >  
         < N a m e > 2 8 1 0 1   T B   @   3 1 . 1 2 . 2 0 2 0   0 9 5 c 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 0 9 5 c < / A c c o u n t N u m b e r >  
         < R o u n d e d > f a l s e < / R o u n d e d >  
     < / T B L i n k >  
     < T B L i n k >  
         < V e r s i o n > 4 < / V e r s i o n >  
         < C o l u m n F i l t e r s / >  
         < D A L i n k I D > 1 b 9 1 f 6 5 c - c 8 4 4 - 4 0 b 4 - b b f 6 - c a 8 c c 1 0 4 3 5 3 a < / D A L i n k I D >  
         < L i n k T y p e > 0 < / L i n k T y p e >  
         < P a r a m e t e r s / >  
         < I n c l u d e A l l I t e m s > f a l s e < / I n c l u d e A l l I t e m s >  
         < A c t i v e > t r u e < / A c t i v e >  
         < P r o t e c t e d L i n k > f a l s e < / P r o t e c t e d L i n k >  
         < N a m e > 2 8 1 0 1   T B   @   3 1 . 1 2 . 2 0 2 0   0 9 6 a 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 0 9 6 a < / A c c o u n t N u m b e r >  
         < R o u n d e d > f a l s e < / R o u n d e d >  
     < / T B L i n k >  
     < T B L i n k >  
         < V e r s i o n > 4 < / V e r s i o n >  
         < C o l u m n F i l t e r s / >  
         < D A L i n k I D > 9 6 d b 6 6 1 7 - 8 b b 2 - 4 8 9 2 - 8 5 e b - d 0 1 5 5 6 c 4 b 7 3 4 < / D A L i n k I D >  
         < L i n k T y p e > 0 < / L i n k T y p e >  
         < P a r a m e t e r s / >  
         < I n c l u d e A l l I t e m s > f a l s e < / I n c l u d e A l l I t e m s >  
         < A c t i v e > t r u e < / A c t i v e >  
         < P r o t e c t e d L i n k > f a l s e < / P r o t e c t e d L i n k >  
         < N a m e > 2 8 1 0 1   T B   @   3 1 . 1 2 . 2 0 2 0   0 9 6 b 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 0 9 6 b < / A c c o u n t N u m b e r >  
         < R o u n d e d > f a l s e < / R o u n d e d >  
     < / T B L i n k >  
     < T B L i n k >  
         < V e r s i o n > 4 < / V e r s i o n >  
         < C o l u m n F i l t e r s / >  
         < D A L i n k I D > 0 d 9 7 9 f 6 7 - e 0 0 6 - 4 4 1 c - 8 5 7 5 - d 4 6 0 6 3 8 1 7 f 8 7 < / D A L i n k I D >  
         < L i n k T y p e > 0 < / L i n k T y p e >  
         < P a r a m e t e r s / >  
         < I n c l u d e A l l I t e m s > f a l s e < / I n c l u d e A l l I t e m s >  
         < A c t i v e > t r u e < / A c t i v e >  
         < P r o t e c t e d L i n k > f a l s e < / P r o t e c t e d L i n k >  
         < N a m e > 2 8 1 0 1   T B   @   3 1 . 1 2 . 2 0 2 0   0 9 6 c 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 0 9 6 c < / A c c o u n t N u m b e r >  
         < R o u n d e d > f a l s e < / R o u n d e d >  
     < / T B L i n k >  
     < T B L i n k >  
         < V e r s i o n > 4 < / V e r s i o n >  
         < C o l u m n F i l t e r s / >  
         < D A L i n k I D > 9 4 9 3 2 c 2 5 - 7 6 c 4 - 4 3 f 8 - 9 f a b - 5 e 3 7 a 0 5 5 2 1 4 3 < / D A L i n k I D >  
         < L i n k T y p e > 0 < / L i n k T y p e >  
         < P a r a m e t e r s / >  
         < I n c l u d e A l l I t e m s > f a l s e < / I n c l u d e A l l I t e m s >  
         < A c t i v e > t r u e < / A c t i v e >  
         < P r o t e c t e d L i n k > f a l s e < / P r o t e c t e d L i n k >  
         < N a m e > 2 8 1 0 1   T B   @   3 1 . 1 2 . 2 0 2 0   0 9 6 d 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 0 9 6 d < / A c c o u n t N u m b e r >  
         < R o u n d e d > f a l s e < / R o u n d e d >  
     < / T B L i n k >  
     < T B L i n k >  
         < V e r s i o n > 4 < / V e r s i o n >  
         < C o l u m n F i l t e r s / >  
         < D A L i n k I D > d 4 f 7 d 4 6 3 - 3 c 7 5 - 4 7 f f - b d a b - b 7 a 8 c a 8 e e 7 e 9 < / D A L i n k I D >  
         < L i n k T y p e > 0 < / L i n k T y p e >  
         < P a r a m e t e r s / >  
         < I n c l u d e A l l I t e m s > f a l s e < / I n c l u d e A l l I t e m s >  
         < A c t i v e > t r u e < / A c t i v e >  
         < P r o t e c t e d L i n k > f a l s e < / P r o t e c t e d L i n k >  
         < N a m e > 2 8 1 0 1   T B   @   3 1 . 1 2 . 2 0 2 0   0 9 6 e 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 0 9 6 e < / A c c o u n t N u m b e r >  
         < R o u n d e d > f a l s e < / R o u n d e d >  
     < / T B L i n k >  
     < T B L i n k >  
         < V e r s i o n > 4 < / V e r s i o n >  
         < C o l u m n F i l t e r s / >  
         < D A L i n k I D > e 5 d 1 9 5 b 3 - 9 2 b 2 - 4 c 0 3 - 8 2 2 6 - 0 8 4 4 1 2 0 5 6 4 d c < / D A L i n k I D >  
         < L i n k T y p e > 0 < / L i n k T y p e >  
         < P a r a m e t e r s / >  
         < I n c l u d e A l l I t e m s > f a l s e < / I n c l u d e A l l I t e m s >  
         < A c t i v e > t r u e < / A c t i v e >  
         < P r o t e c t e d L i n k > f a l s e < / P r o t e c t e d L i n k >  
         < N a m e > 2 8 1 0 1   T B   @   3 1 . 1 2 . 2 0 2 0   0 9 6 f 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 0 9 6 f < / A c c o u n t N u m b e r >  
         < R o u n d e d > f a l s e < / R o u n d e d >  
     < / T B L i n k >  
     < T B L i n k >  
         < V e r s i o n > 4 < / V e r s i o n >  
         < C o l u m n F i l t e r s / >  
         < D A L i n k I D > d 4 9 b a c 1 b - 1 2 e 9 - 4 0 b d - 8 0 3 e - 6 f e 9 3 8 a 7 b e 4 4 < / D A L i n k I D >  
         < L i n k T y p e > 0 < / L i n k T y p e >  
         < P a r a m e t e r s / >  
         < I n c l u d e A l l I t e m s > f a l s e < / I n c l u d e A l l I t e m s >  
         < A c t i v e > t r u e < / A c t i v e >  
         < P r o t e c t e d L i n k > f a l s e < / P r o t e c t e d L i n k >  
         < N a m e > 2 8 1 0 1   T B   @   3 1 . 1 2 . 2 0 2 0   0 9 6 g 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 0 9 6 g < / A c c o u n t N u m b e r >  
         < R o u n d e d > f a l s e < / R o u n d e d >  
     < / T B L i n k >  
     < T B L i n k >  
         < V e r s i o n > 4 < / V e r s i o n >  
         < C o l u m n F i l t e r s / >  
         < D A L i n k I D > 3 5 d 6 d 6 f 6 - 2 4 b 2 - 4 1 d b - 8 6 0 7 - b 2 d 7 b 9 c 6 a c f 7 < / D A L i n k I D >  
         < L i n k T y p e > 0 < / L i n k T y p e >  
         < P a r a m e t e r s / >  
         < I n c l u d e A l l I t e m s > f a l s e < / I n c l u d e A l l I t e m s >  
         < A c t i v e > t r u e < / A c t i v e >  
         < P r o t e c t e d L i n k > f a l s e < / P r o t e c t e d L i n k >  
         < N a m e > 2 8 1 0 1   T B   @   3 1 . 1 2 . 2 0 2 0   0 9 6 h 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 0 9 6 h < / A c c o u n t N u m b e r >  
         < R o u n d e d > f a l s e < / R o u n d e d >  
     < / T B L i n k >  
     < T B L i n k >  
         < V e r s i o n > 4 < / V e r s i o n >  
         < C o l u m n F i l t e r s / >  
         < D A L i n k I D > 5 f b 4 d f 5 8 - c 4 4 6 - 4 0 5 4 - 9 6 f e - b e d 1 0 4 4 d 0 1 f 0 < / D A L i n k I D >  
         < L i n k T y p e > 0 < / L i n k T y p e >  
         < P a r a m e t e r s / >  
         < I n c l u d e A l l I t e m s > f a l s e < / I n c l u d e A l l I t e m s >  
         < A c t i v e > t r u e < / A c t i v e >  
         < P r o t e c t e d L i n k > f a l s e < / P r o t e c t e d L i n k >  
         < N a m e > 2 8 1 0 1   T B   @   3 1 . 1 2 . 2 0 2 0   0 9 6 i 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 0 9 6 i < / A c c o u n t N u m b e r >  
         < R o u n d e d > f a l s e < / R o u n d e d >  
     < / T B L i n k >  
     < T B L i n k >  
         < V e r s i o n > 4 < / V e r s i o n >  
         < C o l u m n F i l t e r s / >  
         < D A L i n k I D > 1 7 4 8 d 0 4 3 - 5 c 9 d - 4 5 d d - 8 7 6 8 - f 9 f a 7 6 3 6 1 0 e 5 < / D A L i n k I D >  
         < L i n k T y p e > 0 < / L i n k T y p e >  
         < P a r a m e t e r s / >  
         < I n c l u d e A l l I t e m s > f a l s e < / I n c l u d e A l l I t e m s >  
         < A c t i v e > t r u e < / A c t i v e >  
         < P r o t e c t e d L i n k > f a l s e < / P r o t e c t e d L i n k >  
         < N a m e > 2 8 1 0 1   T B   @   3 1 . 1 2 . 2 0 2 0   0 9 7 x 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 0 9 7 x < / A c c o u n t N u m b e r >  
         < R o u n d e d > f a l s e < / R o u n d e d >  
     < / T B L i n k >  
     < T B L i n k >  
         < V e r s i o n > 4 < / V e r s i o n >  
         < C o l u m n F i l t e r s / >  
         < D A L i n k I D > 5 9 9 7 8 f 5 4 - a f e 7 - 4 b 5 4 - 8 8 f 7 - d 5 5 c 8 3 7 a c 4 4 3 < / D A L i n k I D >  
         < L i n k T y p e > 0 < / L i n k T y p e >  
         < P a r a m e t e r s / >  
         < I n c l u d e A l l I t e m s > f a l s e < / I n c l u d e A l l I t e m s >  
         < A c t i v e > t r u e < / A c t i v e >  
         < P r o t e c t e d L i n k > f a l s e < / P r o t e c t e d L i n k >  
         < N a m e > 2 8 1 0 1   T B   @   3 1 . 1 2 . 2 0 2 0   0 9 8 x 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 0 9 8 x < / A c c o u n t N u m b e r >  
         < R o u n d e d > f a l s e < / R o u n d e d >  
     < / T B L i n k >  
     < T B L i n k >  
         < V e r s i o n > 4 < / V e r s i o n >  
         < C o l u m n F i l t e r s / >  
         < D A L i n k I D > b 9 a c 7 d f 9 - 3 a 8 1 - 4 b 0 5 - 9 6 d 3 - a 3 b 6 1 9 3 b b 3 4 c < / D A L i n k I D >  
         < L i n k T y p e > 0 < / L i n k T y p e >  
         < P a r a m e t e r s / >  
         < I n c l u d e A l l I t e m s > f a l s e < / I n c l u d e A l l I t e m s >  
         < A c t i v e > t r u e < / A c t i v e >  
         < P r o t e c t e d L i n k > f a l s e < / P r o t e c t e d L i n k >  
         < N a m e > 2 8 1 0 1   T B   @   3 1 . 1 2 . 2 0 2 0   1 1 1 x 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 1 1 1 x < / A c c o u n t N u m b e r >  
         < R o u n d e d > f a l s e < / R o u n d e d >  
     < / T B L i n k >  
     < T B L i n k >  
         < V e r s i o n > 4 < / V e r s i o n >  
         < C o l u m n F i l t e r s / >  
         < D A L i n k I D > a 9 a 7 1 c f 6 - 1 1 8 e - 4 d 4 2 - 8 4 b c - d 0 9 a 1 0 b f d 6 9 a < / D A L i n k I D >  
         < L i n k T y p e > 0 < / L i n k T y p e >  
         < P a r a m e t e r s / >  
         < I n c l u d e A l l I t e m s > f a l s e < / I n c l u d e A l l I t e m s >  
         < A c t i v e > t r u e < / A c t i v e >  
         < P r o t e c t e d L i n k > f a l s e < / P r o t e c t e d L i n k >  
         < N a m e > 2 8 1 0 1   T B   @   3 1 . 1 2 . 2 0 2 0   1 1 2 x   F i n a l < / N a m e >  
         < E n t i t y E n u m > 9 < / E n t i t y E n u m >  
         < I t e m O r d e r L i s t / >  
         < S e l e c t e d I t e m L i s t / >  
         < S e l e c t e d C o l u m n L i s t / >  
         < H a s V a l u e > t r u e < / H a s V a l u e >  
         < T B C h a r t I D > 3 0 0 1 4 7 8 6 4 3 4 0 0 0 0 0 4 9 4 < / T B C h a r t I D >  
         < C o n s o l i d a t e d C o m p a n y I D   x s i : n i l = " t r u e " / >  
         < T B D o c u m e n t I D > 3 0 0 1 4 7 8 6 4 3 4 0 0 0 0 0 0 9 9 < / T B D o c u m e n t I D >  
         < N u m e r i c V a l u e > 4 6 5 9 9 3 . 0 0 0 0 < / N u m e r i c V a l u e >  
         < V a l u e > 4 6 5 9 9 3 , 0 0 0 0 < / V a l u e >  
         < C h a r t T y p e > c t D e t a i l < / C h a r t T y p e >  
         < R e f e r e n c e > 2 8 1 0 1 < / R e f e r e n c e >  
         < T B D o c N a m e > T B   @   3 1 . 1 2 . 2 0 2 0 < / T B D o c N a m e >  
         < T B C h a r t N a m e > D e t a i l < / T B C h a r t N a m e >  
         < C o l u m n N a m e > F i n a l B a l a n c e < / C o l u m n N a m e >  
         < U s e r F r i e n d l y C o l u m n N a m e > F i n a l < / U s e r F r i e n d l y C o l u m n N a m e >  
         < A c c o u n t N u m b e r > 1 1 2 x < / A c c o u n t N u m b e r >  
         < R o u n d e d > f a l s e < / R o u n d e d >  
     < / T B L i n k >  
     < T B L i n k >  
         < V e r s i o n > 4 < / V e r s i o n >  
         < C o l u m n F i l t e r s / >  
         < D A L i n k I D > 7 6 c 3 6 a c 9 - d 3 4 f - 4 6 4 a - 8 e 0 7 - 2 c 8 d b 7 c 8 6 a a 0 < / D A L i n k I D >  
         < L i n k T y p e > 0 < / L i n k T y p e >  
         < P a r a m e t e r s / >  
         < I n c l u d e A l l I t e m s > f a l s e < / I n c l u d e A l l I t e m s >  
         < A c t i v e > t r u e < / A c t i v e >  
         < P r o t e c t e d L i n k > f a l s e < / P r o t e c t e d L i n k >  
         < N a m e > 2 8 1 0 1   T B   @   3 1 . 1 2 . 2 0 2 0   1 1 9 x   F i n a l < / N a m e >  
         < E n t i t y E n u m > 9 < / E n t i t y E n u m >  
         < I t e m O r d e r L i s t / >  
         < S e l e c t e d I t e m L i s t / >  
         < S e l e c t e d C o l u m n L i s t / >  
         < H a s V a l u e > t r u e < / H a s V a l u e >  
         < T B C h a r t I D > 3 0 0 1 4 7 8 6 4 3 4 0 0 0 0 0 4 9 4 < / T B C h a r t I D >  
         < C o n s o l i d a t e d C o m p a n y I D   x s i : n i l = " t r u e " / >  
         < T B D o c u m e n t I D > 3 0 0 1 4 7 8 6 4 3 4 0 0 0 0 0 0 9 9 < / T B D o c u m e n t I D >  
         < N u m e r i c V a l u e > 4 0 4 3 . 0 0 0 0 < / N u m e r i c V a l u e >  
         < V a l u e > 4 0 4 3 , 0 0 0 0 < / V a l u e >  
         < C h a r t T y p e > c t D e t a i l < / C h a r t T y p e >  
         < R e f e r e n c e > 2 8 1 0 1 < / R e f e r e n c e >  
         < T B D o c N a m e > T B   @   3 1 . 1 2 . 2 0 2 0 < / T B D o c N a m e >  
         < T B C h a r t N a m e > D e t a i l < / T B C h a r t N a m e >  
         < C o l u m n N a m e > F i n a l B a l a n c e < / C o l u m n N a m e >  
         < U s e r F r i e n d l y C o l u m n N a m e > F i n a l < / U s e r F r i e n d l y C o l u m n N a m e >  
         < A c c o u n t N u m b e r > 1 1 9 x < / A c c o u n t N u m b e r >  
         < R o u n d e d > f a l s e < / R o u n d e d >  
     < / T B L i n k >  
     < T B L i n k >  
         < V e r s i o n > 4 < / V e r s i o n >  
         < C o l u m n F i l t e r s / >  
         < D A L i n k I D > 7 1 3 1 3 d 2 6 - b a 1 b - 4 a 0 3 - a 1 2 5 - 1 a d 5 9 a d e 8 a d 1 < / D A L i n k I D >  
         < L i n k T y p e > 0 < / L i n k T y p e >  
         < P a r a m e t e r s / >  
         < I n c l u d e A l l I t e m s > f a l s e < / I n c l u d e A l l I t e m s >  
         < A c t i v e > t r u e < / A c t i v e >  
         < P r o t e c t e d L i n k > f a l s e < / P r o t e c t e d L i n k >  
         < N a m e > 2 8 1 0 1   T B   @   3 1 . 1 2 . 2 0 2 0   1 2 1 x   F i n a l < / N a m e >  
         < E n t i t y E n u m > 9 < / E n t i t y E n u m >  
         < I t e m O r d e r L i s t / >  
         < S e l e c t e d I t e m L i s t / >  
         < S e l e c t e d C o l u m n L i s t / >  
         < H a s V a l u e > t r u e < / H a s V a l u e >  
         < T B C h a r t I D > 3 0 0 1 4 7 8 6 4 3 4 0 0 0 0 0 4 9 4 < / T B C h a r t I D >  
         < C o n s o l i d a t e d C o m p a n y I D   x s i : n i l = " t r u e " / >  
         < T B D o c u m e n t I D > 3 0 0 1 4 7 8 6 4 3 4 0 0 0 0 0 0 9 9 < / T B D o c u m e n t I D >  
         < N u m e r i c V a l u e > 8 0 4 2 3 4 . 0 0 0 0 < / N u m e r i c V a l u e >  
         < V a l u e > 8 0 4 2 3 4 , 0 0 0 0 < / V a l u e >  
         < C h a r t T y p e > c t D e t a i l < / C h a r t T y p e >  
         < R e f e r e n c e > 2 8 1 0 1 < / R e f e r e n c e >  
         < T B D o c N a m e > T B   @   3 1 . 1 2 . 2 0 2 0 < / T B D o c N a m e >  
         < T B C h a r t N a m e > D e t a i l < / T B C h a r t N a m e >  
         < C o l u m n N a m e > F i n a l B a l a n c e < / C o l u m n N a m e >  
         < U s e r F r i e n d l y C o l u m n N a m e > F i n a l < / U s e r F r i e n d l y C o l u m n N a m e >  
         < A c c o u n t N u m b e r > 1 2 1 x < / A c c o u n t N u m b e r >  
         < R o u n d e d > f a l s e < / R o u n d e d >  
     < / T B L i n k >  
     < T B L i n k >  
         < V e r s i o n > 4 < / V e r s i o n >  
         < C o l u m n F i l t e r s / >  
         < D A L i n k I D > 1 d 4 5 a 2 f 6 - 5 0 4 5 - 4 5 2 5 - 9 d e e - f 2 6 0 b 9 0 5 9 f c f < / D A L i n k I D >  
         < L i n k T y p e > 0 < / L i n k T y p e >  
         < P a r a m e t e r s / >  
         < I n c l u d e A l l I t e m s > f a l s e < / I n c l u d e A l l I t e m s >  
         < A c t i v e > t r u e < / A c t i v e >  
         < P r o t e c t e d L i n k > f a l s e < / P r o t e c t e d L i n k >  
         < N a m e > 2 8 1 0 1   T B   @   3 1 . 1 2 . 2 0 2 0   1 2 2 x   F i n a l < / N a m e >  
         < E n t i t y E n u m > 9 < / E n t i t y E n u m >  
         < I t e m O r d e r L i s t / >  
         < S e l e c t e d I t e m L i s t / >  
         < S e l e c t e d C o l u m n L i s t / >  
         < H a s V a l u e > t r u e < / H a s V a l u e >  
         < T B C h a r t I D > 3 0 0 1 4 7 8 6 4 3 4 0 0 0 0 0 4 9 4 < / T B C h a r t I D >  
         < C o n s o l i d a t e d C o m p a n y I D   x s i : n i l = " t r u e " / >  
         < T B D o c u m e n t I D > 3 0 0 1 4 7 8 6 4 3 4 0 0 0 0 0 0 9 9 < / T B D o c u m e n t I D >  
         < N u m e r i c V a l u e > 4 3 5 8 8 6 . 0 0 0 0 < / N u m e r i c V a l u e >  
         < V a l u e > 4 3 5 8 8 6 , 0 0 0 0 < / V a l u e >  
         < C h a r t T y p e > c t D e t a i l < / C h a r t T y p e >  
         < R e f e r e n c e > 2 8 1 0 1 < / R e f e r e n c e >  
         < T B D o c N a m e > T B   @   3 1 . 1 2 . 2 0 2 0 < / T B D o c N a m e >  
         < T B C h a r t N a m e > D e t a i l < / T B C h a r t N a m e >  
         < C o l u m n N a m e > F i n a l B a l a n c e < / C o l u m n N a m e >  
         < U s e r F r i e n d l y C o l u m n N a m e > F i n a l < / U s e r F r i e n d l y C o l u m n N a m e >  
         < A c c o u n t N u m b e r > 1 2 2 x < / A c c o u n t N u m b e r >  
         < R o u n d e d > f a l s e < / R o u n d e d >  
     < / T B L i n k >  
     < T B L i n k >  
         < V e r s i o n > 4 < / V e r s i o n >  
         < C o l u m n F i l t e r s / >  
         < D A L i n k I D > 6 2 a c 6 0 b 1 - 0 e a f - 4 1 f 1 - 9 5 7 7 - 3 8 c 0 9 c 0 e f 0 9 7 < / D A L i n k I D >  
         < L i n k T y p e > 0 < / L i n k T y p e >  
         < P a r a m e t e r s / >  
         < I n c l u d e A l l I t e m s > f a l s e < / I n c l u d e A l l I t e m s >  
         < A c t i v e > t r u e < / A c t i v e >  
         < P r o t e c t e d L i n k > f a l s e < / P r o t e c t e d L i n k >  
         < N a m e > 2 8 1 0 1   T B   @   3 1 . 1 2 . 2 0 2 0   1 2 3 x   F i n a l < / N a m e >  
         < E n t i t y E n u m > 9 < / E n t i t y E n u m >  
         < I t e m O r d e r L i s t / >  
         < S e l e c t e d I t e m L i s t / >  
         < S e l e c t e d C o l u m n L i s t / >  
         < H a s V a l u e > t r u e < / H a s V a l u e >  
         < T B C h a r t I D > 3 0 0 1 4 7 8 6 4 3 4 0 0 0 0 0 4 9 4 < / T B C h a r t I D >  
         < C o n s o l i d a t e d C o m p a n y I D   x s i : n i l = " t r u e " / >  
         < T B D o c u m e n t I D > 3 0 0 1 4 7 8 6 4 3 4 0 0 0 0 0 0 9 9 < / T B D o c u m e n t I D >  
         < N u m e r i c V a l u e > 4 3 0 1 3 1 . 0 0 0 0 < / N u m e r i c V a l u e >  
         < V a l u e > 4 3 0 1 3 1 , 0 0 0 0 < / V a l u e >  
         < C h a r t T y p e > c t D e t a i l < / C h a r t T y p e >  
         < R e f e r e n c e > 2 8 1 0 1 < / R e f e r e n c e >  
         < T B D o c N a m e > T B   @   3 1 . 1 2 . 2 0 2 0 < / T B D o c N a m e >  
         < T B C h a r t N a m e > D e t a i l < / T B C h a r t N a m e >  
         < C o l u m n N a m e > F i n a l B a l a n c e < / C o l u m n N a m e >  
         < U s e r F r i e n d l y C o l u m n N a m e > F i n a l < / U s e r F r i e n d l y C o l u m n N a m e >  
         < A c c o u n t N u m b e r > 1 2 3 x < / A c c o u n t N u m b e r >  
         < R o u n d e d > f a l s e < / R o u n d e d >  
     < / T B L i n k >  
     < T B L i n k >  
         < V e r s i o n > 4 < / V e r s i o n >  
         < C o l u m n F i l t e r s / >  
         < D A L i n k I D > d c f e 9 3 c 4 - 9 5 4 a - 4 1 a 5 - a 3 3 5 - b e 3 c 3 a 0 c 4 e 2 9 < / D A L i n k I D >  
         < L i n k T y p e > 0 < / L i n k T y p e >  
         < P a r a m e t e r s / >  
         < I n c l u d e A l l I t e m s > f a l s e < / I n c l u d e A l l I t e m s >  
         < A c t i v e > t r u e < / A c t i v e >  
         < P r o t e c t e d L i n k > f a l s e < / P r o t e c t e d L i n k >  
         < N a m e > 2 8 1 0 1   T B   @   3 1 . 1 2 . 2 0 2 0   1 2 4 x 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 1 2 4 x < / A c c o u n t N u m b e r >  
         < R o u n d e d > f a l s e < / R o u n d e d >  
     < / T B L i n k >  
     < T B L i n k >  
         < V e r s i o n > 4 < / V e r s i o n >  
         < C o l u m n F i l t e r s / >  
         < D A L i n k I D > 8 7 c 8 c c 8 6 - 0 e 2 3 - 4 e e 8 - 9 7 8 a - 1 6 4 e 1 2 6 9 0 b 9 c < / D A L i n k I D >  
         < L i n k T y p e > 0 < / L i n k T y p e >  
         < P a r a m e t e r s / >  
         < I n c l u d e A l l I t e m s > f a l s e < / I n c l u d e A l l I t e m s >  
         < A c t i v e > t r u e < / A c t i v e >  
         < P r o t e c t e d L i n k > f a l s e < / P r o t e c t e d L i n k >  
         < N a m e > 2 8 1 0 1   T B   @   3 1 . 1 2 . 2 0 2 0   1 3 1 x 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 1 3 1 x < / A c c o u n t N u m b e r >  
         < R o u n d e d > f a l s e < / R o u n d e d >  
     < / T B L i n k >  
     < T B L i n k >  
         < V e r s i o n > 4 < / V e r s i o n >  
         < C o l u m n F i l t e r s / >  
         < D A L i n k I D > 2 e 0 5 e c 6 7 - c 2 0 9 - 4 b 0 c - b d c a - b 3 7 5 0 f 6 2 9 b c c < / D A L i n k I D >  
         < L i n k T y p e > 0 < / L i n k T y p e >  
         < P a r a m e t e r s / >  
         < I n c l u d e A l l I t e m s > f a l s e < / I n c l u d e A l l I t e m s >  
         < A c t i v e > t r u e < / A c t i v e >  
         < P r o t e c t e d L i n k > f a l s e < / P r o t e c t e d L i n k >  
         < N a m e > 2 8 1 0 1   T B   @   3 1 . 1 2 . 2 0 2 0   1 3 2 x   F i n a l < / N a m e >  
         < E n t i t y E n u m > 9 < / E n t i t y E n u m >  
         < I t e m O r d e r L i s t / >  
         < S e l e c t e d I t e m L i s t / >  
         < S e l e c t e d C o l u m n L i s t / >  
         < H a s V a l u e > t r u e < / H a s V a l u e >  
         < T B C h a r t I D > 3 0 0 1 4 7 8 6 4 3 4 0 0 0 0 0 4 9 4 < / T B C h a r t I D >  
         < C o n s o l i d a t e d C o m p a n y I D   x s i : n i l = " t r u e " / >  
         < T B D o c u m e n t I D > 3 0 0 1 4 7 8 6 4 3 4 0 0 0 0 0 0 9 9 < / T B D o c u m e n t I D >  
         < N u m e r i c V a l u e > 7 3 5 9 9 8 . 0 0 0 0 < / N u m e r i c V a l u e >  
         < V a l u e > 7 3 5 9 9 8 , 0 0 0 0 < / V a l u e >  
         < C h a r t T y p e > c t D e t a i l < / C h a r t T y p e >  
         < R e f e r e n c e > 2 8 1 0 1 < / R e f e r e n c e >  
         < T B D o c N a m e > T B   @   3 1 . 1 2 . 2 0 2 0 < / T B D o c N a m e >  
         < T B C h a r t N a m e > D e t a i l < / T B C h a r t N a m e >  
         < C o l u m n N a m e > F i n a l B a l a n c e < / C o l u m n N a m e >  
         < U s e r F r i e n d l y C o l u m n N a m e > F i n a l < / U s e r F r i e n d l y C o l u m n N a m e >  
         < A c c o u n t N u m b e r > 1 3 2 x < / A c c o u n t N u m b e r >  
         < R o u n d e d > f a l s e < / R o u n d e d >  
     < / T B L i n k >  
     < T B L i n k >  
         < V e r s i o n > 4 < / V e r s i o n >  
         < C o l u m n F i l t e r s / >  
         < D A L i n k I D > 1 5 2 7 6 1 a 2 - 9 7 d 0 - 4 5 d f - a 8 5 6 - 8 6 6 a a 1 f d c 7 7 c < / D A L i n k I D >  
         < L i n k T y p e > 0 < / L i n k T y p e >  
         < P a r a m e t e r s / >  
         < I n c l u d e A l l I t e m s > f a l s e < / I n c l u d e A l l I t e m s >  
         < A c t i v e > t r u e < / A c t i v e >  
         < P r o t e c t e d L i n k > f a l s e < / P r o t e c t e d L i n k >  
         < N a m e > 2 8 1 0 1   T B   @   3 1 . 1 2 . 2 0 2 0   1 3 3 x 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 1 3 3 x < / A c c o u n t N u m b e r >  
         < R o u n d e d > f a l s e < / R o u n d e d >  
     < / T B L i n k >  
     < T B L i n k >  
         < V e r s i o n > 4 < / V e r s i o n >  
         < C o l u m n F i l t e r s / >  
         < D A L i n k I D > 3 9 6 f 1 1 1 6 - a 9 8 9 - 4 1 2 0 - b c 3 1 - 0 2 8 7 a 0 4 d b 4 1 6 < / D A L i n k I D >  
         < L i n k T y p e > 0 < / L i n k T y p e >  
         < P a r a m e t e r s / >  
         < I n c l u d e A l l I t e m s > f a l s e < / I n c l u d e A l l I t e m s >  
         < A c t i v e > t r u e < / A c t i v e >  
         < P r o t e c t e d L i n k > f a l s e < / P r o t e c t e d L i n k >  
         < N a m e > 2 8 1 0 1   T B   @   3 1 . 1 2 . 2 0 2 0   1 3 9 x 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 1 3 9 x < / A c c o u n t N u m b e r >  
         < R o u n d e d > f a l s e < / R o u n d e d >  
     < / T B L i n k >  
     < T B L i n k >  
         < V e r s i o n > 4 < / V e r s i o n >  
         < C o l u m n F i l t e r s / >  
         < D A L i n k I D > 9 5 a 3 a 6 0 2 - a 8 2 3 - 4 4 2 f - a c 7 4 - 7 8 2 2 8 f 6 5 3 1 7 c < / D A L i n k I D >  
         < L i n k T y p e > 0 < / L i n k T y p e >  
         < P a r a m e t e r s / >  
         < I n c l u d e A l l I t e m s > f a l s e < / I n c l u d e A l l I t e m s >  
         < A c t i v e > t r u e < / A c t i v e >  
         < P r o t e c t e d L i n k > f a l s e < / P r o t e c t e d L i n k >  
         < N a m e > 2 8 1 0 1   T B   @   3 1 . 1 2 . 2 0 2 0   1 9 1 x   F i n a l < / N a m e >  
         < E n t i t y E n u m > 9 < / E n t i t y E n u m >  
         < I t e m O r d e r L i s t / >  
         < S e l e c t e d I t e m L i s t / >  
         < S e l e c t e d C o l u m n L i s t / >  
         < H a s V a l u e > t r u e < / H a s V a l u e >  
         < T B C h a r t I D > 3 0 0 1 4 7 8 6 4 3 4 0 0 0 0 0 4 9 4 < / T B C h a r t I D >  
         < C o n s o l i d a t e d C o m p a n y I D   x s i : n i l = " t r u e " / >  
         < T B D o c u m e n t I D > 3 0 0 1 4 7 8 6 4 3 4 0 0 0 0 0 0 9 9 < / T B D o c u m e n t I D >  
         < N u m e r i c V a l u e > - 1 0 1 9 0 . 0 0 0 0 < / N u m e r i c V a l u e >  
         < V a l u e > - 1 0 1 9 0 , 0 0 0 0 < / V a l u e >  
         < C h a r t T y p e > c t D e t a i l < / C h a r t T y p e >  
         < R e f e r e n c e > 2 8 1 0 1 < / R e f e r e n c e >  
         < T B D o c N a m e > T B   @   3 1 . 1 2 . 2 0 2 0 < / T B D o c N a m e >  
         < T B C h a r t N a m e > D e t a i l < / T B C h a r t N a m e >  
         < C o l u m n N a m e > F i n a l B a l a n c e < / C o l u m n N a m e >  
         < U s e r F r i e n d l y C o l u m n N a m e > F i n a l < / U s e r F r i e n d l y C o l u m n N a m e >  
         < A c c o u n t N u m b e r > 1 9 1 x < / A c c o u n t N u m b e r >  
         < R o u n d e d > f a l s e < / R o u n d e d >  
     < / T B L i n k >  
     < T B L i n k >  
         < V e r s i o n > 4 < / V e r s i o n >  
         < C o l u m n F i l t e r s / >  
         < D A L i n k I D > 2 5 a 1 1 4 9 7 - 0 9 2 4 - 4 c a b - a 1 f 6 - b e 3 9 8 4 f 1 f 3 e 0 < / D A L i n k I D >  
         < L i n k T y p e > 0 < / L i n k T y p e >  
         < P a r a m e t e r s / >  
         < I n c l u d e A l l I t e m s > f a l s e < / I n c l u d e A l l I t e m s >  
         < A c t i v e > t r u e < / A c t i v e >  
         < P r o t e c t e d L i n k > f a l s e < / P r o t e c t e d L i n k >  
         < N a m e > 2 8 1 0 1   T B   @   3 1 . 1 2 . 2 0 2 0   1 9 2 x   F i n a l < / N a m e >  
         < E n t i t y E n u m > 9 < / E n t i t y E n u m >  
         < I t e m O r d e r L i s t / >  
         < S e l e c t e d I t e m L i s t / >  
         < S e l e c t e d C o l u m n L i s t / >  
         < H a s V a l u e > t r u e < / H a s V a l u e >  
         < T B C h a r t I D > 3 0 0 1 4 7 8 6 4 3 4 0 0 0 0 0 4 9 4 < / T B C h a r t I D >  
         < C o n s o l i d a t e d C o m p a n y I D   x s i : n i l = " t r u e " / >  
         < T B D o c u m e n t I D > 3 0 0 1 4 7 8 6 4 3 4 0 0 0 0 0 0 9 9 < / T B D o c u m e n t I D >  
         < N u m e r i c V a l u e > - 2 3 5 0 3 . 0 0 0 0 < / N u m e r i c V a l u e >  
         < V a l u e > - 2 3 5 0 3 , 0 0 0 0 < / V a l u e >  
         < C h a r t T y p e > c t D e t a i l < / C h a r t T y p e >  
         < R e f e r e n c e > 2 8 1 0 1 < / R e f e r e n c e >  
         < T B D o c N a m e > T B   @   3 1 . 1 2 . 2 0 2 0 < / T B D o c N a m e >  
         < T B C h a r t N a m e > D e t a i l < / T B C h a r t N a m e >  
         < C o l u m n N a m e > F i n a l B a l a n c e < / C o l u m n N a m e >  
         < U s e r F r i e n d l y C o l u m n N a m e > F i n a l < / U s e r F r i e n d l y C o l u m n N a m e >  
         < A c c o u n t N u m b e r > 1 9 2 x < / A c c o u n t N u m b e r >  
         < R o u n d e d > f a l s e < / R o u n d e d >  
     < / T B L i n k >  
     < T B L i n k >  
         < V e r s i o n > 4 < / V e r s i o n >  
         < C o l u m n F i l t e r s / >  
         < D A L i n k I D > 2 0 8 f 5 d 1 2 - a 8 f 2 - 4 c a e - 8 7 4 2 - c 1 0 0 f 3 9 9 9 4 9 a < / D A L i n k I D >  
         < L i n k T y p e > 0 < / L i n k T y p e >  
         < P a r a m e t e r s / >  
         < I n c l u d e A l l I t e m s > f a l s e < / I n c l u d e A l l I t e m s >  
         < A c t i v e > t r u e < / A c t i v e >  
         < P r o t e c t e d L i n k > f a l s e < / P r o t e c t e d L i n k >  
         < N a m e > 2 8 1 0 1   T B   @   3 1 . 1 2 . 2 0 2 0   1 9 3 x 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 1 9 3 x < / A c c o u n t N u m b e r >  
         < R o u n d e d > f a l s e < / R o u n d e d >  
     < / T B L i n k >  
     < T B L i n k >  
         < V e r s i o n > 4 < / V e r s i o n >  
         < C o l u m n F i l t e r s / >  
         < D A L i n k I D > 8 9 3 1 c 3 2 9 - 7 1 c 0 - 4 1 5 3 - a 0 f 8 - b 5 2 8 9 d e 5 3 f 1 d < / D A L i n k I D >  
         < L i n k T y p e > 0 < / L i n k T y p e >  
         < P a r a m e t e r s / >  
         < I n c l u d e A l l I t e m s > f a l s e < / I n c l u d e A l l I t e m s >  
         < A c t i v e > t r u e < / A c t i v e >  
         < P r o t e c t e d L i n k > f a l s e < / P r o t e c t e d L i n k >  
         < N a m e > 2 8 1 0 1   T B   @   3 1 . 1 2 . 2 0 2 0   1 9 4 x   F i n a l < / N a m e >  
         < E n t i t y E n u m > 9 < / E n t i t y E n u m >  
         < I t e m O r d e r L i s t / >  
         < S e l e c t e d I t e m L i s t / >  
         < S e l e c t e d C o l u m n L i s t / >  
         < H a s V a l u e > t r u e < / H a s V a l u e >  
         < T B C h a r t I D > 3 0 0 1 4 7 8 6 4 3 4 0 0 0 0 0 4 9 4 < / T B C h a r t I D >  
         < C o n s o l i d a t e d C o m p a n y I D   x s i : n i l = " t r u e " / >  
         < T B D o c u m e n t I D > 3 0 0 1 4 7 8 6 4 3 4 0 0 0 0 0 0 9 9 < / T B D o c u m e n t I D >  
         < N u m e r i c V a l u e > - 9 8 0 4 7 . 0 0 0 0 < / N u m e r i c V a l u e >  
         < V a l u e > - 9 8 0 4 7 , 0 0 0 0 < / V a l u e >  
         < C h a r t T y p e > c t D e t a i l < / C h a r t T y p e >  
         < R e f e r e n c e > 2 8 1 0 1 < / R e f e r e n c e >  
         < T B D o c N a m e > T B   @   3 1 . 1 2 . 2 0 2 0 < / T B D o c N a m e >  
         < T B C h a r t N a m e > D e t a i l < / T B C h a r t N a m e >  
         < C o l u m n N a m e > F i n a l B a l a n c e < / C o l u m n N a m e >  
         < U s e r F r i e n d l y C o l u m n N a m e > F i n a l < / U s e r F r i e n d l y C o l u m n N a m e >  
         < A c c o u n t N u m b e r > 1 9 4 x < / A c c o u n t N u m b e r >  
         < R o u n d e d > f a l s e < / R o u n d e d >  
     < / T B L i n k >  
     < T B L i n k >  
         < V e r s i o n > 4 < / V e r s i o n >  
         < C o l u m n F i l t e r s / >  
         < D A L i n k I D > 4 1 6 5 2 7 b e - 4 6 0 3 - 4 c 5 b - 9 d 0 1 - 2 1 5 f 7 0 f d a 4 2 6 < / D A L i n k I D >  
         < L i n k T y p e > 0 < / L i n k T y p e >  
         < P a r a m e t e r s / >  
         < I n c l u d e A l l I t e m s > f a l s e < / I n c l u d e A l l I t e m s >  
         < A c t i v e > t r u e < / A c t i v e >  
         < P r o t e c t e d L i n k > f a l s e < / P r o t e c t e d L i n k >  
         < N a m e > 2 8 1 0 1   T B   @   3 1 . 1 2 . 2 0 2 0   1 9 5 x 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 1 9 5 x < / A c c o u n t N u m b e r >  
         < R o u n d e d > f a l s e < / R o u n d e d >  
     < / T B L i n k >  
     < T B L i n k >  
         < V e r s i o n > 4 < / V e r s i o n >  
         < C o l u m n F i l t e r s / >  
         < D A L i n k I D > 2 8 9 4 1 7 9 8 - 6 3 3 3 - 4 7 8 7 - 8 3 3 d - c 3 a a 1 3 a 5 4 3 5 7 < / D A L i n k I D >  
         < L i n k T y p e > 0 < / L i n k T y p e >  
         < P a r a m e t e r s / >  
         < I n c l u d e A l l I t e m s > f a l s e < / I n c l u d e A l l I t e m s >  
         < A c t i v e > t r u e < / A c t i v e >  
         < P r o t e c t e d L i n k > f a l s e < / P r o t e c t e d L i n k >  
         < N a m e > 2 8 1 0 1   T B   @   3 1 . 1 2 . 2 0 2 0   1 9 6 x 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 1 9 6 x < / A c c o u n t N u m b e r >  
         < R o u n d e d > f a l s e < / R o u n d e d >  
     < / T B L i n k >  
     < T B L i n k >  
         < V e r s i o n > 4 < / V e r s i o n >  
         < C o l u m n F i l t e r s / >  
         < D A L i n k I D > e 7 b a 5 e f f - 1 b b 9 - 4 2 c e - a 7 3 d - 5 8 5 9 4 5 a b 6 e 1 a < / D A L i n k I D >  
         < L i n k T y p e > 0 < / L i n k T y p e >  
         < P a r a m e t e r s / >  
         < I n c l u d e A l l I t e m s > f a l s e < / I n c l u d e A l l I t e m s >  
         < A c t i v e > t r u e < / A c t i v e >  
         < P r o t e c t e d L i n k > f a l s e < / P r o t e c t e d L i n k >  
         < N a m e > 2 8 1 0 1   T B   @   3 1 . 1 2 . 2 0 2 0   2 1 1 x   F i n a l < / N a m e >  
         < E n t i t y E n u m > 9 < / E n t i t y E n u m >  
         < I t e m O r d e r L i s t / >  
         < S e l e c t e d I t e m L i s t / >  
         < S e l e c t e d C o l u m n L i s t / >  
         < H a s V a l u e > t r u e < / H a s V a l u e >  
         < T B C h a r t I D > 3 0 0 1 4 7 8 6 4 3 4 0 0 0 0 0 4 9 4 < / T B C h a r t I D >  
         < C o n s o l i d a t e d C o m p a n y I D   x s i : n i l = " t r u e " / >  
         < T B D o c u m e n t I D > 3 0 0 1 4 7 8 6 4 3 4 0 0 0 0 0 0 9 9 < / T B D o c u m e n t I D >  
         < N u m e r i c V a l u e > 4 0 2 1 . 0 0 0 0 < / N u m e r i c V a l u e >  
         < V a l u e > 4 0 2 1 , 0 0 0 0 < / V a l u e >  
         < C h a r t T y p e > c t D e t a i l < / C h a r t T y p e >  
         < R e f e r e n c e > 2 8 1 0 1 < / R e f e r e n c e >  
         < T B D o c N a m e > T B   @   3 1 . 1 2 . 2 0 2 0 < / T B D o c N a m e >  
         < T B C h a r t N a m e > D e t a i l < / T B C h a r t N a m e >  
         < C o l u m n N a m e > F i n a l B a l a n c e < / C o l u m n N a m e >  
         < U s e r F r i e n d l y C o l u m n N a m e > F i n a l < / U s e r F r i e n d l y C o l u m n N a m e >  
         < A c c o u n t N u m b e r > 2 1 1 x < / A c c o u n t N u m b e r >  
         < R o u n d e d > f a l s e < / R o u n d e d >  
     < / T B L i n k >  
     < T B L i n k >  
         < V e r s i o n > 4 < / V e r s i o n >  
         < C o l u m n F i l t e r s / >  
         < D A L i n k I D > 2 5 8 6 2 7 3 8 - a 3 f 2 - 4 5 7 c - 9 9 3 1 - 2 9 a d c 7 5 4 7 2 e c < / D A L i n k I D >  
         < L i n k T y p e > 0 < / L i n k T y p e >  
         < P a r a m e t e r s / >  
         < I n c l u d e A l l I t e m s > f a l s e < / I n c l u d e A l l I t e m s >  
         < A c t i v e > t r u e < / A c t i v e >  
         < P r o t e c t e d L i n k > f a l s e < / P r o t e c t e d L i n k >  
         < N a m e > 2 8 1 0 1   T B   @   3 1 . 1 2 . 2 0 2 0   2 1 3 x 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 2 1 3 x < / A c c o u n t N u m b e r >  
         < R o u n d e d > f a l s e < / R o u n d e d >  
     < / T B L i n k >  
     < T B L i n k >  
         < V e r s i o n > 4 < / V e r s i o n >  
         < C o l u m n F i l t e r s / >  
         < D A L i n k I D > 7 4 b 8 c f 8 d - 1 7 d f - 4 a 6 1 - 9 1 9 8 - 3 2 1 4 e d e 7 8 b a e < / D A L i n k I D >  
         < L i n k T y p e > 0 < / L i n k T y p e >  
         < P a r a m e t e r s / >  
         < I n c l u d e A l l I t e m s > f a l s e < / I n c l u d e A l l I t e m s >  
         < A c t i v e > t r u e < / A c t i v e >  
         < P r o t e c t e d L i n k > f a l s e < / P r o t e c t e d L i n k >  
         < N a m e > 2 8 1 0 1   T B   @   3 1 . 1 2 . 2 0 2 0   2 2 1 a   F i n a l < / N a m e >  
         < E n t i t y E n u m > 9 < / E n t i t y E n u m >  
         < I t e m O r d e r L i s t / >  
         < S e l e c t e d I t e m L i s t / >  
         < S e l e c t e d C o l u m n L i s t / >  
         < H a s V a l u e > t r u e < / H a s V a l u e >  
         < T B C h a r t I D > 3 0 0 1 4 7 8 6 4 3 4 0 0 0 0 0 4 9 4 < / T B C h a r t I D >  
         < C o n s o l i d a t e d C o m p a n y I D   x s i : n i l = " t r u e " / >  
         < T B D o c u m e n t I D > 3 0 0 1 4 7 8 6 4 3 4 0 0 0 0 0 0 9 9 < / T B D o c u m e n t I D >  
         < N u m e r i c V a l u e > 1 8 9 0 9 . 0 0 0 0 < / N u m e r i c V a l u e >  
         < V a l u e > 1 8 9 0 9 , 0 0 0 0 < / V a l u e >  
         < C h a r t T y p e > c t D e t a i l < / C h a r t T y p e >  
         < R e f e r e n c e > 2 8 1 0 1 < / R e f e r e n c e >  
         < T B D o c N a m e > T B   @   3 1 . 1 2 . 2 0 2 0 < / T B D o c N a m e >  
         < T B C h a r t N a m e > D e t a i l < / T B C h a r t N a m e >  
         < C o l u m n N a m e > F i n a l B a l a n c e < / C o l u m n N a m e >  
         < U s e r F r i e n d l y C o l u m n N a m e > F i n a l < / U s e r F r i e n d l y C o l u m n N a m e >  
         < A c c o u n t N u m b e r > 2 2 1 a < / A c c o u n t N u m b e r >  
         < R o u n d e d > f a l s e < / R o u n d e d >  
     < / T B L i n k >  
     < T B L i n k >  
         < V e r s i o n > 4 < / V e r s i o n >  
         < C o l u m n F i l t e r s / >  
         < D A L i n k I D > 1 6 e 5 d 2 a 9 - 1 2 6 b - 4 4 2 5 - 8 c 6 2 - a 3 e 1 3 0 f 8 4 1 3 0 < / D A L i n k I D >  
         < L i n k T y p e > 0 < / L i n k T y p e >  
         < P a r a m e t e r s / >  
         < I n c l u d e A l l I t e m s > f a l s e < / I n c l u d e A l l I t e m s >  
         < A c t i v e > t r u e < / A c t i v e >  
         < P r o t e c t e d L i n k > f a l s e < / P r o t e c t e d L i n k >  
         < N a m e > 2 8 1 0 1   T B   @   3 1 . 1 2 . 2 0 2 0   2 2 1 b 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 2 2 1 b < / A c c o u n t N u m b e r >  
         < R o u n d e d > f a l s e < / R o u n d e d >  
     < / T B L i n k >  
     < T B L i n k >  
         < V e r s i o n > 4 < / V e r s i o n >  
         < C o l u m n F i l t e r s / >  
         < D A L i n k I D > 5 e 8 c 0 3 3 6 - c 6 0 0 - 4 1 2 0 - b 9 8 3 - d 6 6 f 8 4 6 f b 3 6 0 < / D A L i n k I D >  
         < L i n k T y p e > 0 < / L i n k T y p e >  
         < P a r a m e t e r s / >  
         < I n c l u d e A l l I t e m s > f a l s e < / I n c l u d e A l l I t e m s >  
         < A c t i v e > t r u e < / A c t i v e >  
         < P r o t e c t e d L i n k > f a l s e < / P r o t e c t e d L i n k >  
         < N a m e > 2 8 1 0 1   T B   @   3 1 . 1 2 . 2 0 2 0   2 2 1 c 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 2 2 1 c < / A c c o u n t N u m b e r >  
         < R o u n d e d > f a l s e < / R o u n d e d >  
     < / T B L i n k >  
     < T B L i n k >  
         < V e r s i o n > 4 < / V e r s i o n >  
         < C o l u m n F i l t e r s / >  
         < D A L i n k I D > 5 8 9 6 2 6 3 0 - a 1 1 0 - 4 5 4 9 - a 7 a 4 - b a 2 3 7 0 a 9 5 c f 8 < / D A L i n k I D >  
         < L i n k T y p e > 0 < / L i n k T y p e >  
         < P a r a m e t e r s / >  
         < I n c l u d e A l l I t e m s > f a l s e < / I n c l u d e A l l I t e m s >  
         < A c t i v e > t r u e < / A c t i v e >  
         < P r o t e c t e d L i n k > f a l s e < / P r o t e c t e d L i n k >  
         < N a m e > 2 8 1 0 1   T B   @   3 1 . 1 2 . 2 0 2 0   2 3 1 x   F i n a l < / N a m e >  
         < E n t i t y E n u m > 9 < / E n t i t y E n u m >  
         < I t e m O r d e r L i s t / >  
         < S e l e c t e d I t e m L i s t / >  
         < S e l e c t e d C o l u m n L i s t / >  
         < H a s V a l u e > t r u e < / H a s V a l u e >  
         < T B C h a r t I D > 3 0 0 1 4 7 8 6 4 3 4 0 0 0 0 0 4 9 4 < / T B C h a r t I D >  
         < C o n s o l i d a t e d C o m p a n y I D   x s i : n i l = " t r u e " / >  
         < T B D o c u m e n t I D > 3 0 0 1 4 7 8 6 4 3 4 0 0 0 0 0 0 9 9 < / T B D o c u m e n t I D >  
         < N u m e r i c V a l u e > - 6 6 8 1 9 1 5 . 0 0 0 0 < / N u m e r i c V a l u e >  
         < V a l u e > - 6 6 8 1 9 1 5 , 0 0 0 0 < / V a l u e >  
         < C h a r t T y p e > c t D e t a i l < / C h a r t T y p e >  
         < R e f e r e n c e > 2 8 1 0 1 < / R e f e r e n c e >  
         < T B D o c N a m e > T B   @   3 1 . 1 2 . 2 0 2 0 < / T B D o c N a m e >  
         < T B C h a r t N a m e > D e t a i l < / T B C h a r t N a m e >  
         < C o l u m n N a m e > F i n a l B a l a n c e < / C o l u m n N a m e >  
         < U s e r F r i e n d l y C o l u m n N a m e > F i n a l < / U s e r F r i e n d l y C o l u m n N a m e >  
         < A c c o u n t N u m b e r > 2 3 1 x < / A c c o u n t N u m b e r >  
         < R o u n d e d > f a l s e < / R o u n d e d >  
     < / T B L i n k >  
     < T B L i n k >  
         < V e r s i o n > 4 < / V e r s i o n >  
         < C o l u m n F i l t e r s / >  
         < D A L i n k I D > 9 1 c c 4 c c b - 2 7 1 8 - 4 6 6 c - 9 9 9 3 - 0 e b a 3 1 e f 9 3 9 1 < / D A L i n k I D >  
         < L i n k T y p e > 0 < / L i n k T y p e >  
         < P a r a m e t e r s / >  
         < I n c l u d e A l l I t e m s > f a l s e < / I n c l u d e A l l I t e m s >  
         < A c t i v e > t r u e < / A c t i v e >  
         < P r o t e c t e d L i n k > f a l s e < / P r o t e c t e d L i n k >  
         < N a m e > 2 8 1 0 1   T B   @   3 1 . 1 2 . 2 0 2 0   2 3 2 x 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 2 3 2 x < / A c c o u n t N u m b e r >  
         < R o u n d e d > f a l s e < / R o u n d e d >  
     < / T B L i n k >  
     < T B L i n k >  
         < V e r s i o n > 4 < / V e r s i o n >  
         < C o l u m n F i l t e r s / >  
         < D A L i n k I D > 1 5 4 f c 1 0 f - 0 1 b 9 - 4 5 0 1 - b 5 6 7 - 1 b 9 9 6 f b 9 7 4 9 a < / D A L i n k I D >  
         < L i n k T y p e > 0 < / L i n k T y p e >  
         < P a r a m e t e r s / >  
         < I n c l u d e A l l I t e m s > f a l s e < / I n c l u d e A l l I t e m s >  
         < A c t i v e > t r u e < / A c t i v e >  
         < P r o t e c t e d L i n k > f a l s e < / P r o t e c t e d L i n k >  
         < N a m e > 2 8 1 0 1   T B   @   3 1 . 1 2 . 2 0 2 0   2 4 1 x 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 2 4 1 x < / A c c o u n t N u m b e r >  
         < R o u n d e d > f a l s e < / R o u n d e d >  
     < / T B L i n k >  
     < T B L i n k >  
         < V e r s i o n > 4 < / V e r s i o n >  
         < C o l u m n F i l t e r s / >  
         < D A L i n k I D > f 4 d b 2 c 3 2 - 3 8 3 c - 4 f f f - 9 3 a 4 - 4 f 7 e 4 f 1 a a 0 f e < / D A L i n k I D >  
         < L i n k T y p e > 0 < / L i n k T y p e >  
         < P a r a m e t e r s / >  
         < I n c l u d e A l l I t e m s > f a l s e < / I n c l u d e A l l I t e m s >  
         < A c t i v e > t r u e < / A c t i v e >  
         < P r o t e c t e d L i n k > f a l s e < / P r o t e c t e d L i n k >  
         < N a m e > 2 8 1 0 1   T B   @   3 1 . 1 2 . 2 0 2 0   2 4 9 x 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 2 4 9 x < / A c c o u n t N u m b e r >  
         < R o u n d e d > f a l s e < / R o u n d e d >  
     < / T B L i n k >  
     < T B L i n k >  
         < V e r s i o n > 4 < / V e r s i o n >  
         < C o l u m n F i l t e r s / >  
         < D A L i n k I D > 9 9 4 4 f 7 9 5 - 5 4 1 b - 4 b 1 d - a 6 a 8 - a 9 e 1 a b 9 0 0 7 9 2 < / D A L i n k I D >  
         < L i n k T y p e > 0 < / L i n k T y p e >  
         < P a r a m e t e r s / >  
         < I n c l u d e A l l I t e m s > f a l s e < / I n c l u d e A l l I t e m s >  
         < A c t i v e > t r u e < / A c t i v e >  
         < P r o t e c t e d L i n k > f a l s e < / P r o t e c t e d L i n k >  
         < N a m e > 2 8 1 0 1   T B   @   3 1 . 1 2 . 2 0 2 0   2 5 1 a 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 2 5 1 a < / A c c o u n t N u m b e r >  
         < R o u n d e d > f a l s e < / R o u n d e d >  
     < / T B L i n k >  
     < T B L i n k >  
         < V e r s i o n > 4 < / V e r s i o n >  
         < C o l u m n F i l t e r s / >  
         < D A L i n k I D > 4 3 1 a 6 8 8 3 - 0 8 0 9 - 4 7 4 7 - 9 8 9 4 - 7 a 8 9 5 c 7 e 8 b 1 c < / D A L i n k I D >  
         < L i n k T y p e > 0 < / L i n k T y p e >  
         < P a r a m e t e r s / >  
         < I n c l u d e A l l I t e m s > f a l s e < / I n c l u d e A l l I t e m s >  
         < A c t i v e > t r u e < / A c t i v e >  
         < P r o t e c t e d L i n k > f a l s e < / P r o t e c t e d L i n k >  
         < N a m e > 2 8 1 0 1   T B   @   3 1 . 1 2 . 2 0 2 0   2 5 1 b 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 2 5 1 b < / A c c o u n t N u m b e r >  
         < R o u n d e d > f a l s e < / R o u n d e d >  
     < / T B L i n k >  
     < T B L i n k >  
         < V e r s i o n > 4 < / V e r s i o n >  
         < C o l u m n F i l t e r s / >  
         < D A L i n k I D > 2 9 f e f 2 2 9 - 4 8 a b - 4 6 2 6 - 9 d 0 8 - 4 4 5 8 2 1 8 1 7 b e a < / D A L i n k I D >  
         < L i n k T y p e > 0 < / L i n k T y p e >  
         < P a r a m e t e r s / >  
         < I n c l u d e A l l I t e m s > f a l s e < / I n c l u d e A l l I t e m s >  
         < A c t i v e > t r u e < / A c t i v e >  
         < P r o t e c t e d L i n k > f a l s e < / P r o t e c t e d L i n k >  
         < N a m e > 2 8 1 0 1   T B   @   3 1 . 1 2 . 2 0 2 0   2 5 2 x 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 2 5 2 x < / A c c o u n t N u m b e r >  
         < R o u n d e d > f a l s e < / R o u n d e d >  
     < / T B L i n k >  
     < T B L i n k >  
         < V e r s i o n > 4 < / V e r s i o n >  
         < C o l u m n F i l t e r s / >  
         < D A L i n k I D > 9 4 7 6 0 9 0 0 - d b 0 8 - 4 7 1 c - 8 7 5 6 - f 3 3 8 e b 7 e 9 e 4 6 < / D A L i n k I D >  
         < L i n k T y p e > 0 < / L i n k T y p e >  
         < P a r a m e t e r s / >  
         < I n c l u d e A l l I t e m s > f a l s e < / I n c l u d e A l l I t e m s >  
         < A c t i v e > t r u e < / A c t i v e >  
         < P r o t e c t e d L i n k > f a l s e < / P r o t e c t e d L i n k >  
         < N a m e > 2 8 1 0 1   T B   @   3 1 . 1 2 . 2 0 2 0   2 5 3 a 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 2 5 3 a < / A c c o u n t N u m b e r >  
         < R o u n d e d > f a l s e < / R o u n d e d >  
     < / T B L i n k >  
     < T B L i n k >  
         < V e r s i o n > 4 < / V e r s i o n >  
         < C o l u m n F i l t e r s / >  
         < D A L i n k I D > c 0 b 9 e 4 2 b - c 3 e 0 - 4 a 5 6 - b 1 5 4 - 8 1 2 5 4 1 c 8 b 3 d f < / D A L i n k I D >  
         < L i n k T y p e > 0 < / L i n k T y p e >  
         < P a r a m e t e r s / >  
         < I n c l u d e A l l I t e m s > f a l s e < / I n c l u d e A l l I t e m s >  
         < A c t i v e > t r u e < / A c t i v e >  
         < P r o t e c t e d L i n k > f a l s e < / P r o t e c t e d L i n k >  
         < N a m e > 2 8 1 0 1   T B   @   3 1 . 1 2 . 2 0 2 0   2 5 3 b 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 2 5 3 b < / A c c o u n t N u m b e r >  
         < R o u n d e d > f a l s e < / R o u n d e d >  
     < / T B L i n k >  
     < T B L i n k >  
         < V e r s i o n > 4 < / V e r s i o n >  
         < C o l u m n F i l t e r s / >  
         < D A L i n k I D > b d 2 8 2 5 1 7 - 3 c 0 3 - 4 e d 7 - a 7 a 4 - 0 9 2 4 3 8 c 1 3 d 4 e < / D A L i n k I D >  
         < L i n k T y p e > 0 < / L i n k T y p e >  
         < P a r a m e t e r s / >  
         < I n c l u d e A l l I t e m s > f a l s e < / I n c l u d e A l l I t e m s >  
         < A c t i v e > t r u e < / A c t i v e >  
         < P r o t e c t e d L i n k > f a l s e < / P r o t e c t e d L i n k >  
         < N a m e > 2 8 1 0 1   T B   @   3 1 . 1 2 . 2 0 2 0   2 5 5 a 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 2 5 5 a < / A c c o u n t N u m b e r >  
         < R o u n d e d > f a l s e < / R o u n d e d >  
     < / T B L i n k >  
     < T B L i n k >  
         < V e r s i o n > 4 < / V e r s i o n >  
         < C o l u m n F i l t e r s / >  
         < D A L i n k I D > 0 7 9 5 f 2 4 9 - b d 3 2 - 4 c 7 f - b c 2 d - 1 6 7 8 d e 7 4 0 e 0 1 < / D A L i n k I D >  
         < L i n k T y p e > 0 < / L i n k T y p e >  
         < P a r a m e t e r s / >  
         < I n c l u d e A l l I t e m s > f a l s e < / I n c l u d e A l l I t e m s >  
         < A c t i v e > t r u e < / A c t i v e >  
         < P r o t e c t e d L i n k > f a l s e < / P r o t e c t e d L i n k >  
         < N a m e > 2 8 1 0 1   T B   @   3 1 . 1 2 . 2 0 2 0   2 5 5 b 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 2 5 5 b < / A c c o u n t N u m b e r >  
         < R o u n d e d > f a l s e < / R o u n d e d >  
     < / T B L i n k >  
     < T B L i n k >  
         < V e r s i o n > 4 < / V e r s i o n >  
         < C o l u m n F i l t e r s / >  
         < D A L i n k I D > c 1 f e a 8 f 2 - 8 3 c 9 - 4 7 5 1 - 8 8 5 8 - c 8 6 c f 8 6 d 5 5 a 4 < / D A L i n k I D >  
         < L i n k T y p e > 0 < / L i n k T y p e >  
         < P a r a m e t e r s / >  
         < I n c l u d e A l l I t e m s > f a l s e < / I n c l u d e A l l I t e m s >  
         < A c t i v e > t r u e < / A c t i v e >  
         < P r o t e c t e d L i n k > f a l s e < / P r o t e c t e d L i n k >  
         < N a m e > 2 8 1 0 1   T B   @   3 1 . 1 2 . 2 0 2 0   2 5 6 a 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 2 5 6 a < / A c c o u n t N u m b e r >  
         < R o u n d e d > f a l s e < / R o u n d e d >  
     < / T B L i n k >  
     < T B L i n k >  
         < V e r s i o n > 4 < / V e r s i o n >  
         < C o l u m n F i l t e r s / >  
         < D A L i n k I D > 4 e e d 6 3 a 4 - f c 3 8 - 4 5 e a - b b d c - 5 3 3 4 b 0 e a 5 3 9 3 < / D A L i n k I D >  
         < L i n k T y p e > 0 < / L i n k T y p e >  
         < P a r a m e t e r s / >  
         < I n c l u d e A l l I t e m s > f a l s e < / I n c l u d e A l l I t e m s >  
         < A c t i v e > t r u e < / A c t i v e >  
         < P r o t e c t e d L i n k > f a l s e < / P r o t e c t e d L i n k >  
         < N a m e > 2 8 1 0 1   T B   @   3 1 . 1 2 . 2 0 2 0   2 5 6 b 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 2 5 6 b < / A c c o u n t N u m b e r >  
         < R o u n d e d > f a l s e < / R o u n d e d >  
     < / T B L i n k >  
     < T B L i n k >  
         < V e r s i o n > 4 < / V e r s i o n >  
         < C o l u m n F i l t e r s / >  
         < D A L i n k I D > e 1 8 2 f 0 4 4 - b 2 d c - 4 e c 7 - b 5 e a - 0 f 2 9 d 9 8 3 a 4 e 7 < / D A L i n k I D >  
         < L i n k T y p e > 0 < / L i n k T y p e >  
         < P a r a m e t e r s / >  
         < I n c l u d e A l l I t e m s > f a l s e < / I n c l u d e A l l I t e m s >  
         < A c t i v e > t r u e < / A c t i v e >  
         < P r o t e c t e d L i n k > f a l s e < / P r o t e c t e d L i n k >  
         < N a m e > 2 8 1 0 1   T B   @   3 1 . 1 2 . 2 0 2 0   2 5 7 a 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 2 5 7 a < / A c c o u n t N u m b e r >  
         < R o u n d e d > f a l s e < / R o u n d e d >  
     < / T B L i n k >  
     < T B L i n k >  
         < V e r s i o n > 4 < / V e r s i o n >  
         < C o l u m n F i l t e r s / >  
         < D A L i n k I D > 1 2 4 6 d 2 7 a - 9 5 f 9 - 4 4 d d - a 2 7 0 - 3 a d a 9 5 1 3 f 6 4 9 < / D A L i n k I D >  
         < L i n k T y p e > 0 < / L i n k T y p e >  
         < P a r a m e t e r s / >  
         < I n c l u d e A l l I t e m s > f a l s e < / I n c l u d e A l l I t e m s >  
         < A c t i v e > t r u e < / A c t i v e >  
         < P r o t e c t e d L i n k > f a l s e < / P r o t e c t e d L i n k >  
         < N a m e > 2 8 1 0 1   T B   @   3 1 . 1 2 . 2 0 2 0   2 5 7 b 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 2 5 7 b < / A c c o u n t N u m b e r >  
         < R o u n d e d > f a l s e < / R o u n d e d >  
     < / T B L i n k >  
     < T B L i n k >  
         < V e r s i o n > 4 < / V e r s i o n >  
         < C o l u m n F i l t e r s / >  
         < D A L i n k I D > 5 d 8 6 4 4 f c - 9 2 1 c - 4 3 2 2 - a e 4 9 - 4 a 1 e c 6 7 2 7 e 7 4 < / D A L i n k I D >  
         < L i n k T y p e > 0 < / L i n k T y p e >  
         < P a r a m e t e r s / >  
         < I n c l u d e A l l I t e m s > f a l s e < / I n c l u d e A l l I t e m s >  
         < A c t i v e > t r u e < / A c t i v e >  
         < P r o t e c t e d L i n k > f a l s e < / P r o t e c t e d L i n k >  
         < N a m e > 2 8 1 0 1   T B   @   3 1 . 1 2 . 2 0 2 0   2 5 9 x 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 2 5 9 x < / A c c o u n t N u m b e r >  
         < R o u n d e d > f a l s e < / R o u n d e d >  
     < / T B L i n k >  
     < T B L i n k >  
         < V e r s i o n > 4 < / V e r s i o n >  
         < C o l u m n F i l t e r s / >  
         < D A L i n k I D > 9 5 d c 1 6 4 a - e 1 0 a - 4 2 a 1 - a 7 3 7 - 4 d 1 b 7 1 d 8 6 d c 1 < / D A L i n k I D >  
         < L i n k T y p e > 0 < / L i n k T y p e >  
         < P a r a m e t e r s / >  
         < I n c l u d e A l l I t e m s > f a l s e < / I n c l u d e A l l I t e m s >  
         < A c t i v e > t r u e < / A c t i v e >  
         < P r o t e c t e d L i n k > f a l s e < / P r o t e c t e d L i n k >  
         < N a m e > 2 8 1 0 1   T B   @   3 1 . 1 2 . 2 0 2 0   2 6 1 x 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 2 6 1 x < / A c c o u n t N u m b e r >  
         < R o u n d e d > f a l s e < / R o u n d e d >  
     < / T B L i n k >  
     < T B L i n k >  
         < V e r s i o n > 4 < / V e r s i o n >  
         < C o l u m n F i l t e r s / >  
         < D A L i n k I D > 0 3 3 b 3 2 b a - 2 b d 5 - 4 d c 5 - a 6 9 0 - 9 4 8 5 2 1 5 5 b f 9 c < / D A L i n k I D >  
         < L i n k T y p e > 0 < / L i n k T y p e >  
         < P a r a m e t e r s / >  
         < I n c l u d e A l l I t e m s > f a l s e < / I n c l u d e A l l I t e m s >  
         < A c t i v e > t r u e < / A c t i v e >  
         < P r o t e c t e d L i n k > f a l s e < / P r o t e c t e d L i n k >  
         < N a m e > 2 8 1 0 1   T B   @   3 1 . 1 2 . 2 0 2 0   2 9 1 a 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 2 9 1 a < / A c c o u n t N u m b e r >  
         < R o u n d e d > f a l s e < / R o u n d e d >  
     < / T B L i n k >  
     < T B L i n k >  
         < V e r s i o n > 4 < / V e r s i o n >  
         < C o l u m n F i l t e r s / >  
         < D A L i n k I D > 6 b 9 a b 5 f 1 - 9 5 e 3 - 4 b 3 b - a 4 3 3 - 4 2 2 e 6 1 e 0 4 0 d 3 < / D A L i n k I D >  
         < L i n k T y p e > 0 < / L i n k T y p e >  
         < P a r a m e t e r s / >  
         < I n c l u d e A l l I t e m s > f a l s e < / I n c l u d e A l l I t e m s >  
         < A c t i v e > t r u e < / A c t i v e >  
         < P r o t e c t e d L i n k > f a l s e < / P r o t e c t e d L i n k >  
         < N a m e > 2 8 1 0 1   T B   @   3 1 . 1 2 . 2 0 2 0   2 9 1 b 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 2 9 1 b < / A c c o u n t N u m b e r >  
         < R o u n d e d > f a l s e < / R o u n d e d >  
     < / T B L i n k >  
     < T B L i n k >  
         < V e r s i o n > 4 < / V e r s i o n >  
         < C o l u m n F i l t e r s / >  
         < D A L i n k I D > c e 1 9 e 8 4 9 - c 8 4 5 - 4 4 2 b - 8 e f 1 - 1 6 5 6 c 1 e e d c b 2 < / D A L i n k I D >  
         < L i n k T y p e > 0 < / L i n k T y p e >  
         < P a r a m e t e r s / >  
         < I n c l u d e A l l I t e m s > f a l s e < / I n c l u d e A l l I t e m s >  
         < A c t i v e > t r u e < / A c t i v e >  
         < P r o t e c t e d L i n k > f a l s e < / P r o t e c t e d L i n k >  
         < N a m e > 2 8 1 0 1   T B   @   3 1 . 1 2 . 2 0 2 0   2 9 1 c 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 2 9 1 c < / A c c o u n t N u m b e r >  
         < R o u n d e d > f a l s e < / R o u n d e d >  
     < / T B L i n k >  
     < T B L i n k >  
         < V e r s i o n > 4 < / V e r s i o n >  
         < C o l u m n F i l t e r s / >  
         < D A L i n k I D > a 0 b f 0 d f 4 - 3 e 8 e - 4 4 5 b - 8 8 7 5 - 7 1 f a b e 2 8 a e b 7 < / D A L i n k I D >  
         < L i n k T y p e > 0 < / L i n k T y p e >  
         < P a r a m e t e r s / >  
         < I n c l u d e A l l I t e m s > f a l s e < / I n c l u d e A l l I t e m s >  
         < A c t i v e > t r u e < / A c t i v e >  
         < P r o t e c t e d L i n k > f a l s e < / P r o t e c t e d L i n k >  
         < N a m e > 2 8 1 0 1   T B   @   3 1 . 1 2 . 2 0 2 0   3 1 1 a 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 3 1 1 a < / A c c o u n t N u m b e r >  
         < R o u n d e d > f a l s e < / R o u n d e d >  
     < / T B L i n k >  
     < T B L i n k >  
         < V e r s i o n > 4 < / V e r s i o n >  
         < C o l u m n F i l t e r s / >  
         < D A L i n k I D > a b 6 b 5 7 e 6 - e 3 0 4 - 4 c 1 8 - b 3 9 5 - b 7 c 4 4 1 0 b e 6 9 c < / D A L i n k I D >  
         < L i n k T y p e > 0 < / L i n k T y p e >  
         < P a r a m e t e r s / >  
         < I n c l u d e A l l I t e m s > f a l s e < / I n c l u d e A l l I t e m s >  
         < A c t i v e > t r u e < / A c t i v e >  
         < P r o t e c t e d L i n k > f a l s e < / P r o t e c t e d L i n k >  
         < N a m e > 2 8 1 0 1   T B   @   3 1 . 1 2 . 2 0 2 0   3 1 1 b 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 3 1 1 b < / A c c o u n t N u m b e r >  
         < R o u n d e d > f a l s e < / R o u n d e d >  
     < / T B L i n k >  
     < T B L i n k >  
         < V e r s i o n > 4 < / V e r s i o n >  
         < C o l u m n F i l t e r s / >  
         < D A L i n k I D > b 5 c b d f 9 b - 3 9 6 8 - 4 8 b 8 - a d 7 5 - d 9 0 4 c 6 3 6 a 0 f 2 < / D A L i n k I D >  
         < L i n k T y p e > 0 < / L i n k T y p e >  
         < P a r a m e t e r s / >  
         < I n c l u d e A l l I t e m s > f a l s e < / I n c l u d e A l l I t e m s >  
         < A c t i v e > t r u e < / A c t i v e >  
         < P r o t e c t e d L i n k > f a l s e < / P r o t e c t e d L i n k >  
         < N a m e > 2 8 1 0 1   T B   @   3 1 . 1 2 . 2 0 2 0   3 1 1 c 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 3 1 1 c < / A c c o u n t N u m b e r >  
         < R o u n d e d > f a l s e < / R o u n d e d >  
     < / T B L i n k >  
     < T B L i n k >  
         < V e r s i o n > 4 < / V e r s i o n >  
         < C o l u m n F i l t e r s / >  
         < D A L i n k I D > c a 5 0 8 c 6 1 - 2 5 9 b - 4 f 5 7 - a 8 6 7 - 9 e 8 e a d 6 b 4 c a d < / D A L i n k I D >  
         < L i n k T y p e > 0 < / L i n k T y p e >  
         < P a r a m e t e r s / >  
         < I n c l u d e A l l I t e m s > f a l s e < / I n c l u d e A l l I t e m s >  
         < A c t i v e > t r u e < / A c t i v e >  
         < P r o t e c t e d L i n k > f a l s e < / P r o t e c t e d L i n k >  
         < N a m e > 2 8 1 0 1   T B   @   3 1 . 1 2 . 2 0 2 0   3 1 1 d   F i n a l < / N a m e >  
         < E n t i t y E n u m > 9 < / E n t i t y E n u m >  
         < I t e m O r d e r L i s t / >  
         < S e l e c t e d I t e m L i s t / >  
         < S e l e c t e d C o l u m n L i s t / >  
         < H a s V a l u e > t r u e < / H a s V a l u e >  
         < T B C h a r t I D > 3 0 0 1 4 7 8 6 4 3 4 0 0 0 0 0 4 9 4 < / T B C h a r t I D >  
         < C o n s o l i d a t e d C o m p a n y I D   x s i : n i l = " t r u e " / >  
         < T B D o c u m e n t I D > 3 0 0 1 4 7 8 6 4 3 4 0 0 0 0 0 0 9 9 < / T B D o c u m e n t I D >  
         < N u m e r i c V a l u e > 1 9 2 8 0 9 . 0 0 0 0 < / N u m e r i c V a l u e >  
         < V a l u e > 1 9 2 8 0 9 , 0 0 0 0 < / V a l u e >  
         < C h a r t T y p e > c t D e t a i l < / C h a r t T y p e >  
         < R e f e r e n c e > 2 8 1 0 1 < / R e f e r e n c e >  
         < T B D o c N a m e > T B   @   3 1 . 1 2 . 2 0 2 0 < / T B D o c N a m e >  
         < T B C h a r t N a m e > D e t a i l < / T B C h a r t N a m e >  
         < C o l u m n N a m e > F i n a l B a l a n c e < / C o l u m n N a m e >  
         < U s e r F r i e n d l y C o l u m n N a m e > F i n a l < / U s e r F r i e n d l y C o l u m n N a m e >  
         < A c c o u n t N u m b e r > 3 1 1 d < / A c c o u n t N u m b e r >  
         < R o u n d e d > f a l s e < / R o u n d e d >  
     < / T B L i n k >  
     < T B L i n k >  
         < V e r s i o n > 4 < / V e r s i o n >  
         < C o l u m n F i l t e r s / >  
         < D A L i n k I D > 6 9 e e 5 5 1 5 - 3 9 8 a - 4 f 3 1 - 9 b 2 f - b d 4 d 0 f e e 4 4 5 6 < / D A L i n k I D >  
         < L i n k T y p e > 0 < / L i n k T y p e >  
         < P a r a m e t e r s / >  
         < I n c l u d e A l l I t e m s > f a l s e < / I n c l u d e A l l I t e m s >  
         < A c t i v e > t r u e < / A c t i v e >  
         < P r o t e c t e d L i n k > f a l s e < / P r o t e c t e d L i n k >  
         < N a m e > 2 8 1 0 1   T B   @   3 1 . 1 2 . 2 0 2 0   3 1 1 e 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 3 1 1 e < / A c c o u n t N u m b e r >  
         < R o u n d e d > f a l s e < / R o u n d e d >  
     < / T B L i n k >  
     < T B L i n k >  
         < V e r s i o n > 4 < / V e r s i o n >  
         < C o l u m n F i l t e r s / >  
         < D A L i n k I D > 6 4 5 c c 7 3 4 - 5 5 b 1 - 4 3 f 3 - a d f 4 - 9 5 f 7 f c d 8 e 3 f 5 < / D A L i n k I D >  
         < L i n k T y p e > 0 < / L i n k T y p e >  
         < P a r a m e t e r s / >  
         < I n c l u d e A l l I t e m s > f a l s e < / I n c l u d e A l l I t e m s >  
         < A c t i v e > t r u e < / A c t i v e >  
         < P r o t e c t e d L i n k > f a l s e < / P r o t e c t e d L i n k >  
         < N a m e > 2 8 1 0 1   T B   @   3 1 . 1 2 . 2 0 2 0   3 1 1 f   F i n a l < / N a m e >  
         < E n t i t y E n u m > 9 < / E n t i t y E n u m >  
         < I t e m O r d e r L i s t / >  
         < S e l e c t e d I t e m L i s t / >  
         < S e l e c t e d C o l u m n L i s t / >  
         < H a s V a l u e > t r u e < / H a s V a l u e >  
         < T B C h a r t I D > 3 0 0 1 4 7 8 6 4 3 4 0 0 0 0 0 4 9 4 < / T B C h a r t I D >  
         < C o n s o l i d a t e d C o m p a n y I D   x s i : n i l = " t r u e " / >  
         < T B D o c u m e n t I D > 3 0 0 1 4 7 8 6 4 3 4 0 0 0 0 0 0 9 9 < / T B D o c u m e n t I D >  
         < N u m e r i c V a l u e > 7 9 8 8 8 . 0 0 0 0 < / N u m e r i c V a l u e >  
         < V a l u e > 7 9 8 8 8 , 0 0 0 0 < / V a l u e >  
         < C h a r t T y p e > c t D e t a i l < / C h a r t T y p e >  
         < R e f e r e n c e > 2 8 1 0 1 < / R e f e r e n c e >  
         < T B D o c N a m e > T B   @   3 1 . 1 2 . 2 0 2 0 < / T B D o c N a m e >  
         < T B C h a r t N a m e > D e t a i l < / T B C h a r t N a m e >  
         < C o l u m n N a m e > F i n a l B a l a n c e < / C o l u m n N a m e >  
         < U s e r F r i e n d l y C o l u m n N a m e > F i n a l < / U s e r F r i e n d l y C o l u m n N a m e >  
         < A c c o u n t N u m b e r > 3 1 1 f < / A c c o u n t N u m b e r >  
         < R o u n d e d > f a l s e < / R o u n d e d >  
     < / T B L i n k >  
     < T B L i n k >  
         < V e r s i o n > 4 < / V e r s i o n >  
         < C o l u m n F i l t e r s / >  
         < D A L i n k I D > 9 2 2 e 0 4 9 7 - c 5 a 2 - 4 6 2 1 - 8 0 c 7 - a 1 6 c b 0 8 f 7 3 5 d < / D A L i n k I D >  
         < L i n k T y p e > 0 < / L i n k T y p e >  
         < P a r a m e t e r s / >  
         < I n c l u d e A l l I t e m s > f a l s e < / I n c l u d e A l l I t e m s >  
         < A c t i v e > t r u e < / A c t i v e >  
         < P r o t e c t e d L i n k > f a l s e < / P r o t e c t e d L i n k >  
         < N a m e > 2 8 1 0 1   T B   @   3 1 . 1 2 . 2 0 2 0   3 1 2 a 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 3 1 2 a < / A c c o u n t N u m b e r >  
         < R o u n d e d > f a l s e < / R o u n d e d >  
     < / T B L i n k >  
     < T B L i n k >  
         < V e r s i o n > 4 < / V e r s i o n >  
         < C o l u m n F i l t e r s / >  
         < D A L i n k I D > 5 2 8 3 5 4 5 5 - 0 4 b 7 - 4 3 b 9 - 9 d 6 3 - 9 b d 6 4 c 1 f 4 e d 8 < / D A L i n k I D >  
         < L i n k T y p e > 0 < / L i n k T y p e >  
         < P a r a m e t e r s / >  
         < I n c l u d e A l l I t e m s > f a l s e < / I n c l u d e A l l I t e m s >  
         < A c t i v e > t r u e < / A c t i v e >  
         < P r o t e c t e d L i n k > f a l s e < / P r o t e c t e d L i n k >  
         < N a m e > 2 8 1 0 1   T B   @   3 1 . 1 2 . 2 0 2 0   3 1 2 b 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 3 1 2 b < / A c c o u n t N u m b e r >  
         < R o u n d e d > f a l s e < / R o u n d e d >  
     < / T B L i n k >  
     < T B L i n k >  
         < V e r s i o n > 4 < / V e r s i o n >  
         < C o l u m n F i l t e r s / >  
         < D A L i n k I D > d f 8 9 9 e 1 1 - 0 8 d 9 - 4 b 1 b - 8 7 9 2 - 4 c 4 c a c f 8 0 8 5 5 < / D A L i n k I D >  
         < L i n k T y p e > 0 < / L i n k T y p e >  
         < P a r a m e t e r s / >  
         < I n c l u d e A l l I t e m s > f a l s e < / I n c l u d e A l l I t e m s >  
         < A c t i v e > t r u e < / A c t i v e >  
         < P r o t e c t e d L i n k > f a l s e < / P r o t e c t e d L i n k >  
         < N a m e > 2 8 1 0 1   T B   @   3 1 . 1 2 . 2 0 2 0   3 1 2 c 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 3 1 2 c < / A c c o u n t N u m b e r >  
         < R o u n d e d > f a l s e < / R o u n d e d >  
     < / T B L i n k >  
     < T B L i n k >  
         < V e r s i o n > 4 < / V e r s i o n >  
         < C o l u m n F i l t e r s / >  
         < D A L i n k I D > 0 8 2 7 6 0 c 5 - 4 9 5 9 - 4 9 e 9 - b 0 0 e - 9 7 2 c e 2 5 1 d 8 7 d < / D A L i n k I D >  
         < L i n k T y p e > 0 < / L i n k T y p e >  
         < P a r a m e t e r s / >  
         < I n c l u d e A l l I t e m s > f a l s e < / I n c l u d e A l l I t e m s >  
         < A c t i v e > t r u e < / A c t i v e >  
         < P r o t e c t e d L i n k > f a l s e < / P r o t e c t e d L i n k >  
         < N a m e > 2 8 1 0 1   T B   @   3 1 . 1 2 . 2 0 2 0   3 1 2 d 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 3 1 2 d < / A c c o u n t N u m b e r >  
         < R o u n d e d > f a l s e < / R o u n d e d >  
     < / T B L i n k >  
     < T B L i n k >  
         < V e r s i o n > 4 < / V e r s i o n >  
         < C o l u m n F i l t e r s / >  
         < D A L i n k I D > 4 9 c 9 a 9 8 e - 6 9 8 6 - 4 c e e - 8 a 2 f - 9 6 5 0 9 f c e a 2 e 2 < / D A L i n k I D >  
         < L i n k T y p e > 0 < / L i n k T y p e >  
         < P a r a m e t e r s / >  
         < I n c l u d e A l l I t e m s > f a l s e < / I n c l u d e A l l I t e m s >  
         < A c t i v e > t r u e < / A c t i v e >  
         < P r o t e c t e d L i n k > f a l s e < / P r o t e c t e d L i n k >  
         < N a m e > 2 8 1 0 1   T B   @   3 1 . 1 2 . 2 0 2 0   3 1 2 e 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 3 1 2 e < / A c c o u n t N u m b e r >  
         < R o u n d e d > f a l s e < / R o u n d e d >  
     < / T B L i n k >  
     < T B L i n k >  
         < V e r s i o n > 4 < / V e r s i o n >  
         < C o l u m n F i l t e r s / >  
         < D A L i n k I D > 4 0 5 7 4 b 1 e - e 1 e 3 - 4 b 5 b - a 7 3 1 - 1 0 0 5 e 6 0 d a 1 0 e < / D A L i n k I D >  
         < L i n k T y p e > 0 < / L i n k T y p e >  
         < P a r a m e t e r s / >  
         < I n c l u d e A l l I t e m s > f a l s e < / I n c l u d e A l l I t e m s >  
         < A c t i v e > t r u e < / A c t i v e >  
         < P r o t e c t e d L i n k > f a l s e < / P r o t e c t e d L i n k >  
         < N a m e > 2 8 1 0 1   T B   @   3 1 . 1 2 . 2 0 2 0   3 1 2 f 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 3 1 2 f < / A c c o u n t N u m b e r >  
         < R o u n d e d > f a l s e < / R o u n d e d >  
     < / T B L i n k >  
     < T B L i n k >  
         < V e r s i o n > 4 < / V e r s i o n >  
         < C o l u m n F i l t e r s / >  
         < D A L i n k I D > a f 3 2 f 6 1 8 - 3 4 9 d - 4 5 0 9 - 8 1 8 4 - f 2 b 7 3 6 4 8 2 f d 8 < / D A L i n k I D >  
         < L i n k T y p e > 0 < / L i n k T y p e >  
         < P a r a m e t e r s / >  
         < I n c l u d e A l l I t e m s > f a l s e < / I n c l u d e A l l I t e m s >  
         < A c t i v e > t r u e < / A c t i v e >  
         < P r o t e c t e d L i n k > f a l s e < / P r o t e c t e d L i n k >  
         < N a m e > 2 8 1 0 1   T B   @   3 1 . 1 2 . 2 0 2 0   3 1 3 a 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 3 1 3 a < / A c c o u n t N u m b e r >  
         < R o u n d e d > f a l s e < / R o u n d e d >  
     < / T B L i n k >  
     < T B L i n k >  
         < V e r s i o n > 4 < / V e r s i o n >  
         < C o l u m n F i l t e r s / >  
         < D A L i n k I D > 2 d d d c d 2 a - 8 7 1 d - 4 c 1 b - 8 3 9 9 - 7 2 5 d 0 d d 8 7 a 6 c < / D A L i n k I D >  
         < L i n k T y p e > 0 < / L i n k T y p e >  
         < P a r a m e t e r s / >  
         < I n c l u d e A l l I t e m s > f a l s e < / I n c l u d e A l l I t e m s >  
         < A c t i v e > t r u e < / A c t i v e >  
         < P r o t e c t e d L i n k > f a l s e < / P r o t e c t e d L i n k >  
         < N a m e > 2 8 1 0 1   T B   @   3 1 . 1 2 . 2 0 2 0   3 1 3 b 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 3 1 3 b < / A c c o u n t N u m b e r >  
         < R o u n d e d > f a l s e < / R o u n d e d >  
     < / T B L i n k >  
     < T B L i n k >  
         < V e r s i o n > 4 < / V e r s i o n >  
         < C o l u m n F i l t e r s / >  
         < D A L i n k I D > f 4 f 3 6 c 5 d - 6 4 4 6 - 4 4 c 7 - 9 2 f 0 - a d 1 e 6 2 1 d d a 4 3 < / D A L i n k I D >  
         < L i n k T y p e > 0 < / L i n k T y p e >  
         < P a r a m e t e r s / >  
         < I n c l u d e A l l I t e m s > f a l s e < / I n c l u d e A l l I t e m s >  
         < A c t i v e > t r u e < / A c t i v e >  
         < P r o t e c t e d L i n k > f a l s e < / P r o t e c t e d L i n k >  
         < N a m e > 2 8 1 0 1   T B   @   3 1 . 1 2 . 2 0 2 0   3 1 3 c 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 3 1 3 c < / A c c o u n t N u m b e r >  
         < R o u n d e d > f a l s e < / R o u n d e d >  
     < / T B L i n k >  
     < T B L i n k >  
         < V e r s i o n > 4 < / V e r s i o n >  
         < C o l u m n F i l t e r s / >  
         < D A L i n k I D > 8 7 c 7 8 b b 8 - 9 e a d - 4 2 c 5 - b b b 3 - b f 3 4 1 a d 5 4 3 f 2 < / D A L i n k I D >  
         < L i n k T y p e > 0 < / L i n k T y p e >  
         < P a r a m e t e r s / >  
         < I n c l u d e A l l I t e m s > f a l s e < / I n c l u d e A l l I t e m s >  
         < A c t i v e > t r u e < / A c t i v e >  
         < P r o t e c t e d L i n k > f a l s e < / P r o t e c t e d L i n k >  
         < N a m e > 2 8 1 0 1   T B   @   3 1 . 1 2 . 2 0 2 0   3 1 3 d 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 3 1 3 d < / A c c o u n t N u m b e r >  
         < R o u n d e d > f a l s e < / R o u n d e d >  
     < / T B L i n k >  
     < T B L i n k >  
         < V e r s i o n > 4 < / V e r s i o n >  
         < C o l u m n F i l t e r s / >  
         < D A L i n k I D > 5 6 e b c c 5 f - 2 c a d - 4 c 0 4 - 8 d d 0 - 0 8 f b 6 4 e 6 b b f 0 < / D A L i n k I D >  
         < L i n k T y p e > 0 < / L i n k T y p e >  
         < P a r a m e t e r s / >  
         < I n c l u d e A l l I t e m s > f a l s e < / I n c l u d e A l l I t e m s >  
         < A c t i v e > t r u e < / A c t i v e >  
         < P r o t e c t e d L i n k > f a l s e < / P r o t e c t e d L i n k >  
         < N a m e > 2 8 1 0 1   T B   @   3 1 . 1 2 . 2 0 2 0   3 1 3 e 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 3 1 3 e < / A c c o u n t N u m b e r >  
         < R o u n d e d > f a l s e < / R o u n d e d >  
     < / T B L i n k >  
     < T B L i n k >  
         < V e r s i o n > 4 < / V e r s i o n >  
         < C o l u m n F i l t e r s / >  
         < D A L i n k I D > d c 0 b 1 a 1 0 - 7 f 5 1 - 4 e 6 4 - 9 f 5 c - c 5 8 0 c 8 e d d c d b < / D A L i n k I D >  
         < L i n k T y p e > 0 < / L i n k T y p e >  
         < P a r a m e t e r s / >  
         < I n c l u d e A l l I t e m s > f a l s e < / I n c l u d e A l l I t e m s >  
         < A c t i v e > t r u e < / A c t i v e >  
         < P r o t e c t e d L i n k > f a l s e < / P r o t e c t e d L i n k >  
         < N a m e > 2 8 1 0 1   T B   @   3 1 . 1 2 . 2 0 2 0   3 1 3 f 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 3 1 3 f < / A c c o u n t N u m b e r >  
         < R o u n d e d > f a l s e < / R o u n d e d >  
     < / T B L i n k >  
     < T B L i n k >  
         < V e r s i o n > 4 < / V e r s i o n >  
         < C o l u m n F i l t e r s / >  
         < D A L i n k I D > 6 2 7 9 0 e a 5 - 7 4 b 7 - 4 6 7 a - b e a 3 - c d a 9 0 a d 2 4 e 2 7 < / D A L i n k I D >  
         < L i n k T y p e > 0 < / L i n k T y p e >  
         < P a r a m e t e r s / >  
         < I n c l u d e A l l I t e m s > f a l s e < / I n c l u d e A l l I t e m s >  
         < A c t i v e > t r u e < / A c t i v e >  
         < P r o t e c t e d L i n k > f a l s e < / P r o t e c t e d L i n k >  
         < N a m e > 2 8 1 0 1   T B   @   3 1 . 1 2 . 2 0 2 0   3 1 4 a   F i n a l < / N a m e >  
         < E n t i t y E n u m > 9 < / E n t i t y E n u m >  
         < I t e m O r d e r L i s t / >  
         < S e l e c t e d I t e m L i s t / >  
         < S e l e c t e d C o l u m n L i s t / >  
         < H a s V a l u e > t r u e < / H a s V a l u e >  
         < T B C h a r t I D > 3 0 0 1 4 7 8 6 4 3 4 0 0 0 0 0 4 9 4 < / T B C h a r t I D >  
         < C o n s o l i d a t e d C o m p a n y I D   x s i : n i l = " t r u e " / >  
         < T B D o c u m e n t I D > 3 0 0 1 4 7 8 6 4 3 4 0 0 0 0 0 0 9 9 < / T B D o c u m e n t I D >  
         < N u m e r i c V a l u e > 8 2 0 1 7 . 0 0 0 0 < / N u m e r i c V a l u e >  
         < V a l u e > 8 2 0 1 7 , 0 0 0 0 < / V a l u e >  
         < C h a r t T y p e > c t D e t a i l < / C h a r t T y p e >  
         < R e f e r e n c e > 2 8 1 0 1 < / R e f e r e n c e >  
         < T B D o c N a m e > T B   @   3 1 . 1 2 . 2 0 2 0 < / T B D o c N a m e >  
         < T B C h a r t N a m e > D e t a i l < / T B C h a r t N a m e >  
         < C o l u m n N a m e > F i n a l B a l a n c e < / C o l u m n N a m e >  
         < U s e r F r i e n d l y C o l u m n N a m e > F i n a l < / U s e r F r i e n d l y C o l u m n N a m e >  
         < A c c o u n t N u m b e r > 3 1 4 a < / A c c o u n t N u m b e r >  
         < R o u n d e d > f a l s e < / R o u n d e d >  
     < / T B L i n k >  
     < T B L i n k >  
         < V e r s i o n > 4 < / V e r s i o n >  
         < C o l u m n F i l t e r s / >  
         < D A L i n k I D > 1 6 3 6 2 0 3 a - 9 4 3 1 - 4 d b 3 - b 6 d f - a 4 a 2 9 1 8 6 a c 7 8 < / D A L i n k I D >  
         < L i n k T y p e > 0 < / L i n k T y p e >  
         < P a r a m e t e r s / >  
         < I n c l u d e A l l I t e m s > f a l s e < / I n c l u d e A l l I t e m s >  
         < A c t i v e > t r u e < / A c t i v e >  
         < P r o t e c t e d L i n k > f a l s e < / P r o t e c t e d L i n k >  
         < N a m e > 2 8 1 0 1   T B   @   3 1 . 1 2 . 2 0 2 0   3 1 4 b 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 3 1 4 b < / A c c o u n t N u m b e r >  
         < R o u n d e d > f a l s e < / R o u n d e d >  
     < / T B L i n k >  
     < T B L i n k >  
         < V e r s i o n > 4 < / V e r s i o n >  
         < C o l u m n F i l t e r s / >  
         < D A L i n k I D > 1 3 1 f a 5 c e - 1 e c 0 - 4 b 8 3 - b b 3 8 - 2 c 1 b 0 3 c 8 5 d 7 f < / D A L i n k I D >  
         < L i n k T y p e > 0 < / L i n k T y p e >  
         < P a r a m e t e r s / >  
         < I n c l u d e A l l I t e m s > f a l s e < / I n c l u d e A l l I t e m s >  
         < A c t i v e > t r u e < / A c t i v e >  
         < P r o t e c t e d L i n k > f a l s e < / P r o t e c t e d L i n k >  
         < N a m e > 2 8 1 0 1   T B   @   3 1 . 1 2 . 2 0 2 0   3 1 4 c 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 3 1 4 c < / A c c o u n t N u m b e r >  
         < R o u n d e d > f a l s e < / R o u n d e d >  
     < / T B L i n k >  
     < T B L i n k >  
         < V e r s i o n > 4 < / V e r s i o n >  
         < C o l u m n F i l t e r s / >  
         < D A L i n k I D > b 4 4 f 1 e a a - 1 e 2 3 - 4 8 2 6 - a 1 d 3 - f 3 2 9 4 3 8 0 2 0 d 2 < / D A L i n k I D >  
         < L i n k T y p e > 0 < / L i n k T y p e >  
         < P a r a m e t e r s / >  
         < I n c l u d e A l l I t e m s > f a l s e < / I n c l u d e A l l I t e m s >  
         < A c t i v e > t r u e < / A c t i v e >  
         < P r o t e c t e d L i n k > f a l s e < / P r o t e c t e d L i n k >  
         < N a m e > 2 8 1 0 1   T B   @   3 1 . 1 2 . 2 0 2 0   3 1 4 d 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 3 1 4 d < / A c c o u n t N u m b e r >  
         < R o u n d e d > f a l s e < / R o u n d e d >  
     < / T B L i n k >  
     < T B L i n k >  
         < V e r s i o n > 4 < / V e r s i o n >  
         < C o l u m n F i l t e r s / >  
         < D A L i n k I D > a 3 7 2 d 2 a f - 8 a a 5 - 4 7 1 d - a 8 b 2 - c 1 7 e 5 e 7 d d 8 e a < / D A L i n k I D >  
         < L i n k T y p e > 0 < / L i n k T y p e >  
         < P a r a m e t e r s / >  
         < I n c l u d e A l l I t e m s > f a l s e < / I n c l u d e A l l I t e m s >  
         < A c t i v e > t r u e < / A c t i v e >  
         < P r o t e c t e d L i n k > f a l s e < / P r o t e c t e d L i n k >  
         < N a m e > 2 8 1 0 1   T B   @   3 1 . 1 2 . 2 0 2 0   3 1 4 e 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 3 1 4 e < / A c c o u n t N u m b e r >  
         < R o u n d e d > f a l s e < / R o u n d e d >  
     < / T B L i n k >  
     < T B L i n k >  
         < V e r s i o n > 4 < / V e r s i o n >  
         < C o l u m n F i l t e r s / >  
         < D A L i n k I D > b 7 1 f f 7 2 c - 9 a b 7 - 4 4 0 d - a 9 3 2 - c 8 0 d 5 7 f c 5 3 8 5 < / D A L i n k I D >  
         < L i n k T y p e > 0 < / L i n k T y p e >  
         < P a r a m e t e r s / >  
         < I n c l u d e A l l I t e m s > f a l s e < / I n c l u d e A l l I t e m s >  
         < A c t i v e > t r u e < / A c t i v e >  
         < P r o t e c t e d L i n k > f a l s e < / P r o t e c t e d L i n k >  
         < N a m e > 2 8 1 0 1   T B   @   3 1 . 1 2 . 2 0 2 0   3 1 4 f 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 3 1 4 f < / A c c o u n t N u m b e r >  
         < R o u n d e d > f a l s e < / R o u n d e d >  
     < / T B L i n k >  
     < T B L i n k >  
         < V e r s i o n > 4 < / V e r s i o n >  
         < C o l u m n F i l t e r s / >  
         < D A L i n k I D > 1 4 b b f f 0 f - 0 f b 0 - 4 e 2 c - 8 c e a - a 6 e 8 c 2 9 b c 2 b 0 < / D A L i n k I D >  
         < L i n k T y p e > 0 < / L i n k T y p e >  
         < P a r a m e t e r s / >  
         < I n c l u d e A l l I t e m s > f a l s e < / I n c l u d e A l l I t e m s >  
         < A c t i v e > t r u e < / A c t i v e >  
         < P r o t e c t e d L i n k > f a l s e < / P r o t e c t e d L i n k >  
         < N a m e > 2 8 1 0 1   T B   @   3 1 . 1 2 . 2 0 2 0   3 1 4 g   F i n a l < / N a m e >  
         < E n t i t y E n u m > 9 < / E n t i t y E n u m >  
         < I t e m O r d e r L i s t / >  
         < S e l e c t e d I t e m L i s t / >  
         < S e l e c t e d C o l u m n L i s t / >  
         < H a s V a l u e > t r u e < / H a s V a l u e >  
         < T B C h a r t I D > 3 0 0 1 4 7 8 6 4 3 4 0 0 0 0 0 4 9 4 < / T B C h a r t I D >  
         < C o n s o l i d a t e d C o m p a n y I D   x s i : n i l = " t r u e " / >  
         < T B D o c u m e n t I D > 3 0 0 1 4 7 8 6 4 3 4 0 0 0 0 0 0 9 9 < / T B D o c u m e n t I D >  
         < N u m e r i c V a l u e > - 8 2 4 3 . 0 0 0 0 < / N u m e r i c V a l u e >  
         < V a l u e > - 8 2 4 3 , 0 0 0 0 < / V a l u e >  
         < C h a r t T y p e > c t D e t a i l < / C h a r t T y p e >  
         < R e f e r e n c e > 2 8 1 0 1 < / R e f e r e n c e >  
         < T B D o c N a m e > T B   @   3 1 . 1 2 . 2 0 2 0 < / T B D o c N a m e >  
         < T B C h a r t N a m e > D e t a i l < / T B C h a r t N a m e >  
         < C o l u m n N a m e > F i n a l B a l a n c e < / C o l u m n N a m e >  
         < U s e r F r i e n d l y C o l u m n N a m e > F i n a l < / U s e r F r i e n d l y C o l u m n N a m e >  
         < A c c o u n t N u m b e r > 3 1 4 g < / A c c o u n t N u m b e r >  
         < R o u n d e d > f a l s e < / R o u n d e d >  
     < / T B L i n k >  
     < T B L i n k >  
         < V e r s i o n > 4 < / V e r s i o n >  
         < C o l u m n F i l t e r s / >  
         < D A L i n k I D > 1 3 f 4 d 3 1 b - e b c 5 - 4 4 8 c - b 9 2 6 - a 2 3 e 3 6 3 a 1 0 b b < / D A L i n k I D >  
         < L i n k T y p e > 0 < / L i n k T y p e >  
         < P a r a m e t e r s / >  
         < I n c l u d e A l l I t e m s > f a l s e < / I n c l u d e A l l I t e m s >  
         < A c t i v e > t r u e < / A c t i v e >  
         < P r o t e c t e d L i n k > f a l s e < / P r o t e c t e d L i n k >  
         < N a m e > 2 8 1 0 1   T B   @   3 1 . 1 2 . 2 0 2 0   3 1 4 h 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 3 1 4 h < / A c c o u n t N u m b e r >  
         < R o u n d e d > f a l s e < / R o u n d e d >  
     < / T B L i n k >  
     < T B L i n k >  
         < V e r s i o n > 4 < / V e r s i o n >  
         < C o l u m n F i l t e r s / >  
         < D A L i n k I D > a 9 7 1 a 6 8 e - d b 6 7 - 4 9 7 2 - b b 9 0 - 6 6 d 7 5 9 3 7 a c c 3 < / D A L i n k I D >  
         < L i n k T y p e > 0 < / L i n k T y p e >  
         < P a r a m e t e r s / >  
         < I n c l u d e A l l I t e m s > f a l s e < / I n c l u d e A l l I t e m s >  
         < A c t i v e > t r u e < / A c t i v e >  
         < P r o t e c t e d L i n k > f a l s e < / P r o t e c t e d L i n k >  
         < N a m e > 2 8 1 0 1   T B   @   3 1 . 1 2 . 2 0 2 0   3 1 5 a 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 3 1 5 a < / A c c o u n t N u m b e r >  
         < R o u n d e d > f a l s e < / R o u n d e d >  
     < / T B L i n k >  
     < T B L i n k >  
         < V e r s i o n > 4 < / V e r s i o n >  
         < C o l u m n F i l t e r s / >  
         < D A L i n k I D > c 8 8 0 9 f a 5 - 4 b c a - 4 8 1 7 - b 9 8 6 - 6 5 0 e 7 a d 1 3 8 7 4 < / D A L i n k I D >  
         < L i n k T y p e > 0 < / L i n k T y p e >  
         < P a r a m e t e r s / >  
         < I n c l u d e A l l I t e m s > f a l s e < / I n c l u d e A l l I t e m s >  
         < A c t i v e > t r u e < / A c t i v e >  
         < P r o t e c t e d L i n k > f a l s e < / P r o t e c t e d L i n k >  
         < N a m e > 2 8 1 0 1   T B   @   3 1 . 1 2 . 2 0 2 0   3 1 5 b 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 3 1 5 b < / A c c o u n t N u m b e r >  
         < R o u n d e d > f a l s e < / R o u n d e d >  
     < / T B L i n k >  
     < T B L i n k >  
         < V e r s i o n > 4 < / V e r s i o n >  
         < C o l u m n F i l t e r s / >  
         < D A L i n k I D > 2 e 7 3 e 2 d f - d 6 2 0 - 4 1 d f - 8 0 1 2 - c a f 0 1 9 9 d 5 2 1 3 < / D A L i n k I D >  
         < L i n k T y p e > 0 < / L i n k T y p e >  
         < P a r a m e t e r s / >  
         < I n c l u d e A l l I t e m s > f a l s e < / I n c l u d e A l l I t e m s >  
         < A c t i v e > t r u e < / A c t i v e >  
         < P r o t e c t e d L i n k > f a l s e < / P r o t e c t e d L i n k >  
         < N a m e > 2 8 1 0 1   T B   @   3 1 . 1 2 . 2 0 2 0   3 1 5 c 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 3 1 5 c < / A c c o u n t N u m b e r >  
         < R o u n d e d > f a l s e < / R o u n d e d >  
     < / T B L i n k >  
     < T B L i n k >  
         < V e r s i o n > 4 < / V e r s i o n >  
         < C o l u m n F i l t e r s / >  
         < D A L i n k I D > 7 9 3 8 d e c 7 - b a 6 e - 4 b b 5 - b 4 5 4 - 7 e 7 3 3 8 3 c c a e a < / D A L i n k I D >  
         < L i n k T y p e > 0 < / L i n k T y p e >  
         < P a r a m e t e r s / >  
         < I n c l u d e A l l I t e m s > f a l s e < / I n c l u d e A l l I t e m s >  
         < A c t i v e > t r u e < / A c t i v e >  
         < P r o t e c t e d L i n k > f a l s e < / P r o t e c t e d L i n k >  
         < N a m e > 2 8 1 0 1   T B   @   3 1 . 1 2 . 2 0 2 0   3 1 5 d   F i n a l < / N a m e >  
         < E n t i t y E n u m > 9 < / E n t i t y E n u m >  
         < I t e m O r d e r L i s t / >  
         < S e l e c t e d I t e m L i s t / >  
         < S e l e c t e d C o l u m n L i s t / >  
         < H a s V a l u e > t r u e < / H a s V a l u e >  
         < T B C h a r t I D > 3 0 0 1 4 7 8 6 4 3 4 0 0 0 0 0 4 9 4 < / T B C h a r t I D >  
         < C o n s o l i d a t e d C o m p a n y I D   x s i : n i l = " t r u e " / >  
         < T B D o c u m e n t I D > 3 0 0 1 4 7 8 6 4 3 4 0 0 0 0 0 0 9 9 < / T B D o c u m e n t I D >  
         < N u m e r i c V a l u e > 1 5 0 8 2 7 8 . 0 0 0 0 < / N u m e r i c V a l u e >  
         < V a l u e > 1 5 0 8 2 7 8 , 0 0 0 0 < / V a l u e >  
         < C h a r t T y p e > c t D e t a i l < / C h a r t T y p e >  
         < R e f e r e n c e > 2 8 1 0 1 < / R e f e r e n c e >  
         < T B D o c N a m e > T B   @   3 1 . 1 2 . 2 0 2 0 < / T B D o c N a m e >  
         < T B C h a r t N a m e > D e t a i l < / T B C h a r t N a m e >  
         < C o l u m n N a m e > F i n a l B a l a n c e < / C o l u m n N a m e >  
         < U s e r F r i e n d l y C o l u m n N a m e > F i n a l < / U s e r F r i e n d l y C o l u m n N a m e >  
         < A c c o u n t N u m b e r > 3 1 5 d < / A c c o u n t N u m b e r >  
         < R o u n d e d > f a l s e < / R o u n d e d >  
     < / T B L i n k >  
     < T B L i n k >  
         < V e r s i o n > 4 < / V e r s i o n >  
         < C o l u m n F i l t e r s / >  
         < D A L i n k I D > 1 e e 6 6 f 7 e - a 6 d a - 4 4 6 7 - 9 b 1 b - 8 6 0 6 b 2 8 8 2 f b a < / D A L i n k I D >  
         < L i n k T y p e > 0 < / L i n k T y p e >  
         < P a r a m e t e r s / >  
         < I n c l u d e A l l I t e m s > f a l s e < / I n c l u d e A l l I t e m s >  
         < A c t i v e > t r u e < / A c t i v e >  
         < P r o t e c t e d L i n k > f a l s e < / P r o t e c t e d L i n k >  
         < N a m e > 2 8 1 0 1   T B   @   3 1 . 1 2 . 2 0 2 0   3 1 5 e 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 3 1 5 e < / A c c o u n t N u m b e r >  
         < R o u n d e d > f a l s e < / R o u n d e d >  
     < / T B L i n k >  
     < T B L i n k >  
         < V e r s i o n > 4 < / V e r s i o n >  
         < C o l u m n F i l t e r s / >  
         < D A L i n k I D > 5 2 d f 7 1 5 6 - 7 0 4 d - 4 8 f 5 - b 9 7 6 - 7 9 9 e f 2 5 a 8 1 e 9 < / D A L i n k I D >  
         < L i n k T y p e > 0 < / L i n k T y p e >  
         < P a r a m e t e r s / >  
         < I n c l u d e A l l I t e m s > f a l s e < / I n c l u d e A l l I t e m s >  
         < A c t i v e > t r u e < / A c t i v e >  
         < P r o t e c t e d L i n k > f a l s e < / P r o t e c t e d L i n k >  
         < N a m e > 2 8 1 0 1   T B   @   3 1 . 1 2 . 2 0 2 0   3 1 5 f 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 3 1 5 f < / A c c o u n t N u m b e r >  
         < R o u n d e d > f a l s e < / R o u n d e d >  
     < / T B L i n k >  
     < T B L i n k >  
         < V e r s i o n > 4 < / V e r s i o n >  
         < C o l u m n F i l t e r s / >  
         < D A L i n k I D > 0 5 3 b 2 f 0 7 - c 7 d 8 - 4 1 1 2 - 9 1 2 c - 5 9 8 a 1 d 1 c c 5 3 1 < / D A L i n k I D >  
         < L i n k T y p e > 0 < / L i n k T y p e >  
         < P a r a m e t e r s / >  
         < I n c l u d e A l l I t e m s > f a l s e < / I n c l u d e A l l I t e m s >  
         < A c t i v e > t r u e < / A c t i v e >  
         < P r o t e c t e d L i n k > f a l s e < / P r o t e c t e d L i n k >  
         < N a m e > 2 8 1 0 1   T B   @   3 1 . 1 2 . 2 0 2 0   3 1 6 a 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 3 1 6 a < / A c c o u n t N u m b e r >  
         < R o u n d e d > f a l s e < / R o u n d e d >  
     < / T B L i n k >  
     < T B L i n k >  
         < V e r s i o n > 4 < / V e r s i o n >  
         < C o l u m n F i l t e r s / >  
         < D A L i n k I D > 4 2 4 c 7 6 3 b - e 8 d 3 - 4 b 6 a - 8 0 d c - 4 3 6 7 9 4 5 5 a 8 3 9 < / D A L i n k I D >  
         < L i n k T y p e > 0 < / L i n k T y p e >  
         < P a r a m e t e r s / >  
         < I n c l u d e A l l I t e m s > f a l s e < / I n c l u d e A l l I t e m s >  
         < A c t i v e > t r u e < / A c t i v e >  
         < P r o t e c t e d L i n k > f a l s e < / P r o t e c t e d L i n k >  
         < N a m e > 2 8 1 0 1   T B   @   3 1 . 1 2 . 2 0 2 0   3 1 6 b 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 3 1 6 b < / A c c o u n t N u m b e r >  
         < R o u n d e d > f a l s e < / R o u n d e d >  
     < / T B L i n k >  
     < T B L i n k >  
         < V e r s i o n > 4 < / V e r s i o n >  
         < C o l u m n F i l t e r s / >  
         < D A L i n k I D > b 0 1 1 6 6 b 7 - 0 1 f f - 4 2 8 4 - a 4 9 3 - 0 6 2 4 8 c b 9 c 8 f 6 < / D A L i n k I D >  
         < L i n k T y p e > 0 < / L i n k T y p e >  
         < P a r a m e t e r s / >  
         < I n c l u d e A l l I t e m s > f a l s e < / I n c l u d e A l l I t e m s >  
         < A c t i v e > t r u e < / A c t i v e >  
         < P r o t e c t e d L i n k > f a l s e < / P r o t e c t e d L i n k >  
         < N a m e > 2 8 1 0 1   T B   @   3 1 . 1 2 . 2 0 2 0   3 1 6 c 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 3 1 6 c < / A c c o u n t N u m b e r >  
         < R o u n d e d > f a l s e < / R o u n d e d >  
     < / T B L i n k >  
     < T B L i n k >  
         < V e r s i o n > 4 < / V e r s i o n >  
         < C o l u m n F i l t e r s / >  
         < D A L i n k I D > 6 7 8 7 f 7 c 9 - 4 8 3 e - 4 6 0 0 - b a 9 5 - 3 6 f f 1 0 b 5 2 b e 1 < / D A L i n k I D >  
         < L i n k T y p e > 0 < / L i n k T y p e >  
         < P a r a m e t e r s / >  
         < I n c l u d e A l l I t e m s > f a l s e < / I n c l u d e A l l I t e m s >  
         < A c t i v e > t r u e < / A c t i v e >  
         < P r o t e c t e d L i n k > f a l s e < / P r o t e c t e d L i n k >  
         < N a m e > 2 8 1 0 1   T B   @   3 1 . 1 2 . 2 0 2 0   3 1 6 d 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 3 1 6 d < / A c c o u n t N u m b e r >  
         < R o u n d e d > f a l s e < / R o u n d e d >  
     < / T B L i n k >  
     < T B L i n k >  
         < V e r s i o n > 4 < / V e r s i o n >  
         < C o l u m n F i l t e r s / >  
         < D A L i n k I D > 5 4 b 1 8 8 7 4 - f b c c - 4 b d d - 9 2 1 6 - 1 c 8 4 7 c d 4 e b f c < / D A L i n k I D >  
         < L i n k T y p e > 0 < / L i n k T y p e >  
         < P a r a m e t e r s / >  
         < I n c l u d e A l l I t e m s > f a l s e < / I n c l u d e A l l I t e m s >  
         < A c t i v e > t r u e < / A c t i v e >  
         < P r o t e c t e d L i n k > f a l s e < / P r o t e c t e d L i n k >  
         < N a m e > 2 8 1 0 1   T B   @   3 1 . 1 2 . 2 0 2 0   3 2 1 a 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 3 2 1 a < / A c c o u n t N u m b e r >  
         < R o u n d e d > f a l s e < / R o u n d e d >  
     < / T B L i n k >  
     < T B L i n k >  
         < V e r s i o n > 4 < / V e r s i o n >  
         < C o l u m n F i l t e r s / >  
         < D A L i n k I D > 9 3 c 8 a 0 c b - e c a c - 4 8 4 c - 9 e 3 b - c 2 4 3 8 3 d b 5 2 c b < / D A L i n k I D >  
         < L i n k T y p e > 0 < / L i n k T y p e >  
         < P a r a m e t e r s / >  
         < I n c l u d e A l l I t e m s > f a l s e < / I n c l u d e A l l I t e m s >  
         < A c t i v e > t r u e < / A c t i v e >  
         < P r o t e c t e d L i n k > f a l s e < / P r o t e c t e d L i n k >  
         < N a m e > 2 8 1 0 1   T B   @   3 1 . 1 2 . 2 0 2 0   3 2 1 b 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 3 2 1 b < / A c c o u n t N u m b e r >  
         < R o u n d e d > f a l s e < / R o u n d e d >  
     < / T B L i n k >  
     < T B L i n k >  
         < V e r s i o n > 4 < / V e r s i o n >  
         < C o l u m n F i l t e r s / >  
         < D A L i n k I D > 1 9 3 6 d f c d - 8 e b c - 4 f 1 f - 9 2 5 1 - 9 0 a 9 4 c e 6 d 4 6 6 < / D A L i n k I D >  
         < L i n k T y p e > 0 < / L i n k T y p e >  
         < P a r a m e t e r s / >  
         < I n c l u d e A l l I t e m s > f a l s e < / I n c l u d e A l l I t e m s >  
         < A c t i v e > t r u e < / A c t i v e >  
         < P r o t e c t e d L i n k > f a l s e < / P r o t e c t e d L i n k >  
         < N a m e > 2 8 1 0 1   T B   @   3 1 . 1 2 . 2 0 2 0   3 2 1 c 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 3 2 1 c < / A c c o u n t N u m b e r >  
         < R o u n d e d > f a l s e < / R o u n d e d >  
     < / T B L i n k >  
     < T B L i n k >  
         < V e r s i o n > 4 < / V e r s i o n >  
         < C o l u m n F i l t e r s / >  
         < D A L i n k I D > 2 8 4 0 4 2 1 d - 6 b c 4 - 4 6 b 9 - a c 9 1 - 3 7 8 6 e e 7 c 6 8 2 a < / D A L i n k I D >  
         < L i n k T y p e > 0 < / L i n k T y p e >  
         < P a r a m e t e r s / >  
         < I n c l u d e A l l I t e m s > f a l s e < / I n c l u d e A l l I t e m s >  
         < A c t i v e > t r u e < / A c t i v e >  
         < P r o t e c t e d L i n k > f a l s e < / P r o t e c t e d L i n k >  
         < N a m e > 2 8 1 0 1   T B   @   3 1 . 1 2 . 2 0 2 0   3 2 1 d   F i n a l < / N a m e >  
         < E n t i t y E n u m > 9 < / E n t i t y E n u m >  
         < I t e m O r d e r L i s t / >  
         < S e l e c t e d I t e m L i s t / >  
         < S e l e c t e d C o l u m n L i s t / >  
         < H a s V a l u e > t r u e < / H a s V a l u e >  
         < T B C h a r t I D > 3 0 0 1 4 7 8 6 4 3 4 0 0 0 0 0 4 9 4 < / T B C h a r t I D >  
         < C o n s o l i d a t e d C o m p a n y I D   x s i : n i l = " t r u e " / >  
         < T B D o c u m e n t I D > 3 0 0 1 4 7 8 6 4 3 4 0 0 0 0 0 0 9 9 < / T B D o c u m e n t I D >  
         < N u m e r i c V a l u e > - 6 2 2 4 6 4 . 0 0 0 0 < / N u m e r i c V a l u e >  
         < V a l u e > - 6 2 2 4 6 4 , 0 0 0 0 < / V a l u e >  
         < C h a r t T y p e > c t D e t a i l < / C h a r t T y p e >  
         < R e f e r e n c e > 2 8 1 0 1 < / R e f e r e n c e >  
         < T B D o c N a m e > T B   @   3 1 . 1 2 . 2 0 2 0 < / T B D o c N a m e >  
         < T B C h a r t N a m e > D e t a i l < / T B C h a r t N a m e >  
         < C o l u m n N a m e > F i n a l B a l a n c e < / C o l u m n N a m e >  
         < U s e r F r i e n d l y C o l u m n N a m e > F i n a l < / U s e r F r i e n d l y C o l u m n N a m e >  
         < A c c o u n t N u m b e r > 3 2 1 d < / A c c o u n t N u m b e r >  
         < R o u n d e d > f a l s e < / R o u n d e d >  
     < / T B L i n k >  
     < T B L i n k >  
         < V e r s i o n > 4 < / V e r s i o n >  
         < C o l u m n F i l t e r s / >  
         < D A L i n k I D > 3 d 9 0 5 4 4 d - 5 1 d 7 - 4 d a 2 - 9 7 e 7 - 6 8 2 e 3 c 5 5 c 6 d 2 < / D A L i n k I D >  
         < L i n k T y p e > 0 < / L i n k T y p e >  
         < P a r a m e t e r s / >  
         < I n c l u d e A l l I t e m s > f a l s e < / I n c l u d e A l l I t e m s >  
         < A c t i v e > t r u e < / A c t i v e >  
         < P r o t e c t e d L i n k > f a l s e < / P r o t e c t e d L i n k >  
         < N a m e > 2 8 1 0 1   T B   @   3 1 . 1 2 . 2 0 2 0   3 2 1 e 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 3 2 1 e < / A c c o u n t N u m b e r >  
         < R o u n d e d > f a l s e < / R o u n d e d >  
     < / T B L i n k >  
     < T B L i n k >  
         < V e r s i o n > 4 < / V e r s i o n >  
         < C o l u m n F i l t e r s / >  
         < D A L i n k I D > d e b a 1 7 2 1 - 9 d 1 1 - 4 0 4 f - 9 a a f - a 5 2 0 6 e 2 e c b 7 8 < / D A L i n k I D >  
         < L i n k T y p e > 0 < / L i n k T y p e >  
         < P a r a m e t e r s / >  
         < I n c l u d e A l l I t e m s > f a l s e < / I n c l u d e A l l I t e m s >  
         < A c t i v e > t r u e < / A c t i v e >  
         < P r o t e c t e d L i n k > f a l s e < / P r o t e c t e d L i n k >  
         < N a m e > 2 8 1 0 1   T B   @   3 1 . 1 2 . 2 0 2 0   3 2 1 f   F i n a l < / N a m e >  
         < E n t i t y E n u m > 9 < / E n t i t y E n u m >  
         < I t e m O r d e r L i s t / >  
         < S e l e c t e d I t e m L i s t / >  
         < S e l e c t e d C o l u m n L i s t / >  
         < H a s V a l u e > t r u e < / H a s V a l u e >  
         < T B C h a r t I D > 3 0 0 1 4 7 8 6 4 3 4 0 0 0 0 0 4 9 4 < / T B C h a r t I D >  
         < C o n s o l i d a t e d C o m p a n y I D   x s i : n i l = " t r u e " / >  
         < T B D o c u m e n t I D > 3 0 0 1 4 7 8 6 4 3 4 0 0 0 0 0 0 9 9 < / T B D o c u m e n t I D >  
         < N u m e r i c V a l u e > - 7 2 8 2 2 6 . 0 0 0 0 < / N u m e r i c V a l u e >  
         < V a l u e > - 7 2 8 2 2 6 , 0 0 0 0 < / V a l u e >  
         < C h a r t T y p e > c t D e t a i l < / C h a r t T y p e >  
         < R e f e r e n c e > 2 8 1 0 1 < / R e f e r e n c e >  
         < T B D o c N a m e > T B   @   3 1 . 1 2 . 2 0 2 0 < / T B D o c N a m e >  
         < T B C h a r t N a m e > D e t a i l < / T B C h a r t N a m e >  
         < C o l u m n N a m e > F i n a l B a l a n c e < / C o l u m n N a m e >  
         < U s e r F r i e n d l y C o l u m n N a m e > F i n a l < / U s e r F r i e n d l y C o l u m n N a m e >  
         < A c c o u n t N u m b e r > 3 2 1 f < / A c c o u n t N u m b e r >  
         < R o u n d e d > f a l s e < / R o u n d e d >  
     < / T B L i n k >  
     < T B L i n k >  
         < V e r s i o n > 4 < / V e r s i o n >  
         < C o l u m n F i l t e r s / >  
         < D A L i n k I D > 6 9 e 3 c 5 4 d - b 0 2 e - 4 1 f 0 - b e 7 b - c 3 4 e 6 2 4 e e 9 d 8 < / D A L i n k I D >  
         < L i n k T y p e > 0 < / L i n k T y p e >  
         < P a r a m e t e r s / >  
         < I n c l u d e A l l I t e m s > f a l s e < / I n c l u d e A l l I t e m s >  
         < A c t i v e > t r u e < / A c t i v e >  
         < P r o t e c t e d L i n k > f a l s e < / P r o t e c t e d L i n k >  
         < N a m e > 2 8 1 0 1   T B   @   3 1 . 1 2 . 2 0 2 0   3 2 2 a 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 3 2 2 a < / A c c o u n t N u m b e r >  
         < R o u n d e d > f a l s e < / R o u n d e d >  
     < / T B L i n k >  
     < T B L i n k >  
         < V e r s i o n > 4 < / V e r s i o n >  
         < C o l u m n F i l t e r s / >  
         < D A L i n k I D > 7 d 4 c 9 f 7 d - c 5 d 7 - 4 6 c 5 - a 7 c 4 - 6 2 e 9 0 b d 2 d 7 5 3 < / D A L i n k I D >  
         < L i n k T y p e > 0 < / L i n k T y p e >  
         < P a r a m e t e r s / >  
         < I n c l u d e A l l I t e m s > f a l s e < / I n c l u d e A l l I t e m s >  
         < A c t i v e > t r u e < / A c t i v e >  
         < P r o t e c t e d L i n k > f a l s e < / P r o t e c t e d L i n k >  
         < N a m e > 2 8 1 0 1   T B   @   3 1 . 1 2 . 2 0 2 0   3 2 2 b 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 3 2 2 b < / A c c o u n t N u m b e r >  
         < R o u n d e d > f a l s e < / R o u n d e d >  
     < / T B L i n k >  
     < T B L i n k >  
         < V e r s i o n > 4 < / V e r s i o n >  
         < C o l u m n F i l t e r s / >  
         < D A L i n k I D > 4 0 4 0 6 e f 3 - 8 1 3 f - 4 8 e c - 9 a 4 3 - b 9 b b c b 2 c 2 a 4 f < / D A L i n k I D >  
         < L i n k T y p e > 0 < / L i n k T y p e >  
         < P a r a m e t e r s / >  
         < I n c l u d e A l l I t e m s > f a l s e < / I n c l u d e A l l I t e m s >  
         < A c t i v e > t r u e < / A c t i v e >  
         < P r o t e c t e d L i n k > f a l s e < / P r o t e c t e d L i n k >  
         < N a m e > 2 8 1 0 1   T B   @   3 1 . 1 2 . 2 0 2 0   3 2 2 c 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 3 2 2 c < / A c c o u n t N u m b e r >  
         < R o u n d e d > f a l s e < / R o u n d e d >  
     < / T B L i n k >  
     < T B L i n k >  
         < V e r s i o n > 4 < / V e r s i o n >  
         < C o l u m n F i l t e r s / >  
         < D A L i n k I D > 3 1 7 2 1 5 d e - e e a 1 - 4 3 b 5 - 9 c c 5 - 0 a 7 c 1 5 b 2 0 c e 0 < / D A L i n k I D >  
         < L i n k T y p e > 0 < / L i n k T y p e >  
         < P a r a m e t e r s / >  
         < I n c l u d e A l l I t e m s > f a l s e < / I n c l u d e A l l I t e m s >  
         < A c t i v e > t r u e < / A c t i v e >  
         < P r o t e c t e d L i n k > f a l s e < / P r o t e c t e d L i n k >  
         < N a m e > 2 8 1 0 1   T B   @   3 1 . 1 2 . 2 0 2 0   3 2 3 a   F i n a l < / N a m e >  
         < E n t i t y E n u m > 9 < / E n t i t y E n u m >  
         < I t e m O r d e r L i s t / >  
         < S e l e c t e d I t e m L i s t / >  
         < S e l e c t e d C o l u m n L i s t / >  
         < H a s V a l u e > t r u e < / H a s V a l u e >  
         < T B C h a r t I D > 3 0 0 1 4 7 8 6 4 3 4 0 0 0 0 0 4 9 4 < / T B C h a r t I D >  
         < C o n s o l i d a t e d C o m p a n y I D   x s i : n i l = " t r u e " / >  
         < T B D o c u m e n t I D > 3 0 0 1 4 7 8 6 4 3 4 0 0 0 0 0 0 9 9 < / T B D o c u m e n t I D >  
         < N u m e r i c V a l u e > - 2 4 1 0 7 . 0 0 0 0 < / N u m e r i c V a l u e >  
         < V a l u e > - 2 4 1 0 7 , 0 0 0 0 < / V a l u e >  
         < C h a r t T y p e > c t D e t a i l < / C h a r t T y p e >  
         < R e f e r e n c e > 2 8 1 0 1 < / R e f e r e n c e >  
         < T B D o c N a m e > T B   @   3 1 . 1 2 . 2 0 2 0 < / T B D o c N a m e >  
         < T B C h a r t N a m e > D e t a i l < / T B C h a r t N a m e >  
         < C o l u m n N a m e > F i n a l B a l a n c e < / C o l u m n N a m e >  
         < U s e r F r i e n d l y C o l u m n N a m e > F i n a l < / U s e r F r i e n d l y C o l u m n N a m e >  
         < A c c o u n t N u m b e r > 3 2 3 a < / A c c o u n t N u m b e r >  
         < R o u n d e d > f a l s e < / R o u n d e d >  
     < / T B L i n k >  
     < T B L i n k >  
         < V e r s i o n > 4 < / V e r s i o n >  
         < C o l u m n F i l t e r s / >  
         < D A L i n k I D > 6 6 3 c 7 a 1 7 - 3 6 c 5 - 4 7 a e - a 2 2 3 - a 6 3 f 2 5 5 1 f e 0 0 < / D A L i n k I D >  
         < L i n k T y p e > 0 < / L i n k T y p e >  
         < P a r a m e t e r s / >  
         < I n c l u d e A l l I t e m s > f a l s e < / I n c l u d e A l l I t e m s >  
         < A c t i v e > t r u e < / A c t i v e >  
         < P r o t e c t e d L i n k > f a l s e < / P r o t e c t e d L i n k >  
         < N a m e > 2 8 1 0 1   T B   @   3 1 . 1 2 . 2 0 2 0   3 2 3 b   F i n a l < / N a m e >  
         < E n t i t y E n u m > 9 < / E n t i t y E n u m >  
         < I t e m O r d e r L i s t / >  
         < S e l e c t e d I t e m L i s t / >  
         < S e l e c t e d C o l u m n L i s t / >  
         < H a s V a l u e > t r u e < / H a s V a l u e >  
         < T B C h a r t I D > 3 0 0 1 4 7 8 6 4 3 4 0 0 0 0 0 4 9 4 < / T B C h a r t I D >  
         < C o n s o l i d a t e d C o m p a n y I D   x s i : n i l = " t r u e " / >  
         < T B D o c u m e n t I D > 3 0 0 1 4 7 8 6 4 3 4 0 0 0 0 0 0 9 9 < / T B D o c u m e n t I D >  
         < N u m e r i c V a l u e > - 2 2 1 3 0 . 0 0 0 0 < / N u m e r i c V a l u e >  
         < V a l u e > - 2 2 1 3 0 , 0 0 0 0 < / V a l u e >  
         < C h a r t T y p e > c t D e t a i l < / C h a r t T y p e >  
         < R e f e r e n c e > 2 8 1 0 1 < / R e f e r e n c e >  
         < T B D o c N a m e > T B   @   3 1 . 1 2 . 2 0 2 0 < / T B D o c N a m e >  
         < T B C h a r t N a m e > D e t a i l < / T B C h a r t N a m e >  
         < C o l u m n N a m e > F i n a l B a l a n c e < / C o l u m n N a m e >  
         < U s e r F r i e n d l y C o l u m n N a m e > F i n a l < / U s e r F r i e n d l y C o l u m n N a m e >  
         < A c c o u n t N u m b e r > 3 2 3 b < / A c c o u n t N u m b e r >  
         < R o u n d e d > f a l s e < / R o u n d e d >  
     < / T B L i n k >  
     < T B L i n k >  
         < V e r s i o n > 4 < / V e r s i o n >  
         < C o l u m n F i l t e r s / >  
         < D A L i n k I D > d 3 a d 0 d a 7 - f 3 9 b - 4 3 4 8 - 9 5 d c - c d b 4 2 f f c 7 0 1 8 < / D A L i n k I D >  
         < L i n k T y p e > 0 < / L i n k T y p e >  
         < P a r a m e t e r s / >  
         < I n c l u d e A l l I t e m s > f a l s e < / I n c l u d e A l l I t e m s >  
         < A c t i v e > t r u e < / A c t i v e >  
         < P r o t e c t e d L i n k > f a l s e < / P r o t e c t e d L i n k >  
         < N a m e > 2 8 1 0 1   T B   @   3 1 . 1 2 . 2 0 2 0   3 2 4 a   F i n a l < / N a m e >  
         < E n t i t y E n u m > 9 < / E n t i t y E n u m >  
         < I t e m O r d e r L i s t / >  
         < S e l e c t e d I t e m L i s t / >  
         < S e l e c t e d C o l u m n L i s t / >  
         < H a s V a l u e > t r u e < / H a s V a l u e >  
         < T B C h a r t I D > 3 0 0 1 4 7 8 6 4 3 4 0 0 0 0 0 4 9 4 < / T B C h a r t I D >  
         < C o n s o l i d a t e d C o m p a n y I D   x s i : n i l = " t r u e " / >  
         < T B D o c u m e n t I D > 3 0 0 1 4 7 8 6 4 3 4 0 0 0 0 0 0 9 9 < / T B D o c u m e n t I D >  
         < N u m e r i c V a l u e > - 7 4 0 0 0 . 0 0 0 0 < / N u m e r i c V a l u e >  
         < V a l u e > - 7 4 0 0 0 , 0 0 0 0 < / V a l u e >  
         < C h a r t T y p e > c t D e t a i l < / C h a r t T y p e >  
         < R e f e r e n c e > 2 8 1 0 1 < / R e f e r e n c e >  
         < T B D o c N a m e > T B   @   3 1 . 1 2 . 2 0 2 0 < / T B D o c N a m e >  
         < T B C h a r t N a m e > D e t a i l < / T B C h a r t N a m e >  
         < C o l u m n N a m e > F i n a l B a l a n c e < / C o l u m n N a m e >  
         < U s e r F r i e n d l y C o l u m n N a m e > F i n a l < / U s e r F r i e n d l y C o l u m n N a m e >  
         < A c c o u n t N u m b e r > 3 2 4 a < / A c c o u n t N u m b e r >  
         < R o u n d e d > f a l s e < / R o u n d e d >  
     < / T B L i n k >  
     < T B L i n k >  
         < V e r s i o n > 4 < / V e r s i o n >  
         < C o l u m n F i l t e r s / >  
         < D A L i n k I D > a 3 0 3 a 5 8 c - d 9 a 9 - 4 c 6 2 - b 5 6 e - f b 0 4 a 1 1 8 2 6 e b < / D A L i n k I D >  
         < L i n k T y p e > 0 < / L i n k T y p e >  
         < P a r a m e t e r s / >  
         < I n c l u d e A l l I t e m s > f a l s e < / I n c l u d e A l l I t e m s >  
         < A c t i v e > t r u e < / A c t i v e >  
         < P r o t e c t e d L i n k > f a l s e < / P r o t e c t e d L i n k >  
         < N a m e > 2 8 1 0 1   T B   @   3 1 . 1 2 . 2 0 2 0   3 2 4 b 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 3 2 4 b < / A c c o u n t N u m b e r >  
         < R o u n d e d > f a l s e < / R o u n d e d >  
     < / T B L i n k >  
     < T B L i n k >  
         < V e r s i o n > 4 < / V e r s i o n >  
         < C o l u m n F i l t e r s / >  
         < D A L i n k I D > 1 9 4 1 7 2 3 2 - c 9 b 4 - 4 f 5 f - a 5 e b - 9 e 4 3 6 d 9 2 8 d a f < / D A L i n k I D >  
         < L i n k T y p e > 0 < / L i n k T y p e >  
         < P a r a m e t e r s / >  
         < I n c l u d e A l l I t e m s > f a l s e < / I n c l u d e A l l I t e m s >  
         < A c t i v e > t r u e < / A c t i v e >  
         < P r o t e c t e d L i n k > f a l s e < / P r o t e c t e d L i n k >  
         < N a m e > 2 8 1 0 1   T B   @   3 1 . 1 2 . 2 0 2 0   3 2 4 c   F i n a l < / N a m e >  
         < E n t i t y E n u m > 9 < / E n t i t y E n u m >  
         < I t e m O r d e r L i s t / >  
         < S e l e c t e d I t e m L i s t / >  
         < S e l e c t e d C o l u m n L i s t / >  
         < H a s V a l u e > t r u e < / H a s V a l u e >  
         < T B C h a r t I D > 3 0 0 1 4 7 8 6 4 3 4 0 0 0 0 0 4 9 4 < / T B C h a r t I D >  
         < C o n s o l i d a t e d C o m p a n y I D   x s i : n i l = " t r u e " / >  
         < T B D o c u m e n t I D > 3 0 0 1 4 7 8 6 4 3 4 0 0 0 0 0 0 9 9 < / T B D o c u m e n t I D >  
         < N u m e r i c V a l u e > - 2 4 1 3 3 3 . 0 0 0 0 < / N u m e r i c V a l u e >  
         < V a l u e > - 2 4 1 3 3 3 , 0 0 0 0 < / V a l u e >  
         < C h a r t T y p e > c t D e t a i l < / C h a r t T y p e >  
         < R e f e r e n c e > 2 8 1 0 1 < / R e f e r e n c e >  
         < T B D o c N a m e > T B   @   3 1 . 1 2 . 2 0 2 0 < / T B D o c N a m e >  
         < T B C h a r t N a m e > D e t a i l < / T B C h a r t N a m e >  
         < C o l u m n N a m e > F i n a l B a l a n c e < / C o l u m n N a m e >  
         < U s e r F r i e n d l y C o l u m n N a m e > F i n a l < / U s e r F r i e n d l y C o l u m n N a m e >  
         < A c c o u n t N u m b e r > 3 2 4 c < / A c c o u n t N u m b e r >  
         < R o u n d e d > f a l s e < / R o u n d e d >  
     < / T B L i n k >  
     < T B L i n k >  
         < V e r s i o n > 4 < / V e r s i o n >  
         < C o l u m n F i l t e r s / >  
         < D A L i n k I D > d 2 7 7 7 0 a b - b f c 1 - 4 6 d b - 8 9 b 4 - 0 a 7 b c d a f f 9 4 8 < / D A L i n k I D >  
         < L i n k T y p e > 0 < / L i n k T y p e >  
         < P a r a m e t e r s / >  
         < I n c l u d e A l l I t e m s > f a l s e < / I n c l u d e A l l I t e m s >  
         < A c t i v e > t r u e < / A c t i v e >  
         < P r o t e c t e d L i n k > f a l s e < / P r o t e c t e d L i n k >  
         < N a m e > 2 8 1 0 1   T B   @   3 1 . 1 2 . 2 0 2 0   3 2 5 a 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 3 2 5 a < / A c c o u n t N u m b e r >  
         < R o u n d e d > f a l s e < / R o u n d e d >  
     < / T B L i n k >  
     < T B L i n k >  
         < V e r s i o n > 4 < / V e r s i o n >  
         < C o l u m n F i l t e r s / >  
         < D A L i n k I D > 1 5 a 2 5 6 7 d - 5 4 8 1 - 4 8 1 d - a a 9 3 - c 3 e f c a 8 e d d 6 9 < / D A L i n k I D >  
         < L i n k T y p e > 0 < / L i n k T y p e >  
         < P a r a m e t e r s / >  
         < I n c l u d e A l l I t e m s > f a l s e < / I n c l u d e A l l I t e m s >  
         < A c t i v e > t r u e < / A c t i v e >  
         < P r o t e c t e d L i n k > f a l s e < / P r o t e c t e d L i n k >  
         < N a m e > 2 8 1 0 1   T B   @   3 1 . 1 2 . 2 0 2 0   3 2 5 b 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 3 2 5 b < / A c c o u n t N u m b e r >  
         < R o u n d e d > f a l s e < / R o u n d e d >  
     < / T B L i n k >  
     < T B L i n k >  
         < V e r s i o n > 4 < / V e r s i o n >  
         < C o l u m n F i l t e r s / >  
         < D A L i n k I D > c 1 5 4 5 f f e - d c 0 e - 4 1 a b - 8 6 0 c - b f d a d 9 3 b f b 6 3 < / D A L i n k I D >  
         < L i n k T y p e > 0 < / L i n k T y p e >  
         < P a r a m e t e r s / >  
         < I n c l u d e A l l I t e m s > f a l s e < / I n c l u d e A l l I t e m s >  
         < A c t i v e > t r u e < / A c t i v e >  
         < P r o t e c t e d L i n k > f a l s e < / P r o t e c t e d L i n k >  
         < N a m e > 2 8 1 0 1   T B   @   3 1 . 1 2 . 2 0 2 0   3 2 5 c 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 3 2 5 c < / A c c o u n t N u m b e r >  
         < R o u n d e d > f a l s e < / R o u n d e d >  
     < / T B L i n k >  
     < T B L i n k >  
         < V e r s i o n > 4 < / V e r s i o n >  
         < C o l u m n F i l t e r s / >  
         < D A L i n k I D > 7 0 5 7 b 4 7 3 - e 5 1 4 - 4 f 6 d - a 9 a 4 - 9 9 7 5 2 d b c 0 a d 6 < / D A L i n k I D >  
         < L i n k T y p e > 0 < / L i n k T y p e >  
         < P a r a m e t e r s / >  
         < I n c l u d e A l l I t e m s > f a l s e < / I n c l u d e A l l I t e m s >  
         < A c t i v e > t r u e < / A c t i v e >  
         < P r o t e c t e d L i n k > f a l s e < / P r o t e c t e d L i n k >  
         < N a m e > 2 8 1 0 1   T B   @   3 1 . 1 2 . 2 0 2 0   3 2 6 a 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 3 2 6 a < / A c c o u n t N u m b e r >  
         < R o u n d e d > f a l s e < / R o u n d e d >  
     < / T B L i n k >  
     < T B L i n k >  
         < V e r s i o n > 4 < / V e r s i o n >  
         < C o l u m n F i l t e r s / >  
         < D A L i n k I D > d 4 2 0 7 9 0 8 - 9 f a 4 - 4 a 5 d - 8 6 6 3 - 9 6 8 a e 4 3 b a 6 c 5 < / D A L i n k I D >  
         < L i n k T y p e > 0 < / L i n k T y p e >  
         < P a r a m e t e r s / >  
         < I n c l u d e A l l I t e m s > f a l s e < / I n c l u d e A l l I t e m s >  
         < A c t i v e > t r u e < / A c t i v e >  
         < P r o t e c t e d L i n k > f a l s e < / P r o t e c t e d L i n k >  
         < N a m e > 2 8 1 0 1   T B   @   3 1 . 1 2 . 2 0 2 0   3 2 6 b 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 3 2 6 b < / A c c o u n t N u m b e r >  
         < R o u n d e d > f a l s e < / R o u n d e d >  
     < / T B L i n k >  
     < T B L i n k >  
         < V e r s i o n > 4 < / V e r s i o n >  
         < C o l u m n F i l t e r s / >  
         < D A L i n k I D > 7 6 2 6 4 b 2 4 - 9 5 e f - 4 1 3 b - 9 a 4 f - e 7 9 a 1 6 b 4 9 6 4 8 < / D A L i n k I D >  
         < L i n k T y p e > 0 < / L i n k T y p e >  
         < P a r a m e t e r s / >  
         < I n c l u d e A l l I t e m s > f a l s e < / I n c l u d e A l l I t e m s >  
         < A c t i v e > t r u e < / A c t i v e >  
         < P r o t e c t e d L i n k > f a l s e < / P r o t e c t e d L i n k >  
         < N a m e > 2 8 1 0 1   T B   @   3 1 . 1 2 . 2 0 2 0   3 2 6 c   F i n a l < / N a m e >  
         < E n t i t y E n u m > 9 < / E n t i t y E n u m >  
         < I t e m O r d e r L i s t / >  
         < S e l e c t e d I t e m L i s t / >  
         < S e l e c t e d C o l u m n L i s t / >  
         < H a s V a l u e > t r u e < / H a s V a l u e >  
         < T B C h a r t I D > 3 0 0 1 4 7 8 6 4 3 4 0 0 0 0 0 4 9 4 < / T B C h a r t I D >  
         < C o n s o l i d a t e d C o m p a n y I D   x s i : n i l = " t r u e " / >  
         < T B D o c u m e n t I D > 3 0 0 1 4 7 8 6 4 3 4 0 0 0 0 0 0 9 9 < / T B D o c u m e n t I D >  
         < N u m e r i c V a l u e > - 2 7 6 . 0 0 0 0 < / N u m e r i c V a l u e >  
         < V a l u e > - 2 7 6 , 0 0 0 0 < / V a l u e >  
         < C h a r t T y p e > c t D e t a i l < / C h a r t T y p e >  
         < R e f e r e n c e > 2 8 1 0 1 < / R e f e r e n c e >  
         < T B D o c N a m e > T B   @   3 1 . 1 2 . 2 0 2 0 < / T B D o c N a m e >  
         < T B C h a r t N a m e > D e t a i l < / T B C h a r t N a m e >  
         < C o l u m n N a m e > F i n a l B a l a n c e < / C o l u m n N a m e >  
         < U s e r F r i e n d l y C o l u m n N a m e > F i n a l < / U s e r F r i e n d l y C o l u m n N a m e >  
         < A c c o u n t N u m b e r > 3 2 6 c < / A c c o u n t N u m b e r >  
         < R o u n d e d > f a l s e < / R o u n d e d >  
     < / T B L i n k >  
     < T B L i n k >  
         < V e r s i o n > 4 < / V e r s i o n >  
         < C o l u m n F i l t e r s / >  
         < D A L i n k I D > 8 9 c 5 f 4 e 4 - 0 3 f 8 - 4 1 1 f - 9 3 e 3 - 3 9 c 7 e 4 3 6 e e 8 3 < / D A L i n k I D >  
         < L i n k T y p e > 0 < / L i n k T y p e >  
         < P a r a m e t e r s / >  
         < I n c l u d e A l l I t e m s > f a l s e < / I n c l u d e A l l I t e m s >  
         < A c t i v e > t r u e < / A c t i v e >  
         < P r o t e c t e d L i n k > f a l s e < / P r o t e c t e d L i n k >  
         < N a m e > 2 8 1 0 1   T B   @   3 1 . 1 2 . 2 0 2 0   3 3 1 x   F i n a l < / N a m e >  
         < E n t i t y E n u m > 9 < / E n t i t y E n u m >  
         < I t e m O r d e r L i s t / >  
         < S e l e c t e d I t e m L i s t / >  
         < S e l e c t e d C o l u m n L i s t / >  
         < H a s V a l u e > t r u e < / H a s V a l u e >  
         < T B C h a r t I D > 3 0 0 1 4 7 8 6 4 3 4 0 0 0 0 0 4 9 4 < / T B C h a r t I D >  
         < C o n s o l i d a t e d C o m p a n y I D   x s i : n i l = " t r u e " / >  
         < T B D o c u m e n t I D > 3 0 0 1 4 7 8 6 4 3 4 0 0 0 0 0 0 9 9 < / T B D o c u m e n t I D >  
         < N u m e r i c V a l u e > - 6 2 9 5 2 . 0 0 0 0 < / N u m e r i c V a l u e >  
         < V a l u e > - 6 2 9 5 2 , 0 0 0 0 < / V a l u e >  
         < C h a r t T y p e > c t D e t a i l < / C h a r t T y p e >  
         < R e f e r e n c e > 2 8 1 0 1 < / R e f e r e n c e >  
         < T B D o c N a m e > T B   @   3 1 . 1 2 . 2 0 2 0 < / T B D o c N a m e >  
         < T B C h a r t N a m e > D e t a i l < / T B C h a r t N a m e >  
         < C o l u m n N a m e > F i n a l B a l a n c e < / C o l u m n N a m e >  
         < U s e r F r i e n d l y C o l u m n N a m e > F i n a l < / U s e r F r i e n d l y C o l u m n N a m e >  
         < A c c o u n t N u m b e r > 3 3 1 x < / A c c o u n t N u m b e r >  
         < R o u n d e d > f a l s e < / R o u n d e d >  
     < / T B L i n k >  
     < T B L i n k >  
         < V e r s i o n > 4 < / V e r s i o n >  
         < C o l u m n F i l t e r s / >  
         < D A L i n k I D > 8 2 4 9 d 5 6 b - 6 9 2 9 - 4 c 3 e - a c e 6 - d a 1 9 d 1 6 6 7 d d 5 < / D A L i n k I D >  
         < L i n k T y p e > 0 < / L i n k T y p e >  
         < P a r a m e t e r s / >  
         < I n c l u d e A l l I t e m s > f a l s e < / I n c l u d e A l l I t e m s >  
         < A c t i v e > t r u e < / A c t i v e >  
         < P r o t e c t e d L i n k > f a l s e < / P r o t e c t e d L i n k >  
         < N a m e > 2 8 1 0 1   T B   @   3 1 . 1 2 . 2 0 2 0   3 3 3 x 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 3 3 3 x < / A c c o u n t N u m b e r >  
         < R o u n d e d > f a l s e < / R o u n d e d >  
     < / T B L i n k >  
     < T B L i n k >  
         < V e r s i o n > 4 < / V e r s i o n >  
         < C o l u m n F i l t e r s / >  
         < D A L i n k I D > 8 c f d 9 e 8 3 - 9 1 f a - 4 5 4 0 - b 6 5 f - 0 9 2 c 8 e 7 c 6 6 9 8 < / D A L i n k I D >  
         < L i n k T y p e > 0 < / L i n k T y p e >  
         < P a r a m e t e r s / >  
         < I n c l u d e A l l I t e m s > f a l s e < / I n c l u d e A l l I t e m s >  
         < A c t i v e > t r u e < / A c t i v e >  
         < P r o t e c t e d L i n k > f a l s e < / P r o t e c t e d L i n k >  
         < N a m e > 2 8 1 0 1   T B   @   3 1 . 1 2 . 2 0 2 0   3 3 5 a 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 3 3 5 a < / A c c o u n t N u m b e r >  
         < R o u n d e d > f a l s e < / R o u n d e d >  
     < / T B L i n k >  
     < T B L i n k >  
         < V e r s i o n > 4 < / V e r s i o n >  
         < C o l u m n F i l t e r s / >  
         < D A L i n k I D > b d c 2 7 7 2 5 - 8 f 0 1 - 4 e a 1 - 9 8 9 3 - 1 b 7 b 8 a d 8 0 5 4 0 < / D A L i n k I D >  
         < L i n k T y p e > 0 < / L i n k T y p e >  
         < P a r a m e t e r s / >  
         < I n c l u d e A l l I t e m s > f a l s e < / I n c l u d e A l l I t e m s >  
         < A c t i v e > t r u e < / A c t i v e >  
         < P r o t e c t e d L i n k > f a l s e < / P r o t e c t e d L i n k >  
         < N a m e > 2 8 1 0 1   T B   @   3 1 . 1 2 . 2 0 2 0   3 3 5 b 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 3 3 5 b < / A c c o u n t N u m b e r >  
         < R o u n d e d > f a l s e < / R o u n d e d >  
     < / T B L i n k >  
     < T B L i n k >  
         < V e r s i o n > 4 < / V e r s i o n >  
         < C o l u m n F i l t e r s / >  
         < D A L i n k I D > e 6 9 0 5 f 9 8 - 3 4 a 5 - 4 1 f 7 - b c 9 e - 6 c b 3 5 f 9 3 4 6 e e < / D A L i n k I D >  
         < L i n k T y p e > 0 < / L i n k T y p e >  
         < P a r a m e t e r s / >  
         < I n c l u d e A l l I t e m s > f a l s e < / I n c l u d e A l l I t e m s >  
         < A c t i v e > t r u e < / A c t i v e >  
         < P r o t e c t e d L i n k > f a l s e < / P r o t e c t e d L i n k >  
         < N a m e > 2 8 1 0 1   T B   @   3 1 . 1 2 . 2 0 2 0   3 3 6 a 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 3 3 6 a < / A c c o u n t N u m b e r >  
         < R o u n d e d > f a l s e < / R o u n d e d >  
     < / T B L i n k >  
     < T B L i n k >  
         < V e r s i o n > 4 < / V e r s i o n >  
         < C o l u m n F i l t e r s / >  
         < D A L i n k I D > 0 2 b 3 6 a 3 0 - d 1 0 1 - 4 a e 5 - 8 4 6 b - 5 e 8 c 1 9 a 4 9 5 6 3 < / D A L i n k I D >  
         < L i n k T y p e > 0 < / L i n k T y p e >  
         < P a r a m e t e r s / >  
         < I n c l u d e A l l I t e m s > f a l s e < / I n c l u d e A l l I t e m s >  
         < A c t i v e > t r u e < / A c t i v e >  
         < P r o t e c t e d L i n k > f a l s e < / P r o t e c t e d L i n k >  
         < N a m e > 2 8 1 0 1   T B   @   3 1 . 1 2 . 2 0 2 0   3 3 6 b 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 3 3 6 b < / A c c o u n t N u m b e r >  
         < R o u n d e d > f a l s e < / R o u n d e d >  
     < / T B L i n k >  
     < T B L i n k >  
         < V e r s i o n > 4 < / V e r s i o n >  
         < C o l u m n F i l t e r s / >  
         < D A L i n k I D > c 7 b 6 d d b 1 - 0 0 7 4 - 4 9 c 4 - b 5 1 8 - c 6 f 9 c 4 b a b 7 9 a < / D A L i n k I D >  
         < L i n k T y p e > 0 < / L i n k T y p e >  
         < P a r a m e t e r s / >  
         < I n c l u d e A l l I t e m s > f a l s e < / I n c l u d e A l l I t e m s >  
         < A c t i v e > t r u e < / A c t i v e >  
         < P r o t e c t e d L i n k > f a l s e < / P r o t e c t e d L i n k >  
         < N a m e > 2 8 1 0 1   T B   @   3 1 . 1 2 . 2 0 2 0   3 3 6 c   F i n a l < / N a m e >  
         < E n t i t y E n u m > 9 < / E n t i t y E n u m >  
         < I t e m O r d e r L i s t / >  
         < S e l e c t e d I t e m L i s t / >  
         < S e l e c t e d C o l u m n L i s t / >  
         < H a s V a l u e > t r u e < / H a s V a l u e >  
         < T B C h a r t I D > 3 0 0 1 4 7 8 6 4 3 4 0 0 0 0 0 4 9 4 < / T B C h a r t I D >  
         < C o n s o l i d a t e d C o m p a n y I D   x s i : n i l = " t r u e " / >  
         < T B D o c u m e n t I D > 3 0 0 1 4 7 8 6 4 3 4 0 0 0 0 0 0 9 9 < / T B D o c u m e n t I D >  
         < N u m e r i c V a l u e > - 4 1 2 6 4 . 0 0 0 0 < / N u m e r i c V a l u e >  
         < V a l u e > - 4 1 2 6 4 , 0 0 0 0 < / V a l u e >  
         < C h a r t T y p e > c t D e t a i l < / C h a r t T y p e >  
         < R e f e r e n c e > 2 8 1 0 1 < / R e f e r e n c e >  
         < T B D o c N a m e > T B   @   3 1 . 1 2 . 2 0 2 0 < / T B D o c N a m e >  
         < T B C h a r t N a m e > D e t a i l < / T B C h a r t N a m e >  
         < C o l u m n N a m e > F i n a l B a l a n c e < / C o l u m n N a m e >  
         < U s e r F r i e n d l y C o l u m n N a m e > F i n a l < / U s e r F r i e n d l y C o l u m n N a m e >  
         < A c c o u n t N u m b e r > 3 3 6 c < / A c c o u n t N u m b e r >  
         < R o u n d e d > f a l s e < / R o u n d e d >  
     < / T B L i n k >  
     < T B L i n k >  
         < V e r s i o n > 4 < / V e r s i o n >  
         < C o l u m n F i l t e r s / >  
         < D A L i n k I D > 3 e b d d c 5 8 - 8 2 5 c - 4 a d 3 - b 3 2 c - 0 2 9 f f 6 a 9 1 b 1 9 < / D A L i n k I D >  
         < L i n k T y p e > 0 < / L i n k T y p e >  
         < P a r a m e t e r s / >  
         < I n c l u d e A l l I t e m s > f a l s e < / I n c l u d e A l l I t e m s >  
         < A c t i v e > t r u e < / A c t i v e >  
         < P r o t e c t e d L i n k > f a l s e < / P r o t e c t e d L i n k >  
         < N a m e > 2 8 1 0 1   T B   @   3 1 . 1 2 . 2 0 2 0   3 3 6 d 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 3 3 6 d < / A c c o u n t N u m b e r >  
         < R o u n d e d > f a l s e < / R o u n d e d >  
     < / T B L i n k >  
     < T B L i n k >  
         < V e r s i o n > 4 < / V e r s i o n >  
         < C o l u m n F i l t e r s / >  
         < D A L i n k I D > f 0 7 6 5 8 9 0 - f 9 4 3 - 4 5 8 5 - b 1 7 f - 4 e 4 4 0 1 5 f 6 7 5 7 < / D A L i n k I D >  
         < L i n k T y p e > 0 < / L i n k T y p e >  
         < P a r a m e t e r s / >  
         < I n c l u d e A l l I t e m s > f a l s e < / I n c l u d e A l l I t e m s >  
         < A c t i v e > t r u e < / A c t i v e >  
         < P r o t e c t e d L i n k > f a l s e < / P r o t e c t e d L i n k >  
         < N a m e > 2 8 1 0 1   T B   @   3 1 . 1 2 . 2 0 2 0   3 4 1 a   F i n a l < / N a m e >  
         < E n t i t y E n u m > 9 < / E n t i t y E n u m >  
         < I t e m O r d e r L i s t / >  
         < S e l e c t e d I t e m L i s t / >  
         < S e l e c t e d C o l u m n L i s t / >  
         < H a s V a l u e > t r u e < / H a s V a l u e >  
         < T B C h a r t I D > 3 0 0 1 4 7 8 6 4 3 4 0 0 0 0 0 4 9 4 < / T B C h a r t I D >  
         < C o n s o l i d a t e d C o m p a n y I D   x s i : n i l = " t r u e " / >  
         < T B D o c u m e n t I D > 3 0 0 1 4 7 8 6 4 3 4 0 0 0 0 0 0 9 9 < / T B D o c u m e n t I D >  
         < N u m e r i c V a l u e > - 8 9 2 5 . 0 0 0 0 < / N u m e r i c V a l u e >  
         < V a l u e > - 8 9 2 5 , 0 0 0 0 < / V a l u e >  
         < C h a r t T y p e > c t D e t a i l < / C h a r t T y p e >  
         < R e f e r e n c e > 2 8 1 0 1 < / R e f e r e n c e >  
         < T B D o c N a m e > T B   @   3 1 . 1 2 . 2 0 2 0 < / T B D o c N a m e >  
         < T B C h a r t N a m e > D e t a i l < / T B C h a r t N a m e >  
         < C o l u m n N a m e > F i n a l B a l a n c e < / C o l u m n N a m e >  
         < U s e r F r i e n d l y C o l u m n N a m e > F i n a l < / U s e r F r i e n d l y C o l u m n N a m e >  
         < A c c o u n t N u m b e r > 3 4 1 a < / A c c o u n t N u m b e r >  
         < R o u n d e d > f a l s e < / R o u n d e d >  
     < / T B L i n k >  
     < T B L i n k >  
         < V e r s i o n > 4 < / V e r s i o n >  
         < C o l u m n F i l t e r s / >  
         < D A L i n k I D > 4 4 2 e 2 d 8 1 - 5 e 6 9 - 4 8 8 4 - a 3 3 c - d 6 6 c 0 f f 9 8 d c 8 < / D A L i n k I D >  
         < L i n k T y p e > 0 < / L i n k T y p e >  
         < P a r a m e t e r s / >  
         < I n c l u d e A l l I t e m s > f a l s e < / I n c l u d e A l l I t e m s >  
         < A c t i v e > t r u e < / A c t i v e >  
         < P r o t e c t e d L i n k > f a l s e < / P r o t e c t e d L i n k >  
         < N a m e > 2 8 1 0 1   T B   @   3 1 . 1 2 . 2 0 2 0   3 4 1 b 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 3 4 1 b < / A c c o u n t N u m b e r >  
         < R o u n d e d > f a l s e < / R o u n d e d >  
     < / T B L i n k >  
     < T B L i n k >  
         < V e r s i o n > 4 < / V e r s i o n >  
         < C o l u m n F i l t e r s / >  
         < D A L i n k I D > a 8 4 a 4 4 a 4 - b a 1 1 - 4 8 d c - 8 0 0 4 - e 4 4 7 d a f b c 8 5 d < / D A L i n k I D >  
         < L i n k T y p e > 0 < / L i n k T y p e >  
         < P a r a m e t e r s / >  
         < I n c l u d e A l l I t e m s > f a l s e < / I n c l u d e A l l I t e m s >  
         < A c t i v e > t r u e < / A c t i v e >  
         < P r o t e c t e d L i n k > f a l s e < / P r o t e c t e d L i n k >  
         < N a m e > 2 8 1 0 1   T B   @   3 1 . 1 2 . 2 0 2 0   3 4 2 a   F i n a l < / N a m e >  
         < E n t i t y E n u m > 9 < / E n t i t y E n u m >  
         < I t e m O r d e r L i s t / >  
         < S e l e c t e d I t e m L i s t / >  
         < S e l e c t e d C o l u m n L i s t / >  
         < H a s V a l u e > t r u e < / H a s V a l u e >  
         < T B C h a r t I D > 3 0 0 1 4 7 8 6 4 3 4 0 0 0 0 0 4 9 4 < / T B C h a r t I D >  
         < C o n s o l i d a t e d C o m p a n y I D   x s i : n i l = " t r u e " / >  
         < T B D o c u m e n t I D > 3 0 0 1 4 7 8 6 4 3 4 0 0 0 0 0 0 9 9 < / T B D o c u m e n t I D >  
         < N u m e r i c V a l u e > - 4 5 5 0 . 0 0 0 0 < / N u m e r i c V a l u e >  
         < V a l u e > - 4 5 5 0 , 0 0 0 0 < / V a l u e >  
         < C h a r t T y p e > c t D e t a i l < / C h a r t T y p e >  
         < R e f e r e n c e > 2 8 1 0 1 < / R e f e r e n c e >  
         < T B D o c N a m e > T B   @   3 1 . 1 2 . 2 0 2 0 < / T B D o c N a m e >  
         < T B C h a r t N a m e > D e t a i l < / T B C h a r t N a m e >  
         < C o l u m n N a m e > F i n a l B a l a n c e < / C o l u m n N a m e >  
         < U s e r F r i e n d l y C o l u m n N a m e > F i n a l < / U s e r F r i e n d l y C o l u m n N a m e >  
         < A c c o u n t N u m b e r > 3 4 2 a < / A c c o u n t N u m b e r >  
         < R o u n d e d > f a l s e < / R o u n d e d >  
     < / T B L i n k >  
     < T B L i n k >  
         < V e r s i o n > 4 < / V e r s i o n >  
         < C o l u m n F i l t e r s / >  
         < D A L i n k I D > 1 2 6 4 1 1 5 0 - e 9 5 2 - 4 6 6 5 - 8 3 7 5 - 6 2 1 9 1 0 1 d c 3 2 7 < / D A L i n k I D >  
         < L i n k T y p e > 0 < / L i n k T y p e >  
         < P a r a m e t e r s / >  
         < I n c l u d e A l l I t e m s > f a l s e < / I n c l u d e A l l I t e m s >  
         < A c t i v e > t r u e < / A c t i v e >  
         < P r o t e c t e d L i n k > f a l s e < / P r o t e c t e d L i n k >  
         < N a m e > 2 8 1 0 1   T B   @   3 1 . 1 2 . 2 0 2 0   3 4 2 b 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 3 4 2 b < / A c c o u n t N u m b e r >  
         < R o u n d e d > f a l s e < / R o u n d e d >  
     < / T B L i n k >  
     < T B L i n k >  
         < V e r s i o n > 4 < / V e r s i o n >  
         < C o l u m n F i l t e r s / >  
         < D A L i n k I D > a 1 5 8 b c c f - 0 a a 0 - 4 f 9 7 - 8 4 5 b - 4 5 6 4 c c 3 c 2 b 4 5 < / D A L i n k I D >  
         < L i n k T y p e > 0 < / L i n k T y p e >  
         < P a r a m e t e r s / >  
         < I n c l u d e A l l I t e m s > f a l s e < / I n c l u d e A l l I t e m s >  
         < A c t i v e > t r u e < / A c t i v e >  
         < P r o t e c t e d L i n k > f a l s e < / P r o t e c t e d L i n k >  
         < N a m e > 2 8 1 0 1   T B   @   3 1 . 1 2 . 2 0 2 0   3 4 3 a 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 3 4 3 a < / A c c o u n t N u m b e r >  
         < R o u n d e d > f a l s e < / R o u n d e d >  
     < / T B L i n k >  
     < T B L i n k >  
         < V e r s i o n > 4 < / V e r s i o n >  
         < C o l u m n F i l t e r s / >  
         < D A L i n k I D > 2 8 9 4 c a e c - b b 2 7 - 4 9 7 8 - a 5 3 3 - a 9 b 4 8 c 0 2 9 1 c 1 < / D A L i n k I D >  
         < L i n k T y p e > 0 < / L i n k T y p e >  
         < P a r a m e t e r s / >  
         < I n c l u d e A l l I t e m s > f a l s e < / I n c l u d e A l l I t e m s >  
         < A c t i v e > t r u e < / A c t i v e >  
         < P r o t e c t e d L i n k > f a l s e < / P r o t e c t e d L i n k >  
         < N a m e > 2 8 1 0 1   T B   @   3 1 . 1 2 . 2 0 2 0   3 4 3 b 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 3 4 3 b < / A c c o u n t N u m b e r >  
         < R o u n d e d > f a l s e < / R o u n d e d >  
     < / T B L i n k >  
     < T B L i n k >  
         < V e r s i o n > 4 < / V e r s i o n >  
         < C o l u m n F i l t e r s / >  
         < D A L i n k I D > 0 9 5 d c 9 c 3 - 4 9 7 c - 4 5 c 8 - b 2 2 c - 2 a b 6 e d 1 b c 3 e 5 < / D A L i n k I D >  
         < L i n k T y p e > 0 < / L i n k T y p e >  
         < P a r a m e t e r s / >  
         < I n c l u d e A l l I t e m s > f a l s e < / I n c l u d e A l l I t e m s >  
         < A c t i v e > t r u e < / A c t i v e >  
         < P r o t e c t e d L i n k > f a l s e < / P r o t e c t e d L i n k >  
         < N a m e > 2 8 1 0 1   T B   @   3 1 . 1 2 . 2 0 2 0   3 4 5 a   F i n a l < / N a m e >  
         < E n t i t y E n u m > 9 < / E n t i t y E n u m >  
         < I t e m O r d e r L i s t / >  
         < S e l e c t e d I t e m L i s t / >  
         < S e l e c t e d C o l u m n L i s t / >  
         < H a s V a l u e > t r u e < / H a s V a l u e >  
         < T B C h a r t I D > 3 0 0 1 4 7 8 6 4 3 4 0 0 0 0 0 4 9 4 < / T B C h a r t I D >  
         < C o n s o l i d a t e d C o m p a n y I D   x s i : n i l = " t r u e " / >  
         < T B D o c u m e n t I D > 3 0 0 1 4 7 8 6 4 3 4 0 0 0 0 0 0 9 9 < / T B D o c u m e n t I D >  
         < N u m e r i c V a l u e > - 6 3 6 . 0 0 0 0 < / N u m e r i c V a l u e >  
         < V a l u e > - 6 3 6 , 0 0 0 0 < / V a l u e >  
         < C h a r t T y p e > c t D e t a i l < / C h a r t T y p e >  
         < R e f e r e n c e > 2 8 1 0 1 < / R e f e r e n c e >  
         < T B D o c N a m e > T B   @   3 1 . 1 2 . 2 0 2 0 < / T B D o c N a m e >  
         < T B C h a r t N a m e > D e t a i l < / T B C h a r t N a m e >  
         < C o l u m n N a m e > F i n a l B a l a n c e < / C o l u m n N a m e >  
         < U s e r F r i e n d l y C o l u m n N a m e > F i n a l < / U s e r F r i e n d l y C o l u m n N a m e >  
         < A c c o u n t N u m b e r > 3 4 5 a < / A c c o u n t N u m b e r >  
         < R o u n d e d > f a l s e < / R o u n d e d >  
     < / T B L i n k >  
     < T B L i n k >  
         < V e r s i o n > 4 < / V e r s i o n >  
         < C o l u m n F i l t e r s / >  
         < D A L i n k I D > c c 2 2 b 5 e f - 5 2 0 1 - 4 6 c 2 - a 6 d 5 - d 4 9 1 6 2 e 3 6 5 0 f < / D A L i n k I D >  
         < L i n k T y p e > 0 < / L i n k T y p e >  
         < P a r a m e t e r s / >  
         < I n c l u d e A l l I t e m s > f a l s e < / I n c l u d e A l l I t e m s >  
         < A c t i v e > t r u e < / A c t i v e >  
         < P r o t e c t e d L i n k > f a l s e < / P r o t e c t e d L i n k >  
         < N a m e > 2 8 1 0 1   T B   @   3 1 . 1 2 . 2 0 2 0   3 4 5 b 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 3 4 5 b < / A c c o u n t N u m b e r >  
         < R o u n d e d > f a l s e < / R o u n d e d >  
     < / T B L i n k >  
     < T B L i n k >  
         < V e r s i o n > 4 < / V e r s i o n >  
         < C o l u m n F i l t e r s / >  
         < D A L i n k I D > e 9 e 9 e 1 2 b - 3 0 d 5 - 4 8 2 1 - 8 c 5 c - 8 f 0 7 d 0 8 f 6 4 8 a < / D A L i n k I D >  
         < L i n k T y p e > 0 < / L i n k T y p e >  
         < P a r a m e t e r s / >  
         < I n c l u d e A l l I t e m s > f a l s e < / I n c l u d e A l l I t e m s >  
         < A c t i v e > t r u e < / A c t i v e >  
         < P r o t e c t e d L i n k > f a l s e < / P r o t e c t e d L i n k >  
         < N a m e > 2 8 1 0 1   T B   @   3 1 . 1 2 . 2 0 2 0   3 4 6 a   F i n a l < / N a m e >  
         < E n t i t y E n u m > 9 < / E n t i t y E n u m >  
         < I t e m O r d e r L i s t / >  
         < S e l e c t e d I t e m L i s t / >  
         < S e l e c t e d C o l u m n L i s t / >  
         < H a s V a l u e > t r u e < / H a s V a l u e >  
         < T B C h a r t I D > 3 0 0 1 4 7 8 6 4 3 4 0 0 0 0 0 4 9 4 < / T B C h a r t I D >  
         < C o n s o l i d a t e d C o m p a n y I D   x s i : n i l = " t r u e " / >  
         < T B D o c u m e n t I D > 3 0 0 1 4 7 8 6 4 3 4 0 0 0 0 0 0 9 9 < / T B D o c u m e n t I D >  
         < N u m e r i c V a l u e > - 1 6 4 7 . 0 0 0 0 < / N u m e r i c V a l u e >  
         < V a l u e > - 1 6 4 7 , 0 0 0 0 < / V a l u e >  
         < C h a r t T y p e > c t D e t a i l < / C h a r t T y p e >  
         < R e f e r e n c e > 2 8 1 0 1 < / R e f e r e n c e >  
         < T B D o c N a m e > T B   @   3 1 . 1 2 . 2 0 2 0 < / T B D o c N a m e >  
         < T B C h a r t N a m e > D e t a i l < / T B C h a r t N a m e >  
         < C o l u m n N a m e > F i n a l B a l a n c e < / C o l u m n N a m e >  
         < U s e r F r i e n d l y C o l u m n N a m e > F i n a l < / U s e r F r i e n d l y C o l u m n N a m e >  
         < A c c o u n t N u m b e r > 3 4 6 a < / A c c o u n t N u m b e r >  
         < R o u n d e d > f a l s e < / R o u n d e d >  
     < / T B L i n k >  
     < T B L i n k >  
         < V e r s i o n > 4 < / V e r s i o n >  
         < C o l u m n F i l t e r s / >  
         < D A L i n k I D > 6 b 2 e 7 3 c d - b d f 6 - 4 5 1 b - 8 e 3 d - 8 b 8 3 2 f 4 c 3 0 5 c < / D A L i n k I D >  
         < L i n k T y p e > 0 < / L i n k T y p e >  
         < P a r a m e t e r s / >  
         < I n c l u d e A l l I t e m s > f a l s e < / I n c l u d e A l l I t e m s >  
         < A c t i v e > t r u e < / A c t i v e >  
         < P r o t e c t e d L i n k > f a l s e < / P r o t e c t e d L i n k >  
         < N a m e > 2 8 1 0 1   T B   @   3 1 . 1 2 . 2 0 2 0   3 4 6 b 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 3 4 6 b < / A c c o u n t N u m b e r >  
         < R o u n d e d > f a l s e < / R o u n d e d >  
     < / T B L i n k >  
     < T B L i n k >  
         < V e r s i o n > 4 < / V e r s i o n >  
         < C o l u m n F i l t e r s / >  
         < D A L i n k I D > 1 7 6 d 0 d e 0 - 2 1 e 6 - 4 9 b 3 - a d 7 5 - 7 d c 0 d 2 6 c c 1 4 e < / D A L i n k I D >  
         < L i n k T y p e > 0 < / L i n k T y p e >  
         < P a r a m e t e r s / >  
         < I n c l u d e A l l I t e m s > f a l s e < / I n c l u d e A l l I t e m s >  
         < A c t i v e > t r u e < / A c t i v e >  
         < P r o t e c t e d L i n k > f a l s e < / P r o t e c t e d L i n k >  
         < N a m e > 2 8 1 0 1   T B   @   3 1 . 1 2 . 2 0 2 0   3 4 7 a 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 3 4 7 a < / A c c o u n t N u m b e r >  
         < R o u n d e d > f a l s e < / R o u n d e d >  
     < / T B L i n k >  
     < T B L i n k >  
         < V e r s i o n > 4 < / V e r s i o n >  
         < C o l u m n F i l t e r s / >  
         < D A L i n k I D > 7 4 2 7 c 8 5 9 - 0 a 7 a - 4 a 8 b - b d d c - f 2 7 5 3 4 7 0 5 6 e 7 < / D A L i n k I D >  
         < L i n k T y p e > 0 < / L i n k T y p e >  
         < P a r a m e t e r s / >  
         < I n c l u d e A l l I t e m s > f a l s e < / I n c l u d e A l l I t e m s >  
         < A c t i v e > t r u e < / A c t i v e >  
         < P r o t e c t e d L i n k > f a l s e < / P r o t e c t e d L i n k >  
         < N a m e > 2 8 1 0 1   T B   @   3 1 . 1 2 . 2 0 2 0   3 4 7 b 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 3 4 7 b < / A c c o u n t N u m b e r >  
         < R o u n d e d > f a l s e < / R o u n d e d >  
     < / T B L i n k >  
     < T B L i n k >  
         < V e r s i o n > 4 < / V e r s i o n >  
         < C o l u m n F i l t e r s / >  
         < D A L i n k I D > e 4 2 4 a d 7 7 - c 1 3 e - 4 4 3 7 - a 4 d 5 - 2 4 b 7 d d 1 f 9 a 9 a < / D A L i n k I D >  
         < L i n k T y p e > 0 < / L i n k T y p e >  
         < P a r a m e t e r s / >  
         < I n c l u d e A l l I t e m s > f a l s e < / I n c l u d e A l l I t e m s >  
         < A c t i v e > t r u e < / A c t i v e >  
         < P r o t e c t e d L i n k > f a l s e < / P r o t e c t e d L i n k >  
         < N a m e > 2 8 1 0 1   T B   @   3 1 . 1 2 . 2 0 2 0   3 5 1 a 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 3 5 1 a < / A c c o u n t N u m b e r >  
         < R o u n d e d > f a l s e < / R o u n d e d >  
     < / T B L i n k >  
     < T B L i n k >  
         < V e r s i o n > 4 < / V e r s i o n >  
         < C o l u m n F i l t e r s / >  
         < D A L i n k I D > 8 0 3 e 3 7 c 2 - 6 4 f b - 4 e b d - a 3 4 5 - 4 8 e e f e 0 1 c 9 1 f < / D A L i n k I D >  
         < L i n k T y p e > 0 < / L i n k T y p e >  
         < P a r a m e t e r s / >  
         < I n c l u d e A l l I t e m s > f a l s e < / I n c l u d e A l l I t e m s >  
         < A c t i v e > t r u e < / A c t i v e >  
         < P r o t e c t e d L i n k > f a l s e < / P r o t e c t e d L i n k >  
         < N a m e > 2 8 1 0 1   T B   @   3 1 . 1 2 . 2 0 2 0   3 5 1 b 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 3 5 1 b < / A c c o u n t N u m b e r >  
         < R o u n d e d > f a l s e < / R o u n d e d >  
     < / T B L i n k >  
     < T B L i n k >  
         < V e r s i o n > 4 < / V e r s i o n >  
         < C o l u m n F i l t e r s / >  
         < D A L i n k I D > f 8 f 0 2 1 7 9 - 1 7 3 b - 4 0 8 f - 8 a 5 4 - f 2 4 0 5 8 0 c 5 4 5 3 < / D A L i n k I D >  
         < L i n k T y p e > 0 < / L i n k T y p e >  
         < P a r a m e t e r s / >  
         < I n c l u d e A l l I t e m s > f a l s e < / I n c l u d e A l l I t e m s >  
         < A c t i v e > t r u e < / A c t i v e >  
         < P r o t e c t e d L i n k > f a l s e < / P r o t e c t e d L i n k >  
         < N a m e > 2 8 1 0 1   T B   @   3 1 . 1 2 . 2 0 2 0   3 5 1 c   F i n a l < / N a m e >  
         < E n t i t y E n u m > 9 < / E n t i t y E n u m >  
         < I t e m O r d e r L i s t / >  
         < S e l e c t e d I t e m L i s t / >  
         < S e l e c t e d C o l u m n L i s t / >  
         < H a s V a l u e > t r u e < / H a s V a l u e >  
         < T B C h a r t I D > 3 0 0 1 4 7 8 6 4 3 4 0 0 0 0 0 4 9 4 < / T B C h a r t I D >  
         < C o n s o l i d a t e d C o m p a n y I D   x s i : n i l = " t r u e " / >  
         < T B D o c u m e n t I D > 3 0 0 1 4 7 8 6 4 3 4 0 0 0 0 0 0 9 9 < / T B D o c u m e n t I D >  
         < N u m e r i c V a l u e > 2 6 0 8 . 0 0 0 0 < / N u m e r i c V a l u e >  
         < V a l u e > 2 6 0 8 , 0 0 0 0 < / V a l u e >  
         < C h a r t T y p e > c t D e t a i l < / C h a r t T y p e >  
         < R e f e r e n c e > 2 8 1 0 1 < / R e f e r e n c e >  
         < T B D o c N a m e > T B   @   3 1 . 1 2 . 2 0 2 0 < / T B D o c N a m e >  
         < T B C h a r t N a m e > D e t a i l < / T B C h a r t N a m e >  
         < C o l u m n N a m e > F i n a l B a l a n c e < / C o l u m n N a m e >  
         < U s e r F r i e n d l y C o l u m n N a m e > F i n a l < / U s e r F r i e n d l y C o l u m n N a m e >  
         < A c c o u n t N u m b e r > 3 5 1 c < / A c c o u n t N u m b e r >  
         < R o u n d e d > f a l s e < / R o u n d e d >  
     < / T B L i n k >  
     < T B L i n k >  
         < V e r s i o n > 4 < / V e r s i o n >  
         < C o l u m n F i l t e r s / >  
         < D A L i n k I D > 0 e 5 f 5 b 4 a - c d 0 9 - 4 1 2 6 - a 9 b c - 8 c 3 e 1 a 1 7 4 9 8 6 < / D A L i n k I D >  
         < L i n k T y p e > 0 < / L i n k T y p e >  
         < P a r a m e t e r s / >  
         < I n c l u d e A l l I t e m s > f a l s e < / I n c l u d e A l l I t e m s >  
         < A c t i v e > t r u e < / A c t i v e >  
         < P r o t e c t e d L i n k > f a l s e < / P r o t e c t e d L i n k >  
         < N a m e > 2 8 1 0 1   T B   @   3 1 . 1 2 . 2 0 2 0   3 5 1 d 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 3 5 1 d < / A c c o u n t N u m b e r >  
         < R o u n d e d > f a l s e < / R o u n d e d >  
     < / T B L i n k >  
     < T B L i n k >  
         < V e r s i o n > 4 < / V e r s i o n >  
         < C o l u m n F i l t e r s / >  
         < D A L i n k I D > b a 5 2 f b f 1 - 5 1 e 8 - 4 9 1 6 - 8 e 0 3 - f e 9 c 9 9 4 3 8 0 f c < / D A L i n k I D >  
         < L i n k T y p e > 0 < / L i n k T y p e >  
         < P a r a m e t e r s / >  
         < I n c l u d e A l l I t e m s > f a l s e < / I n c l u d e A l l I t e m s >  
         < A c t i v e > t r u e < / A c t i v e >  
         < P r o t e c t e d L i n k > f a l s e < / P r o t e c t e d L i n k >  
         < N a m e > 2 8 1 0 1   T B   @   3 1 . 1 2 . 2 0 2 0   3 5 3 x 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 3 5 3 x < / A c c o u n t N u m b e r >  
         < R o u n d e d > f a l s e < / R o u n d e d >  
     < / T B L i n k >  
     < T B L i n k >  
         < V e r s i o n > 4 < / V e r s i o n >  
         < C o l u m n F i l t e r s / >  
         < D A L i n k I D > 5 1 e 3 1 d b d - d b 9 b - 4 5 9 5 - b 5 1 2 - 9 6 d f 8 0 2 5 5 0 b 3 < / D A L i n k I D >  
         < L i n k T y p e > 0 < / L i n k T y p e >  
         < P a r a m e t e r s / >  
         < I n c l u d e A l l I t e m s > f a l s e < / I n c l u d e A l l I t e m s >  
         < A c t i v e > t r u e < / A c t i v e >  
         < P r o t e c t e d L i n k > f a l s e < / P r o t e c t e d L i n k >  
         < N a m e > 2 8 1 0 1   T B   @   3 1 . 1 2 . 2 0 2 0   3 5 4 a 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 3 5 4 a < / A c c o u n t N u m b e r >  
         < R o u n d e d > f a l s e < / R o u n d e d >  
     < / T B L i n k >  
     < T B L i n k >  
         < V e r s i o n > 4 < / V e r s i o n >  
         < C o l u m n F i l t e r s / >  
         < D A L i n k I D > 0 9 9 0 0 a 4 c - c 2 7 4 - 4 0 d 4 - 8 f 7 e - 8 2 f 5 7 a 4 0 f 2 0 d < / D A L i n k I D >  
         < L i n k T y p e > 0 < / L i n k T y p e >  
         < P a r a m e t e r s / >  
         < I n c l u d e A l l I t e m s > f a l s e < / I n c l u d e A l l I t e m s >  
         < A c t i v e > t r u e < / A c t i v e >  
         < P r o t e c t e d L i n k > f a l s e < / P r o t e c t e d L i n k >  
         < N a m e > 2 8 1 0 1   T B   @   3 1 . 1 2 . 2 0 2 0   3 5 4 b 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 3 5 4 b < / A c c o u n t N u m b e r >  
         < R o u n d e d > f a l s e < / R o u n d e d >  
     < / T B L i n k >  
     < T B L i n k >  
         < V e r s i o n > 4 < / V e r s i o n >  
         < C o l u m n F i l t e r s / >  
         < D A L i n k I D > 7 9 3 9 2 c 6 d - e 7 9 2 - 4 5 b 9 - b a 5 6 - f 9 1 5 5 6 d 7 e d 4 5 < / D A L i n k I D >  
         < L i n k T y p e > 0 < / L i n k T y p e >  
         < P a r a m e t e r s / >  
         < I n c l u d e A l l I t e m s > f a l s e < / I n c l u d e A l l I t e m s >  
         < A c t i v e > t r u e < / A c t i v e >  
         < P r o t e c t e d L i n k > f a l s e < / P r o t e c t e d L i n k >  
         < N a m e > 2 8 1 0 1   T B   @   3 1 . 1 2 . 2 0 2 0   3 5 5 a 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 3 5 5 a < / A c c o u n t N u m b e r >  
         < R o u n d e d > f a l s e < / R o u n d e d >  
     < / T B L i n k >  
     < T B L i n k >  
         < V e r s i o n > 4 < / V e r s i o n >  
         < C o l u m n F i l t e r s / >  
         < D A L i n k I D > 1 7 7 b 0 2 a 9 - 8 d 1 b - 4 0 f 4 - 9 d 1 9 - 8 8 7 e 1 b 1 9 9 5 e 9 < / D A L i n k I D >  
         < L i n k T y p e > 0 < / L i n k T y p e >  
         < P a r a m e t e r s / >  
         < I n c l u d e A l l I t e m s > f a l s e < / I n c l u d e A l l I t e m s >  
         < A c t i v e > t r u e < / A c t i v e >  
         < P r o t e c t e d L i n k > f a l s e < / P r o t e c t e d L i n k >  
         < N a m e > 2 8 1 0 1   T B   @   3 1 . 1 2 . 2 0 2 0   3 5 5 b 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 3 5 5 b < / A c c o u n t N u m b e r >  
         < R o u n d e d > f a l s e < / R o u n d e d >  
     < / T B L i n k >  
     < T B L i n k >  
         < V e r s i o n > 4 < / V e r s i o n >  
         < C o l u m n F i l t e r s / >  
         < D A L i n k I D > b c d 9 a b 9 4 - 7 d 4 c - 4 f e 9 - 8 9 9 9 - a 2 3 f 3 f 7 0 3 6 2 7 < / D A L i n k I D >  
         < L i n k T y p e > 0 < / L i n k T y p e >  
         < P a r a m e t e r s / >  
         < I n c l u d e A l l I t e m s > f a l s e < / I n c l u d e A l l I t e m s >  
         < A c t i v e > t r u e < / A c t i v e >  
         < P r o t e c t e d L i n k > f a l s e < / P r o t e c t e d L i n k >  
         < N a m e > 2 8 1 0 1   T B   @   3 1 . 1 2 . 2 0 2 0   3 5 8 a 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 3 5 8 a < / A c c o u n t N u m b e r >  
         < R o u n d e d > f a l s e < / R o u n d e d >  
     < / T B L i n k >  
     < T B L i n k >  
         < V e r s i o n > 4 < / V e r s i o n >  
         < C o l u m n F i l t e r s / >  
         < D A L i n k I D > 2 8 4 7 f 7 5 1 - 0 7 1 0 - 4 2 b 4 - b 8 1 b - 6 b 3 3 8 3 1 c 2 8 2 9 < / D A L i n k I D >  
         < L i n k T y p e > 0 < / L i n k T y p e >  
         < P a r a m e t e r s / >  
         < I n c l u d e A l l I t e m s > f a l s e < / I n c l u d e A l l I t e m s >  
         < A c t i v e > t r u e < / A c t i v e >  
         < P r o t e c t e d L i n k > f a l s e < / P r o t e c t e d L i n k >  
         < N a m e > 2 8 1 0 1   T B   @   3 1 . 1 2 . 2 0 2 0   3 5 8 b 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 3 5 8 b < / A c c o u n t N u m b e r >  
         < R o u n d e d > f a l s e < / R o u n d e d >  
     < / T B L i n k >  
     < T B L i n k >  
         < V e r s i o n > 4 < / V e r s i o n >  
         < C o l u m n F i l t e r s / >  
         < D A L i n k I D > 0 0 e b 4 9 6 4 - 0 5 f f - 4 f 1 5 - b d e 1 - 2 6 b 4 5 0 2 8 2 3 2 5 < / D A L i n k I D >  
         < L i n k T y p e > 0 < / L i n k T y p e >  
         < P a r a m e t e r s / >  
         < I n c l u d e A l l I t e m s > f a l s e < / I n c l u d e A l l I t e m s >  
         < A c t i v e > t r u e < / A c t i v e >  
         < P r o t e c t e d L i n k > f a l s e < / P r o t e c t e d L i n k >  
         < N a m e > 2 8 1 0 1   T B   @   3 1 . 1 2 . 2 0 2 0   3 6 1 a 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 3 6 1 a < / A c c o u n t N u m b e r >  
         < R o u n d e d > f a l s e < / R o u n d e d >  
     < / T B L i n k >  
     < T B L i n k >  
         < V e r s i o n > 4 < / V e r s i o n >  
         < C o l u m n F i l t e r s / >  
         < D A L i n k I D > d c d 9 f 0 d 8 - d 1 b 9 - 4 6 8 a - 8 3 6 3 - 1 4 1 a 6 8 0 d 4 7 f e < / D A L i n k I D >  
         < L i n k T y p e > 0 < / L i n k T y p e >  
         < P a r a m e t e r s / >  
         < I n c l u d e A l l I t e m s > f a l s e < / I n c l u d e A l l I t e m s >  
         < A c t i v e > t r u e < / A c t i v e >  
         < P r o t e c t e d L i n k > f a l s e < / P r o t e c t e d L i n k >  
         < N a m e > 2 8 1 0 1   T B   @   3 1 . 1 2 . 2 0 2 0   3 6 1 b 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 3 6 1 b < / A c c o u n t N u m b e r >  
         < R o u n d e d > f a l s e < / R o u n d e d >  
     < / T B L i n k >  
     < T B L i n k >  
         < V e r s i o n > 4 < / V e r s i o n >  
         < C o l u m n F i l t e r s / >  
         < D A L i n k I D > c b 6 5 9 2 9 e - 0 a 1 5 - 4 4 7 5 - 9 7 e a - 8 f d 0 8 3 a 8 0 9 b 3 < / D A L i n k I D >  
         < L i n k T y p e > 0 < / L i n k T y p e >  
         < P a r a m e t e r s / >  
         < I n c l u d e A l l I t e m s > f a l s e < / I n c l u d e A l l I t e m s >  
         < A c t i v e > t r u e < / A c t i v e >  
         < P r o t e c t e d L i n k > f a l s e < / P r o t e c t e d L i n k >  
         < N a m e > 2 8 1 0 1   T B   @   3 1 . 1 2 . 2 0 2 0   3 6 4 x 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 3 6 4 x < / A c c o u n t N u m b e r >  
         < R o u n d e d > f a l s e < / R o u n d e d >  
     < / T B L i n k >  
     < T B L i n k >  
         < V e r s i o n > 4 < / V e r s i o n >  
         < C o l u m n F i l t e r s / >  
         < D A L i n k I D > d 4 c 4 f c 4 8 - 2 0 d a - 4 1 1 f - b 6 c d - 6 2 b a 3 7 9 7 6 b f 3 < / D A L i n k I D >  
         < L i n k T y p e > 0 < / L i n k T y p e >  
         < P a r a m e t e r s / >  
         < I n c l u d e A l l I t e m s > f a l s e < / I n c l u d e A l l I t e m s >  
         < A c t i v e > t r u e < / A c t i v e >  
         < P r o t e c t e d L i n k > f a l s e < / P r o t e c t e d L i n k >  
         < N a m e > 2 8 1 0 1   T B   @   3 1 . 1 2 . 2 0 2 0   3 6 5 x 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 3 6 5 x < / A c c o u n t N u m b e r >  
         < R o u n d e d > f a l s e < / R o u n d e d >  
     < / T B L i n k >  
     < T B L i n k >  
         < V e r s i o n > 4 < / V e r s i o n >  
         < C o l u m n F i l t e r s / >  
         < D A L i n k I D > 6 e 2 6 6 b 3 3 - 4 b 2 4 - 4 7 4 3 - 9 8 b b - 1 a 0 1 f 3 9 d 9 e 5 b < / D A L i n k I D >  
         < L i n k T y p e > 0 < / L i n k T y p e >  
         < P a r a m e t e r s / >  
         < I n c l u d e A l l I t e m s > f a l s e < / I n c l u d e A l l I t e m s >  
         < A c t i v e > t r u e < / A c t i v e >  
         < P r o t e c t e d L i n k > f a l s e < / P r o t e c t e d L i n k >  
         < N a m e > 2 8 1 0 1   T B   @   3 1 . 1 2 . 2 0 2 0   3 6 6 x 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 3 6 6 x < / A c c o u n t N u m b e r >  
         < R o u n d e d > f a l s e < / R o u n d e d >  
     < / T B L i n k >  
     < T B L i n k >  
         < V e r s i o n > 4 < / V e r s i o n >  
         < C o l u m n F i l t e r s / >  
         < D A L i n k I D > b 7 2 0 7 a b c - 6 1 f 2 - 4 d b 6 - a 8 0 0 - a 9 c 8 a 1 1 5 1 2 3 7 < / D A L i n k I D >  
         < L i n k T y p e > 0 < / L i n k T y p e >  
         < P a r a m e t e r s / >  
         < I n c l u d e A l l I t e m s > f a l s e < / I n c l u d e A l l I t e m s >  
         < A c t i v e > t r u e < / A c t i v e >  
         < P r o t e c t e d L i n k > f a l s e < / P r o t e c t e d L i n k >  
         < N a m e > 2 8 1 0 1   T B   @   3 1 . 1 2 . 2 0 2 0   3 6 7 x 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 3 6 7 x < / A c c o u n t N u m b e r >  
         < R o u n d e d > f a l s e < / R o u n d e d >  
     < / T B L i n k >  
     < T B L i n k >  
         < V e r s i o n > 4 < / V e r s i o n >  
         < C o l u m n F i l t e r s / >  
         < D A L i n k I D > 6 8 e 8 9 0 0 a - e 9 4 b - 4 d b d - 8 7 b 9 - d 1 1 0 0 5 0 8 e d e 7 < / D A L i n k I D >  
         < L i n k T y p e > 0 < / L i n k T y p e >  
         < P a r a m e t e r s / >  
         < I n c l u d e A l l I t e m s > f a l s e < / I n c l u d e A l l I t e m s >  
         < A c t i v e > t r u e < / A c t i v e >  
         < P r o t e c t e d L i n k > f a l s e < / P r o t e c t e d L i n k >  
         < N a m e > 2 8 1 0 1   T B   @   3 1 . 1 2 . 2 0 2 0   3 6 8 x 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 3 6 8 x < / A c c o u n t N u m b e r >  
         < R o u n d e d > f a l s e < / R o u n d e d >  
     < / T B L i n k >  
     < T B L i n k >  
         < V e r s i o n > 4 < / V e r s i o n >  
         < C o l u m n F i l t e r s / >  
         < D A L i n k I D > 8 a d 9 c 0 0 d - a c 5 8 - 4 c d 5 - 8 b 2 e - 7 f d b 1 0 9 e 6 e 5 f < / D A L i n k I D >  
         < L i n k T y p e > 0 < / L i n k T y p e >  
         < P a r a m e t e r s / >  
         < I n c l u d e A l l I t e m s > f a l s e < / I n c l u d e A l l I t e m s >  
         < A c t i v e > t r u e < / A c t i v e >  
         < P r o t e c t e d L i n k > f a l s e < / P r o t e c t e d L i n k >  
         < N a m e > 2 8 1 0 1   T B   @   3 1 . 1 2 . 2 0 2 0   3 7 1 a 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 3 7 1 a < / A c c o u n t N u m b e r >  
         < R o u n d e d > f a l s e < / R o u n d e d >  
     < / T B L i n k >  
     < T B L i n k >  
         < V e r s i o n > 4 < / V e r s i o n >  
         < C o l u m n F i l t e r s / >  
         < D A L i n k I D > 8 5 8 9 7 7 0 e - 1 b e 0 - 4 6 e 9 - b 8 e 0 - 7 5 d d 2 e 2 9 b 4 0 5 < / D A L i n k I D >  
         < L i n k T y p e > 0 < / L i n k T y p e >  
         < P a r a m e t e r s / >  
         < I n c l u d e A l l I t e m s > f a l s e < / I n c l u d e A l l I t e m s >  
         < A c t i v e > t r u e < / A c t i v e >  
         < P r o t e c t e d L i n k > f a l s e < / P r o t e c t e d L i n k >  
         < N a m e > 2 8 1 0 1   T B   @   3 1 . 1 2 . 2 0 2 0   3 7 1 b 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 3 7 1 b < / A c c o u n t N u m b e r >  
         < R o u n d e d > f a l s e < / R o u n d e d >  
     < / T B L i n k >  
     < T B L i n k >  
         < V e r s i o n > 4 < / V e r s i o n >  
         < C o l u m n F i l t e r s / >  
         < D A L i n k I D > d 2 3 2 9 a 5 a - 5 7 e 7 - 4 a b e - b 7 f 4 - 2 6 c f 4 e 4 c 2 2 c f < / D A L i n k I D >  
         < L i n k T y p e > 0 < / L i n k T y p e >  
         < P a r a m e t e r s / >  
         < I n c l u d e A l l I t e m s > f a l s e < / I n c l u d e A l l I t e m s >  
         < A c t i v e > t r u e < / A c t i v e >  
         < P r o t e c t e d L i n k > f a l s e < / P r o t e c t e d L i n k >  
         < N a m e > 2 8 1 0 1   T B   @   3 1 . 1 2 . 2 0 2 0   3 7 2 a 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 3 7 2 a < / A c c o u n t N u m b e r >  
         < R o u n d e d > f a l s e < / R o u n d e d >  
     < / T B L i n k >  
     < T B L i n k >  
         < V e r s i o n > 4 < / V e r s i o n >  
         < C o l u m n F i l t e r s / >  
         < D A L i n k I D > 4 e 7 0 e b 1 e - 0 3 1 3 - 4 8 f 1 - 9 5 4 6 - c 5 2 4 0 0 3 e c c 4 b < / D A L i n k I D >  
         < L i n k T y p e > 0 < / L i n k T y p e >  
         < P a r a m e t e r s / >  
         < I n c l u d e A l l I t e m s > f a l s e < / I n c l u d e A l l I t e m s >  
         < A c t i v e > t r u e < / A c t i v e >  
         < P r o t e c t e d L i n k > f a l s e < / P r o t e c t e d L i n k >  
         < N a m e > 2 8 1 0 1   T B   @   3 1 . 1 2 . 2 0 2 0   3 7 2 b 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 3 7 2 b < / A c c o u n t N u m b e r >  
         < R o u n d e d > f a l s e < / R o u n d e d >  
     < / T B L i n k >  
     < T B L i n k >  
         < V e r s i o n > 4 < / V e r s i o n >  
         < C o l u m n F i l t e r s / >  
         < D A L i n k I D > 7 4 e 2 a f 4 b - 2 7 4 f - 4 4 e 7 - a c 3 3 - 8 1 9 5 1 0 f f f 5 e 8 < / D A L i n k I D >  
         < L i n k T y p e > 0 < / L i n k T y p e >  
         < P a r a m e t e r s / >  
         < I n c l u d e A l l I t e m s > f a l s e < / I n c l u d e A l l I t e m s >  
         < A c t i v e > t r u e < / A c t i v e >  
         < P r o t e c t e d L i n k > f a l s e < / P r o t e c t e d L i n k >  
         < N a m e > 2 8 1 0 1   T B   @   3 1 . 1 2 . 2 0 2 0   3 7 3 a 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 3 7 3 a < / A c c o u n t N u m b e r >  
         < R o u n d e d > f a l s e < / R o u n d e d >  
     < / T B L i n k >  
     < T B L i n k >  
         < V e r s i o n > 4 < / V e r s i o n >  
         < C o l u m n F i l t e r s / >  
         < D A L i n k I D > a 4 a c a 4 4 7 - 3 3 2 9 - 4 3 0 a - 8 4 e c - 5 c 6 7 2 1 d 6 0 1 2 f < / D A L i n k I D >  
         < L i n k T y p e > 0 < / L i n k T y p e >  
         < P a r a m e t e r s / >  
         < I n c l u d e A l l I t e m s > f a l s e < / I n c l u d e A l l I t e m s >  
         < A c t i v e > t r u e < / A c t i v e >  
         < P r o t e c t e d L i n k > f a l s e < / P r o t e c t e d L i n k >  
         < N a m e > 2 8 1 0 1   T B   @   3 1 . 1 2 . 2 0 2 0   3 7 3 b 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 3 7 3 b < / A c c o u n t N u m b e r >  
         < R o u n d e d > f a l s e < / R o u n d e d >  
     < / T B L i n k >  
     < T B L i n k >  
         < V e r s i o n > 4 < / V e r s i o n >  
         < C o l u m n F i l t e r s / >  
         < D A L i n k I D > f 4 7 4 3 9 a d - 7 1 7 4 - 4 6 2 b - a 5 a e - 1 6 d 6 c 0 f 4 2 6 4 8 < / D A L i n k I D >  
         < L i n k T y p e > 0 < / L i n k T y p e >  
         < P a r a m e t e r s / >  
         < I n c l u d e A l l I t e m s > f a l s e < / I n c l u d e A l l I t e m s >  
         < A c t i v e > t r u e < / A c t i v e >  
         < P r o t e c t e d L i n k > f a l s e < / P r o t e c t e d L i n k >  
         < N a m e > 2 8 1 0 1   T B   @   3 1 . 1 2 . 2 0 2 0   3 7 3 c 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 3 7 3 c < / A c c o u n t N u m b e r >  
         < R o u n d e d > f a l s e < / R o u n d e d >  
     < / T B L i n k >  
     < T B L i n k >  
         < V e r s i o n > 4 < / V e r s i o n >  
         < C o l u m n F i l t e r s / >  
         < D A L i n k I D > 4 6 8 8 5 6 a e - 8 2 8 7 - 4 2 e 7 - a d 9 4 - 4 2 6 3 9 7 f 3 a e 7 a < / D A L i n k I D >  
         < L i n k T y p e > 0 < / L i n k T y p e >  
         < P a r a m e t e r s / >  
         < I n c l u d e A l l I t e m s > f a l s e < / I n c l u d e A l l I t e m s >  
         < A c t i v e > t r u e < / A c t i v e >  
         < P r o t e c t e d L i n k > f a l s e < / P r o t e c t e d L i n k >  
         < N a m e > 2 8 1 0 1   T B   @   3 1 . 1 2 . 2 0 2 0   3 7 3 d 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 3 7 3 d < / A c c o u n t N u m b e r >  
         < R o u n d e d > f a l s e < / R o u n d e d >  
     < / T B L i n k >  
     < T B L i n k >  
         < V e r s i o n > 4 < / V e r s i o n >  
         < C o l u m n F i l t e r s / >  
         < D A L i n k I D > 8 c 9 2 0 b 3 8 - 4 8 1 8 - 4 d 6 f - 8 1 c 7 - 0 1 a 7 f f 8 3 8 3 7 d < / D A L i n k I D >  
         < L i n k T y p e > 0 < / L i n k T y p e >  
         < P a r a m e t e r s / >  
         < I n c l u d e A l l I t e m s > f a l s e < / I n c l u d e A l l I t e m s >  
         < A c t i v e > t r u e < / A c t i v e >  
         < P r o t e c t e d L i n k > f a l s e < / P r o t e c t e d L i n k >  
         < N a m e > 2 8 1 0 1   T B   @   3 1 . 1 2 . 2 0 2 0   3 7 4 a 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 3 7 4 a < / A c c o u n t N u m b e r >  
         < R o u n d e d > f a l s e < / R o u n d e d >  
     < / T B L i n k >  
     < T B L i n k >  
         < V e r s i o n > 4 < / V e r s i o n >  
         < C o l u m n F i l t e r s / >  
         < D A L i n k I D > b 3 8 4 b 1 0 4 - f d 5 0 - 4 7 a 6 - a 9 9 9 - 9 c d 4 8 9 f 2 0 a 1 b < / D A L i n k I D >  
         < L i n k T y p e > 0 < / L i n k T y p e >  
         < P a r a m e t e r s / >  
         < I n c l u d e A l l I t e m s > f a l s e < / I n c l u d e A l l I t e m s >  
         < A c t i v e > t r u e < / A c t i v e >  
         < P r o t e c t e d L i n k > f a l s e < / P r o t e c t e d L i n k >  
         < N a m e > 2 8 1 0 1   T B   @   3 1 . 1 2 . 2 0 2 0   3 7 4 b 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 3 7 4 b < / A c c o u n t N u m b e r >  
         < R o u n d e d > f a l s e < / R o u n d e d >  
     < / T B L i n k >  
     < T B L i n k >  
         < V e r s i o n > 4 < / V e r s i o n >  
         < C o l u m n F i l t e r s / >  
         < D A L i n k I D > c 4 7 7 2 d d 7 - e 6 0 d - 4 d 2 c - a e 8 5 - 0 7 6 c 7 b 9 9 2 9 4 d < / D A L i n k I D >  
         < L i n k T y p e > 0 < / L i n k T y p e >  
         < P a r a m e t e r s / >  
         < I n c l u d e A l l I t e m s > f a l s e < / I n c l u d e A l l I t e m s >  
         < A c t i v e > t r u e < / A c t i v e >  
         < P r o t e c t e d L i n k > f a l s e < / P r o t e c t e d L i n k >  
         < N a m e > 2 8 1 0 1   T B   @   3 1 . 1 2 . 2 0 2 0   3 7 5 a 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 3 7 5 a < / A c c o u n t N u m b e r >  
         < R o u n d e d > f a l s e < / R o u n d e d >  
     < / T B L i n k >  
     < T B L i n k >  
         < V e r s i o n > 4 < / V e r s i o n >  
         < C o l u m n F i l t e r s / >  
         < D A L i n k I D > 9 a 7 f f 3 2 b - 2 8 8 6 - 4 c 9 f - b 1 5 2 - 8 8 3 8 0 8 2 0 e 5 3 7 < / D A L i n k I D >  
         < L i n k T y p e > 0 < / L i n k T y p e >  
         < P a r a m e t e r s / >  
         < I n c l u d e A l l I t e m s > f a l s e < / I n c l u d e A l l I t e m s >  
         < A c t i v e > t r u e < / A c t i v e >  
         < P r o t e c t e d L i n k > f a l s e < / P r o t e c t e d L i n k >  
         < N a m e > 2 8 1 0 1   T B   @   3 1 . 1 2 . 2 0 2 0   3 7 5 b 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 3 7 5 b < / A c c o u n t N u m b e r >  
         < R o u n d e d > f a l s e < / R o u n d e d >  
     < / T B L i n k >  
     < T B L i n k >  
         < V e r s i o n > 4 < / V e r s i o n >  
         < C o l u m n F i l t e r s / >  
         < D A L i n k I D > 7 9 e 9 b f 1 b - b 4 e d - 4 5 3 5 - b 3 2 2 - f e 2 f c b c d 2 9 4 1 < / D A L i n k I D >  
         < L i n k T y p e > 0 < / L i n k T y p e >  
         < P a r a m e t e r s / >  
         < I n c l u d e A l l I t e m s > f a l s e < / I n c l u d e A l l I t e m s >  
         < A c t i v e > t r u e < / A c t i v e >  
         < P r o t e c t e d L i n k > f a l s e < / P r o t e c t e d L i n k >  
         < N a m e > 2 8 1 0 1   T B   @   3 1 . 1 2 . 2 0 2 0   3 7 6 a 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 3 7 6 a < / A c c o u n t N u m b e r >  
         < R o u n d e d > f a l s e < / R o u n d e d >  
     < / T B L i n k >  
     < T B L i n k >  
         < V e r s i o n > 4 < / V e r s i o n >  
         < C o l u m n F i l t e r s / >  
         < D A L i n k I D > 1 2 8 1 f b 1 c - c f d 2 - 4 f 8 9 - 9 a c 5 - 1 e b 4 b f 4 2 7 2 e 3 < / D A L i n k I D >  
         < L i n k T y p e > 0 < / L i n k T y p e >  
         < P a r a m e t e r s / >  
         < I n c l u d e A l l I t e m s > f a l s e < / I n c l u d e A l l I t e m s >  
         < A c t i v e > t r u e < / A c t i v e >  
         < P r o t e c t e d L i n k > f a l s e < / P r o t e c t e d L i n k >  
         < N a m e > 2 8 1 0 1   T B   @   3 1 . 1 2 . 2 0 2 0   3 7 6 b 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 3 7 6 b < / A c c o u n t N u m b e r >  
         < R o u n d e d > f a l s e < / R o u n d e d >  
     < / T B L i n k >  
     < T B L i n k >  
         < V e r s i o n > 4 < / V e r s i o n >  
         < C o l u m n F i l t e r s / >  
         < D A L i n k I D > b d 9 b d 6 d a - 4 3 8 b - 4 8 2 6 - b 2 b 0 - 2 5 7 d b 1 9 4 b 8 2 b < / D A L i n k I D >  
         < L i n k T y p e > 0 < / L i n k T y p e >  
         < P a r a m e t e r s / >  
         < I n c l u d e A l l I t e m s > f a l s e < / I n c l u d e A l l I t e m s >  
         < A c t i v e > t r u e < / A c t i v e >  
         < P r o t e c t e d L i n k > f a l s e < / P r o t e c t e d L i n k >  
         < N a m e > 2 8 1 0 1   T B   @   3 1 . 1 2 . 2 0 2 0   3 7 7 a 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 3 7 7 a < / A c c o u n t N u m b e r >  
         < R o u n d e d > f a l s e < / R o u n d e d >  
     < / T B L i n k >  
     < T B L i n k >  
         < V e r s i o n > 4 < / V e r s i o n >  
         < C o l u m n F i l t e r s / >  
         < D A L i n k I D > 9 3 0 9 b b 2 7 - 2 d 8 e - 4 7 2 c - 9 1 4 e - b 2 b f e 0 d 1 4 c e 9 < / D A L i n k I D >  
         < L i n k T y p e > 0 < / L i n k T y p e >  
         < P a r a m e t e r s / >  
         < I n c l u d e A l l I t e m s > f a l s e < / I n c l u d e A l l I t e m s >  
         < A c t i v e > t r u e < / A c t i v e >  
         < P r o t e c t e d L i n k > f a l s e < / P r o t e c t e d L i n k >  
         < N a m e > 2 8 1 0 1   T B   @   3 1 . 1 2 . 2 0 2 0   3 7 7 b 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 3 7 7 b < / A c c o u n t N u m b e r >  
         < R o u n d e d > f a l s e < / R o u n d e d >  
     < / T B L i n k >  
     < T B L i n k >  
         < V e r s i o n > 4 < / V e r s i o n >  
         < C o l u m n F i l t e r s / >  
         < D A L i n k I D > 5 9 e a b a 2 f - 6 6 a 7 - 4 1 a 4 - 8 a 2 8 - d d 8 6 2 b 9 d 5 6 9 6 < / D A L i n k I D >  
         < L i n k T y p e > 0 < / L i n k T y p e >  
         < P a r a m e t e r s / >  
         < I n c l u d e A l l I t e m s > f a l s e < / I n c l u d e A l l I t e m s >  
         < A c t i v e > t r u e < / A c t i v e >  
         < P r o t e c t e d L i n k > f a l s e < / P r o t e c t e d L i n k >  
         < N a m e > 2 8 1 0 1   T B   @   3 1 . 1 2 . 2 0 2 0   3 7 8 a 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 3 7 8 a < / A c c o u n t N u m b e r >  
         < R o u n d e d > f a l s e < / R o u n d e d >  
     < / T B L i n k >  
     < T B L i n k >  
         < V e r s i o n > 4 < / V e r s i o n >  
         < C o l u m n F i l t e r s / >  
         < D A L i n k I D > d 9 8 8 2 7 3 4 - 8 1 9 9 - 4 d 6 7 - a 1 3 9 - c 0 f 8 a 1 b a f 9 1 6 < / D A L i n k I D >  
         < L i n k T y p e > 0 < / L i n k T y p e >  
         < P a r a m e t e r s / >  
         < I n c l u d e A l l I t e m s > f a l s e < / I n c l u d e A l l I t e m s >  
         < A c t i v e > t r u e < / A c t i v e >  
         < P r o t e c t e d L i n k > f a l s e < / P r o t e c t e d L i n k >  
         < N a m e > 2 8 1 0 1   T B   @   3 1 . 1 2 . 2 0 2 0   3 7 8 b   F i n a l < / N a m e >  
         < E n t i t y E n u m > 9 < / E n t i t y E n u m >  
         < I t e m O r d e r L i s t / >  
         < S e l e c t e d I t e m L i s t / >  
         < S e l e c t e d C o l u m n L i s t / >  
         < H a s V a l u e > t r u e < / H a s V a l u e >  
         < T B C h a r t I D > 3 0 0 1 4 7 8 6 4 3 4 0 0 0 0 0 4 9 4 < / T B C h a r t I D >  
         < C o n s o l i d a t e d C o m p a n y I D   x s i : n i l = " t r u e " / >  
         < T B D o c u m e n t I D > 3 0 0 1 4 7 8 6 4 3 4 0 0 0 0 0 0 9 9 < / T B D o c u m e n t I D >  
         < N u m e r i c V a l u e > 2 9 5 9 . 0 0 0 0 < / N u m e r i c V a l u e >  
         < V a l u e > 2 9 5 9 , 0 0 0 0 < / V a l u e >  
         < C h a r t T y p e > c t D e t a i l < / C h a r t T y p e >  
         < R e f e r e n c e > 2 8 1 0 1 < / R e f e r e n c e >  
         < T B D o c N a m e > T B   @   3 1 . 1 2 . 2 0 2 0 < / T B D o c N a m e >  
         < T B C h a r t N a m e > D e t a i l < / T B C h a r t N a m e >  
         < C o l u m n N a m e > F i n a l B a l a n c e < / C o l u m n N a m e >  
         < U s e r F r i e n d l y C o l u m n N a m e > F i n a l < / U s e r F r i e n d l y C o l u m n N a m e >  
         < A c c o u n t N u m b e r > 3 7 8 b < / A c c o u n t N u m b e r >  
         < R o u n d e d > f a l s e < / R o u n d e d >  
     < / T B L i n k >  
     < T B L i n k >  
         < V e r s i o n > 4 < / V e r s i o n >  
         < C o l u m n F i l t e r s / >  
         < D A L i n k I D > b b 3 3 a d e b - c a 1 9 - 4 4 6 d - 9 2 9 0 - d 5 e 5 2 e 6 b 2 b 0 f < / D A L i n k I D >  
         < L i n k T y p e > 0 < / L i n k T y p e >  
         < P a r a m e t e r s / >  
         < I n c l u d e A l l I t e m s > f a l s e < / I n c l u d e A l l I t e m s >  
         < A c t i v e > t r u e < / A c t i v e >  
         < P r o t e c t e d L i n k > f a l s e < / P r o t e c t e d L i n k >  
         < N a m e > 2 8 1 0 1   T B   @   3 1 . 1 2 . 2 0 2 0   3 7 9 x   F i n a l < / N a m e >  
         < E n t i t y E n u m > 9 < / E n t i t y E n u m >  
         < I t e m O r d e r L i s t / >  
         < S e l e c t e d I t e m L i s t / >  
         < S e l e c t e d C o l u m n L i s t / >  
         < H a s V a l u e > t r u e < / H a s V a l u e >  
         < T B C h a r t I D > 3 0 0 1 4 7 8 6 4 3 4 0 0 0 0 0 4 9 4 < / T B C h a r t I D >  
         < C o n s o l i d a t e d C o m p a n y I D   x s i : n i l = " t r u e " / >  
         < T B D o c u m e n t I D > 3 0 0 1 4 7 8 6 4 3 4 0 0 0 0 0 0 9 9 < / T B D o c u m e n t I D >  
         < N u m e r i c V a l u e > - 1 5 . 0 0 0 0 < / N u m e r i c V a l u e >  
         < V a l u e > - 1 5 , 0 0 0 0 < / V a l u e >  
         < C h a r t T y p e > c t D e t a i l < / C h a r t T y p e >  
         < R e f e r e n c e > 2 8 1 0 1 < / R e f e r e n c e >  
         < T B D o c N a m e > T B   @   3 1 . 1 2 . 2 0 2 0 < / T B D o c N a m e >  
         < T B C h a r t N a m e > D e t a i l < / T B C h a r t N a m e >  
         < C o l u m n N a m e > F i n a l B a l a n c e < / C o l u m n N a m e >  
         < U s e r F r i e n d l y C o l u m n N a m e > F i n a l < / U s e r F r i e n d l y C o l u m n N a m e >  
         < A c c o u n t N u m b e r > 3 7 9 x < / A c c o u n t N u m b e r >  
         < R o u n d e d > f a l s e < / R o u n d e d >  
     < / T B L i n k >  
     < T B L i n k >  
         < V e r s i o n > 4 < / V e r s i o n >  
         < C o l u m n F i l t e r s / >  
         < D A L i n k I D > 4 2 2 9 6 e d f - f 7 4 0 - 4 6 f 9 - a 0 9 6 - f 3 d 6 c 7 a 1 c 1 9 0 < / D A L i n k I D >  
         < L i n k T y p e > 0 < / L i n k T y p e >  
         < P a r a m e t e r s / >  
         < I n c l u d e A l l I t e m s > f a l s e < / I n c l u d e A l l I t e m s >  
         < A c t i v e > t r u e < / A c t i v e >  
         < P r o t e c t e d L i n k > f a l s e < / P r o t e c t e d L i n k >  
         < N a m e > 2 8 1 0 1   T B   @   3 1 . 1 2 . 2 0 2 0   3 8 1 a   F i n a l < / N a m e >  
         < E n t i t y E n u m > 9 < / E n t i t y E n u m >  
         < I t e m O r d e r L i s t / >  
         < S e l e c t e d I t e m L i s t / >  
         < S e l e c t e d C o l u m n L i s t / >  
         < H a s V a l u e > t r u e < / H a s V a l u e >  
         < T B C h a r t I D > 3 0 0 1 4 7 8 6 4 3 4 0 0 0 0 0 4 9 4 < / T B C h a r t I D >  
         < C o n s o l i d a t e d C o m p a n y I D   x s i : n i l = " t r u e " / >  
         < T B D o c u m e n t I D > 3 0 0 1 4 7 8 6 4 3 4 0 0 0 0 0 0 9 9 < / T B D o c u m e n t I D >  
         < N u m e r i c V a l u e > 5 7 4 2 7 . 0 0 0 0 < / N u m e r i c V a l u e >  
         < V a l u e > 5 7 4 2 7 , 0 0 0 0 < / V a l u e >  
         < C h a r t T y p e > c t D e t a i l < / C h a r t T y p e >  
         < R e f e r e n c e > 2 8 1 0 1 < / R e f e r e n c e >  
         < T B D o c N a m e > T B   @   3 1 . 1 2 . 2 0 2 0 < / T B D o c N a m e >  
         < T B C h a r t N a m e > D e t a i l < / T B C h a r t N a m e >  
         < C o l u m n N a m e > F i n a l B a l a n c e < / C o l u m n N a m e >  
         < U s e r F r i e n d l y C o l u m n N a m e > F i n a l < / U s e r F r i e n d l y C o l u m n N a m e >  
         < A c c o u n t N u m b e r > 3 8 1 a < / A c c o u n t N u m b e r >  
         < R o u n d e d > f a l s e < / R o u n d e d >  
     < / T B L i n k >  
     < T B L i n k >  
         < V e r s i o n > 4 < / V e r s i o n >  
         < C o l u m n F i l t e r s / >  
         < D A L i n k I D > 3 b 4 3 7 2 d 0 - 1 9 2 9 - 4 8 e 9 - 8 6 3 6 - f 9 7 5 b 4 d 7 1 7 2 c < / D A L i n k I D >  
         < L i n k T y p e > 0 < / L i n k T y p e >  
         < P a r a m e t e r s / >  
         < I n c l u d e A l l I t e m s > f a l s e < / I n c l u d e A l l I t e m s >  
         < A c t i v e > t r u e < / A c t i v e >  
         < P r o t e c t e d L i n k > f a l s e < / P r o t e c t e d L i n k >  
         < N a m e > 2 8 1 0 1   T B   @   3 1 . 1 2 . 2 0 2 0   3 8 1 b   F i n a l < / N a m e >  
         < E n t i t y E n u m > 9 < / E n t i t y E n u m >  
         < I t e m O r d e r L i s t / >  
         < S e l e c t e d I t e m L i s t / >  
         < S e l e c t e d C o l u m n L i s t / >  
         < H a s V a l u e > t r u e < / H a s V a l u e >  
         < T B C h a r t I D > 3 0 0 1 4 7 8 6 4 3 4 0 0 0 0 0 4 9 4 < / T B C h a r t I D >  
         < C o n s o l i d a t e d C o m p a n y I D   x s i : n i l = " t r u e " / >  
         < T B D o c u m e n t I D > 3 0 0 1 4 7 8 6 4 3 4 0 0 0 0 0 0 9 9 < / T B D o c u m e n t I D >  
         < N u m e r i c V a l u e > 6 3 6 5 . 0 0 0 0 < / N u m e r i c V a l u e >  
         < V a l u e > 6 3 6 5 , 0 0 0 0 < / V a l u e >  
         < C h a r t T y p e > c t D e t a i l < / C h a r t T y p e >  
         < R e f e r e n c e > 2 8 1 0 1 < / R e f e r e n c e >  
         < T B D o c N a m e > T B   @   3 1 . 1 2 . 2 0 2 0 < / T B D o c N a m e >  
         < T B C h a r t N a m e > D e t a i l < / T B C h a r t N a m e >  
         < C o l u m n N a m e > F i n a l B a l a n c e < / C o l u m n N a m e >  
         < U s e r F r i e n d l y C o l u m n N a m e > F i n a l < / U s e r F r i e n d l y C o l u m n N a m e >  
         < A c c o u n t N u m b e r > 3 8 1 b < / A c c o u n t N u m b e r >  
         < R o u n d e d > f a l s e < / R o u n d e d >  
     < / T B L i n k >  
     < T B L i n k >  
         < V e r s i o n > 4 < / V e r s i o n >  
         < C o l u m n F i l t e r s / >  
         < D A L i n k I D > 0 4 0 e 9 e 1 e - 9 1 6 b - 4 a 1 c - 8 0 c 9 - 7 9 2 f f 8 0 0 b 0 b a < / D A L i n k I D >  
         < L i n k T y p e > 0 < / L i n k T y p e >  
         < P a r a m e t e r s / >  
         < I n c l u d e A l l I t e m s > f a l s e < / I n c l u d e A l l I t e m s >  
         < A c t i v e > t r u e < / A c t i v e >  
         < P r o t e c t e d L i n k > f a l s e < / P r o t e c t e d L i n k >  
         < N a m e > 2 8 1 0 1   T B   @   3 1 . 1 2 . 2 0 2 0   3 8 2 a 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 3 8 2 a < / A c c o u n t N u m b e r >  
         < R o u n d e d > f a l s e < / R o u n d e d >  
     < / T B L i n k >  
     < T B L i n k >  
         < V e r s i o n > 4 < / V e r s i o n >  
         < C o l u m n F i l t e r s / >  
         < D A L i n k I D > 9 5 3 2 e f 5 e - 5 8 9 a - 4 f a d - 9 a a 7 - 8 2 c 0 5 a 1 c 7 4 7 5 < / D A L i n k I D >  
         < L i n k T y p e > 0 < / L i n k T y p e >  
         < P a r a m e t e r s / >  
         < I n c l u d e A l l I t e m s > f a l s e < / I n c l u d e A l l I t e m s >  
         < A c t i v e > t r u e < / A c t i v e >  
         < P r o t e c t e d L i n k > f a l s e < / P r o t e c t e d L i n k >  
         < N a m e > 2 8 1 0 1   T B   @   3 1 . 1 2 . 2 0 2 0   3 8 2 b 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 3 8 2 b < / A c c o u n t N u m b e r >  
         < R o u n d e d > f a l s e < / R o u n d e d >  
     < / T B L i n k >  
     < T B L i n k >  
         < V e r s i o n > 4 < / V e r s i o n >  
         < C o l u m n F i l t e r s / >  
         < D A L i n k I D > d b 2 9 1 3 9 9 - 8 d e 3 - 4 c 1 9 - b 7 a 7 - 4 6 4 b a 0 7 c 5 4 3 a < / D A L i n k I D >  
         < L i n k T y p e > 0 < / L i n k T y p e >  
         < P a r a m e t e r s / >  
         < I n c l u d e A l l I t e m s > f a l s e < / I n c l u d e A l l I t e m s >  
         < A c t i v e > t r u e < / A c t i v e >  
         < P r o t e c t e d L i n k > f a l s e < / P r o t e c t e d L i n k >  
         < N a m e > 2 8 1 0 1   T B   @   3 1 . 1 2 . 2 0 2 0   3 8 3 a 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 3 8 3 a < / A c c o u n t N u m b e r >  
         < R o u n d e d > f a l s e < / R o u n d e d >  
     < / T B L i n k >  
     < T B L i n k >  
         < V e r s i o n > 4 < / V e r s i o n >  
         < C o l u m n F i l t e r s / >  
         < D A L i n k I D > 5 a 9 7 1 7 a 8 - f f 0 0 - 4 d 2 8 - a e 5 a - d 0 8 0 b f 9 a d 0 e 4 < / D A L i n k I D >  
         < L i n k T y p e > 0 < / L i n k T y p e >  
         < P a r a m e t e r s / >  
         < I n c l u d e A l l I t e m s > f a l s e < / I n c l u d e A l l I t e m s >  
         < A c t i v e > t r u e < / A c t i v e >  
         < P r o t e c t e d L i n k > f a l s e < / P r o t e c t e d L i n k >  
         < N a m e > 2 8 1 0 1   T B   @   3 1 . 1 2 . 2 0 2 0   3 8 3 b   F i n a l < / N a m e >  
         < E n t i t y E n u m > 9 < / E n t i t y E n u m >  
         < I t e m O r d e r L i s t / >  
         < S e l e c t e d I t e m L i s t / >  
         < S e l e c t e d C o l u m n L i s t / >  
         < H a s V a l u e > t r u e < / H a s V a l u e >  
         < T B C h a r t I D > 3 0 0 1 4 7 8 6 4 3 4 0 0 0 0 0 4 9 4 < / T B C h a r t I D >  
         < C o n s o l i d a t e d C o m p a n y I D   x s i : n i l = " t r u e " / >  
         < T B D o c u m e n t I D > 3 0 0 1 4 7 8 6 4 3 4 0 0 0 0 0 0 9 9 < / T B D o c u m e n t I D >  
         < N u m e r i c V a l u e > - 2 0 5 1 5 . 0 0 0 0 < / N u m e r i c V a l u e >  
         < V a l u e > - 2 0 5 1 5 , 0 0 0 0 < / V a l u e >  
         < C h a r t T y p e > c t D e t a i l < / C h a r t T y p e >  
         < R e f e r e n c e > 2 8 1 0 1 < / R e f e r e n c e >  
         < T B D o c N a m e > T B   @   3 1 . 1 2 . 2 0 2 0 < / T B D o c N a m e >  
         < T B C h a r t N a m e > D e t a i l < / T B C h a r t N a m e >  
         < C o l u m n N a m e > F i n a l B a l a n c e < / C o l u m n N a m e >  
         < U s e r F r i e n d l y C o l u m n N a m e > F i n a l < / U s e r F r i e n d l y C o l u m n N a m e >  
         < A c c o u n t N u m b e r > 3 8 3 b < / A c c o u n t N u m b e r >  
         < R o u n d e d > f a l s e < / R o u n d e d >  
     < / T B L i n k >  
     < T B L i n k >  
         < V e r s i o n > 4 < / V e r s i o n >  
         < C o l u m n F i l t e r s / >  
         < D A L i n k I D > 6 b f a 7 c f 1 - 9 1 8 e - 4 a e 7 - a c 9 a - 6 5 1 6 7 8 5 9 4 0 7 e < / D A L i n k I D >  
         < L i n k T y p e > 0 < / L i n k T y p e >  
         < P a r a m e t e r s / >  
         < I n c l u d e A l l I t e m s > f a l s e < / I n c l u d e A l l I t e m s >  
         < A c t i v e > t r u e < / A c t i v e >  
         < P r o t e c t e d L i n k > f a l s e < / P r o t e c t e d L i n k >  
         < N a m e > 2 8 1 0 1   T B   @   3 1 . 1 2 . 2 0 2 0   3 8 4 a 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 3 8 4 a < / A c c o u n t N u m b e r >  
         < R o u n d e d > f a l s e < / R o u n d e d >  
     < / T B L i n k >  
     < T B L i n k >  
         < V e r s i o n > 4 < / V e r s i o n >  
         < C o l u m n F i l t e r s / >  
         < D A L i n k I D > 9 e 1 e b 0 7 9 - 3 4 4 0 - 4 d b 5 - b 0 8 a - 6 f 7 7 b 1 5 4 3 2 6 a < / D A L i n k I D >  
         < L i n k T y p e > 0 < / L i n k T y p e >  
         < P a r a m e t e r s / >  
         < I n c l u d e A l l I t e m s > f a l s e < / I n c l u d e A l l I t e m s >  
         < A c t i v e > t r u e < / A c t i v e >  
         < P r o t e c t e d L i n k > f a l s e < / P r o t e c t e d L i n k >  
         < N a m e > 2 8 1 0 1   T B   @   3 1 . 1 2 . 2 0 2 0   3 8 4 b 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 3 8 4 b < / A c c o u n t N u m b e r >  
         < R o u n d e d > f a l s e < / R o u n d e d >  
     < / T B L i n k >  
     < T B L i n k >  
         < V e r s i o n > 4 < / V e r s i o n >  
         < C o l u m n F i l t e r s / >  
         < D A L i n k I D > e a 4 4 c 4 5 3 - 5 c 9 8 - 4 8 e a - 8 0 8 7 - 4 d e 3 9 a 6 3 1 7 0 1 < / D A L i n k I D >  
         < L i n k T y p e > 0 < / L i n k T y p e >  
         < P a r a m e t e r s / >  
         < I n c l u d e A l l I t e m s > f a l s e < / I n c l u d e A l l I t e m s >  
         < A c t i v e > t r u e < / A c t i v e >  
         < P r o t e c t e d L i n k > f a l s e < / P r o t e c t e d L i n k >  
         < N a m e > 2 8 1 0 1   T B   @   3 1 . 1 2 . 2 0 2 0   3 8 5 a 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 3 8 5 a < / A c c o u n t N u m b e r >  
         < R o u n d e d > f a l s e < / R o u n d e d >  
     < / T B L i n k >  
     < T B L i n k >  
         < V e r s i o n > 4 < / V e r s i o n >  
         < C o l u m n F i l t e r s / >  
         < D A L i n k I D > 7 a 4 5 d 4 9 a - 2 4 b 8 - 4 4 6 a - a e 7 4 - b 1 f 5 8 5 0 b 9 7 6 b < / D A L i n k I D >  
         < L i n k T y p e > 0 < / L i n k T y p e >  
         < P a r a m e t e r s / >  
         < I n c l u d e A l l I t e m s > f a l s e < / I n c l u d e A l l I t e m s >  
         < A c t i v e > t r u e < / A c t i v e >  
         < P r o t e c t e d L i n k > f a l s e < / P r o t e c t e d L i n k >  
         < N a m e > 2 8 1 0 1   T B   @   3 1 . 1 2 . 2 0 2 0   3 8 5 b 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 3 8 5 b < / A c c o u n t N u m b e r >  
         < R o u n d e d > f a l s e < / R o u n d e d >  
     < / T B L i n k >  
     < T B L i n k >  
         < V e r s i o n > 4 < / V e r s i o n >  
         < C o l u m n F i l t e r s / >  
         < D A L i n k I D > 0 d 3 2 a 2 f 2 - 3 4 5 d - 4 c 5 2 - a 2 b e - b 5 8 6 6 8 0 5 4 8 5 d < / D A L i n k I D >  
         < L i n k T y p e > 0 < / L i n k T y p e >  
         < P a r a m e t e r s / >  
         < I n c l u d e A l l I t e m s > f a l s e < / I n c l u d e A l l I t e m s >  
         < A c t i v e > t r u e < / A c t i v e >  
         < P r o t e c t e d L i n k > f a l s e < / P r o t e c t e d L i n k >  
         < N a m e > 2 8 1 0 1   T B   @   3 1 . 1 2 . 2 0 2 0   3 9 1 a 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 3 9 1 a < / A c c o u n t N u m b e r >  
         < R o u n d e d > f a l s e < / R o u n d e d >  
     < / T B L i n k >  
     < T B L i n k >  
         < V e r s i o n > 4 < / V e r s i o n >  
         < C o l u m n F i l t e r s / >  
         < D A L i n k I D > 4 5 9 d d 3 f 4 - 3 e e d - 4 6 7 c - 8 8 3 d - f 7 8 b 0 4 d 0 1 b 7 3 < / D A L i n k I D >  
         < L i n k T y p e > 0 < / L i n k T y p e >  
         < P a r a m e t e r s / >  
         < I n c l u d e A l l I t e m s > f a l s e < / I n c l u d e A l l I t e m s >  
         < A c t i v e > t r u e < / A c t i v e >  
         < P r o t e c t e d L i n k > f a l s e < / P r o t e c t e d L i n k >  
         < N a m e > 2 8 1 0 1   T B   @   3 1 . 1 2 . 2 0 2 0   3 9 1 b 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 3 9 1 b < / A c c o u n t N u m b e r >  
         < R o u n d e d > f a l s e < / R o u n d e d >  
     < / T B L i n k >  
     < T B L i n k >  
         < V e r s i o n > 4 < / V e r s i o n >  
         < C o l u m n F i l t e r s / >  
         < D A L i n k I D > f d 1 4 a 7 7 1 - 3 6 b a - 4 6 c 5 - 9 3 3 1 - 4 f 0 e 2 5 b f 1 e d 1 < / D A L i n k I D >  
         < L i n k T y p e > 0 < / L i n k T y p e >  
         < P a r a m e t e r s / >  
         < I n c l u d e A l l I t e m s > f a l s e < / I n c l u d e A l l I t e m s >  
         < A c t i v e > t r u e < / A c t i v e >  
         < P r o t e c t e d L i n k > f a l s e < / P r o t e c t e d L i n k >  
         < N a m e > 2 8 1 0 1   T B   @   3 1 . 1 2 . 2 0 2 0   3 9 1 c 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 3 9 1 c < / A c c o u n t N u m b e r >  
         < R o u n d e d > f a l s e < / R o u n d e d >  
     < / T B L i n k >  
     < T B L i n k >  
         < V e r s i o n > 4 < / V e r s i o n >  
         < C o l u m n F i l t e r s / >  
         < D A L i n k I D > 6 c e 5 5 4 2 c - 3 a d 9 - 4 b 8 4 - a a 9 3 - 8 5 e 3 6 1 5 7 c d a a < / D A L i n k I D >  
         < L i n k T y p e > 0 < / L i n k T y p e >  
         < P a r a m e t e r s / >  
         < I n c l u d e A l l I t e m s > f a l s e < / I n c l u d e A l l I t e m s >  
         < A c t i v e > t r u e < / A c t i v e >  
         < P r o t e c t e d L i n k > f a l s e < / P r o t e c t e d L i n k >  
         < N a m e > 2 8 1 0 1   T B   @   3 1 . 1 2 . 2 0 2 0   3 9 1 d 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 3 9 1 d < / A c c o u n t N u m b e r >  
         < R o u n d e d > f a l s e < / R o u n d e d >  
     < / T B L i n k >  
     < T B L i n k >  
         < V e r s i o n > 4 < / V e r s i o n >  
         < C o l u m n F i l t e r s / >  
         < D A L i n k I D > 3 5 d f d e 9 b - f c e 5 - 4 9 b a - b d 5 f - e f a 7 9 5 b f 0 9 a 9 < / D A L i n k I D >  
         < L i n k T y p e > 0 < / L i n k T y p e >  
         < P a r a m e t e r s / >  
         < I n c l u d e A l l I t e m s > f a l s e < / I n c l u d e A l l I t e m s >  
         < A c t i v e > t r u e < / A c t i v e >  
         < P r o t e c t e d L i n k > f a l s e < / P r o t e c t e d L i n k >  
         < N a m e > 2 8 1 0 1   T B   @   3 1 . 1 2 . 2 0 2 0   3 9 1 e 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 3 9 1 e < / A c c o u n t N u m b e r >  
         < R o u n d e d > f a l s e < / R o u n d e d >  
     < / T B L i n k >  
     < T B L i n k >  
         < V e r s i o n > 4 < / V e r s i o n >  
         < C o l u m n F i l t e r s / >  
         < D A L i n k I D > 0 f 9 6 9 3 c 8 - 5 2 5 c - 4 f 5 5 - b c e b - 0 6 4 d 3 d 2 f 4 a 3 c < / D A L i n k I D >  
         < L i n k T y p e > 0 < / L i n k T y p e >  
         < P a r a m e t e r s / >  
         < I n c l u d e A l l I t e m s > f a l s e < / I n c l u d e A l l I t e m s >  
         < A c t i v e > t r u e < / A c t i v e >  
         < P r o t e c t e d L i n k > f a l s e < / P r o t e c t e d L i n k >  
         < N a m e > 2 8 1 0 1   T B   @   3 1 . 1 2 . 2 0 2 0   3 9 1 f 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 3 9 1 f < / A c c o u n t N u m b e r >  
         < R o u n d e d > f a l s e < / R o u n d e d >  
     < / T B L i n k >  
     < T B L i n k >  
         < V e r s i o n > 4 < / V e r s i o n >  
         < C o l u m n F i l t e r s / >  
         < D A L i n k I D > 4 b c a 4 d 9 2 - 4 9 7 4 - 4 3 3 d - a a 8 f - 9 a b 3 4 d 6 c 8 3 5 8 < / D A L i n k I D >  
         < L i n k T y p e > 0 < / L i n k T y p e >  
         < P a r a m e t e r s / >  
         < I n c l u d e A l l I t e m s > f a l s e < / I n c l u d e A l l I t e m s >  
         < A c t i v e > t r u e < / A c t i v e >  
         < P r o t e c t e d L i n k > f a l s e < / P r o t e c t e d L i n k >  
         < N a m e > 2 8 1 0 1   T B   @   3 1 . 1 2 . 2 0 2 0   3 9 1 g 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 3 9 1 g < / A c c o u n t N u m b e r >  
         < R o u n d e d > f a l s e < / R o u n d e d >  
     < / T B L i n k >  
     < T B L i n k >  
         < V e r s i o n > 4 < / V e r s i o n >  
         < C o l u m n F i l t e r s / >  
         < D A L i n k I D > 7 8 c f 6 0 e 5 - c 3 1 0 - 4 2 d 9 - b 2 b 6 - e 0 a 7 c b c 4 f 2 b 6 < / D A L i n k I D >  
         < L i n k T y p e > 0 < / L i n k T y p e >  
         < P a r a m e t e r s / >  
         < I n c l u d e A l l I t e m s > f a l s e < / I n c l u d e A l l I t e m s >  
         < A c t i v e > t r u e < / A c t i v e >  
         < P r o t e c t e d L i n k > f a l s e < / P r o t e c t e d L i n k >  
         < N a m e > 2 8 1 0 1   T B   @   3 1 . 1 2 . 2 0 2 0   3 9 1 h 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 3 9 1 h < / A c c o u n t N u m b e r >  
         < R o u n d e d > f a l s e < / R o u n d e d >  
     < / T B L i n k >  
     < T B L i n k >  
         < V e r s i o n > 4 < / V e r s i o n >  
         < C o l u m n F i l t e r s / >  
         < D A L i n k I D > 2 e f 2 f e d 1 - 3 3 3 d - 4 0 f 0 - b b 2 5 - d e a f 4 5 f 4 7 8 0 a < / D A L i n k I D >  
         < L i n k T y p e > 0 < / L i n k T y p e >  
         < P a r a m e t e r s / >  
         < I n c l u d e A l l I t e m s > f a l s e < / I n c l u d e A l l I t e m s >  
         < A c t i v e > t r u e < / A c t i v e >  
         < P r o t e c t e d L i n k > f a l s e < / P r o t e c t e d L i n k >  
         < N a m e > 2 8 1 0 1   T B   @   3 1 . 1 2 . 2 0 2 0   3 9 1 i 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 3 9 1 i < / A c c o u n t N u m b e r >  
         < R o u n d e d > f a l s e < / R o u n d e d >  
     < / T B L i n k >  
     < T B L i n k >  
         < V e r s i o n > 4 < / V e r s i o n >  
         < C o l u m n F i l t e r s / >  
         < D A L i n k I D > 2 7 d e 3 1 e a - a c 4 d - 4 6 0 4 - a 4 3 7 - 2 c e d 3 3 c 2 7 9 4 a < / D A L i n k I D >  
         < L i n k T y p e > 0 < / L i n k T y p e >  
         < P a r a m e t e r s / >  
         < I n c l u d e A l l I t e m s > f a l s e < / I n c l u d e A l l I t e m s >  
         < A c t i v e > t r u e < / A c t i v e >  
         < P r o t e c t e d L i n k > f a l s e < / P r o t e c t e d L i n k >  
         < N a m e > 2 8 1 0 1   T B   @   3 1 . 1 2 . 2 0 2 0   3 9 1 j   F i n a l < / N a m e >  
         < E n t i t y E n u m > 9 < / E n t i t y E n u m >  
         < I t e m O r d e r L i s t / >  
         < S e l e c t e d I t e m L i s t / >  
         < S e l e c t e d C o l u m n L i s t / >  
         < H a s V a l u e > t r u e < / H a s V a l u e >  
         < T B C h a r t I D > 3 0 0 1 4 7 8 6 4 3 4 0 0 0 0 0 4 9 4 < / T B C h a r t I D >  
         < C o n s o l i d a t e d C o m p a n y I D   x s i : n i l = " t r u e " / >  
         < T B D o c u m e n t I D > 3 0 0 1 4 7 8 6 4 3 4 0 0 0 0 0 0 9 9 < / T B D o c u m e n t I D >  
         < N u m e r i c V a l u e > - 1 0 5 4 7 . 0 0 0 0 < / N u m e r i c V a l u e >  
         < V a l u e > - 1 0 5 4 7 , 0 0 0 0 < / V a l u e >  
         < C h a r t T y p e > c t D e t a i l < / C h a r t T y p e >  
         < R e f e r e n c e > 2 8 1 0 1 < / R e f e r e n c e >  
         < T B D o c N a m e > T B   @   3 1 . 1 2 . 2 0 2 0 < / T B D o c N a m e >  
         < T B C h a r t N a m e > D e t a i l < / T B C h a r t N a m e >  
         < C o l u m n N a m e > F i n a l B a l a n c e < / C o l u m n N a m e >  
         < U s e r F r i e n d l y C o l u m n N a m e > F i n a l < / U s e r F r i e n d l y C o l u m n N a m e >  
         < A c c o u n t N u m b e r > 3 9 1 j < / A c c o u n t N u m b e r >  
         < R o u n d e d > f a l s e < / R o u n d e d >  
     < / T B L i n k >  
     < T B L i n k >  
         < V e r s i o n > 4 < / V e r s i o n >  
         < C o l u m n F i l t e r s / >  
         < D A L i n k I D > 6 a 9 e c b 0 f - 6 c 4 2 - 4 a 7 3 - 8 c a e - a 6 7 0 1 0 1 9 3 1 c b < / D A L i n k I D >  
         < L i n k T y p e > 0 < / L i n k T y p e >  
         < P a r a m e t e r s / >  
         < I n c l u d e A l l I t e m s > f a l s e < / I n c l u d e A l l I t e m s >  
         < A c t i v e > t r u e < / A c t i v e >  
         < P r o t e c t e d L i n k > f a l s e < / P r o t e c t e d L i n k >  
         < N a m e > 2 8 1 0 1   T B   @   3 1 . 1 2 . 2 0 2 0   3 9 1 k 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 3 9 1 k < / A c c o u n t N u m b e r >  
         < R o u n d e d > f a l s e < / R o u n d e d >  
     < / T B L i n k >  
     < T B L i n k >  
         < V e r s i o n > 4 < / V e r s i o n >  
         < C o l u m n F i l t e r s / >  
         < D A L i n k I D > 1 9 1 9 9 5 d a - 5 d 8 0 - 4 5 e f - b c 2 2 - 0 8 b d d 9 2 0 b 9 3 a < / D A L i n k I D >  
         < L i n k T y p e > 0 < / L i n k T y p e >  
         < P a r a m e t e r s / >  
         < I n c l u d e A l l I t e m s > f a l s e < / I n c l u d e A l l I t e m s >  
         < A c t i v e > t r u e < / A c t i v e >  
         < P r o t e c t e d L i n k > f a l s e < / P r o t e c t e d L i n k >  
         < N a m e > 2 8 1 0 1   T B   @   3 1 . 1 2 . 2 0 2 0   3 9 1 l 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 3 9 1 l < / A c c o u n t N u m b e r >  
         < R o u n d e d > f a l s e < / R o u n d e d >  
     < / T B L i n k >  
     < T B L i n k >  
         < V e r s i o n > 4 < / V e r s i o n >  
         < C o l u m n F i l t e r s / >  
         < D A L i n k I D > 9 2 2 b f 8 3 c - e 6 3 9 - 4 1 8 6 - 8 4 d 0 - 4 8 9 e 1 1 d c f e 3 b < / D A L i n k I D >  
         < L i n k T y p e > 0 < / L i n k T y p e >  
         < P a r a m e t e r s / >  
         < I n c l u d e A l l I t e m s > f a l s e < / I n c l u d e A l l I t e m s >  
         < A c t i v e > t r u e < / A c t i v e >  
         < P r o t e c t e d L i n k > f a l s e < / P r o t e c t e d L i n k >  
         < N a m e > 2 8 1 0 1   T B   @   3 1 . 1 2 . 2 0 2 0   3 9 1 m 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 3 9 1 m < / A c c o u n t N u m b e r >  
         < R o u n d e d > f a l s e < / R o u n d e d >  
     < / T B L i n k >  
     < T B L i n k >  
         < V e r s i o n > 4 < / V e r s i o n >  
         < C o l u m n F i l t e r s / >  
         < D A L i n k I D > 2 1 4 b 7 b 5 5 - 5 7 3 d - 4 3 b 4 - 8 3 b 5 - 6 8 9 f f 9 2 e 1 8 b 4 < / D A L i n k I D >  
         < L i n k T y p e > 0 < / L i n k T y p e >  
         < P a r a m e t e r s / >  
         < I n c l u d e A l l I t e m s > f a l s e < / I n c l u d e A l l I t e m s >  
         < A c t i v e > t r u e < / A c t i v e >  
         < P r o t e c t e d L i n k > f a l s e < / P r o t e c t e d L i n k >  
         < N a m e > 2 8 1 0 1   T B   @   3 1 . 1 2 . 2 0 2 0   3 9 1 n 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 3 9 1 n < / A c c o u n t N u m b e r >  
         < R o u n d e d > f a l s e < / R o u n d e d >  
     < / T B L i n k >  
     < T B L i n k >  
         < V e r s i o n > 4 < / V e r s i o n >  
         < C o l u m n F i l t e r s / >  
         < D A L i n k I D > 9 f f b c a 1 0 - d 8 a 8 - 4 9 8 f - 9 6 c 7 - d e 2 6 3 5 1 a b 1 e 9 < / D A L i n k I D >  
         < L i n k T y p e > 0 < / L i n k T y p e >  
         < P a r a m e t e r s / >  
         < I n c l u d e A l l I t e m s > f a l s e < / I n c l u d e A l l I t e m s >  
         < A c t i v e > t r u e < / A c t i v e >  
         < P r o t e c t e d L i n k > f a l s e < / P r o t e c t e d L i n k >  
         < N a m e > 2 8 1 0 1   T B   @   3 1 . 1 2 . 2 0 2 0   3 9 1 o 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 3 9 1 o < / A c c o u n t N u m b e r >  
         < R o u n d e d > f a l s e < / R o u n d e d >  
     < / T B L i n k >  
     < T B L i n k >  
         < V e r s i o n > 4 < / V e r s i o n >  
         < C o l u m n F i l t e r s / >  
         < D A L i n k I D > d e 5 9 5 6 8 7 - a 1 2 7 - 4 6 0 c - b 2 c 5 - 5 0 4 c 8 3 3 2 0 e e f < / D A L i n k I D >  
         < L i n k T y p e > 0 < / L i n k T y p e >  
         < P a r a m e t e r s / >  
         < I n c l u d e A l l I t e m s > f a l s e < / I n c l u d e A l l I t e m s >  
         < A c t i v e > t r u e < / A c t i v e >  
         < P r o t e c t e d L i n k > f a l s e < / P r o t e c t e d L i n k >  
         < N a m e > 2 8 1 0 1   T B   @   3 1 . 1 2 . 2 0 2 0   3 9 1 p 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 3 9 1 p < / A c c o u n t N u m b e r >  
         < R o u n d e d > f a l s e < / R o u n d e d >  
     < / T B L i n k >  
     < T B L i n k >  
         < V e r s i o n > 4 < / V e r s i o n >  
         < C o l u m n F i l t e r s / >  
         < D A L i n k I D > 9 a 3 6 b 6 c 3 - 6 7 2 9 - 4 a 4 1 - 8 8 c 4 - 7 4 0 e 5 a 0 8 6 0 2 3 < / D A L i n k I D >  
         < L i n k T y p e > 0 < / L i n k T y p e >  
         < P a r a m e t e r s / >  
         < I n c l u d e A l l I t e m s > f a l s e < / I n c l u d e A l l I t e m s >  
         < A c t i v e > t r u e < / A c t i v e >  
         < P r o t e c t e d L i n k > f a l s e < / P r o t e c t e d L i n k >  
         < N a m e > 2 8 1 0 1   T B   @   3 1 . 1 2 . 2 0 2 0   3 9 1 r 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 3 9 1 r < / A c c o u n t N u m b e r >  
         < R o u n d e d > f a l s e < / R o u n d e d >  
     < / T B L i n k >  
     < T B L i n k >  
         < V e r s i o n > 4 < / V e r s i o n >  
         < C o l u m n F i l t e r s / >  
         < D A L i n k I D > 9 a a 4 a 3 3 5 - 3 e 7 0 - 4 d 4 e - a a 1 b - f 1 e d 7 2 9 0 d 9 2 e < / D A L i n k I D >  
         < L i n k T y p e > 0 < / L i n k T y p e >  
         < P a r a m e t e r s / >  
         < I n c l u d e A l l I t e m s > f a l s e < / I n c l u d e A l l I t e m s >  
         < A c t i v e > t r u e < / A c t i v e >  
         < P r o t e c t e d L i n k > f a l s e < / P r o t e c t e d L i n k >  
         < N a m e > 2 8 1 0 1   T B   @   3 1 . 1 2 . 2 0 2 0   3 9 8 a 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 3 9 8 a < / A c c o u n t N u m b e r >  
         < R o u n d e d > f a l s e < / R o u n d e d >  
     < / T B L i n k >  
     < T B L i n k >  
         < V e r s i o n > 4 < / V e r s i o n >  
         < C o l u m n F i l t e r s / >  
         < D A L i n k I D > 0 d 9 1 c 3 a 2 - d 2 8 3 - 4 7 c 3 - 9 f e 1 - 2 b b f d 4 8 2 3 2 a 3 < / D A L i n k I D >  
         < L i n k T y p e > 0 < / L i n k T y p e >  
         < P a r a m e t e r s / >  
         < I n c l u d e A l l I t e m s > f a l s e < / I n c l u d e A l l I t e m s >  
         < A c t i v e > t r u e < / A c t i v e >  
         < P r o t e c t e d L i n k > f a l s e < / P r o t e c t e d L i n k >  
         < N a m e > 2 8 1 0 1   T B   @   3 1 . 1 2 . 2 0 2 0   3 9 8 b 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 3 9 8 b < / A c c o u n t N u m b e r >  
         < R o u n d e d > f a l s e < / R o u n d e d >  
     < / T B L i n k >  
     < T B L i n k >  
         < V e r s i o n > 4 < / V e r s i o n >  
         < C o l u m n F i l t e r s / >  
         < D A L i n k I D > 3 6 3 6 c 1 7 8 - 3 8 9 0 - 4 d d b - a b 6 6 - 4 6 0 d 9 c 5 7 a 9 a 6 < / D A L i n k I D >  
         < L i n k T y p e > 0 < / L i n k T y p e >  
         < P a r a m e t e r s / >  
         < I n c l u d e A l l I t e m s > f a l s e < / I n c l u d e A l l I t e m s >  
         < A c t i v e > t r u e < / A c t i v e >  
         < P r o t e c t e d L i n k > f a l s e < / P r o t e c t e d L i n k >  
         < N a m e > 2 8 1 0 1   T B   @   3 1 . 1 2 . 2 0 2 0   4 1 1 x   F i n a l < / N a m e >  
         < E n t i t y E n u m > 9 < / E n t i t y E n u m >  
         < I t e m O r d e r L i s t / >  
         < S e l e c t e d I t e m L i s t / >  
         < S e l e c t e d C o l u m n L i s t / >  
         < H a s V a l u e > t r u e < / H a s V a l u e >  
         < T B C h a r t I D > 3 0 0 1 4 7 8 6 4 3 4 0 0 0 0 0 4 9 4 < / T B C h a r t I D >  
         < C o n s o l i d a t e d C o m p a n y I D   x s i : n i l = " t r u e " / >  
         < T B D o c u m e n t I D > 3 0 0 1 4 7 8 6 4 3 4 0 0 0 0 0 0 9 9 < / T B D o c u m e n t I D >  
         < N u m e r i c V a l u e > - 2 0 0 6 0 0 . 0 0 0 0 < / N u m e r i c V a l u e >  
         < V a l u e > - 2 0 0 6 0 0 , 0 0 0 0 < / V a l u e >  
         < C h a r t T y p e > c t D e t a i l < / C h a r t T y p e >  
         < R e f e r e n c e > 2 8 1 0 1 < / R e f e r e n c e >  
         < T B D o c N a m e > T B   @   3 1 . 1 2 . 2 0 2 0 < / T B D o c N a m e >  
         < T B C h a r t N a m e > D e t a i l < / T B C h a r t N a m e >  
         < C o l u m n N a m e > F i n a l B a l a n c e < / C o l u m n N a m e >  
         < U s e r F r i e n d l y C o l u m n N a m e > F i n a l < / U s e r F r i e n d l y C o l u m n N a m e >  
         < A c c o u n t N u m b e r > 4 1 1 x < / A c c o u n t N u m b e r >  
         < R o u n d e d > f a l s e < / R o u n d e d >  
     < / T B L i n k >  
     < T B L i n k >  
         < V e r s i o n > 4 < / V e r s i o n >  
         < C o l u m n F i l t e r s / >  
         < D A L i n k I D > 8 a e a e 0 a 0 - 6 4 f 3 - 4 d 4 7 - 9 f 2 b - 0 f 8 4 b 4 c d 7 a 5 9 < / D A L i n k I D >  
         < L i n k T y p e > 0 < / L i n k T y p e >  
         < P a r a m e t e r s / >  
         < I n c l u d e A l l I t e m s > f a l s e < / I n c l u d e A l l I t e m s >  
         < A c t i v e > t r u e < / A c t i v e >  
         < P r o t e c t e d L i n k > f a l s e < / P r o t e c t e d L i n k >  
         < N a m e > 2 8 1 0 1   T B   @   3 1 . 1 2 . 2 0 2 0   4 1 2 x 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 4 1 2 x < / A c c o u n t N u m b e r >  
         < R o u n d e d > f a l s e < / R o u n d e d >  
     < / T B L i n k >  
     < T B L i n k >  
         < V e r s i o n > 4 < / V e r s i o n >  
         < C o l u m n F i l t e r s / >  
         < D A L i n k I D > 5 b 4 f 4 c 8 6 - 9 4 2 4 - 4 6 d 5 - 8 4 6 8 - e 1 e 0 f e 4 8 4 7 1 d < / D A L i n k I D >  
         < L i n k T y p e > 0 < / L i n k T y p e >  
         < P a r a m e t e r s / >  
         < I n c l u d e A l l I t e m s > f a l s e < / I n c l u d e A l l I t e m s >  
         < A c t i v e > t r u e < / A c t i v e >  
         < P r o t e c t e d L i n k > f a l s e < / P r o t e c t e d L i n k >  
         < N a m e > 2 8 1 0 1   T B   @   3 1 . 1 2 . 2 0 2 0   4 1 3 x   F i n a l < / N a m e >  
         < E n t i t y E n u m > 9 < / E n t i t y E n u m >  
         < I t e m O r d e r L i s t / >  
         < S e l e c t e d I t e m L i s t / >  
         < S e l e c t e d C o l u m n L i s t / >  
         < H a s V a l u e > t r u e < / H a s V a l u e >  
         < T B C h a r t I D > 3 0 0 1 4 7 8 6 4 3 4 0 0 0 0 0 4 9 4 < / T B C h a r t I D >  
         < C o n s o l i d a t e d C o m p a n y I D   x s i : n i l = " t r u e " / >  
         < T B D o c u m e n t I D > 3 0 0 1 4 7 8 6 4 3 4 0 0 0 0 0 0 9 9 < / T B D o c u m e n t I D >  
         < N u m e r i c V a l u e > - 3 3 1 9 . 0 0 0 0 < / N u m e r i c V a l u e >  
         < V a l u e > - 3 3 1 9 , 0 0 0 0 < / V a l u e >  
         < C h a r t T y p e > c t D e t a i l < / C h a r t T y p e >  
         < R e f e r e n c e > 2 8 1 0 1 < / R e f e r e n c e >  
         < T B D o c N a m e > T B   @   3 1 . 1 2 . 2 0 2 0 < / T B D o c N a m e >  
         < T B C h a r t N a m e > D e t a i l < / T B C h a r t N a m e >  
         < C o l u m n N a m e > F i n a l B a l a n c e < / C o l u m n N a m e >  
         < U s e r F r i e n d l y C o l u m n N a m e > F i n a l < / U s e r F r i e n d l y C o l u m n N a m e >  
         < A c c o u n t N u m b e r > 4 1 3 x < / A c c o u n t N u m b e r >  
         < R o u n d e d > f a l s e < / R o u n d e d >  
     < / T B L i n k >  
     < T B L i n k >  
         < V e r s i o n > 4 < / V e r s i o n >  
         < C o l u m n F i l t e r s / >  
         < D A L i n k I D > 1 1 9 9 0 9 c 1 - 6 d 4 0 - 4 b e 3 - b d 8 e - f f b f 9 5 a 4 c 7 f 8 < / D A L i n k I D >  
         < L i n k T y p e > 0 < / L i n k T y p e >  
         < P a r a m e t e r s / >  
         < I n c l u d e A l l I t e m s > f a l s e < / I n c l u d e A l l I t e m s >  
         < A c t i v e > t r u e < / A c t i v e >  
         < P r o t e c t e d L i n k > f a l s e < / P r o t e c t e d L i n k >  
         < N a m e > 2 8 1 0 1   T B   @   3 1 . 1 2 . 2 0 2 0   4 1 4 x 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 4 1 4 x < / A c c o u n t N u m b e r >  
         < R o u n d e d > f a l s e < / R o u n d e d >  
     < / T B L i n k >  
     < T B L i n k >  
         < V e r s i o n > 4 < / V e r s i o n >  
         < C o l u m n F i l t e r s / >  
         < D A L i n k I D > 3 8 1 6 7 f 0 a - f 2 6 b - 4 f 8 7 - 9 1 e 7 - 2 d b 0 7 8 5 5 0 9 0 a < / D A L i n k I D >  
         < L i n k T y p e > 0 < / L i n k T y p e >  
         < P a r a m e t e r s / >  
         < I n c l u d e A l l I t e m s > f a l s e < / I n c l u d e A l l I t e m s >  
         < A c t i v e > t r u e < / A c t i v e >  
         < P r o t e c t e d L i n k > f a l s e < / P r o t e c t e d L i n k >  
         < N a m e > 2 8 1 0 1   T B   @   3 1 . 1 2 . 2 0 2 0   4 1 5 x 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 4 1 5 x < / A c c o u n t N u m b e r >  
         < R o u n d e d > f a l s e < / R o u n d e d >  
     < / T B L i n k >  
     < T B L i n k >  
         < V e r s i o n > 4 < / V e r s i o n >  
         < C o l u m n F i l t e r s / >  
         < D A L i n k I D > 3 1 d 5 f 5 6 1 - 6 9 9 9 - 4 7 5 e - b 5 b 0 - 3 1 5 b 5 b 1 b 7 3 2 d < / D A L i n k I D >  
         < L i n k T y p e > 0 < / L i n k T y p e >  
         < P a r a m e t e r s / >  
         < I n c l u d e A l l I t e m s > f a l s e < / I n c l u d e A l l I t e m s >  
         < A c t i v e > t r u e < / A c t i v e >  
         < P r o t e c t e d L i n k > f a l s e < / P r o t e c t e d L i n k >  
         < N a m e > 2 8 1 0 1   T B   @   3 1 . 1 2 . 2 0 2 0   4 1 6 x 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 4 1 6 x < / A c c o u n t N u m b e r >  
         < R o u n d e d > f a l s e < / R o u n d e d >  
     < / T B L i n k >  
     < T B L i n k >  
         < V e r s i o n > 4 < / V e r s i o n >  
         < C o l u m n F i l t e r s / >  
         < D A L i n k I D > 2 4 0 4 1 7 f 6 - 5 8 4 e - 4 6 a 5 - 8 0 4 4 - 3 5 e 0 d 2 2 2 7 0 a d < / D A L i n k I D >  
         < L i n k T y p e > 0 < / L i n k T y p e >  
         < P a r a m e t e r s / >  
         < I n c l u d e A l l I t e m s > f a l s e < / I n c l u d e A l l I t e m s >  
         < A c t i v e > t r u e < / A c t i v e >  
         < P r o t e c t e d L i n k > f a l s e < / P r o t e c t e d L i n k >  
         < N a m e > 2 8 1 0 1   T B   @   3 1 . 1 2 . 2 0 2 0   4 1 7 a 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 4 1 7 a < / A c c o u n t N u m b e r >  
         < R o u n d e d > f a l s e < / R o u n d e d >  
     < / T B L i n k >  
     < T B L i n k >  
         < V e r s i o n > 4 < / V e r s i o n >  
         < C o l u m n F i l t e r s / >  
         < D A L i n k I D > c 1 4 0 3 a 0 0 - 0 5 3 5 - 4 4 0 f - b 7 8 6 - 0 c 7 0 b 8 3 0 7 f f a < / D A L i n k I D >  
         < L i n k T y p e > 0 < / L i n k T y p e >  
         < P a r a m e t e r s / >  
         < I n c l u d e A l l I t e m s > f a l s e < / I n c l u d e A l l I t e m s >  
         < A c t i v e > t r u e < / A c t i v e >  
         < P r o t e c t e d L i n k > f a l s e < / P r o t e c t e d L i n k >  
         < N a m e > 2 8 1 0 1   T B   @   3 1 . 1 2 . 2 0 2 0   4 1 7 b 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 4 1 7 b < / A c c o u n t N u m b e r >  
         < R o u n d e d > f a l s e < / R o u n d e d >  
     < / T B L i n k >  
     < T B L i n k >  
         < V e r s i o n > 4 < / V e r s i o n >  
         < C o l u m n F i l t e r s / >  
         < D A L i n k I D > c 8 3 2 6 a d f - 2 f a 9 - 4 9 d 0 - a c d 3 - e 6 e 6 a 2 3 7 d 7 b 4 < / D A L i n k I D >  
         < L i n k T y p e > 0 < / L i n k T y p e >  
         < P a r a m e t e r s / >  
         < I n c l u d e A l l I t e m s > f a l s e < / I n c l u d e A l l I t e m s >  
         < A c t i v e > t r u e < / A c t i v e >  
         < P r o t e c t e d L i n k > f a l s e < / P r o t e c t e d L i n k >  
         < N a m e > 2 8 1 0 1   T B   @   3 1 . 1 2 . 2 0 2 0   4 1 8 x 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 4 1 8 x < / A c c o u n t N u m b e r >  
         < R o u n d e d > f a l s e < / R o u n d e d >  
     < / T B L i n k >  
     < T B L i n k >  
         < V e r s i o n > 4 < / V e r s i o n >  
         < C o l u m n F i l t e r s / >  
         < D A L i n k I D > f d 4 2 7 9 b f - 4 c 3 2 - 4 a 8 5 - 9 4 5 4 - 7 a 4 3 0 7 e 4 5 5 0 9 < / D A L i n k I D >  
         < L i n k T y p e > 0 < / L i n k T y p e >  
         < P a r a m e t e r s / >  
         < I n c l u d e A l l I t e m s > f a l s e < / I n c l u d e A l l I t e m s >  
         < A c t i v e > t r u e < / A c t i v e >  
         < P r o t e c t e d L i n k > f a l s e < / P r o t e c t e d L i n k >  
         < N a m e > 2 8 1 0 1   T B   @   3 1 . 1 2 . 2 0 2 0   4 1 9 x 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 4 1 9 x < / A c c o u n t N u m b e r >  
         < R o u n d e d > f a l s e < / R o u n d e d >  
     < / T B L i n k >  
     < T B L i n k >  
         < V e r s i o n > 4 < / V e r s i o n >  
         < C o l u m n F i l t e r s / >  
         < D A L i n k I D > 7 8 2 3 b 3 5 5 - b 5 8 a - 4 a f 4 - b 8 c a - 1 d a 6 e b f 9 8 1 e c < / D A L i n k I D >  
         < L i n k T y p e > 0 < / L i n k T y p e >  
         < P a r a m e t e r s / >  
         < I n c l u d e A l l I t e m s > f a l s e < / I n c l u d e A l l I t e m s >  
         < A c t i v e > t r u e < / A c t i v e >  
         < P r o t e c t e d L i n k > f a l s e < / P r o t e c t e d L i n k >  
         < N a m e > 2 8 1 0 1   T B   @   3 1 . 1 2 . 2 0 2 0   4 2 1 a   F i n a l < / N a m e >  
         < E n t i t y E n u m > 9 < / E n t i t y E n u m >  
         < I t e m O r d e r L i s t / >  
         < S e l e c t e d I t e m L i s t / >  
         < S e l e c t e d C o l u m n L i s t / >  
         < H a s V a l u e > t r u e < / H a s V a l u e >  
         < T B C h a r t I D > 3 0 0 1 4 7 8 6 4 3 4 0 0 0 0 0 4 9 4 < / T B C h a r t I D >  
         < C o n s o l i d a t e d C o m p a n y I D   x s i : n i l = " t r u e " / >  
         < T B D o c u m e n t I D > 3 0 0 1 4 7 8 6 4 3 4 0 0 0 0 0 0 9 9 < / T B D o c u m e n t I D >  
         < N u m e r i c V a l u e > - 4 0 1 2 0 . 0 0 0 0 < / N u m e r i c V a l u e >  
         < V a l u e > - 4 0 1 2 0 , 0 0 0 0 < / V a l u e >  
         < C h a r t T y p e > c t D e t a i l < / C h a r t T y p e >  
         < R e f e r e n c e > 2 8 1 0 1 < / R e f e r e n c e >  
         < T B D o c N a m e > T B   @   3 1 . 1 2 . 2 0 2 0 < / T B D o c N a m e >  
         < T B C h a r t N a m e > D e t a i l < / T B C h a r t N a m e >  
         < C o l u m n N a m e > F i n a l B a l a n c e < / C o l u m n N a m e >  
         < U s e r F r i e n d l y C o l u m n N a m e > F i n a l < / U s e r F r i e n d l y C o l u m n N a m e >  
         < A c c o u n t N u m b e r > 4 2 1 a < / A c c o u n t N u m b e r >  
         < R o u n d e d > f a l s e < / R o u n d e d >  
     < / T B L i n k >  
     < T B L i n k >  
         < V e r s i o n > 4 < / V e r s i o n >  
         < C o l u m n F i l t e r s / >  
         < D A L i n k I D > c b c f 8 f d c - 0 f 1 d - 4 6 0 5 - b 8 a b - 3 4 b e c c c 1 f 9 9 a < / D A L i n k I D >  
         < L i n k T y p e > 0 < / L i n k T y p e >  
         < P a r a m e t e r s / >  
         < I n c l u d e A l l I t e m s > f a l s e < / I n c l u d e A l l I t e m s >  
         < A c t i v e > t r u e < / A c t i v e >  
         < P r o t e c t e d L i n k > f a l s e < / P r o t e c t e d L i n k >  
         < N a m e > 2 8 1 0 1   T B   @   3 1 . 1 2 . 2 0 2 0   4 2 1 b 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 4 2 1 b < / A c c o u n t N u m b e r >  
         < R o u n d e d > f a l s e < / R o u n d e d >  
     < / T B L i n k >  
     < T B L i n k >  
         < V e r s i o n > 4 < / V e r s i o n >  
         < C o l u m n F i l t e r s / >  
         < D A L i n k I D > 5 7 1 d 6 5 b c - 6 4 9 6 - 4 f 9 2 - 8 1 2 0 - 2 d 9 e 6 6 a e e 3 6 0 < / D A L i n k I D >  
         < L i n k T y p e > 0 < / L i n k T y p e >  
         < P a r a m e t e r s / >  
         < I n c l u d e A l l I t e m s > f a l s e < / I n c l u d e A l l I t e m s >  
         < A c t i v e > t r u e < / A c t i v e >  
         < P r o t e c t e d L i n k > f a l s e < / P r o t e c t e d L i n k >  
         < N a m e > 2 8 1 0 1   T B   @   3 1 . 1 2 . 2 0 2 0   4 2 2 x 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 4 2 2 x < / A c c o u n t N u m b e r >  
         < R o u n d e d > f a l s e < / R o u n d e d >  
     < / T B L i n k >  
     < T B L i n k >  
         < V e r s i o n > 4 < / V e r s i o n >  
         < C o l u m n F i l t e r s / >  
         < D A L i n k I D > 2 e 1 6 b 4 b 4 - c a 9 9 - 4 e e f - b d 1 1 - 4 7 3 c 0 b 4 2 9 5 3 9 < / D A L i n k I D >  
         < L i n k T y p e > 0 < / L i n k T y p e >  
         < P a r a m e t e r s / >  
         < I n c l u d e A l l I t e m s > f a l s e < / I n c l u d e A l l I t e m s >  
         < A c t i v e > t r u e < / A c t i v e >  
         < P r o t e c t e d L i n k > f a l s e < / P r o t e c t e d L i n k >  
         < N a m e > 2 8 1 0 1   T B   @   3 1 . 1 2 . 2 0 2 0   4 2 3 x 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 4 2 3 x < / A c c o u n t N u m b e r >  
         < R o u n d e d > f a l s e < / R o u n d e d >  
     < / T B L i n k >  
     < T B L i n k >  
         < V e r s i o n > 4 < / V e r s i o n >  
         < C o l u m n F i l t e r s / >  
         < D A L i n k I D > e 1 d 4 3 a 0 8 - 1 4 6 b - 4 f 6 d - b 3 a 7 - 8 0 3 4 6 2 2 b 3 1 1 9 < / D A L i n k I D >  
         < L i n k T y p e > 0 < / L i n k T y p e >  
         < P a r a m e t e r s / >  
         < I n c l u d e A l l I t e m s > f a l s e < / I n c l u d e A l l I t e m s >  
         < A c t i v e > t r u e < / A c t i v e >  
         < P r o t e c t e d L i n k > f a l s e < / P r o t e c t e d L i n k >  
         < N a m e > 2 8 1 0 1   T B   @   3 1 . 1 2 . 2 0 2 0   4 2 7 x   F i n a l < / N a m e >  
         < E n t i t y E n u m > 9 < / E n t i t y E n u m >  
         < I t e m O r d e r L i s t / >  
         < S e l e c t e d I t e m L i s t / >  
         < S e l e c t e d C o l u m n L i s t / >  
         < H a s V a l u e > t r u e < / H a s V a l u e >  
         < T B C h a r t I D > 3 0 0 1 4 7 8 6 4 3 4 0 0 0 0 0 4 9 4 < / T B C h a r t I D >  
         < C o n s o l i d a t e d C o m p a n y I D   x s i : n i l = " t r u e " / >  
         < T B D o c u m e n t I D > 3 0 0 1 4 7 8 6 4 3 4 0 0 0 0 0 0 9 9 < / T B D o c u m e n t I D >  
         < N u m e r i c V a l u e > - 2 7 9 2 8 1 . 0 0 0 0 < / N u m e r i c V a l u e >  
         < V a l u e > - 2 7 9 2 8 1 , 0 0 0 0 < / V a l u e >  
         < C h a r t T y p e > c t D e t a i l < / C h a r t T y p e >  
         < R e f e r e n c e > 2 8 1 0 1 < / R e f e r e n c e >  
         < T B D o c N a m e > T B   @   3 1 . 1 2 . 2 0 2 0 < / T B D o c N a m e >  
         < T B C h a r t N a m e > D e t a i l < / T B C h a r t N a m e >  
         < C o l u m n N a m e > F i n a l B a l a n c e < / C o l u m n N a m e >  
         < U s e r F r i e n d l y C o l u m n N a m e > F i n a l < / U s e r F r i e n d l y C o l u m n N a m e >  
         < A c c o u n t N u m b e r > 4 2 7 x < / A c c o u n t N u m b e r >  
         < R o u n d e d > f a l s e < / R o u n d e d >  
     < / T B L i n k >  
     < T B L i n k >  
         < V e r s i o n > 4 < / V e r s i o n >  
         < C o l u m n F i l t e r s / >  
         < D A L i n k I D > e 3 9 9 2 6 e f - 0 a 7 f - 4 f 8 8 - a 5 4 b - 9 c 6 7 4 5 3 e b e e a < / D A L i n k I D >  
         < L i n k T y p e > 0 < / L i n k T y p e >  
         < P a r a m e t e r s / >  
         < I n c l u d e A l l I t e m s > f a l s e < / I n c l u d e A l l I t e m s >  
         < A c t i v e > t r u e < / A c t i v e >  
         < P r o t e c t e d L i n k > f a l s e < / P r o t e c t e d L i n k >  
         < N a m e > 2 8 1 0 1   T B   @   3 1 . 1 2 . 2 0 2 0   4 2 8 x   F i n a l < / N a m e >  
         < E n t i t y E n u m > 9 < / E n t i t y E n u m >  
         < I t e m O r d e r L i s t / >  
         < S e l e c t e d I t e m L i s t / >  
         < S e l e c t e d C o l u m n L i s t / >  
         < H a s V a l u e > t r u e < / H a s V a l u e >  
         < T B C h a r t I D > 3 0 0 1 4 7 8 6 4 3 4 0 0 0 0 0 4 9 4 < / T B C h a r t I D >  
         < C o n s o l i d a t e d C o m p a n y I D   x s i : n i l = " t r u e " / >  
         < T B D o c u m e n t I D > 3 0 0 1 4 7 8 6 4 3 4 0 0 0 0 0 0 9 9 < / T B D o c u m e n t I D >  
         < N u m e r i c V a l u e > - 1 1 1 0 2 9 7 . 0 0 0 0 < / N u m e r i c V a l u e >  
         < V a l u e > - 1 1 1 0 2 9 7 , 0 0 0 0 < / V a l u e >  
         < C h a r t T y p e > c t D e t a i l < / C h a r t T y p e >  
         < R e f e r e n c e > 2 8 1 0 1 < / R e f e r e n c e >  
         < T B D o c N a m e > T B   @   3 1 . 1 2 . 2 0 2 0 < / T B D o c N a m e >  
         < T B C h a r t N a m e > D e t a i l < / T B C h a r t N a m e >  
         < C o l u m n N a m e > F i n a l B a l a n c e < / C o l u m n N a m e >  
         < U s e r F r i e n d l y C o l u m n N a m e > F i n a l < / U s e r F r i e n d l y C o l u m n N a m e >  
         < A c c o u n t N u m b e r > 4 2 8 x < / A c c o u n t N u m b e r >  
         < R o u n d e d > f a l s e < / R o u n d e d >  
     < / T B L i n k >  
     < T B L i n k >  
         < V e r s i o n > 4 < / V e r s i o n >  
         < C o l u m n F i l t e r s / >  
         < D A L i n k I D > a 4 2 d 3 7 a a - a f e 6 - 4 7 8 c - a 0 c b - 9 6 3 4 2 e 0 a e 4 c 4 < / D A L i n k I D >  
         < L i n k T y p e > 0 < / L i n k T y p e >  
         < P a r a m e t e r s / >  
         < I n c l u d e A l l I t e m s > f a l s e < / I n c l u d e A l l I t e m s >  
         < A c t i v e > t r u e < / A c t i v e >  
         < P r o t e c t e d L i n k > f a l s e < / P r o t e c t e d L i n k >  
         < N a m e > 2 8 1 0 1   T B   @   3 1 . 1 2 . 2 0 2 0   4 2 9 x   F i n a l < / N a m e >  
         < E n t i t y E n u m > 9 < / E n t i t y E n u m >  
         < I t e m O r d e r L i s t / >  
         < S e l e c t e d I t e m L i s t / >  
         < S e l e c t e d C o l u m n L i s t / >  
         < H a s V a l u e > t r u e < / H a s V a l u e >  
         < T B C h a r t I D > 3 0 0 1 4 7 8 6 4 3 4 0 0 0 0 0 4 9 4 < / T B C h a r t I D >  
         < C o n s o l i d a t e d C o m p a n y I D   x s i : n i l = " t r u e " / >  
         < T B D o c u m e n t I D > 3 0 0 1 4 7 8 6 4 3 4 0 0 0 0 0 0 9 9 < / T B D o c u m e n t I D >  
         < N u m e r i c V a l u e > 2 7 3 7 5 8 . 0 0 0 0 < / N u m e r i c V a l u e >  
         < V a l u e > 2 7 3 7 5 8 , 0 0 0 0 < / V a l u e >  
         < C h a r t T y p e > c t D e t a i l < / C h a r t T y p e >  
         < R e f e r e n c e > 2 8 1 0 1 < / R e f e r e n c e >  
         < T B D o c N a m e > T B   @   3 1 . 1 2 . 2 0 2 0 < / T B D o c N a m e >  
         < T B C h a r t N a m e > D e t a i l < / T B C h a r t N a m e >  
         < C o l u m n N a m e > F i n a l B a l a n c e < / C o l u m n N a m e >  
         < U s e r F r i e n d l y C o l u m n N a m e > F i n a l < / U s e r F r i e n d l y C o l u m n N a m e >  
         < A c c o u n t N u m b e r > 4 2 9 x < / A c c o u n t N u m b e r >  
         < R o u n d e d > f a l s e < / R o u n d e d >  
     < / T B L i n k >  
     < T B L i n k >  
         < V e r s i o n > 4 < / V e r s i o n >  
         < C o l u m n F i l t e r s / >  
         < D A L i n k I D > 7 2 e e a a 8 f - 2 e 3 e - 4 5 1 2 - 9 5 f 2 - 1 d 0 8 4 8 6 8 4 6 b 0 < / D A L i n k I D >  
         < L i n k T y p e > 0 < / L i n k T y p e >  
         < P a r a m e t e r s / >  
         < I n c l u d e A l l I t e m s > f a l s e < / I n c l u d e A l l I t e m s >  
         < A c t i v e > t r u e < / A c t i v e >  
         < P r o t e c t e d L i n k > f a l s e < / P r o t e c t e d L i n k >  
         < N a m e > 2 8 1 0 1   T B   @   3 1 . 1 2 . 2 0 2 0   4 3 1 x 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 4 3 1 x < / A c c o u n t N u m b e r >  
         < R o u n d e d > f a l s e < / R o u n d e d >  
     < / T B L i n k >  
     < T B L i n k >  
         < V e r s i o n > 4 < / V e r s i o n >  
         < C o l u m n F i l t e r s / >  
         < D A L i n k I D > 9 e 8 6 b a 9 5 - 5 c 0 6 - 4 c 2 1 - a 8 9 0 - a 3 1 8 b d 4 a 6 b 9 5 < / D A L i n k I D >  
         < L i n k T y p e > 0 < / L i n k T y p e >  
         < P a r a m e t e r s / >  
         < I n c l u d e A l l I t e m s > f a l s e < / I n c l u d e A l l I t e m s >  
         < A c t i v e > t r u e < / A c t i v e >  
         < P r o t e c t e d L i n k > f a l s e < / P r o t e c t e d L i n k >  
         < N a m e > 2 8 1 0 1   T B   @   3 1 . 1 2 . 2 0 2 0   4 5 1 a 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 4 5 1 a < / A c c o u n t N u m b e r >  
         < R o u n d e d > f a l s e < / R o u n d e d >  
     < / T B L i n k >  
     < T B L i n k >  
         < V e r s i o n > 4 < / V e r s i o n >  
         < C o l u m n F i l t e r s / >  
         < D A L i n k I D > 4 3 8 b e 3 b 8 - c 9 e d - 4 b d c - a d 2 1 - f 6 0 c 1 3 3 9 0 0 c f < / D A L i n k I D >  
         < L i n k T y p e > 0 < / L i n k T y p e >  
         < P a r a m e t e r s / >  
         < I n c l u d e A l l I t e m s > f a l s e < / I n c l u d e A l l I t e m s >  
         < A c t i v e > t r u e < / A c t i v e >  
         < P r o t e c t e d L i n k > f a l s e < / P r o t e c t e d L i n k >  
         < N a m e > 2 8 1 0 1   T B   @   3 1 . 1 2 . 2 0 2 0   4 5 1 b 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 4 5 1 b < / A c c o u n t N u m b e r >  
         < R o u n d e d > f a l s e < / R o u n d e d >  
     < / T B L i n k >  
     < T B L i n k >  
         < V e r s i o n > 4 < / V e r s i o n >  
         < C o l u m n F i l t e r s / >  
         < D A L i n k I D > 6 d a 5 d d 6 c - f c 4 4 - 4 7 2 b - 8 e c 1 - d c a c c 5 2 0 e 9 8 5 < / D A L i n k I D >  
         < L i n k T y p e > 0 < / L i n k T y p e >  
         < P a r a m e t e r s / >  
         < I n c l u d e A l l I t e m s > f a l s e < / I n c l u d e A l l I t e m s >  
         < A c t i v e > t r u e < / A c t i v e >  
         < P r o t e c t e d L i n k > f a l s e < / P r o t e c t e d L i n k >  
         < N a m e > 2 8 1 0 1   T B   @   3 1 . 1 2 . 2 0 2 0   4 5 9 a   F i n a l < / N a m e >  
         < E n t i t y E n u m > 9 < / E n t i t y E n u m >  
         < I t e m O r d e r L i s t / >  
         < S e l e c t e d I t e m L i s t / >  
         < S e l e c t e d C o l u m n L i s t / >  
         < H a s V a l u e > t r u e < / H a s V a l u e >  
         < T B C h a r t I D > 3 0 0 1 4 7 8 6 4 3 4 0 0 0 0 0 4 9 4 < / T B C h a r t I D >  
         < C o n s o l i d a t e d C o m p a n y I D   x s i : n i l = " t r u e " / >  
         < T B D o c u m e n t I D > 3 0 0 1 4 7 8 6 4 3 4 0 0 0 0 0 0 9 9 < / T B D o c u m e n t I D >  
         < N u m e r i c V a l u e > - 7 3 8 0 . 0 0 0 0 < / N u m e r i c V a l u e >  
         < V a l u e > - 7 3 8 0 , 0 0 0 0 < / V a l u e >  
         < C h a r t T y p e > c t D e t a i l < / C h a r t T y p e >  
         < R e f e r e n c e > 2 8 1 0 1 < / R e f e r e n c e >  
         < T B D o c N a m e > T B   @   3 1 . 1 2 . 2 0 2 0 < / T B D o c N a m e >  
         < T B C h a r t N a m e > D e t a i l < / T B C h a r t N a m e >  
         < C o l u m n N a m e > F i n a l B a l a n c e < / C o l u m n N a m e >  
         < U s e r F r i e n d l y C o l u m n N a m e > F i n a l < / U s e r F r i e n d l y C o l u m n N a m e >  
         < A c c o u n t N u m b e r > 4 5 9 a < / A c c o u n t N u m b e r >  
         < R o u n d e d > f a l s e < / R o u n d e d >  
     < / T B L i n k >  
     < T B L i n k >  
         < V e r s i o n > 4 < / V e r s i o n >  
         < C o l u m n F i l t e r s / >  
         < D A L i n k I D > 7 c b f b b 1 2 - a 6 b c - 4 c 9 a - 9 5 f 6 - f 9 3 2 6 7 4 2 a b 9 2 < / D A L i n k I D >  
         < L i n k T y p e > 0 < / L i n k T y p e >  
         < P a r a m e t e r s / >  
         < I n c l u d e A l l I t e m s > f a l s e < / I n c l u d e A l l I t e m s >  
         < A c t i v e > t r u e < / A c t i v e >  
         < P r o t e c t e d L i n k > f a l s e < / P r o t e c t e d L i n k >  
         < N a m e > 2 8 1 0 1   T B   @   3 1 . 1 2 . 2 0 2 0   4 5 9 b 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 4 5 9 b < / A c c o u n t N u m b e r >  
         < R o u n d e d > f a l s e < / R o u n d e d >  
     < / T B L i n k >  
     < T B L i n k >  
         < V e r s i o n > 4 < / V e r s i o n >  
         < C o l u m n F i l t e r s / >  
         < D A L i n k I D > 6 e f 5 f 0 3 6 - a 1 2 6 - 4 e 6 4 - 9 c d 2 - 1 8 3 6 8 7 1 e 8 2 8 5 < / D A L i n k I D >  
         < L i n k T y p e > 0 < / L i n k T y p e >  
         < P a r a m e t e r s / >  
         < I n c l u d e A l l I t e m s > f a l s e < / I n c l u d e A l l I t e m s >  
         < A c t i v e > t r u e < / A c t i v e >  
         < P r o t e c t e d L i n k > f a l s e < / P r o t e c t e d L i n k >  
         < N a m e > 2 8 1 0 1   T B   @   3 1 . 1 2 . 2 0 2 0   4 6 1 a 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 4 6 1 a < / A c c o u n t N u m b e r >  
         < R o u n d e d > f a l s e < / R o u n d e d >  
     < / T B L i n k >  
     < T B L i n k >  
         < V e r s i o n > 4 < / V e r s i o n >  
         < C o l u m n F i l t e r s / >  
         < D A L i n k I D > 4 b 8 8 2 7 3 7 - 8 6 4 d - 4 b 3 9 - b c 1 7 - 8 d c a 5 4 1 2 7 d e 2 < / D A L i n k I D >  
         < L i n k T y p e > 0 < / L i n k T y p e >  
         < P a r a m e t e r s / >  
         < I n c l u d e A l l I t e m s > f a l s e < / I n c l u d e A l l I t e m s >  
         < A c t i v e > t r u e < / A c t i v e >  
         < P r o t e c t e d L i n k > f a l s e < / P r o t e c t e d L i n k >  
         < N a m e > 2 8 1 0 1   T B   @   3 1 . 1 2 . 2 0 2 0   4 6 1 b   F i n a l < / N a m e >  
         < E n t i t y E n u m > 9 < / E n t i t y E n u m >  
         < I t e m O r d e r L i s t / >  
         < S e l e c t e d I t e m L i s t / >  
         < S e l e c t e d C o l u m n L i s t / >  
         < H a s V a l u e > t r u e < / H a s V a l u e >  
         < T B C h a r t I D > 3 0 0 1 4 7 8 6 4 3 4 0 0 0 0 0 4 9 4 < / T B C h a r t I D >  
         < C o n s o l i d a t e d C o m p a n y I D   x s i : n i l = " t r u e " / >  
         < T B D o c u m e n t I D > 3 0 0 1 4 7 8 6 4 3 4 0 0 0 0 0 0 9 9 < / T B D o c u m e n t I D >  
         < N u m e r i c V a l u e > - 1 5 4 8 6 8 4 . 0 0 0 0 < / N u m e r i c V a l u e >  
         < V a l u e > - 1 5 4 8 6 8 4 , 0 0 0 0 < / V a l u e >  
         < C h a r t T y p e > c t D e t a i l < / C h a r t T y p e >  
         < R e f e r e n c e > 2 8 1 0 1 < / R e f e r e n c e >  
         < T B D o c N a m e > T B   @   3 1 . 1 2 . 2 0 2 0 < / T B D o c N a m e >  
         < T B C h a r t N a m e > D e t a i l < / T B C h a r t N a m e >  
         < C o l u m n N a m e > F i n a l B a l a n c e < / C o l u m n N a m e >  
         < U s e r F r i e n d l y C o l u m n N a m e > F i n a l < / U s e r F r i e n d l y C o l u m n N a m e >  
         < A c c o u n t N u m b e r > 4 6 1 b < / A c c o u n t N u m b e r >  
         < R o u n d e d > f a l s e < / R o u n d e d >  
     < / T B L i n k >  
     < T B L i n k >  
         < V e r s i o n > 4 < / V e r s i o n >  
         < C o l u m n F i l t e r s / >  
         < D A L i n k I D > 3 0 4 d 2 2 c 4 - b 7 1 f - 4 2 8 3 - b 7 9 6 - e d 2 7 6 d 5 3 7 b b 3 < / D A L i n k I D >  
         < L i n k T y p e > 0 < / L i n k T y p e >  
         < P a r a m e t e r s / >  
         < I n c l u d e A l l I t e m s > f a l s e < / I n c l u d e A l l I t e m s >  
         < A c t i v e > t r u e < / A c t i v e >  
         < P r o t e c t e d L i n k > f a l s e < / P r o t e c t e d L i n k >  
         < N a m e > 2 8 1 0 1   T B   @   3 1 . 1 2 . 2 0 2 0   4 7 1 a 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 4 7 1 a < / A c c o u n t N u m b e r >  
         < R o u n d e d > f a l s e < / R o u n d e d >  
     < / T B L i n k >  
     < T B L i n k >  
         < V e r s i o n > 4 < / V e r s i o n >  
         < C o l u m n F i l t e r s / >  
         < D A L i n k I D > 6 7 7 5 5 b 5 9 - 2 4 4 f - 4 a c e - a 7 2 c - 1 d f 2 d b c 6 7 8 4 c < / D A L i n k I D >  
         < L i n k T y p e > 0 < / L i n k T y p e >  
         < P a r a m e t e r s / >  
         < I n c l u d e A l l I t e m s > f a l s e < / I n c l u d e A l l I t e m s >  
         < A c t i v e > t r u e < / A c t i v e >  
         < P r o t e c t e d L i n k > f a l s e < / P r o t e c t e d L i n k >  
         < N a m e > 2 8 1 0 1   T B   @   3 1 . 1 2 . 2 0 2 0   4 7 1 b 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 4 7 1 b < / A c c o u n t N u m b e r >  
         < R o u n d e d > f a l s e < / R o u n d e d >  
     < / T B L i n k >  
     < T B L i n k >  
         < V e r s i o n > 4 < / V e r s i o n >  
         < C o l u m n F i l t e r s / >  
         < D A L i n k I D > e 9 3 0 5 a 9 a - d b e 3 - 4 e 7 0 - 8 5 8 d - 3 2 9 8 5 3 b 1 1 5 a 4 < / D A L i n k I D >  
         < L i n k T y p e > 0 < / L i n k T y p e >  
         < P a r a m e t e r s / >  
         < I n c l u d e A l l I t e m s > f a l s e < / I n c l u d e A l l I t e m s >  
         < A c t i v e > t r u e < / A c t i v e >  
         < P r o t e c t e d L i n k > f a l s e < / P r o t e c t e d L i n k >  
         < N a m e > 2 8 1 0 1   T B   @   3 1 . 1 2 . 2 0 2 0   4 7 1 c 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 4 7 1 c < / A c c o u n t N u m b e r >  
         < R o u n d e d > f a l s e < / R o u n d e d >  
     < / T B L i n k >  
     < T B L i n k >  
         < V e r s i o n > 4 < / V e r s i o n >  
         < C o l u m n F i l t e r s / >  
         < D A L i n k I D > 5 b 8 d c 1 7 6 - 8 0 4 6 - 4 3 a d - b c a 0 - f e 4 e 9 5 d 8 d 9 b 7 < / D A L i n k I D >  
         < L i n k T y p e > 0 < / L i n k T y p e >  
         < P a r a m e t e r s / >  
         < I n c l u d e A l l I t e m s > f a l s e < / I n c l u d e A l l I t e m s >  
         < A c t i v e > t r u e < / A c t i v e >  
         < P r o t e c t e d L i n k > f a l s e < / P r o t e c t e d L i n k >  
         < N a m e > 2 8 1 0 1   T B   @   3 1 . 1 2 . 2 0 2 0   4 7 1 d 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 4 7 1 d < / A c c o u n t N u m b e r >  
         < R o u n d e d > f a l s e < / R o u n d e d >  
     < / T B L i n k >  
     < T B L i n k >  
         < V e r s i o n > 4 < / V e r s i o n >  
         < C o l u m n F i l t e r s / >  
         < D A L i n k I D > b f b 1 1 d 0 8 - 8 5 6 7 - 4 1 1 4 - a 8 f d - f 6 2 f 2 7 0 a 4 6 d e < / D A L i n k I D >  
         < L i n k T y p e > 0 < / L i n k T y p e >  
         < P a r a m e t e r s / >  
         < I n c l u d e A l l I t e m s > f a l s e < / I n c l u d e A l l I t e m s >  
         < A c t i v e > t r u e < / A c t i v e >  
         < P r o t e c t e d L i n k > f a l s e < / P r o t e c t e d L i n k >  
         < N a m e > 2 8 1 0 1   T B   @   3 1 . 1 2 . 2 0 2 0   4 7 2 x   F i n a l < / N a m e >  
         < E n t i t y E n u m > 9 < / E n t i t y E n u m >  
         < I t e m O r d e r L i s t / >  
         < S e l e c t e d I t e m L i s t / >  
         < S e l e c t e d C o l u m n L i s t / >  
         < H a s V a l u e > t r u e < / H a s V a l u e >  
         < T B C h a r t I D > 3 0 0 1 4 7 8 6 4 3 4 0 0 0 0 0 4 9 4 < / T B C h a r t I D >  
         < C o n s o l i d a t e d C o m p a n y I D   x s i : n i l = " t r u e " / >  
         < T B D o c u m e n t I D > 3 0 0 1 4 7 8 6 4 3 4 0 0 0 0 0 0 9 9 < / T B D o c u m e n t I D >  
         < N u m e r i c V a l u e > - 3 9 1 2 . 0 0 0 0 < / N u m e r i c V a l u e >  
         < V a l u e > - 3 9 1 2 , 0 0 0 0 < / V a l u e >  
         < C h a r t T y p e > c t D e t a i l < / C h a r t T y p e >  
         < R e f e r e n c e > 2 8 1 0 1 < / R e f e r e n c e >  
         < T B D o c N a m e > T B   @   3 1 . 1 2 . 2 0 2 0 < / T B D o c N a m e >  
         < T B C h a r t N a m e > D e t a i l < / T B C h a r t N a m e >  
         < C o l u m n N a m e > F i n a l B a l a n c e < / C o l u m n N a m e >  
         < U s e r F r i e n d l y C o l u m n N a m e > F i n a l < / U s e r F r i e n d l y C o l u m n N a m e >  
         < A c c o u n t N u m b e r > 4 7 2 x < / A c c o u n t N u m b e r >  
         < R o u n d e d > f a l s e < / R o u n d e d >  
     < / T B L i n k >  
     < T B L i n k >  
         < V e r s i o n > 4 < / V e r s i o n >  
         < C o l u m n F i l t e r s / >  
         < D A L i n k I D > e e 4 0 5 1 d f - c 3 b 9 - 4 5 2 9 - b 9 4 e - 1 8 3 4 e e a 5 4 4 c 0 < / D A L i n k I D >  
         < L i n k T y p e > 0 < / L i n k T y p e >  
         < P a r a m e t e r s / >  
         < I n c l u d e A l l I t e m s > f a l s e < / I n c l u d e A l l I t e m s >  
         < A c t i v e > t r u e < / A c t i v e >  
         < P r o t e c t e d L i n k > f a l s e < / P r o t e c t e d L i n k >  
         < N a m e > 2 8 1 0 1   T B   @   3 1 . 1 2 . 2 0 2 0   4 7 3 a 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 4 7 3 a < / A c c o u n t N u m b e r >  
         < R o u n d e d > f a l s e < / R o u n d e d >  
     < / T B L i n k >  
     < T B L i n k >  
         < V e r s i o n > 4 < / V e r s i o n >  
         < C o l u m n F i l t e r s / >  
         < D A L i n k I D > 9 e 5 e d 2 7 e - c 5 a f - 4 1 0 d - a 9 4 4 - e 3 b 6 8 0 9 a f 6 e 2 < / D A L i n k I D >  
         < L i n k T y p e > 0 < / L i n k T y p e >  
         < P a r a m e t e r s / >  
         < I n c l u d e A l l I t e m s > f a l s e < / I n c l u d e A l l I t e m s >  
         < A c t i v e > t r u e < / A c t i v e >  
         < P r o t e c t e d L i n k > f a l s e < / P r o t e c t e d L i n k >  
         < N a m e > 2 8 1 0 1   T B   @   3 1 . 1 2 . 2 0 2 0   4 7 3 b 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 4 7 3 b < / A c c o u n t N u m b e r >  
         < R o u n d e d > f a l s e < / R o u n d e d >  
     < / T B L i n k >  
     < T B L i n k >  
         < V e r s i o n > 4 < / V e r s i o n >  
         < C o l u m n F i l t e r s / >  
         < D A L i n k I D > 0 c 3 a 7 a a 5 - 3 d 0 9 - 4 1 9 8 - 9 1 1 0 - c d b e 1 3 a 1 b 9 7 d < / D A L i n k I D >  
         < L i n k T y p e > 0 < / L i n k T y p e >  
         < P a r a m e t e r s / >  
         < I n c l u d e A l l I t e m s > f a l s e < / I n c l u d e A l l I t e m s >  
         < A c t i v e > t r u e < / A c t i v e >  
         < P r o t e c t e d L i n k > f a l s e < / P r o t e c t e d L i n k >  
         < N a m e > 2 8 1 0 1   T B   @   3 1 . 1 2 . 2 0 2 0   4 7 4 a   F i n a l < / N a m e >  
         < E n t i t y E n u m > 9 < / E n t i t y E n u m >  
         < I t e m O r d e r L i s t / >  
         < S e l e c t e d I t e m L i s t / >  
         < S e l e c t e d C o l u m n L i s t / >  
         < H a s V a l u e > t r u e < / H a s V a l u e >  
         < T B C h a r t I D > 3 0 0 1 4 7 8 6 4 3 4 0 0 0 0 0 4 9 4 < / T B C h a r t I D >  
         < C o n s o l i d a t e d C o m p a n y I D   x s i : n i l = " t r u e " / >  
         < T B D o c u m e n t I D > 3 0 0 1 4 7 8 6 4 3 4 0 0 0 0 0 0 9 9 < / T B D o c u m e n t I D >  
         < N u m e r i c V a l u e > - 5 1 9 . 0 0 0 0 < / N u m e r i c V a l u e >  
         < V a l u e > - 5 1 9 , 0 0 0 0 < / V a l u e >  
         < C h a r t T y p e > c t D e t a i l < / C h a r t T y p e >  
         < R e f e r e n c e > 2 8 1 0 1 < / R e f e r e n c e >  
         < T B D o c N a m e > T B   @   3 1 . 1 2 . 2 0 2 0 < / T B D o c N a m e >  
         < T B C h a r t N a m e > D e t a i l < / T B C h a r t N a m e >  
         < C o l u m n N a m e > F i n a l B a l a n c e < / C o l u m n N a m e >  
         < U s e r F r i e n d l y C o l u m n N a m e > F i n a l < / U s e r F r i e n d l y C o l u m n N a m e >  
         < A c c o u n t N u m b e r > 4 7 4 a < / A c c o u n t N u m b e r >  
         < R o u n d e d > f a l s e < / R o u n d e d >  
     < / T B L i n k >  
     < T B L i n k >  
         < V e r s i o n > 4 < / V e r s i o n >  
         < C o l u m n F i l t e r s / >  
         < D A L i n k I D > e 0 6 e 1 4 2 8 - 0 7 f 9 - 4 6 6 e - 9 6 a 2 - d 6 3 7 9 1 2 9 6 0 3 4 < / D A L i n k I D >  
         < L i n k T y p e > 0 < / L i n k T y p e >  
         < P a r a m e t e r s / >  
         < I n c l u d e A l l I t e m s > f a l s e < / I n c l u d e A l l I t e m s >  
         < A c t i v e > t r u e < / A c t i v e >  
         < P r o t e c t e d L i n k > f a l s e < / P r o t e c t e d L i n k >  
         < N a m e > 2 8 1 0 1   T B   @   3 1 . 1 2 . 2 0 2 0   4 7 4 b   F i n a l < / N a m e >  
         < E n t i t y E n u m > 9 < / E n t i t y E n u m >  
         < I t e m O r d e r L i s t / >  
         < S e l e c t e d I t e m L i s t / >  
         < S e l e c t e d C o l u m n L i s t / >  
         < H a s V a l u e > t r u e < / H a s V a l u e >  
         < T B C h a r t I D > 3 0 0 1 4 7 8 6 4 3 4 0 0 0 0 0 4 9 4 < / T B C h a r t I D >  
         < C o n s o l i d a t e d C o m p a n y I D   x s i : n i l = " t r u e " / >  
         < T B D o c u m e n t I D > 3 0 0 1 4 7 8 6 4 3 4 0 0 0 0 0 0 9 9 < / T B D o c u m e n t I D >  
         < N u m e r i c V a l u e > - 4 9 7 1 . 0 0 0 0 < / N u m e r i c V a l u e >  
         < V a l u e > - 4 9 7 1 , 0 0 0 0 < / V a l u e >  
         < C h a r t T y p e > c t D e t a i l < / C h a r t T y p e >  
         < R e f e r e n c e > 2 8 1 0 1 < / R e f e r e n c e >  
         < T B D o c N a m e > T B   @   3 1 . 1 2 . 2 0 2 0 < / T B D o c N a m e >  
         < T B C h a r t N a m e > D e t a i l < / T B C h a r t N a m e >  
         < C o l u m n N a m e > F i n a l B a l a n c e < / C o l u m n N a m e >  
         < U s e r F r i e n d l y C o l u m n N a m e > F i n a l < / U s e r F r i e n d l y C o l u m n N a m e >  
         < A c c o u n t N u m b e r > 4 7 4 b < / A c c o u n t N u m b e r >  
         < R o u n d e d > f a l s e < / R o u n d e d >  
     < / T B L i n k >  
     < T B L i n k >  
         < V e r s i o n > 4 < / V e r s i o n >  
         < C o l u m n F i l t e r s / >  
         < D A L i n k I D > 4 d b 3 4 a 8 9 - 4 0 7 b - 4 f 3 2 - a 7 a 8 - 2 0 6 6 5 c 5 f c 7 7 c < / D A L i n k I D >  
         < L i n k T y p e > 0 < / L i n k T y p e >  
         < P a r a m e t e r s / >  
         < I n c l u d e A l l I t e m s > f a l s e < / I n c l u d e A l l I t e m s >  
         < A c t i v e > t r u e < / A c t i v e >  
         < P r o t e c t e d L i n k > f a l s e < / P r o t e c t e d L i n k >  
         < N a m e > 2 8 1 0 1   T B   @   3 1 . 1 2 . 2 0 2 0   4 7 5 a 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 4 7 5 a < / A c c o u n t N u m b e r >  
         < R o u n d e d > f a l s e < / R o u n d e d >  
     < / T B L i n k >  
     < T B L i n k >  
         < V e r s i o n > 4 < / V e r s i o n >  
         < C o l u m n F i l t e r s / >  
         < D A L i n k I D > 9 d d d 4 5 6 c - 3 c 1 9 - 4 d 1 e - 9 4 a 9 - 5 0 8 2 a f a 5 1 6 5 5 < / D A L i n k I D >  
         < L i n k T y p e > 0 < / L i n k T y p e >  
         < P a r a m e t e r s / >  
         < I n c l u d e A l l I t e m s > f a l s e < / I n c l u d e A l l I t e m s >  
         < A c t i v e > t r u e < / A c t i v e >  
         < P r o t e c t e d L i n k > f a l s e < / P r o t e c t e d L i n k >  
         < N a m e > 2 8 1 0 1   T B   @   3 1 . 1 2 . 2 0 2 0   4 7 5 b 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 4 7 5 b < / A c c o u n t N u m b e r >  
         < R o u n d e d > f a l s e < / R o u n d e d >  
     < / T B L i n k >  
     < T B L i n k >  
         < V e r s i o n > 4 < / V e r s i o n >  
         < C o l u m n F i l t e r s / >  
         < D A L i n k I D > 1 5 2 5 c 4 b 9 - 7 6 7 9 - 4 e e 7 - 8 c a e - f d f 0 2 c 7 e f 8 0 1 < / D A L i n k I D >  
         < L i n k T y p e > 0 < / L i n k T y p e >  
         < P a r a m e t e r s / >  
         < I n c l u d e A l l I t e m s > f a l s e < / I n c l u d e A l l I t e m s >  
         < A c t i v e > t r u e < / A c t i v e >  
         < P r o t e c t e d L i n k > f a l s e < / P r o t e c t e d L i n k >  
         < N a m e > 2 8 1 0 1   T B   @   3 1 . 1 2 . 2 0 2 0   4 7 5 c 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 4 7 5 c < / A c c o u n t N u m b e r >  
         < R o u n d e d > f a l s e < / R o u n d e d >  
     < / T B L i n k >  
     < T B L i n k >  
         < V e r s i o n > 4 < / V e r s i o n >  
         < C o l u m n F i l t e r s / >  
         < D A L i n k I D > 9 5 b f f 4 e 8 - 1 4 1 7 - 4 4 6 3 - b 4 1 f - 3 5 c b d 9 8 1 8 3 2 d < / D A L i n k I D >  
         < L i n k T y p e > 0 < / L i n k T y p e >  
         < P a r a m e t e r s / >  
         < I n c l u d e A l l I t e m s > f a l s e < / I n c l u d e A l l I t e m s >  
         < A c t i v e > t r u e < / A c t i v e >  
         < P r o t e c t e d L i n k > f a l s e < / P r o t e c t e d L i n k >  
         < N a m e > 2 8 1 0 1   T B   @   3 1 . 1 2 . 2 0 2 0   4 7 5 d 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 4 7 5 d < / A c c o u n t N u m b e r >  
         < R o u n d e d > f a l s e < / R o u n d e d >  
     < / T B L i n k >  
     < T B L i n k >  
         < V e r s i o n > 4 < / V e r s i o n >  
         < C o l u m n F i l t e r s / >  
         < D A L i n k I D > c c e 9 6 e 9 7 - f 6 4 7 - 4 f f 8 - 9 e 7 4 - 8 d 3 6 5 2 b f c 7 4 9 < / D A L i n k I D >  
         < L i n k T y p e > 0 < / L i n k T y p e >  
         < P a r a m e t e r s / >  
         < I n c l u d e A l l I t e m s > f a l s e < / I n c l u d e A l l I t e m s >  
         < A c t i v e > t r u e < / A c t i v e >  
         < P r o t e c t e d L i n k > f a l s e < / P r o t e c t e d L i n k >  
         < N a m e > 2 8 1 0 1   T B   @   3 1 . 1 2 . 2 0 2 0   4 7 5 e 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 4 7 5 e < / A c c o u n t N u m b e r >  
         < R o u n d e d > f a l s e < / R o u n d e d >  
     < / T B L i n k >  
     < T B L i n k >  
         < V e r s i o n > 4 < / V e r s i o n >  
         < C o l u m n F i l t e r s / >  
         < D A L i n k I D > e 7 7 d c 8 7 f - 6 4 d 0 - 4 7 7 6 - 8 b 6 0 - 6 1 e 4 a 0 b d 7 c a 8 < / D A L i n k I D >  
         < L i n k T y p e > 0 < / L i n k T y p e >  
         < P a r a m e t e r s / >  
         < I n c l u d e A l l I t e m s > f a l s e < / I n c l u d e A l l I t e m s >  
         < A c t i v e > t r u e < / A c t i v e >  
         < P r o t e c t e d L i n k > f a l s e < / P r o t e c t e d L i n k >  
         < N a m e > 2 8 1 0 1   T B   @   3 1 . 1 2 . 2 0 2 0   4 7 5 f 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 4 7 5 f < / A c c o u n t N u m b e r >  
         < R o u n d e d > f a l s e < / R o u n d e d >  
     < / T B L i n k >  
     < T B L i n k >  
         < V e r s i o n > 4 < / V e r s i o n >  
         < C o l u m n F i l t e r s / >  
         < D A L i n k I D > a 7 0 3 2 4 d 0 - e 9 7 b - 4 a 3 c - 9 8 a 2 - d 4 4 6 9 5 f b c f c 9 < / D A L i n k I D >  
         < L i n k T y p e > 0 < / L i n k T y p e >  
         < P a r a m e t e r s / >  
         < I n c l u d e A l l I t e m s > f a l s e < / I n c l u d e A l l I t e m s >  
         < A c t i v e > t r u e < / A c t i v e >  
         < P r o t e c t e d L i n k > f a l s e < / P r o t e c t e d L i n k >  
         < N a m e > 2 8 1 0 1   T B   @   3 1 . 1 2 . 2 0 2 0   4 7 5 g 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 4 7 5 g < / A c c o u n t N u m b e r >  
         < R o u n d e d > f a l s e < / R o u n d e d >  
     < / T B L i n k >  
     < T B L i n k >  
         < V e r s i o n > 4 < / V e r s i o n >  
         < C o l u m n F i l t e r s / >  
         < D A L i n k I D > 2 4 d d 2 3 9 0 - 4 f e e - 4 8 4 b - b 6 a 3 - 2 e c d 2 e f 1 6 5 b a < / D A L i n k I D >  
         < L i n k T y p e > 0 < / L i n k T y p e >  
         < P a r a m e t e r s / >  
         < I n c l u d e A l l I t e m s > f a l s e < / I n c l u d e A l l I t e m s >  
         < A c t i v e > t r u e < / A c t i v e >  
         < P r o t e c t e d L i n k > f a l s e < / P r o t e c t e d L i n k >  
         < N a m e > 2 8 1 0 1   T B   @   3 1 . 1 2 . 2 0 2 0   4 7 5 h 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 4 7 5 h < / A c c o u n t N u m b e r >  
         < R o u n d e d > f a l s e < / R o u n d e d >  
     < / T B L i n k >  
     < T B L i n k >  
         < V e r s i o n > 4 < / V e r s i o n >  
         < C o l u m n F i l t e r s / >  
         < D A L i n k I D > 2 f 1 1 6 3 0 c - e f 9 5 - 4 b 0 c - a 8 e 1 - e b 4 6 d 6 1 7 1 5 7 b < / D A L i n k I D >  
         < L i n k T y p e > 0 < / L i n k T y p e >  
         < P a r a m e t e r s / >  
         < I n c l u d e A l l I t e m s > f a l s e < / I n c l u d e A l l I t e m s >  
         < A c t i v e > t r u e < / A c t i v e >  
         < P r o t e c t e d L i n k > f a l s e < / P r o t e c t e d L i n k >  
         < N a m e > 2 8 1 0 1   T B   @   3 1 . 1 2 . 2 0 2 0   4 7 6 a 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 4 7 6 a < / A c c o u n t N u m b e r >  
         < R o u n d e d > f a l s e < / R o u n d e d >  
     < / T B L i n k >  
     < T B L i n k >  
         < V e r s i o n > 4 < / V e r s i o n >  
         < C o l u m n F i l t e r s / >  
         < D A L i n k I D > 8 4 e b 6 9 c 7 - d 0 6 d - 4 5 f 5 - 9 5 9 2 - 8 5 5 1 1 4 1 6 8 5 3 7 < / D A L i n k I D >  
         < L i n k T y p e > 0 < / L i n k T y p e >  
         < P a r a m e t e r s / >  
         < I n c l u d e A l l I t e m s > f a l s e < / I n c l u d e A l l I t e m s >  
         < A c t i v e > t r u e < / A c t i v e >  
         < P r o t e c t e d L i n k > f a l s e < / P r o t e c t e d L i n k >  
         < N a m e > 2 8 1 0 1   T B   @   3 1 . 1 2 . 2 0 2 0   4 7 6 b 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 4 7 6 b < / A c c o u n t N u m b e r >  
         < R o u n d e d > f a l s e < / R o u n d e d >  
     < / T B L i n k >  
     < T B L i n k >  
         < V e r s i o n > 4 < / V e r s i o n >  
         < C o l u m n F i l t e r s / >  
         < D A L i n k I D > d a 8 5 5 0 9 d - 7 0 4 c - 4 f b d - 9 2 0 e - 9 a 9 b 3 7 3 f f 4 2 e < / D A L i n k I D >  
         < L i n k T y p e > 0 < / L i n k T y p e >  
         < P a r a m e t e r s / >  
         < I n c l u d e A l l I t e m s > f a l s e < / I n c l u d e A l l I t e m s >  
         < A c t i v e > t r u e < / A c t i v e >  
         < P r o t e c t e d L i n k > f a l s e < / P r o t e c t e d L i n k >  
         < N a m e > 2 8 1 0 1   T B   @   3 1 . 1 2 . 2 0 2 0   4 7 6 c 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 4 7 6 c < / A c c o u n t N u m b e r >  
         < R o u n d e d > f a l s e < / R o u n d e d >  
     < / T B L i n k >  
     < T B L i n k >  
         < V e r s i o n > 4 < / V e r s i o n >  
         < C o l u m n F i l t e r s / >  
         < D A L i n k I D > 6 d 4 4 a 7 d 6 - 9 4 6 c - 4 5 4 f - b 3 d 2 - 2 f f 8 a 1 a 4 6 2 3 b < / D A L i n k I D >  
         < L i n k T y p e > 0 < / L i n k T y p e >  
         < P a r a m e t e r s / >  
         < I n c l u d e A l l I t e m s > f a l s e < / I n c l u d e A l l I t e m s >  
         < A c t i v e > t r u e < / A c t i v e >  
         < P r o t e c t e d L i n k > f a l s e < / P r o t e c t e d L i n k >  
         < N a m e > 2 8 1 0 1   T B   @   3 1 . 1 2 . 2 0 2 0   4 7 6 d 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 4 7 6 d < / A c c o u n t N u m b e r >  
         < R o u n d e d > f a l s e < / R o u n d e d >  
     < / T B L i n k >  
     < T B L i n k >  
         < V e r s i o n > 4 < / V e r s i o n >  
         < C o l u m n F i l t e r s / >  
         < D A L i n k I D > 3 4 6 9 a c 8 e - 7 2 e 8 - 4 5 c a - 9 7 c 3 - 3 b 1 b d b d b f 2 5 9 < / D A L i n k I D >  
         < L i n k T y p e > 0 < / L i n k T y p e >  
         < P a r a m e t e r s / >  
         < I n c l u d e A l l I t e m s > f a l s e < / I n c l u d e A l l I t e m s >  
         < A c t i v e > t r u e < / A c t i v e >  
         < P r o t e c t e d L i n k > f a l s e < / P r o t e c t e d L i n k >  
         < N a m e > 2 8 1 0 1   T B   @   3 1 . 1 2 . 2 0 2 0   4 7 6 e 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 4 7 6 e < / A c c o u n t N u m b e r >  
         < R o u n d e d > f a l s e < / R o u n d e d >  
     < / T B L i n k >  
     < T B L i n k >  
         < V e r s i o n > 4 < / V e r s i o n >  
         < C o l u m n F i l t e r s / >  
         < D A L i n k I D > 5 6 f 5 8 a 8 1 - 3 0 2 8 - 4 a f 0 - b 1 4 0 - 4 4 9 3 f 9 7 0 b b b 9 < / D A L i n k I D >  
         < L i n k T y p e > 0 < / L i n k T y p e >  
         < P a r a m e t e r s / >  
         < I n c l u d e A l l I t e m s > f a l s e < / I n c l u d e A l l I t e m s >  
         < A c t i v e > t r u e < / A c t i v e >  
         < P r o t e c t e d L i n k > f a l s e < / P r o t e c t e d L i n k >  
         < N a m e > 2 8 1 0 1   T B   @   3 1 . 1 2 . 2 0 2 0   4 7 6 f 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 4 7 6 f < / A c c o u n t N u m b e r >  
         < R o u n d e d > f a l s e < / R o u n d e d >  
     < / T B L i n k >  
     < T B L i n k >  
         < V e r s i o n > 4 < / V e r s i o n >  
         < C o l u m n F i l t e r s / >  
         < D A L i n k I D > f 3 3 e 2 8 e e - 5 a e d - 4 a 5 a - a 0 2 f - 8 8 3 7 c 5 6 6 b 4 1 e < / D A L i n k I D >  
         < L i n k T y p e > 0 < / L i n k T y p e >  
         < P a r a m e t e r s / >  
         < I n c l u d e A l l I t e m s > f a l s e < / I n c l u d e A l l I t e m s >  
         < A c t i v e > t r u e < / A c t i v e >  
         < P r o t e c t e d L i n k > f a l s e < / P r o t e c t e d L i n k >  
         < N a m e > 2 8 1 0 1   T B   @   3 1 . 1 2 . 2 0 2 0   4 7 8 a 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 4 7 8 a < / A c c o u n t N u m b e r >  
         < R o u n d e d > f a l s e < / R o u n d e d >  
     < / T B L i n k >  
     < T B L i n k >  
         < V e r s i o n > 4 < / V e r s i o n >  
         < C o l u m n F i l t e r s / >  
         < D A L i n k I D > f d b 8 7 8 3 c - 2 e d c - 4 f 2 0 - b 3 3 6 - 0 e 3 2 9 9 c 3 d 5 c 8 < / D A L i n k I D >  
         < L i n k T y p e > 0 < / L i n k T y p e >  
         < P a r a m e t e r s / >  
         < I n c l u d e A l l I t e m s > f a l s e < / I n c l u d e A l l I t e m s >  
         < A c t i v e > t r u e < / A c t i v e >  
         < P r o t e c t e d L i n k > f a l s e < / P r o t e c t e d L i n k >  
         < N a m e > 2 8 1 0 1   T B   @   3 1 . 1 2 . 2 0 2 0   4 7 8 b 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 4 7 8 b < / A c c o u n t N u m b e r >  
         < R o u n d e d > f a l s e < / R o u n d e d >  
     < / T B L i n k >  
     < T B L i n k >  
         < V e r s i o n > 4 < / V e r s i o n >  
         < C o l u m n F i l t e r s / >  
         < D A L i n k I D > 3 d 2 2 c a f 4 - 1 a 5 8 - 4 f a d - 9 c f 6 - 2 7 7 d 7 1 6 9 b f 6 1 < / D A L i n k I D >  
         < L i n k T y p e > 0 < / L i n k T y p e >  
         < P a r a m e t e r s / >  
         < I n c l u d e A l l I t e m s > f a l s e < / I n c l u d e A l l I t e m s >  
         < A c t i v e > t r u e < / A c t i v e >  
         < P r o t e c t e d L i n k > f a l s e < / P r o t e c t e d L i n k >  
         < N a m e > 2 8 1 0 1   T B   @   3 1 . 1 2 . 2 0 2 0   4 7 8 c 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 4 7 8 c < / A c c o u n t N u m b e r >  
         < R o u n d e d > f a l s e < / R o u n d e d >  
     < / T B L i n k >  
     < T B L i n k >  
         < V e r s i o n > 4 < / V e r s i o n >  
         < C o l u m n F i l t e r s / >  
         < D A L i n k I D > a b c a b 6 1 a - 6 7 3 6 - 4 9 9 a - b 6 4 2 - b 3 4 2 e 8 d e 7 4 e c < / D A L i n k I D >  
         < L i n k T y p e > 0 < / L i n k T y p e >  
         < P a r a m e t e r s / >  
         < I n c l u d e A l l I t e m s > f a l s e < / I n c l u d e A l l I t e m s >  
         < A c t i v e > t r u e < / A c t i v e >  
         < P r o t e c t e d L i n k > f a l s e < / P r o t e c t e d L i n k >  
         < N a m e > 2 8 1 0 1   T B   @   3 1 . 1 2 . 2 0 2 0   4 7 8 d 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 4 7 8 d < / A c c o u n t N u m b e r >  
         < R o u n d e d > f a l s e < / R o u n d e d >  
     < / T B L i n k >  
     < T B L i n k >  
         < V e r s i o n > 4 < / V e r s i o n >  
         < C o l u m n F i l t e r s / >  
         < D A L i n k I D > 9 b 8 0 f 4 8 9 - e 0 1 d - 4 8 1 7 - a a c 8 - 3 1 0 0 0 3 8 c f b d 4 < / D A L i n k I D >  
         < L i n k T y p e > 0 < / L i n k T y p e >  
         < P a r a m e t e r s / >  
         < I n c l u d e A l l I t e m s > f a l s e < / I n c l u d e A l l I t e m s >  
         < A c t i v e > t r u e < / A c t i v e >  
         < P r o t e c t e d L i n k > f a l s e < / P r o t e c t e d L i n k >  
         < N a m e > 2 8 1 0 1   T B   @   3 1 . 1 2 . 2 0 2 0   4 7 8 e 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 4 7 8 e < / A c c o u n t N u m b e r >  
         < R o u n d e d > f a l s e < / R o u n d e d >  
     < / T B L i n k >  
     < T B L i n k >  
         < V e r s i o n > 4 < / V e r s i o n >  
         < C o l u m n F i l t e r s / >  
         < D A L i n k I D > 2 d d b 5 4 1 7 - 2 9 7 f - 4 e a e - a a c 4 - 4 f b c c 6 a 5 6 e 5 8 < / D A L i n k I D >  
         < L i n k T y p e > 0 < / L i n k T y p e >  
         < P a r a m e t e r s / >  
         < I n c l u d e A l l I t e m s > f a l s e < / I n c l u d e A l l I t e m s >  
         < A c t i v e > t r u e < / A c t i v e >  
         < P r o t e c t e d L i n k > f a l s e < / P r o t e c t e d L i n k >  
         < N a m e > 2 8 1 0 1   T B   @   3 1 . 1 2 . 2 0 2 0   4 7 9 a 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 4 7 9 a < / A c c o u n t N u m b e r >  
         < R o u n d e d > f a l s e < / R o u n d e d >  
     < / T B L i n k >  
     < T B L i n k >  
         < V e r s i o n > 4 < / V e r s i o n >  
         < C o l u m n F i l t e r s / >  
         < D A L i n k I D > 4 e 7 5 1 c c 5 - b 5 0 4 - 4 c c 5 - 9 8 4 d - 9 7 a 3 0 e b b 4 f 6 f < / D A L i n k I D >  
         < L i n k T y p e > 0 < / L i n k T y p e >  
         < P a r a m e t e r s / >  
         < I n c l u d e A l l I t e m s > f a l s e < / I n c l u d e A l l I t e m s >  
         < A c t i v e > t r u e < / A c t i v e >  
         < P r o t e c t e d L i n k > f a l s e < / P r o t e c t e d L i n k >  
         < N a m e > 2 8 1 0 1   T B   @   3 1 . 1 2 . 2 0 2 0   4 7 9 b 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 4 7 9 b < / A c c o u n t N u m b e r >  
         < R o u n d e d > f a l s e < / R o u n d e d >  
     < / T B L i n k >  
     < T B L i n k >  
         < V e r s i o n > 4 < / V e r s i o n >  
         < C o l u m n F i l t e r s / >  
         < D A L i n k I D > 6 7 0 b f 7 3 7 - 7 a d f - 4 0 7 4 - a e e f - a 9 8 c b b c 1 f 1 f 6 < / D A L i n k I D >  
         < L i n k T y p e > 0 < / L i n k T y p e >  
         < P a r a m e t e r s / >  
         < I n c l u d e A l l I t e m s > f a l s e < / I n c l u d e A l l I t e m s >  
         < A c t i v e > t r u e < / A c t i v e >  
         < P r o t e c t e d L i n k > f a l s e < / P r o t e c t e d L i n k >  
         < N a m e > 2 8 1 0 1   T B   @   3 1 . 1 2 . 2 0 2 0   4 7 9 c 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 4 7 9 c < / A c c o u n t N u m b e r >  
         < R o u n d e d > f a l s e < / R o u n d e d >  
     < / T B L i n k >  
     < T B L i n k >  
         < V e r s i o n > 4 < / V e r s i o n >  
         < C o l u m n F i l t e r s / >  
         < D A L i n k I D > 1 7 2 f f 3 0 d - c 9 d c - 4 3 5 d - a e d 7 - b f 5 a e a 3 4 5 4 e 5 < / D A L i n k I D >  
         < L i n k T y p e > 0 < / L i n k T y p e >  
         < P a r a m e t e r s / >  
         < I n c l u d e A l l I t e m s > f a l s e < / I n c l u d e A l l I t e m s >  
         < A c t i v e > t r u e < / A c t i v e >  
         < P r o t e c t e d L i n k > f a l s e < / P r o t e c t e d L i n k >  
         < N a m e > 2 8 1 0 1   T B   @   3 1 . 1 2 . 2 0 2 0   4 7 9 d 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 4 7 9 d < / A c c o u n t N u m b e r >  
         < R o u n d e d > f a l s e < / R o u n d e d >  
     < / T B L i n k >  
     < T B L i n k >  
         < V e r s i o n > 4 < / V e r s i o n >  
         < C o l u m n F i l t e r s / >  
         < D A L i n k I D > 3 e e d 4 7 3 b - 2 1 0 3 - 4 c 8 1 - 8 3 d 5 - 8 b d 1 9 e f 4 5 8 1 5 < / D A L i n k I D >  
         < L i n k T y p e > 0 < / L i n k T y p e >  
         < P a r a m e t e r s / >  
         < I n c l u d e A l l I t e m s > f a l s e < / I n c l u d e A l l I t e m s >  
         < A c t i v e > t r u e < / A c t i v e >  
         < P r o t e c t e d L i n k > f a l s e < / P r o t e c t e d L i n k >  
         < N a m e > 2 8 1 0 1   T B   @   3 1 . 1 2 . 2 0 2 0   4 8 1 a 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 4 8 1 a < / A c c o u n t N u m b e r >  
         < R o u n d e d > f a l s e < / R o u n d e d >  
     < / T B L i n k >  
     < T B L i n k >  
         < V e r s i o n > 4 < / V e r s i o n >  
         < C o l u m n F i l t e r s / >  
         < D A L i n k I D > 7 c e d 4 7 f 3 - 2 4 0 a - 4 6 b 5 - a b 8 e - e a e 9 6 7 4 8 f 4 4 d < / D A L i n k I D >  
         < L i n k T y p e > 0 < / L i n k T y p e >  
         < P a r a m e t e r s / >  
         < I n c l u d e A l l I t e m s > f a l s e < / I n c l u d e A l l I t e m s >  
         < A c t i v e > t r u e < / A c t i v e >  
         < P r o t e c t e d L i n k > f a l s e < / P r o t e c t e d L i n k >  
         < N a m e > 2 8 1 0 1   T B   @   3 1 . 1 2 . 2 0 2 0   4 8 1 b   F i n a l < / N a m e >  
         < E n t i t y E n u m > 9 < / E n t i t y E n u m >  
         < I t e m O r d e r L i s t / >  
         < S e l e c t e d I t e m L i s t / >  
         < S e l e c t e d C o l u m n L i s t / >  
         < H a s V a l u e > t r u e < / H a s V a l u e >  
         < T B C h a r t I D > 3 0 0 1 4 7 8 6 4 3 4 0 0 0 0 0 4 9 4 < / T B C h a r t I D >  
         < C o n s o l i d a t e d C o m p a n y I D   x s i : n i l = " t r u e " / >  
         < T B D o c u m e n t I D > 3 0 0 1 4 7 8 6 4 3 4 0 0 0 0 0 0 9 9 < / T B D o c u m e n t I D >  
         < N u m e r i c V a l u e > 1 7 5 3 4 0 . 0 0 0 0 < / N u m e r i c V a l u e >  
         < V a l u e > 1 7 5 3 4 0 , 0 0 0 0 < / V a l u e >  
         < C h a r t T y p e > c t D e t a i l < / C h a r t T y p e >  
         < R e f e r e n c e > 2 8 1 0 1 < / R e f e r e n c e >  
         < T B D o c N a m e > T B   @   3 1 . 1 2 . 2 0 2 0 < / T B D o c N a m e >  
         < T B C h a r t N a m e > D e t a i l < / T B C h a r t N a m e >  
         < C o l u m n N a m e > F i n a l B a l a n c e < / C o l u m n N a m e >  
         < U s e r F r i e n d l y C o l u m n N a m e > F i n a l < / U s e r F r i e n d l y C o l u m n N a m e >  
         < A c c o u n t N u m b e r > 4 8 1 b < / A c c o u n t N u m b e r >  
         < R o u n d e d > f a l s e < / R o u n d e d >  
     < / T B L i n k >  
     < T B L i n k >  
         < V e r s i o n > 4 < / V e r s i o n >  
         < C o l u m n F i l t e r s / >  
         < D A L i n k I D > d 3 a 9 2 d 9 0 - 7 0 9 6 - 4 3 f f - 9 3 0 c - f b f 9 2 e d d 5 1 4 f < / D A L i n k I D >  
         < L i n k T y p e > 0 < / L i n k T y p e >  
         < P a r a m e t e r s / >  
         < I n c l u d e A l l I t e m s > f a l s e < / I n c l u d e A l l I t e m s >  
         < A c t i v e > t r u e < / A c t i v e >  
         < P r o t e c t e d L i n k > f a l s e < / P r o t e c t e d L i n k >  
         < N a m e > 2 8 1 0 1   T B   @   3 1 . 1 2 . 2 0 2 0   4 9 1 x 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 4 9 1 x < / A c c o u n t N u m b e r >  
         < R o u n d e d > f a l s e < / R o u n d e d >  
     < / T B L i n k >  
     < T B L i n k >  
         < V e r s i o n > 4 < / V e r s i o n >  
         < C o l u m n F i l t e r s / >  
         < D A L i n k I D > d 4 e f d 2 d d - 2 4 7 1 - 4 a 1 b - b f a b - 8 4 8 a 5 9 7 0 d d a 8 < / D A L i n k I D >  
         < L i n k T y p e > 0 < / L i n k T y p e >  
         < P a r a m e t e r s / >  
         < I n c l u d e A l l I t e m s > f a l s e < / I n c l u d e A l l I t e m s >  
         < A c t i v e > t r u e < / A c t i v e >  
         < P r o t e c t e d L i n k > f a l s e < / P r o t e c t e d L i n k >  
         < N a m e > 2 8 1 0 1   T B   @   3 1 . 1 2 . 2 0 2 0   5 0 1 x   F i n a l < / N a m e >  
         < E n t i t y E n u m > 9 < / E n t i t y E n u m >  
         < I t e m O r d e r L i s t / >  
         < S e l e c t e d I t e m L i s t / >  
         < S e l e c t e d C o l u m n L i s t / >  
         < H a s V a l u e > t r u e < / H a s V a l u e >  
         < T B C h a r t I D > 3 0 0 1 4 7 8 6 4 3 4 0 0 0 0 0 4 9 4 < / T B C h a r t I D >  
         < C o n s o l i d a t e d C o m p a n y I D   x s i : n i l = " t r u e " / >  
         < T B D o c u m e n t I D > 3 0 0 1 4 7 8 6 4 3 4 0 0 0 0 0 0 9 9 < / T B D o c u m e n t I D >  
         < N u m e r i c V a l u e > 9 9 1 0 7 3 . 0 0 0 0 < / N u m e r i c V a l u e >  
         < V a l u e > 9 9 1 0 7 3 , 0 0 0 0 < / V a l u e >  
         < C h a r t T y p e > c t D e t a i l < / C h a r t T y p e >  
         < R e f e r e n c e > 2 8 1 0 1 < / R e f e r e n c e >  
         < T B D o c N a m e > T B   @   3 1 . 1 2 . 2 0 2 0 < / T B D o c N a m e >  
         < T B C h a r t N a m e > D e t a i l < / T B C h a r t N a m e >  
         < C o l u m n N a m e > F i n a l B a l a n c e < / C o l u m n N a m e >  
         < U s e r F r i e n d l y C o l u m n N a m e > F i n a l < / U s e r F r i e n d l y C o l u m n N a m e >  
         < A c c o u n t N u m b e r > 5 0 1 x < / A c c o u n t N u m b e r >  
         < R o u n d e d > f a l s e < / R o u n d e d >  
     < / T B L i n k >  
     < T B L i n k >  
         < V e r s i o n > 4 < / V e r s i o n >  
         < C o l u m n F i l t e r s / >  
         < D A L i n k I D > 1 0 1 a 2 8 d 6 - 3 7 b e - 4 3 b 5 - a c 8 1 - c 8 9 c 1 c 1 e b 6 1 4 < / D A L i n k I D >  
         < L i n k T y p e > 0 < / L i n k T y p e >  
         < P a r a m e t e r s / >  
         < I n c l u d e A l l I t e m s > f a l s e < / I n c l u d e A l l I t e m s >  
         < A c t i v e > t r u e < / A c t i v e >  
         < P r o t e c t e d L i n k > f a l s e < / P r o t e c t e d L i n k >  
         < N a m e > 2 8 1 0 1   T B   @   3 1 . 1 2 . 2 0 2 0   5 0 2 x   F i n a l < / N a m e >  
         < E n t i t y E n u m > 9 < / E n t i t y E n u m >  
         < I t e m O r d e r L i s t / >  
         < S e l e c t e d I t e m L i s t / >  
         < S e l e c t e d C o l u m n L i s t / >  
         < H a s V a l u e > t r u e < / H a s V a l u e >  
         < T B C h a r t I D > 3 0 0 1 4 7 8 6 4 3 4 0 0 0 0 0 4 9 4 < / T B C h a r t I D >  
         < C o n s o l i d a t e d C o m p a n y I D   x s i : n i l = " t r u e " / >  
         < T B D o c u m e n t I D > 3 0 0 1 4 7 8 6 4 3 4 0 0 0 0 0 0 9 9 < / T B D o c u m e n t I D >  
         < N u m e r i c V a l u e > 1 3 1 4 0 9 . 0 0 0 0 < / N u m e r i c V a l u e >  
         < V a l u e > 1 3 1 4 0 9 , 0 0 0 0 < / V a l u e >  
         < C h a r t T y p e > c t D e t a i l < / C h a r t T y p e >  
         < R e f e r e n c e > 2 8 1 0 1 < / R e f e r e n c e >  
         < T B D o c N a m e > T B   @   3 1 . 1 2 . 2 0 2 0 < / T B D o c N a m e >  
         < T B C h a r t N a m e > D e t a i l < / T B C h a r t N a m e >  
         < C o l u m n N a m e > F i n a l B a l a n c e < / C o l u m n N a m e >  
         < U s e r F r i e n d l y C o l u m n N a m e > F i n a l < / U s e r F r i e n d l y C o l u m n N a m e >  
         < A c c o u n t N u m b e r > 5 0 2 x < / A c c o u n t N u m b e r >  
         < R o u n d e d > f a l s e < / R o u n d e d >  
     < / T B L i n k >  
     < T B L i n k >  
         < V e r s i o n > 4 < / V e r s i o n >  
         < C o l u m n F i l t e r s / >  
         < D A L i n k I D > 7 2 f 1 2 a 1 4 - 9 7 9 9 - 4 6 d d - 9 f 7 4 - 3 8 f 4 0 d 3 9 1 6 d 7 < / D A L i n k I D >  
         < L i n k T y p e > 0 < / L i n k T y p e >  
         < P a r a m e t e r s / >  
         < I n c l u d e A l l I t e m s > f a l s e < / I n c l u d e A l l I t e m s >  
         < A c t i v e > t r u e < / A c t i v e >  
         < P r o t e c t e d L i n k > f a l s e < / P r o t e c t e d L i n k >  
         < N a m e > 2 8 1 0 1   T B   @   3 1 . 1 2 . 2 0 2 0   5 0 3 x 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 5 0 3 x < / A c c o u n t N u m b e r >  
         < R o u n d e d > f a l s e < / R o u n d e d >  
     < / T B L i n k >  
     < T B L i n k >  
         < V e r s i o n > 4 < / V e r s i o n >  
         < C o l u m n F i l t e r s / >  
         < D A L i n k I D > 4 4 d e 5 2 2 a - d 4 c 3 - 4 4 d 8 - 8 d b 0 - d c f 5 9 5 3 0 d 3 e a < / D A L i n k I D >  
         < L i n k T y p e > 0 < / L i n k T y p e >  
         < P a r a m e t e r s / >  
         < I n c l u d e A l l I t e m s > f a l s e < / I n c l u d e A l l I t e m s >  
         < A c t i v e > t r u e < / A c t i v e >  
         < P r o t e c t e d L i n k > f a l s e < / P r o t e c t e d L i n k >  
         < N a m e > 2 8 1 0 1   T B   @   3 1 . 1 2 . 2 0 2 0   5 0 4 x   F i n a l < / N a m e >  
         < E n t i t y E n u m > 9 < / E n t i t y E n u m >  
         < I t e m O r d e r L i s t / >  
         < S e l e c t e d I t e m L i s t / >  
         < S e l e c t e d C o l u m n L i s t / >  
         < H a s V a l u e > t r u e < / H a s V a l u e >  
         < T B C h a r t I D > 3 0 0 1 4 7 8 6 4 3 4 0 0 0 0 0 4 9 4 < / T B C h a r t I D >  
         < C o n s o l i d a t e d C o m p a n y I D   x s i : n i l = " t r u e " / >  
         < T B D o c u m e n t I D > 3 0 0 1 4 7 8 6 4 3 4 0 0 0 0 0 0 9 9 < / T B D o c u m e n t I D >  
         < N u m e r i c V a l u e > 1 2 3 2 1 2 8 . 0 0 0 0 < / N u m e r i c V a l u e >  
         < V a l u e > 1 2 3 2 1 2 8 , 0 0 0 0 < / V a l u e >  
         < C h a r t T y p e > c t D e t a i l < / C h a r t T y p e >  
         < R e f e r e n c e > 2 8 1 0 1 < / R e f e r e n c e >  
         < T B D o c N a m e > T B   @   3 1 . 1 2 . 2 0 2 0 < / T B D o c N a m e >  
         < T B C h a r t N a m e > D e t a i l < / T B C h a r t N a m e >  
         < C o l u m n N a m e > F i n a l B a l a n c e < / C o l u m n N a m e >  
         < U s e r F r i e n d l y C o l u m n N a m e > F i n a l < / U s e r F r i e n d l y C o l u m n N a m e >  
         < A c c o u n t N u m b e r > 5 0 4 x < / A c c o u n t N u m b e r >  
         < R o u n d e d > f a l s e < / R o u n d e d >  
     < / T B L i n k >  
     < T B L i n k >  
         < V e r s i o n > 4 < / V e r s i o n >  
         < C o l u m n F i l t e r s / >  
         < D A L i n k I D > 6 9 3 9 8 0 8 2 - 1 b 2 0 - 4 4 3 4 - 8 3 a 1 - 3 0 5 d 5 e 7 5 5 e 6 e < / D A L i n k I D >  
         < L i n k T y p e > 0 < / L i n k T y p e >  
         < P a r a m e t e r s / >  
         < I n c l u d e A l l I t e m s > f a l s e < / I n c l u d e A l l I t e m s >  
         < A c t i v e > t r u e < / A c t i v e >  
         < P r o t e c t e d L i n k > f a l s e < / P r o t e c t e d L i n k >  
         < N a m e > 2 8 1 0 1   T B   @   3 1 . 1 2 . 2 0 2 0   5 0 5 x 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 5 0 5 x < / A c c o u n t N u m b e r >  
         < R o u n d e d > f a l s e < / R o u n d e d >  
     < / T B L i n k >  
     < T B L i n k >  
         < V e r s i o n > 4 < / V e r s i o n >  
         < C o l u m n F i l t e r s / >  
         < D A L i n k I D > 9 2 4 b 8 a 7 e - 0 3 f b - 4 0 1 7 - b 7 d 2 - 0 0 1 e 8 7 f b b e 1 0 < / D A L i n k I D >  
         < L i n k T y p e > 0 < / L i n k T y p e >  
         < P a r a m e t e r s / >  
         < I n c l u d e A l l I t e m s > f a l s e < / I n c l u d e A l l I t e m s >  
         < A c t i v e > t r u e < / A c t i v e >  
         < P r o t e c t e d L i n k > f a l s e < / P r o t e c t e d L i n k >  
         < N a m e > 2 8 1 0 1   T B   @   3 1 . 1 2 . 2 0 2 0   5 0 7 x 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 5 0 7 x < / A c c o u n t N u m b e r >  
         < R o u n d e d > f a l s e < / R o u n d e d >  
     < / T B L i n k >  
     < T B L i n k >  
         < V e r s i o n > 4 < / V e r s i o n >  
         < C o l u m n F i l t e r s / >  
         < D A L i n k I D > e 7 d c a d b f - b e f 9 - 4 d 1 e - 8 d 5 b - f 4 7 7 f e f 2 e 6 1 d < / D A L i n k I D >  
         < L i n k T y p e > 0 < / L i n k T y p e >  
         < P a r a m e t e r s / >  
         < I n c l u d e A l l I t e m s > f a l s e < / I n c l u d e A l l I t e m s >  
         < A c t i v e > t r u e < / A c t i v e >  
         < P r o t e c t e d L i n k > f a l s e < / P r o t e c t e d L i n k >  
         < N a m e > 2 8 1 0 1   T B   @   3 1 . 1 2 . 2 0 2 0   5 1 1 x   F i n a l < / N a m e >  
         < E n t i t y E n u m > 9 < / E n t i t y E n u m >  
         < I t e m O r d e r L i s t / >  
         < S e l e c t e d I t e m L i s t / >  
         < S e l e c t e d C o l u m n L i s t / >  
         < H a s V a l u e > t r u e < / H a s V a l u e >  
         < T B C h a r t I D > 3 0 0 1 4 7 8 6 4 3 4 0 0 0 0 0 4 9 4 < / T B C h a r t I D >  
         < C o n s o l i d a t e d C o m p a n y I D   x s i : n i l = " t r u e " / >  
         < T B D o c u m e n t I D > 3 0 0 1 4 7 8 6 4 3 4 0 0 0 0 0 0 9 9 < / T B D o c u m e n t I D >  
         < N u m e r i c V a l u e > 2 7 7 3 2 . 0 0 0 0 < / N u m e r i c V a l u e >  
         < V a l u e > 2 7 7 3 2 , 0 0 0 0 < / V a l u e >  
         < C h a r t T y p e > c t D e t a i l < / C h a r t T y p e >  
         < R e f e r e n c e > 2 8 1 0 1 < / R e f e r e n c e >  
         < T B D o c N a m e > T B   @   3 1 . 1 2 . 2 0 2 0 < / T B D o c N a m e >  
         < T B C h a r t N a m e > D e t a i l < / T B C h a r t N a m e >  
         < C o l u m n N a m e > F i n a l B a l a n c e < / C o l u m n N a m e >  
         < U s e r F r i e n d l y C o l u m n N a m e > F i n a l < / U s e r F r i e n d l y C o l u m n N a m e >  
         < A c c o u n t N u m b e r > 5 1 1 x < / A c c o u n t N u m b e r >  
         < R o u n d e d > f a l s e < / R o u n d e d >  
     < / T B L i n k >  
     < T B L i n k >  
         < V e r s i o n > 4 < / V e r s i o n >  
         < C o l u m n F i l t e r s / >  
         < D A L i n k I D > 7 e 9 2 f c a 0 - 7 f e 7 - 4 0 8 6 - b b 9 b - 1 8 f e 8 4 2 f 1 7 2 8 < / D A L i n k I D >  
         < L i n k T y p e > 0 < / L i n k T y p e >  
         < P a r a m e t e r s / >  
         < I n c l u d e A l l I t e m s > f a l s e < / I n c l u d e A l l I t e m s >  
         < A c t i v e > t r u e < / A c t i v e >  
         < P r o t e c t e d L i n k > f a l s e < / P r o t e c t e d L i n k >  
         < N a m e > 2 8 1 0 1   T B   @   3 1 . 1 2 . 2 0 2 0   5 1 2 x   F i n a l < / N a m e >  
         < E n t i t y E n u m > 9 < / E n t i t y E n u m >  
         < I t e m O r d e r L i s t / >  
         < S e l e c t e d I t e m L i s t / >  
         < S e l e c t e d C o l u m n L i s t / >  
         < H a s V a l u e > t r u e < / H a s V a l u e >  
         < T B C h a r t I D > 3 0 0 1 4 7 8 6 4 3 4 0 0 0 0 0 4 9 4 < / T B C h a r t I D >  
         < C o n s o l i d a t e d C o m p a n y I D   x s i : n i l = " t r u e " / >  
         < T B D o c u m e n t I D > 3 0 0 1 4 7 8 6 4 3 4 0 0 0 0 0 0 9 9 < / T B D o c u m e n t I D >  
         < N u m e r i c V a l u e > 6 3 . 0 0 0 0 < / N u m e r i c V a l u e >  
         < V a l u e > 6 3 , 0 0 0 0 < / V a l u e >  
         < C h a r t T y p e > c t D e t a i l < / C h a r t T y p e >  
         < R e f e r e n c e > 2 8 1 0 1 < / R e f e r e n c e >  
         < T B D o c N a m e > T B   @   3 1 . 1 2 . 2 0 2 0 < / T B D o c N a m e >  
         < T B C h a r t N a m e > D e t a i l < / T B C h a r t N a m e >  
         < C o l u m n N a m e > F i n a l B a l a n c e < / C o l u m n N a m e >  
         < U s e r F r i e n d l y C o l u m n N a m e > F i n a l < / U s e r F r i e n d l y C o l u m n N a m e >  
         < A c c o u n t N u m b e r > 5 1 2 x < / A c c o u n t N u m b e r >  
         < R o u n d e d > f a l s e < / R o u n d e d >  
     < / T B L i n k >  
     < T B L i n k >  
         < V e r s i o n > 4 < / V e r s i o n >  
         < C o l u m n F i l t e r s / >  
         < D A L i n k I D > 2 8 6 3 7 4 c a - d 3 8 b - 4 5 7 d - 8 c 5 4 - 8 e 7 1 3 1 2 0 8 5 2 6 < / D A L i n k I D >  
         < L i n k T y p e > 0 < / L i n k T y p e >  
         < P a r a m e t e r s / >  
         < I n c l u d e A l l I t e m s > f a l s e < / I n c l u d e A l l I t e m s >  
         < A c t i v e > t r u e < / A c t i v e >  
         < P r o t e c t e d L i n k > f a l s e < / P r o t e c t e d L i n k >  
         < N a m e > 2 8 1 0 1   T B   @   3 1 . 1 2 . 2 0 2 0   5 1 3 x   F i n a l < / N a m e >  
         < E n t i t y E n u m > 9 < / E n t i t y E n u m >  
         < I t e m O r d e r L i s t / >  
         < S e l e c t e d I t e m L i s t / >  
         < S e l e c t e d C o l u m n L i s t / >  
         < H a s V a l u e > t r u e < / H a s V a l u e >  
         < T B C h a r t I D > 3 0 0 1 4 7 8 6 4 3 4 0 0 0 0 0 4 9 4 < / T B C h a r t I D >  
         < C o n s o l i d a t e d C o m p a n y I D   x s i : n i l = " t r u e " / >  
         < T B D o c u m e n t I D > 3 0 0 1 4 7 8 6 4 3 4 0 0 0 0 0 0 9 9 < / T B D o c u m e n t I D >  
         < N u m e r i c V a l u e > 6 8 4 2 . 0 0 0 0 < / N u m e r i c V a l u e >  
         < V a l u e > 6 8 4 2 , 0 0 0 0 < / V a l u e >  
         < C h a r t T y p e > c t D e t a i l < / C h a r t T y p e >  
         < R e f e r e n c e > 2 8 1 0 1 < / R e f e r e n c e >  
         < T B D o c N a m e > T B   @   3 1 . 1 2 . 2 0 2 0 < / T B D o c N a m e >  
         < T B C h a r t N a m e > D e t a i l < / T B C h a r t N a m e >  
         < C o l u m n N a m e > F i n a l B a l a n c e < / C o l u m n N a m e >  
         < U s e r F r i e n d l y C o l u m n N a m e > F i n a l < / U s e r F r i e n d l y C o l u m n N a m e >  
         < A c c o u n t N u m b e r > 5 1 3 x < / A c c o u n t N u m b e r >  
         < R o u n d e d > f a l s e < / R o u n d e d >  
     < / T B L i n k >  
     < T B L i n k >  
         < V e r s i o n > 4 < / V e r s i o n >  
         < C o l u m n F i l t e r s / >  
         < D A L i n k I D > 8 a 3 7 0 0 e 6 - 6 5 a b - 4 8 d 9 - 8 8 0 e - 6 6 4 f 6 5 d 6 5 f e 9 < / D A L i n k I D >  
         < L i n k T y p e > 0 < / L i n k T y p e >  
         < P a r a m e t e r s / >  
         < I n c l u d e A l l I t e m s > f a l s e < / I n c l u d e A l l I t e m s >  
         < A c t i v e > t r u e < / A c t i v e >  
         < P r o t e c t e d L i n k > f a l s e < / P r o t e c t e d L i n k >  
         < N a m e > 2 8 1 0 1   T B   @   3 1 . 1 2 . 2 0 2 0   5 1 8 a   F i n a l < / N a m e >  
         < E n t i t y E n u m > 9 < / E n t i t y E n u m >  
         < I t e m O r d e r L i s t / >  
         < S e l e c t e d I t e m L i s t / >  
         < S e l e c t e d C o l u m n L i s t / >  
         < H a s V a l u e > t r u e < / H a s V a l u e >  
         < T B C h a r t I D > 3 0 0 1 4 7 8 6 4 3 4 0 0 0 0 0 4 9 4 < / T B C h a r t I D >  
         < C o n s o l i d a t e d C o m p a n y I D   x s i : n i l = " t r u e " / >  
         < T B D o c u m e n t I D > 3 0 0 1 4 7 8 6 4 3 4 0 0 0 0 0 0 9 9 < / T B D o c u m e n t I D >  
         < N u m e r i c V a l u e > 1 2 8 1 0 6 0 . 0 0 0 0 < / N u m e r i c V a l u e >  
         < V a l u e > 1 2 8 1 0 6 0 , 0 0 0 0 < / V a l u e >  
         < C h a r t T y p e > c t D e t a i l < / C h a r t T y p e >  
         < R e f e r e n c e > 2 8 1 0 1 < / R e f e r e n c e >  
         < T B D o c N a m e > T B   @   3 1 . 1 2 . 2 0 2 0 < / T B D o c N a m e >  
         < T B C h a r t N a m e > D e t a i l < / T B C h a r t N a m e >  
         < C o l u m n N a m e > F i n a l B a l a n c e < / C o l u m n N a m e >  
         < U s e r F r i e n d l y C o l u m n N a m e > F i n a l < / U s e r F r i e n d l y C o l u m n N a m e >  
         < A c c o u n t N u m b e r > 5 1 8 a < / A c c o u n t N u m b e r >  
         < R o u n d e d > f a l s e < / R o u n d e d >  
     < / T B L i n k >  
     < T B L i n k >  
         < V e r s i o n > 4 < / V e r s i o n >  
         < C o l u m n F i l t e r s / >  
         < D A L i n k I D > 3 5 a 6 d 8 d c - 2 a 9 b - 4 c c f - 8 c 4 7 - 5 b 1 f c 5 7 e 0 f d 3 < / D A L i n k I D >  
         < L i n k T y p e > 0 < / L i n k T y p e >  
         < P a r a m e t e r s / >  
         < I n c l u d e A l l I t e m s > f a l s e < / I n c l u d e A l l I t e m s >  
         < A c t i v e > t r u e < / A c t i v e >  
         < P r o t e c t e d L i n k > f a l s e < / P r o t e c t e d L i n k >  
         < N a m e > 2 8 1 0 1   T B   @   3 1 . 1 2 . 2 0 2 0   5 1 8 b 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 5 1 8 b < / A c c o u n t N u m b e r >  
         < R o u n d e d > f a l s e < / R o u n d e d >  
     < / T B L i n k >  
     < T B L i n k >  
         < V e r s i o n > 4 < / V e r s i o n >  
         < C o l u m n F i l t e r s / >  
         < D A L i n k I D > 4 6 5 1 1 7 2 3 - 1 f f 1 - 4 e 9 b - a d 1 d - 6 c c 4 c f 3 f 2 1 9 a < / D A L i n k I D >  
         < L i n k T y p e > 0 < / L i n k T y p e >  
         < P a r a m e t e r s / >  
         < I n c l u d e A l l I t e m s > f a l s e < / I n c l u d e A l l I t e m s >  
         < A c t i v e > t r u e < / A c t i v e >  
         < P r o t e c t e d L i n k > f a l s e < / P r o t e c t e d L i n k >  
         < N a m e > 2 8 1 0 1   T B   @   3 1 . 1 2 . 2 0 2 0   5 1 8 c 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 5 1 8 c < / A c c o u n t N u m b e r >  
         < R o u n d e d > f a l s e < / R o u n d e d >  
     < / T B L i n k >  
     < T B L i n k >  
         < V e r s i o n > 4 < / V e r s i o n >  
         < C o l u m n F i l t e r s / >  
         < D A L i n k I D > e 5 6 e a b 4 9 - e 8 f d - 4 1 0 4 - 9 9 e a - 8 d c 3 8 1 d d d 2 c 2 < / D A L i n k I D >  
         < L i n k T y p e > 0 < / L i n k T y p e >  
         < P a r a m e t e r s / >  
         < I n c l u d e A l l I t e m s > f a l s e < / I n c l u d e A l l I t e m s >  
         < A c t i v e > t r u e < / A c t i v e >  
         < P r o t e c t e d L i n k > f a l s e < / P r o t e c t e d L i n k >  
         < N a m e > 2 8 1 0 1   T B   @   3 1 . 1 2 . 2 0 2 0   5 2 1 x   F i n a l < / N a m e >  
         < E n t i t y E n u m > 9 < / E n t i t y E n u m >  
         < I t e m O r d e r L i s t / >  
         < S e l e c t e d I t e m L i s t / >  
         < S e l e c t e d C o l u m n L i s t / >  
         < H a s V a l u e > t r u e < / H a s V a l u e >  
         < T B C h a r t I D > 3 0 0 1 4 7 8 6 4 3 4 0 0 0 0 0 4 9 4 < / T B C h a r t I D >  
         < C o n s o l i d a t e d C o m p a n y I D   x s i : n i l = " t r u e " / >  
         < T B D o c u m e n t I D > 3 0 0 1 4 7 8 6 4 3 4 0 0 0 0 0 0 9 9 < / T B D o c u m e n t I D >  
         < N u m e r i c V a l u e > 9 3 5 6 2 6 . 0 0 0 0 < / N u m e r i c V a l u e >  
         < V a l u e > 9 3 5 6 2 6 , 0 0 0 0 < / V a l u e >  
         < C h a r t T y p e > c t D e t a i l < / C h a r t T y p e >  
         < R e f e r e n c e > 2 8 1 0 1 < / R e f e r e n c e >  
         < T B D o c N a m e > T B   @   3 1 . 1 2 . 2 0 2 0 < / T B D o c N a m e >  
         < T B C h a r t N a m e > D e t a i l < / T B C h a r t N a m e >  
         < C o l u m n N a m e > F i n a l B a l a n c e < / C o l u m n N a m e >  
         < U s e r F r i e n d l y C o l u m n N a m e > F i n a l < / U s e r F r i e n d l y C o l u m n N a m e >  
         < A c c o u n t N u m b e r > 5 2 1 x < / A c c o u n t N u m b e r >  
         < R o u n d e d > f a l s e < / R o u n d e d >  
     < / T B L i n k >  
     < T B L i n k >  
         < V e r s i o n > 4 < / V e r s i o n >  
         < C o l u m n F i l t e r s / >  
         < D A L i n k I D > 9 c d 6 2 5 d a - 3 3 e 2 - 4 2 4 7 - b 7 6 c - 5 0 4 9 2 3 7 4 9 0 a 8 < / D A L i n k I D >  
         < L i n k T y p e > 0 < / L i n k T y p e >  
         < P a r a m e t e r s / >  
         < I n c l u d e A l l I t e m s > f a l s e < / I n c l u d e A l l I t e m s >  
         < A c t i v e > t r u e < / A c t i v e >  
         < P r o t e c t e d L i n k > f a l s e < / P r o t e c t e d L i n k >  
         < N a m e > 2 8 1 0 1   T B   @   3 1 . 1 2 . 2 0 2 0   5 2 2 x 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 5 2 2 x < / A c c o u n t N u m b e r >  
         < R o u n d e d > f a l s e < / R o u n d e d >  
     < / T B L i n k >  
     < T B L i n k >  
         < V e r s i o n > 4 < / V e r s i o n >  
         < C o l u m n F i l t e r s / >  
         < D A L i n k I D > 6 8 8 3 3 a 6 3 - 4 0 9 1 - 4 0 f 4 - a b 1 4 - 6 e 1 8 0 8 3 4 2 2 b 1 < / D A L i n k I D >  
         < L i n k T y p e > 0 < / L i n k T y p e >  
         < P a r a m e t e r s / >  
         < I n c l u d e A l l I t e m s > f a l s e < / I n c l u d e A l l I t e m s >  
         < A c t i v e > t r u e < / A c t i v e >  
         < P r o t e c t e d L i n k > f a l s e < / P r o t e c t e d L i n k >  
         < N a m e > 2 8 1 0 1   T B   @   3 1 . 1 2 . 2 0 2 0   5 2 3 x   F i n a l < / N a m e >  
         < E n t i t y E n u m > 9 < / E n t i t y E n u m >  
         < I t e m O r d e r L i s t / >  
         < S e l e c t e d I t e m L i s t / >  
         < S e l e c t e d C o l u m n L i s t / >  
         < H a s V a l u e > t r u e < / H a s V a l u e >  
         < T B C h a r t I D > 3 0 0 1 4 7 8 6 4 3 4 0 0 0 0 0 4 9 4 < / T B C h a r t I D >  
         < C o n s o l i d a t e d C o m p a n y I D   x s i : n i l = " t r u e " / >  
         < T B D o c u m e n t I D > 3 0 0 1 4 7 8 6 4 3 4 0 0 0 0 0 0 9 9 < / T B D o c u m e n t I D >  
         < N u m e r i c V a l u e > 9 7 9 1 . 0 0 0 0 < / N u m e r i c V a l u e >  
         < V a l u e > 9 7 9 1 , 0 0 0 0 < / V a l u e >  
         < C h a r t T y p e > c t D e t a i l < / C h a r t T y p e >  
         < R e f e r e n c e > 2 8 1 0 1 < / R e f e r e n c e >  
         < T B D o c N a m e > T B   @   3 1 . 1 2 . 2 0 2 0 < / T B D o c N a m e >  
         < T B C h a r t N a m e > D e t a i l < / T B C h a r t N a m e >  
         < C o l u m n N a m e > F i n a l B a l a n c e < / C o l u m n N a m e >  
         < U s e r F r i e n d l y C o l u m n N a m e > F i n a l < / U s e r F r i e n d l y C o l u m n N a m e >  
         < A c c o u n t N u m b e r > 5 2 3 x < / A c c o u n t N u m b e r >  
         < R o u n d e d > f a l s e < / R o u n d e d >  
     < / T B L i n k >  
     < T B L i n k >  
         < V e r s i o n > 4 < / V e r s i o n >  
         < C o l u m n F i l t e r s / >  
         < D A L i n k I D > 1 4 1 2 4 c a 3 - 4 0 5 b - 4 6 e 8 - b 6 7 8 - 4 7 1 b 6 d c 6 2 9 0 5 < / D A L i n k I D >  
         < L i n k T y p e > 0 < / L i n k T y p e >  
         < P a r a m e t e r s / >  
         < I n c l u d e A l l I t e m s > f a l s e < / I n c l u d e A l l I t e m s >  
         < A c t i v e > t r u e < / A c t i v e >  
         < P r o t e c t e d L i n k > f a l s e < / P r o t e c t e d L i n k >  
         < N a m e > 2 8 1 0 1   T B   @   3 1 . 1 2 . 2 0 2 0   5 2 4 x   F i n a l < / N a m e >  
         < E n t i t y E n u m > 9 < / E n t i t y E n u m >  
         < I t e m O r d e r L i s t / >  
         < S e l e c t e d I t e m L i s t / >  
         < S e l e c t e d C o l u m n L i s t / >  
         < H a s V a l u e > t r u e < / H a s V a l u e >  
         < T B C h a r t I D > 3 0 0 1 4 7 8 6 4 3 4 0 0 0 0 0 4 9 4 < / T B C h a r t I D >  
         < C o n s o l i d a t e d C o m p a n y I D   x s i : n i l = " t r u e " / >  
         < T B D o c u m e n t I D > 3 0 0 1 4 7 8 6 4 3 4 0 0 0 0 0 0 9 9 < / T B D o c u m e n t I D >  
         < N u m e r i c V a l u e > 3 5 8 8 0 0 . 0 0 0 0 < / N u m e r i c V a l u e >  
         < V a l u e > 3 5 8 8 0 0 , 0 0 0 0 < / V a l u e >  
         < C h a r t T y p e > c t D e t a i l < / C h a r t T y p e >  
         < R e f e r e n c e > 2 8 1 0 1 < / R e f e r e n c e >  
         < T B D o c N a m e > T B   @   3 1 . 1 2 . 2 0 2 0 < / T B D o c N a m e >  
         < T B C h a r t N a m e > D e t a i l < / T B C h a r t N a m e >  
         < C o l u m n N a m e > F i n a l B a l a n c e < / C o l u m n N a m e >  
         < U s e r F r i e n d l y C o l u m n N a m e > F i n a l < / U s e r F r i e n d l y C o l u m n N a m e >  
         < A c c o u n t N u m b e r > 5 2 4 x < / A c c o u n t N u m b e r >  
         < R o u n d e d > f a l s e < / R o u n d e d >  
     < / T B L i n k >  
     < T B L i n k >  
         < V e r s i o n > 4 < / V e r s i o n >  
         < C o l u m n F i l t e r s / >  
         < D A L i n k I D > f a 2 a c 5 d a - c 3 c a - 4 6 f e - 9 f d e - 7 d 8 c 6 a 2 b 2 d 8 a < / D A L i n k I D >  
         < L i n k T y p e > 0 < / L i n k T y p e >  
         < P a r a m e t e r s / >  
         < I n c l u d e A l l I t e m s > f a l s e < / I n c l u d e A l l I t e m s >  
         < A c t i v e > t r u e < / A c t i v e >  
         < P r o t e c t e d L i n k > f a l s e < / P r o t e c t e d L i n k >  
         < N a m e > 2 8 1 0 1   T B   @   3 1 . 1 2 . 2 0 2 0   5 2 5 x 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 5 2 5 x < / A c c o u n t N u m b e r >  
         < R o u n d e d > f a l s e < / R o u n d e d >  
     < / T B L i n k >  
     < T B L i n k >  
         < V e r s i o n > 4 < / V e r s i o n >  
         < C o l u m n F i l t e r s / >  
         < D A L i n k I D > 3 7 9 4 5 e d a - 0 e c f - 4 4 2 7 - 8 c e 6 - e e f 7 f e 0 1 d 7 9 b < / D A L i n k I D >  
         < L i n k T y p e > 0 < / L i n k T y p e >  
         < P a r a m e t e r s / >  
         < I n c l u d e A l l I t e m s > f a l s e < / I n c l u d e A l l I t e m s >  
         < A c t i v e > t r u e < / A c t i v e >  
         < P r o t e c t e d L i n k > f a l s e < / P r o t e c t e d L i n k >  
         < N a m e > 2 8 1 0 1   T B   @   3 1 . 1 2 . 2 0 2 0   5 2 6 x 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 5 2 6 x < / A c c o u n t N u m b e r >  
         < R o u n d e d > f a l s e < / R o u n d e d >  
     < / T B L i n k >  
     < T B L i n k >  
         < V e r s i o n > 4 < / V e r s i o n >  
         < C o l u m n F i l t e r s / >  
         < D A L i n k I D > a 2 e 4 3 4 1 b - 9 9 9 8 - 4 6 3 e - 8 3 1 9 - 4 4 3 0 5 c d 1 c 4 0 7 < / D A L i n k I D >  
         < L i n k T y p e > 0 < / L i n k T y p e >  
         < P a r a m e t e r s / >  
         < I n c l u d e A l l I t e m s > f a l s e < / I n c l u d e A l l I t e m s >  
         < A c t i v e > t r u e < / A c t i v e >  
         < P r o t e c t e d L i n k > f a l s e < / P r o t e c t e d L i n k >  
         < N a m e > 2 8 1 0 1   T B   @   3 1 . 1 2 . 2 0 2 0   5 2 7 x   F i n a l < / N a m e >  
         < E n t i t y E n u m > 9 < / E n t i t y E n u m >  
         < I t e m O r d e r L i s t / >  
         < S e l e c t e d I t e m L i s t / >  
         < S e l e c t e d C o l u m n L i s t / >  
         < H a s V a l u e > t r u e < / H a s V a l u e >  
         < T B C h a r t I D > 3 0 0 1 4 7 8 6 4 3 4 0 0 0 0 0 4 9 4 < / T B C h a r t I D >  
         < C o n s o l i d a t e d C o m p a n y I D   x s i : n i l = " t r u e " / >  
         < T B D o c u m e n t I D > 3 0 0 1 4 7 8 6 4 3 4 0 0 0 0 0 0 9 9 < / T B D o c u m e n t I D >  
         < N u m e r i c V a l u e > 9 0 8 1 8 . 0 0 0 0 < / N u m e r i c V a l u e >  
         < V a l u e > 9 0 8 1 8 , 0 0 0 0 < / V a l u e >  
         < C h a r t T y p e > c t D e t a i l < / C h a r t T y p e >  
         < R e f e r e n c e > 2 8 1 0 1 < / R e f e r e n c e >  
         < T B D o c N a m e > T B   @   3 1 . 1 2 . 2 0 2 0 < / T B D o c N a m e >  
         < T B C h a r t N a m e > D e t a i l < / T B C h a r t N a m e >  
         < C o l u m n N a m e > F i n a l B a l a n c e < / C o l u m n N a m e >  
         < U s e r F r i e n d l y C o l u m n N a m e > F i n a l < / U s e r F r i e n d l y C o l u m n N a m e >  
         < A c c o u n t N u m b e r > 5 2 7 x < / A c c o u n t N u m b e r >  
         < R o u n d e d > f a l s e < / R o u n d e d >  
     < / T B L i n k >  
     < T B L i n k >  
         < V e r s i o n > 4 < / V e r s i o n >  
         < C o l u m n F i l t e r s / >  
         < D A L i n k I D > a e 6 8 3 3 2 7 - 7 4 7 0 - 4 3 9 6 - b 4 2 1 - 9 f 6 5 8 4 f 3 6 8 1 f < / D A L i n k I D >  
         < L i n k T y p e > 0 < / L i n k T y p e >  
         < P a r a m e t e r s / >  
         < I n c l u d e A l l I t e m s > f a l s e < / I n c l u d e A l l I t e m s >  
         < A c t i v e > t r u e < / A c t i v e >  
         < P r o t e c t e d L i n k > f a l s e < / P r o t e c t e d L i n k >  
         < N a m e > 2 8 1 0 1   T B   @   3 1 . 1 2 . 2 0 2 0   5 2 8 x 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 5 2 8 x < / A c c o u n t N u m b e r >  
         < R o u n d e d > f a l s e < / R o u n d e d >  
     < / T B L i n k >  
     < T B L i n k >  
         < V e r s i o n > 4 < / V e r s i o n >  
         < C o l u m n F i l t e r s / >  
         < D A L i n k I D > 7 1 4 6 7 6 4 9 - a b 9 9 - 4 3 f f - 9 2 5 c - f 0 4 3 2 b 3 e f 1 a 5 < / D A L i n k I D >  
         < L i n k T y p e > 0 < / L i n k T y p e >  
         < P a r a m e t e r s / >  
         < I n c l u d e A l l I t e m s > f a l s e < / I n c l u d e A l l I t e m s >  
         < A c t i v e > t r u e < / A c t i v e >  
         < P r o t e c t e d L i n k > f a l s e < / P r o t e c t e d L i n k >  
         < N a m e > 2 8 1 0 1   T B   @   3 1 . 1 2 . 2 0 2 0   5 3 1 x   F i n a l < / N a m e >  
         < E n t i t y E n u m > 9 < / E n t i t y E n u m >  
         < I t e m O r d e r L i s t / >  
         < S e l e c t e d I t e m L i s t / >  
         < S e l e c t e d C o l u m n L i s t / >  
         < H a s V a l u e > t r u e < / H a s V a l u e >  
         < T B C h a r t I D > 3 0 0 1 4 7 8 6 4 3 4 0 0 0 0 0 4 9 4 < / T B C h a r t I D >  
         < C o n s o l i d a t e d C o m p a n y I D   x s i : n i l = " t r u e " / >  
         < T B D o c u m e n t I D > 3 0 0 1 4 7 8 6 4 3 4 0 0 0 0 0 0 9 9 < / T B D o c u m e n t I D >  
         < N u m e r i c V a l u e > 5 7 5 . 0 0 0 0 < / N u m e r i c V a l u e >  
         < V a l u e > 5 7 5 , 0 0 0 0 < / V a l u e >  
         < C h a r t T y p e > c t D e t a i l < / C h a r t T y p e >  
         < R e f e r e n c e > 2 8 1 0 1 < / R e f e r e n c e >  
         < T B D o c N a m e > T B   @   3 1 . 1 2 . 2 0 2 0 < / T B D o c N a m e >  
         < T B C h a r t N a m e > D e t a i l < / T B C h a r t N a m e >  
         < C o l u m n N a m e > F i n a l B a l a n c e < / C o l u m n N a m e >  
         < U s e r F r i e n d l y C o l u m n N a m e > F i n a l < / U s e r F r i e n d l y C o l u m n N a m e >  
         < A c c o u n t N u m b e r > 5 3 1 x < / A c c o u n t N u m b e r >  
         < R o u n d e d > f a l s e < / R o u n d e d >  
     < / T B L i n k >  
     < T B L i n k >  
         < V e r s i o n > 4 < / V e r s i o n >  
         < C o l u m n F i l t e r s / >  
         < D A L i n k I D > 8 b 1 4 b 8 2 4 - 7 8 5 4 - 4 4 d d - 9 e 7 d - 5 0 4 1 8 4 3 7 e b c 8 < / D A L i n k I D >  
         < L i n k T y p e > 0 < / L i n k T y p e >  
         < P a r a m e t e r s / >  
         < I n c l u d e A l l I t e m s > f a l s e < / I n c l u d e A l l I t e m s >  
         < A c t i v e > t r u e < / A c t i v e >  
         < P r o t e c t e d L i n k > f a l s e < / P r o t e c t e d L i n k >  
         < N a m e > 2 8 1 0 1   T B   @   3 1 . 1 2 . 2 0 2 0   5 3 2 x   F i n a l < / N a m e >  
         < E n t i t y E n u m > 9 < / E n t i t y E n u m >  
         < I t e m O r d e r L i s t / >  
         < S e l e c t e d I t e m L i s t / >  
         < S e l e c t e d C o l u m n L i s t / >  
         < H a s V a l u e > t r u e < / H a s V a l u e >  
         < T B C h a r t I D > 3 0 0 1 4 7 8 6 4 3 4 0 0 0 0 0 4 9 4 < / T B C h a r t I D >  
         < C o n s o l i d a t e d C o m p a n y I D   x s i : n i l = " t r u e " / >  
         < T B D o c u m e n t I D > 3 0 0 1 4 7 8 6 4 3 4 0 0 0 0 0 0 9 9 < / T B D o c u m e n t I D >  
         < N u m e r i c V a l u e > 5 6 9 1 1 . 0 0 0 0 < / N u m e r i c V a l u e >  
         < V a l u e > 5 6 9 1 1 , 0 0 0 0 < / V a l u e >  
         < C h a r t T y p e > c t D e t a i l < / C h a r t T y p e >  
         < R e f e r e n c e > 2 8 1 0 1 < / R e f e r e n c e >  
         < T B D o c N a m e > T B   @   3 1 . 1 2 . 2 0 2 0 < / T B D o c N a m e >  
         < T B C h a r t N a m e > D e t a i l < / T B C h a r t N a m e >  
         < C o l u m n N a m e > F i n a l B a l a n c e < / C o l u m n N a m e >  
         < U s e r F r i e n d l y C o l u m n N a m e > F i n a l < / U s e r F r i e n d l y C o l u m n N a m e >  
         < A c c o u n t N u m b e r > 5 3 2 x < / A c c o u n t N u m b e r >  
         < R o u n d e d > f a l s e < / R o u n d e d >  
     < / T B L i n k >  
     < T B L i n k >  
         < V e r s i o n > 4 < / V e r s i o n >  
         < C o l u m n F i l t e r s / >  
         < D A L i n k I D > 8 9 9 9 4 c 1 b - 2 e 3 4 - 4 7 e 5 - 8 d c 8 - b 8 9 f d a c 1 f 9 5 2 < / D A L i n k I D >  
         < L i n k T y p e > 0 < / L i n k T y p e >  
         < P a r a m e t e r s / >  
         < I n c l u d e A l l I t e m s > f a l s e < / I n c l u d e A l l I t e m s >  
         < A c t i v e > t r u e < / A c t i v e >  
         < P r o t e c t e d L i n k > f a l s e < / P r o t e c t e d L i n k >  
         < N a m e > 2 8 1 0 1   T B   @   3 1 . 1 2 . 2 0 2 0   5 3 8 x   F i n a l < / N a m e >  
         < E n t i t y E n u m > 9 < / E n t i t y E n u m >  
         < I t e m O r d e r L i s t / >  
         < S e l e c t e d I t e m L i s t / >  
         < S e l e c t e d C o l u m n L i s t / >  
         < H a s V a l u e > t r u e < / H a s V a l u e >  
         < T B C h a r t I D > 3 0 0 1 4 7 8 6 4 3 4 0 0 0 0 0 4 9 4 < / T B C h a r t I D >  
         < C o n s o l i d a t e d C o m p a n y I D   x s i : n i l = " t r u e " / >  
         < T B D o c u m e n t I D > 3 0 0 1 4 7 8 6 4 3 4 0 0 0 0 0 0 9 9 < / T B D o c u m e n t I D >  
         < N u m e r i c V a l u e > 1 1 0 5 7 . 0 0 0 0 < / N u m e r i c V a l u e >  
         < V a l u e > 1 1 0 5 7 , 0 0 0 0 < / V a l u e >  
         < C h a r t T y p e > c t D e t a i l < / C h a r t T y p e >  
         < R e f e r e n c e > 2 8 1 0 1 < / R e f e r e n c e >  
         < T B D o c N a m e > T B   @   3 1 . 1 2 . 2 0 2 0 < / T B D o c N a m e >  
         < T B C h a r t N a m e > D e t a i l < / T B C h a r t N a m e >  
         < C o l u m n N a m e > F i n a l B a l a n c e < / C o l u m n N a m e >  
         < U s e r F r i e n d l y C o l u m n N a m e > F i n a l < / U s e r F r i e n d l y C o l u m n N a m e >  
         < A c c o u n t N u m b e r > 5 3 8 x < / A c c o u n t N u m b e r >  
         < R o u n d e d > f a l s e < / R o u n d e d >  
     < / T B L i n k >  
     < T B L i n k >  
         < V e r s i o n > 4 < / V e r s i o n >  
         < C o l u m n F i l t e r s / >  
         < D A L i n k I D > d 9 7 e a d 2 e - c 5 7 f - 4 9 6 f - 9 e 0 a - f 1 4 3 4 b d 0 5 a 7 4 < / D A L i n k I D >  
         < L i n k T y p e > 0 < / L i n k T y p e >  
         < P a r a m e t e r s / >  
         < I n c l u d e A l l I t e m s > f a l s e < / I n c l u d e A l l I t e m s >  
         < A c t i v e > t r u e < / A c t i v e >  
         < P r o t e c t e d L i n k > f a l s e < / P r o t e c t e d L i n k >  
         < N a m e > 2 8 1 0 1   T B   @   3 1 . 1 2 . 2 0 2 0   5 4 1 x   F i n a l < / N a m e >  
         < E n t i t y E n u m > 9 < / E n t i t y E n u m >  
         < I t e m O r d e r L i s t / >  
         < S e l e c t e d I t e m L i s t / >  
         < S e l e c t e d C o l u m n L i s t / >  
         < H a s V a l u e > t r u e < / H a s V a l u e >  
         < T B C h a r t I D > 3 0 0 1 4 7 8 6 4 3 4 0 0 0 0 0 4 9 4 < / T B C h a r t I D >  
         < C o n s o l i d a t e d C o m p a n y I D   x s i : n i l = " t r u e " / >  
         < T B D o c u m e n t I D > 3 0 0 1 4 7 8 6 4 3 4 0 0 0 0 0 0 9 9 < / T B D o c u m e n t I D >  
         < N u m e r i c V a l u e > 8 4 8 0 . 0 0 0 0 < / N u m e r i c V a l u e >  
         < V a l u e > 8 4 8 0 , 0 0 0 0 < / V a l u e >  
         < C h a r t T y p e > c t D e t a i l < / C h a r t T y p e >  
         < R e f e r e n c e > 2 8 1 0 1 < / R e f e r e n c e >  
         < T B D o c N a m e > T B   @   3 1 . 1 2 . 2 0 2 0 < / T B D o c N a m e >  
         < T B C h a r t N a m e > D e t a i l < / T B C h a r t N a m e >  
         < C o l u m n N a m e > F i n a l B a l a n c e < / C o l u m n N a m e >  
         < U s e r F r i e n d l y C o l u m n N a m e > F i n a l < / U s e r F r i e n d l y C o l u m n N a m e >  
         < A c c o u n t N u m b e r > 5 4 1 x < / A c c o u n t N u m b e r >  
         < R o u n d e d > f a l s e < / R o u n d e d >  
     < / T B L i n k >  
     < T B L i n k >  
         < V e r s i o n > 4 < / V e r s i o n >  
         < C o l u m n F i l t e r s / >  
         < D A L i n k I D > d 6 7 a 3 a 9 0 - 2 4 0 d - 4 e 3 7 - a f 2 8 - 8 5 9 c 5 d 5 2 6 e 6 5 < / D A L i n k I D >  
         < L i n k T y p e > 0 < / L i n k T y p e >  
         < P a r a m e t e r s / >  
         < I n c l u d e A l l I t e m s > f a l s e < / I n c l u d e A l l I t e m s >  
         < A c t i v e > t r u e < / A c t i v e >  
         < P r o t e c t e d L i n k > f a l s e < / P r o t e c t e d L i n k >  
         < N a m e > 2 8 1 0 1   T B   @   3 1 . 1 2 . 2 0 2 0   5 4 2 x   F i n a l < / N a m e >  
         < E n t i t y E n u m > 9 < / E n t i t y E n u m >  
         < I t e m O r d e r L i s t / >  
         < S e l e c t e d I t e m L i s t / >  
         < S e l e c t e d C o l u m n L i s t / >  
         < H a s V a l u e > t r u e < / H a s V a l u e >  
         < T B C h a r t I D > 3 0 0 1 4 7 8 6 4 3 4 0 0 0 0 0 4 9 4 < / T B C h a r t I D >  
         < C o n s o l i d a t e d C o m p a n y I D   x s i : n i l = " t r u e " / >  
         < T B D o c u m e n t I D > 3 0 0 1 4 7 8 6 4 3 4 0 0 0 0 0 0 9 9 < / T B D o c u m e n t I D >  
         < N u m e r i c V a l u e > 1 1 2 1 6 . 0 0 0 0 < / N u m e r i c V a l u e >  
         < V a l u e > 1 1 2 1 6 , 0 0 0 0 < / V a l u e >  
         < C h a r t T y p e > c t D e t a i l < / C h a r t T y p e >  
         < R e f e r e n c e > 2 8 1 0 1 < / R e f e r e n c e >  
         < T B D o c N a m e > T B   @   3 1 . 1 2 . 2 0 2 0 < / T B D o c N a m e >  
         < T B C h a r t N a m e > D e t a i l < / T B C h a r t N a m e >  
         < C o l u m n N a m e > F i n a l B a l a n c e < / C o l u m n N a m e >  
         < U s e r F r i e n d l y C o l u m n N a m e > F i n a l < / U s e r F r i e n d l y C o l u m n N a m e >  
         < A c c o u n t N u m b e r > 5 4 2 x < / A c c o u n t N u m b e r >  
         < R o u n d e d > f a l s e < / R o u n d e d >  
     < / T B L i n k >  
     < T B L i n k >  
         < V e r s i o n > 4 < / V e r s i o n >  
         < C o l u m n F i l t e r s / >  
         < D A L i n k I D > b 3 3 a 2 7 b b - 7 3 5 0 - 4 1 9 a - a 4 3 d - 2 f a 6 0 8 0 5 a 8 d 5 < / D A L i n k I D >  
         < L i n k T y p e > 0 < / L i n k T y p e >  
         < P a r a m e t e r s / >  
         < I n c l u d e A l l I t e m s > f a l s e < / I n c l u d e A l l I t e m s >  
         < A c t i v e > t r u e < / A c t i v e >  
         < P r o t e c t e d L i n k > f a l s e < / P r o t e c t e d L i n k >  
         < N a m e > 2 8 1 0 1   T B   @   3 1 . 1 2 . 2 0 2 0   5 4 3 x   F i n a l < / N a m e >  
         < E n t i t y E n u m > 9 < / E n t i t y E n u m >  
         < I t e m O r d e r L i s t / >  
         < S e l e c t e d I t e m L i s t / >  
         < S e l e c t e d C o l u m n L i s t / >  
         < H a s V a l u e > t r u e < / H a s V a l u e >  
         < T B C h a r t I D > 3 0 0 1 4 7 8 6 4 3 4 0 0 0 0 0 4 9 4 < / T B C h a r t I D >  
         < C o n s o l i d a t e d C o m p a n y I D   x s i : n i l = " t r u e " / >  
         < T B D o c u m e n t I D > 3 0 0 1 4 7 8 6 4 3 4 0 0 0 0 0 0 9 9 < / T B D o c u m e n t I D >  
         < N u m e r i c V a l u e > 1 5 0 0 0 . 0 0 0 0 < / N u m e r i c V a l u e >  
         < V a l u e > 1 5 0 0 0 , 0 0 0 0 < / V a l u e >  
         < C h a r t T y p e > c t D e t a i l < / C h a r t T y p e >  
         < R e f e r e n c e > 2 8 1 0 1 < / R e f e r e n c e >  
         < T B D o c N a m e > T B   @   3 1 . 1 2 . 2 0 2 0 < / T B D o c N a m e >  
         < T B C h a r t N a m e > D e t a i l < / T B C h a r t N a m e >  
         < C o l u m n N a m e > F i n a l B a l a n c e < / C o l u m n N a m e >  
         < U s e r F r i e n d l y C o l u m n N a m e > F i n a l < / U s e r F r i e n d l y C o l u m n N a m e >  
         < A c c o u n t N u m b e r > 5 4 3 x < / A c c o u n t N u m b e r >  
         < R o u n d e d > f a l s e < / R o u n d e d >  
     < / T B L i n k >  
     < T B L i n k >  
         < V e r s i o n > 4 < / V e r s i o n >  
         < C o l u m n F i l t e r s / >  
         < D A L i n k I D > 2 4 3 6 a e 6 a - 7 7 2 5 - 4 6 f 8 - a 3 3 1 - c 3 7 c 5 9 e 8 c a 3 9 < / D A L i n k I D >  
         < L i n k T y p e > 0 < / L i n k T y p e >  
         < P a r a m e t e r s / >  
         < I n c l u d e A l l I t e m s > f a l s e < / I n c l u d e A l l I t e m s >  
         < A c t i v e > t r u e < / A c t i v e >  
         < P r o t e c t e d L i n k > f a l s e < / P r o t e c t e d L i n k >  
         < N a m e > 2 8 1 0 1   T B   @   3 1 . 1 2 . 2 0 2 0   5 4 4 x 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 5 4 4 x < / A c c o u n t N u m b e r >  
         < R o u n d e d > f a l s e < / R o u n d e d >  
     < / T B L i n k >  
     < T B L i n k >  
         < V e r s i o n > 4 < / V e r s i o n >  
         < C o l u m n F i l t e r s / >  
         < D A L i n k I D > 7 1 6 0 4 7 1 9 - 3 8 1 a - 4 4 3 d - 8 7 3 8 - 0 e a 2 4 a d a f 8 a 9 < / D A L i n k I D >  
         < L i n k T y p e > 0 < / L i n k T y p e >  
         < P a r a m e t e r s / >  
         < I n c l u d e A l l I t e m s > f a l s e < / I n c l u d e A l l I t e m s >  
         < A c t i v e > t r u e < / A c t i v e >  
         < P r o t e c t e d L i n k > f a l s e < / P r o t e c t e d L i n k >  
         < N a m e > 2 8 1 0 1   T B   @   3 1 . 1 2 . 2 0 2 0   5 4 5 x   F i n a l < / N a m e >  
         < E n t i t y E n u m > 9 < / E n t i t y E n u m >  
         < I t e m O r d e r L i s t / >  
         < S e l e c t e d I t e m L i s t / >  
         < S e l e c t e d C o l u m n L i s t / >  
         < H a s V a l u e > t r u e < / H a s V a l u e >  
         < T B C h a r t I D > 3 0 0 1 4 7 8 6 4 3 4 0 0 0 0 0 4 9 4 < / T B C h a r t I D >  
         < C o n s o l i d a t e d C o m p a n y I D   x s i : n i l = " t r u e " / >  
         < T B D o c u m e n t I D > 3 0 0 1 4 7 8 6 4 3 4 0 0 0 0 0 0 9 9 < / T B D o c u m e n t I D >  
         < N u m e r i c V a l u e > 4 0 6 9 . 0 0 0 0 < / N u m e r i c V a l u e >  
         < V a l u e > 4 0 6 9 , 0 0 0 0 < / V a l u e >  
         < C h a r t T y p e > c t D e t a i l < / C h a r t T y p e >  
         < R e f e r e n c e > 2 8 1 0 1 < / R e f e r e n c e >  
         < T B D o c N a m e > T B   @   3 1 . 1 2 . 2 0 2 0 < / T B D o c N a m e >  
         < T B C h a r t N a m e > D e t a i l < / T B C h a r t N a m e >  
         < C o l u m n N a m e > F i n a l B a l a n c e < / C o l u m n N a m e >  
         < U s e r F r i e n d l y C o l u m n N a m e > F i n a l < / U s e r F r i e n d l y C o l u m n N a m e >  
         < A c c o u n t N u m b e r > 5 4 5 x < / A c c o u n t N u m b e r >  
         < R o u n d e d > f a l s e < / R o u n d e d >  
     < / T B L i n k >  
     < T B L i n k >  
         < V e r s i o n > 4 < / V e r s i o n >  
         < C o l u m n F i l t e r s / >  
         < D A L i n k I D > d 0 c d 5 2 a a - e b 1 b - 4 f 6 c - 8 3 3 5 - 7 f a b f 9 5 2 9 0 5 d < / D A L i n k I D >  
         < L i n k T y p e > 0 < / L i n k T y p e >  
         < P a r a m e t e r s / >  
         < I n c l u d e A l l I t e m s > f a l s e < / I n c l u d e A l l I t e m s >  
         < A c t i v e > t r u e < / A c t i v e >  
         < P r o t e c t e d L i n k > f a l s e < / P r o t e c t e d L i n k >  
         < N a m e > 2 8 1 0 1   T B   @   3 1 . 1 2 . 2 0 2 0   5 4 6 x   F i n a l < / N a m e >  
         < E n t i t y E n u m > 9 < / E n t i t y E n u m >  
         < I t e m O r d e r L i s t / >  
         < S e l e c t e d I t e m L i s t / >  
         < S e l e c t e d C o l u m n L i s t / >  
         < H a s V a l u e > t r u e < / H a s V a l u e >  
         < T B C h a r t I D > 3 0 0 1 4 7 8 6 4 3 4 0 0 0 0 0 4 9 4 < / T B C h a r t I D >  
         < C o n s o l i d a t e d C o m p a n y I D   x s i : n i l = " t r u e " / >  
         < T B D o c u m e n t I D > 3 0 0 1 4 7 8 6 4 3 4 0 0 0 0 0 0 9 9 < / T B D o c u m e n t I D >  
         < N u m e r i c V a l u e > 6 9 0 4 . 0 0 0 0 < / N u m e r i c V a l u e >  
         < V a l u e > 6 9 0 4 , 0 0 0 0 < / V a l u e >  
         < C h a r t T y p e > c t D e t a i l < / C h a r t T y p e >  
         < R e f e r e n c e > 2 8 1 0 1 < / R e f e r e n c e >  
         < T B D o c N a m e > T B   @   3 1 . 1 2 . 2 0 2 0 < / T B D o c N a m e >  
         < T B C h a r t N a m e > D e t a i l < / T B C h a r t N a m e >  
         < C o l u m n N a m e > F i n a l B a l a n c e < / C o l u m n N a m e >  
         < U s e r F r i e n d l y C o l u m n N a m e > F i n a l < / U s e r F r i e n d l y C o l u m n N a m e >  
         < A c c o u n t N u m b e r > 5 4 6 x < / A c c o u n t N u m b e r >  
         < R o u n d e d > f a l s e < / R o u n d e d >  
     < / T B L i n k >  
     < T B L i n k >  
         < V e r s i o n > 4 < / V e r s i o n >  
         < C o l u m n F i l t e r s / >  
         < D A L i n k I D > 6 6 2 b 2 8 3 3 - 0 c b 8 - 4 f 6 b - 8 d b 4 - e 7 9 0 3 e 9 5 c 1 6 f < / D A L i n k I D >  
         < L i n k T y p e > 0 < / L i n k T y p e >  
         < P a r a m e t e r s / >  
         < I n c l u d e A l l I t e m s > f a l s e < / I n c l u d e A l l I t e m s >  
         < A c t i v e > t r u e < / A c t i v e >  
         < P r o t e c t e d L i n k > f a l s e < / P r o t e c t e d L i n k >  
         < N a m e > 2 8 1 0 1   T B   @   3 1 . 1 2 . 2 0 2 0   5 4 7 x   F i n a l < / N a m e >  
         < E n t i t y E n u m > 9 < / E n t i t y E n u m >  
         < I t e m O r d e r L i s t / >  
         < S e l e c t e d I t e m L i s t / >  
         < S e l e c t e d C o l u m n L i s t / >  
         < H a s V a l u e > t r u e < / H a s V a l u e >  
         < T B C h a r t I D > 3 0 0 1 4 7 8 6 4 3 4 0 0 0 0 0 4 9 4 < / T B C h a r t I D >  
         < C o n s o l i d a t e d C o m p a n y I D   x s i : n i l = " t r u e " / >  
         < T B D o c u m e n t I D > 3 0 0 1 4 7 8 6 4 3 4 0 0 0 0 0 0 9 9 < / T B D o c u m e n t I D >  
         < N u m e r i c V a l u e > - 2 2 9 0 . 0 0 0 0 < / N u m e r i c V a l u e >  
         < V a l u e > - 2 2 9 0 , 0 0 0 0 < / V a l u e >  
         < C h a r t T y p e > c t D e t a i l < / C h a r t T y p e >  
         < R e f e r e n c e > 2 8 1 0 1 < / R e f e r e n c e >  
         < T B D o c N a m e > T B   @   3 1 . 1 2 . 2 0 2 0 < / T B D o c N a m e >  
         < T B C h a r t N a m e > D e t a i l < / T B C h a r t N a m e >  
         < C o l u m n N a m e > F i n a l B a l a n c e < / C o l u m n N a m e >  
         < U s e r F r i e n d l y C o l u m n N a m e > F i n a l < / U s e r F r i e n d l y C o l u m n N a m e >  
         < A c c o u n t N u m b e r > 5 4 7 x < / A c c o u n t N u m b e r >  
         < R o u n d e d > f a l s e < / R o u n d e d >  
     < / T B L i n k >  
     < T B L i n k >  
         < V e r s i o n > 4 < / V e r s i o n >  
         < C o l u m n F i l t e r s / >  
         < D A L i n k I D > 9 2 e 4 e 3 0 d - 8 d 4 3 - 4 3 5 4 - 9 5 6 7 - 3 c 9 6 3 f 9 b e 5 4 9 < / D A L i n k I D >  
         < L i n k T y p e > 0 < / L i n k T y p e >  
         < P a r a m e t e r s / >  
         < I n c l u d e A l l I t e m s > f a l s e < / I n c l u d e A l l I t e m s >  
         < A c t i v e > t r u e < / A c t i v e >  
         < P r o t e c t e d L i n k > f a l s e < / P r o t e c t e d L i n k >  
         < N a m e > 2 8 1 0 1   T B   @   3 1 . 1 2 . 2 0 2 0   5 4 8 x   F i n a l < / N a m e >  
         < E n t i t y E n u m > 9 < / E n t i t y E n u m >  
         < I t e m O r d e r L i s t / >  
         < S e l e c t e d I t e m L i s t / >  
         < S e l e c t e d C o l u m n L i s t / >  
         < H a s V a l u e > t r u e < / H a s V a l u e >  
         < T B C h a r t I D > 3 0 0 1 4 7 8 6 4 3 4 0 0 0 0 0 4 9 4 < / T B C h a r t I D >  
         < C o n s o l i d a t e d C o m p a n y I D   x s i : n i l = " t r u e " / >  
         < T B D o c u m e n t I D > 3 0 0 1 4 7 8 6 4 3 4 0 0 0 0 0 0 9 9 < / T B D o c u m e n t I D >  
         < N u m e r i c V a l u e > 2 0 0 2 0 . 0 0 0 0 < / N u m e r i c V a l u e >  
         < V a l u e > 2 0 0 2 0 , 0 0 0 0 < / V a l u e >  
         < C h a r t T y p e > c t D e t a i l < / C h a r t T y p e >  
         < R e f e r e n c e > 2 8 1 0 1 < / R e f e r e n c e >  
         < T B D o c N a m e > T B   @   3 1 . 1 2 . 2 0 2 0 < / T B D o c N a m e >  
         < T B C h a r t N a m e > D e t a i l < / T B C h a r t N a m e >  
         < C o l u m n N a m e > F i n a l B a l a n c e < / C o l u m n N a m e >  
         < U s e r F r i e n d l y C o l u m n N a m e > F i n a l < / U s e r F r i e n d l y C o l u m n N a m e >  
         < A c c o u n t N u m b e r > 5 4 8 x < / A c c o u n t N u m b e r >  
         < R o u n d e d > f a l s e < / R o u n d e d >  
     < / T B L i n k >  
     < T B L i n k >  
         < V e r s i o n > 4 < / V e r s i o n >  
         < C o l u m n F i l t e r s / >  
         < D A L i n k I D > 0 a c 8 8 d b f - 6 1 5 8 - 4 a d e - a 7 4 2 - 8 4 2 1 c 3 b b 3 4 8 e < / D A L i n k I D >  
         < L i n k T y p e > 0 < / L i n k T y p e >  
         < P a r a m e t e r s / >  
         < I n c l u d e A l l I t e m s > f a l s e < / I n c l u d e A l l I t e m s >  
         < A c t i v e > t r u e < / A c t i v e >  
         < P r o t e c t e d L i n k > f a l s e < / P r o t e c t e d L i n k >  
         < N a m e > 2 8 1 0 1   T B   @   3 1 . 1 2 . 2 0 2 0   5 4 9 x   F i n a l < / N a m e >  
         < E n t i t y E n u m > 9 < / E n t i t y E n u m >  
         < I t e m O r d e r L i s t / >  
         < S e l e c t e d I t e m L i s t / >  
         < S e l e c t e d C o l u m n L i s t / >  
         < H a s V a l u e > t r u e < / H a s V a l u e >  
         < T B C h a r t I D > 3 0 0 1 4 7 8 6 4 3 4 0 0 0 0 0 4 9 4 < / T B C h a r t I D >  
         < C o n s o l i d a t e d C o m p a n y I D   x s i : n i l = " t r u e " / >  
         < T B D o c u m e n t I D > 3 0 0 1 4 7 8 6 4 3 4 0 0 0 0 0 0 9 9 < / T B D o c u m e n t I D >  
         < N u m e r i c V a l u e > 1 6 7 4 4 . 0 0 0 0 < / N u m e r i c V a l u e >  
         < V a l u e > 1 6 7 4 4 , 0 0 0 0 < / V a l u e >  
         < C h a r t T y p e > c t D e t a i l < / C h a r t T y p e >  
         < R e f e r e n c e > 2 8 1 0 1 < / R e f e r e n c e >  
         < T B D o c N a m e > T B   @   3 1 . 1 2 . 2 0 2 0 < / T B D o c N a m e >  
         < T B C h a r t N a m e > D e t a i l < / T B C h a r t N a m e >  
         < C o l u m n N a m e > F i n a l B a l a n c e < / C o l u m n N a m e >  
         < U s e r F r i e n d l y C o l u m n N a m e > F i n a l < / U s e r F r i e n d l y C o l u m n N a m e >  
         < A c c o u n t N u m b e r > 5 4 9 x < / A c c o u n t N u m b e r >  
         < R o u n d e d > f a l s e < / R o u n d e d >  
     < / T B L i n k >  
     < T B L i n k >  
         < V e r s i o n > 4 < / V e r s i o n >  
         < C o l u m n F i l t e r s / >  
         < D A L i n k I D > a 5 8 e 3 8 e 8 - a 0 7 8 - 4 7 9 8 - 8 b 9 2 - 3 1 2 0 5 f b 2 7 e 6 2 < / D A L i n k I D >  
         < L i n k T y p e > 0 < / L i n k T y p e >  
         < P a r a m e t e r s / >  
         < I n c l u d e A l l I t e m s > f a l s e < / I n c l u d e A l l I t e m s >  
         < A c t i v e > t r u e < / A c t i v e >  
         < P r o t e c t e d L i n k > f a l s e < / P r o t e c t e d L i n k >  
         < N a m e > 2 8 1 0 1   T B   @   3 1 . 1 2 . 2 0 2 0   5 5 1 x   F i n a l < / N a m e >  
         < E n t i t y E n u m > 9 < / E n t i t y E n u m >  
         < I t e m O r d e r L i s t / >  
         < S e l e c t e d I t e m L i s t / >  
         < S e l e c t e d C o l u m n L i s t / >  
         < H a s V a l u e > t r u e < / H a s V a l u e >  
         < T B C h a r t I D > 3 0 0 1 4 7 8 6 4 3 4 0 0 0 0 0 4 9 4 < / T B C h a r t I D >  
         < C o n s o l i d a t e d C o m p a n y I D   x s i : n i l = " t r u e " / >  
         < T B D o c u m e n t I D > 3 0 0 1 4 7 8 6 4 3 4 0 0 0 0 0 0 9 9 < / T B D o c u m e n t I D >  
         < N u m e r i c V a l u e > 4 2 5 0 8 8 . 0 0 0 0 < / N u m e r i c V a l u e >  
         < V a l u e > 4 2 5 0 8 8 , 0 0 0 0 < / V a l u e >  
         < C h a r t T y p e > c t D e t a i l < / C h a r t T y p e >  
         < R e f e r e n c e > 2 8 1 0 1 < / R e f e r e n c e >  
         < T B D o c N a m e > T B   @   3 1 . 1 2 . 2 0 2 0 < / T B D o c N a m e >  
         < T B C h a r t N a m e > D e t a i l < / T B C h a r t N a m e >  
         < C o l u m n N a m e > F i n a l B a l a n c e < / C o l u m n N a m e >  
         < U s e r F r i e n d l y C o l u m n N a m e > F i n a l < / U s e r F r i e n d l y C o l u m n N a m e >  
         < A c c o u n t N u m b e r > 5 5 1 x < / A c c o u n t N u m b e r >  
         < R o u n d e d > f a l s e < / R o u n d e d >  
     < / T B L i n k >  
     < T B L i n k >  
         < V e r s i o n > 4 < / V e r s i o n >  
         < C o l u m n F i l t e r s / >  
         < D A L i n k I D > c 4 b 3 8 5 0 3 - a a 2 a - 4 f 5 4 - a 7 1 4 - 8 3 b d 0 f f 6 9 c 2 4 < / D A L i n k I D >  
         < L i n k T y p e > 0 < / L i n k T y p e >  
         < P a r a m e t e r s / >  
         < I n c l u d e A l l I t e m s > f a l s e < / I n c l u d e A l l I t e m s >  
         < A c t i v e > t r u e < / A c t i v e >  
         < P r o t e c t e d L i n k > f a l s e < / P r o t e c t e d L i n k >  
         < N a m e > 2 8 1 0 1   T B   @   3 1 . 1 2 . 2 0 2 0   5 5 3 x 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 5 5 3 x < / A c c o u n t N u m b e r >  
         < R o u n d e d > f a l s e < / R o u n d e d >  
     < / T B L i n k >  
     < T B L i n k >  
         < V e r s i o n > 4 < / V e r s i o n >  
         < C o l u m n F i l t e r s / >  
         < D A L i n k I D > f 7 c e 9 3 7 5 - e d 3 2 - 4 a 8 8 - b 1 b 7 - 1 f 4 0 b 7 1 1 9 5 b 6 < / D A L i n k I D >  
         < L i n k T y p e > 0 < / L i n k T y p e >  
         < P a r a m e t e r s / >  
         < I n c l u d e A l l I t e m s > f a l s e < / I n c l u d e A l l I t e m s >  
         < A c t i v e > t r u e < / A c t i v e >  
         < P r o t e c t e d L i n k > f a l s e < / P r o t e c t e d L i n k >  
         < N a m e > 2 8 1 0 1   T B   @   3 1 . 1 2 . 2 0 2 0   5 5 5 x 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 5 5 5 x < / A c c o u n t N u m b e r >  
         < R o u n d e d > f a l s e < / R o u n d e d >  
     < / T B L i n k >  
     < T B L i n k >  
         < V e r s i o n > 4 < / V e r s i o n >  
         < C o l u m n F i l t e r s / >  
         < D A L i n k I D > 8 d 7 0 8 7 b a - 1 7 f 2 - 4 5 d 5 - b 2 6 f - 2 3 6 0 0 9 3 0 8 c 7 9 < / D A L i n k I D >  
         < L i n k T y p e > 0 < / L i n k T y p e >  
         < P a r a m e t e r s / >  
         < I n c l u d e A l l I t e m s > f a l s e < / I n c l u d e A l l I t e m s >  
         < A c t i v e > t r u e < / A c t i v e >  
         < P r o t e c t e d L i n k > f a l s e < / P r o t e c t e d L i n k >  
         < N a m e > 2 8 1 0 1   T B   @   3 1 . 1 2 . 2 0 2 0   5 5 7 x 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 5 5 7 x < / A c c o u n t N u m b e r >  
         < R o u n d e d > f a l s e < / R o u n d e d >  
     < / T B L i n k >  
     < T B L i n k >  
         < V e r s i o n > 4 < / V e r s i o n >  
         < C o l u m n F i l t e r s / >  
         < D A L i n k I D > 2 0 e 7 b 7 d 1 - 6 7 d a - 4 1 8 2 - 8 5 a a - 1 5 4 7 a 4 c e 5 9 1 e < / D A L i n k I D >  
         < L i n k T y p e > 0 < / L i n k T y p e >  
         < P a r a m e t e r s / >  
         < I n c l u d e A l l I t e m s > f a l s e < / I n c l u d e A l l I t e m s >  
         < A c t i v e > t r u e < / A c t i v e >  
         < P r o t e c t e d L i n k > f a l s e < / P r o t e c t e d L i n k >  
         < N a m e > 2 8 1 0 1   T B   @   3 1 . 1 2 . 2 0 2 0   5 6 1 x 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 5 6 1 x < / A c c o u n t N u m b e r >  
         < R o u n d e d > f a l s e < / R o u n d e d >  
     < / T B L i n k >  
     < T B L i n k >  
         < V e r s i o n > 4 < / V e r s i o n >  
         < C o l u m n F i l t e r s / >  
         < D A L i n k I D > c f 6 5 8 b 0 9 - 2 6 5 d - 4 d a d - 8 3 b 8 - f 0 b d c 1 2 0 8 d 8 e < / D A L i n k I D >  
         < L i n k T y p e > 0 < / L i n k T y p e >  
         < P a r a m e t e r s / >  
         < I n c l u d e A l l I t e m s > f a l s e < / I n c l u d e A l l I t e m s >  
         < A c t i v e > t r u e < / A c t i v e >  
         < P r o t e c t e d L i n k > f a l s e < / P r o t e c t e d L i n k >  
         < N a m e > 2 8 1 0 1   T B   @   3 1 . 1 2 . 2 0 2 0   5 6 2 a   F i n a l < / N a m e >  
         < E n t i t y E n u m > 9 < / E n t i t y E n u m >  
         < I t e m O r d e r L i s t / >  
         < S e l e c t e d I t e m L i s t / >  
         < S e l e c t e d C o l u m n L i s t / >  
         < H a s V a l u e > t r u e < / H a s V a l u e >  
         < T B C h a r t I D > 3 0 0 1 4 7 8 6 4 3 4 0 0 0 0 0 4 9 4 < / T B C h a r t I D >  
         < C o n s o l i d a t e d C o m p a n y I D   x s i : n i l = " t r u e " / >  
         < T B D o c u m e n t I D > 3 0 0 1 4 7 8 6 4 3 4 0 0 0 0 0 0 9 9 < / T B D o c u m e n t I D >  
         < N u m e r i c V a l u e > 1 1 9 8 1 . 0 0 0 0 < / N u m e r i c V a l u e >  
         < V a l u e > 1 1 9 8 1 , 0 0 0 0 < / V a l u e >  
         < C h a r t T y p e > c t D e t a i l < / C h a r t T y p e >  
         < R e f e r e n c e > 2 8 1 0 1 < / R e f e r e n c e >  
         < T B D o c N a m e > T B   @   3 1 . 1 2 . 2 0 2 0 < / T B D o c N a m e >  
         < T B C h a r t N a m e > D e t a i l < / T B C h a r t N a m e >  
         < C o l u m n N a m e > F i n a l B a l a n c e < / C o l u m n N a m e >  
         < U s e r F r i e n d l y C o l u m n N a m e > F i n a l < / U s e r F r i e n d l y C o l u m n N a m e >  
         < A c c o u n t N u m b e r > 5 6 2 a < / A c c o u n t N u m b e r >  
         < R o u n d e d > f a l s e < / R o u n d e d >  
     < / T B L i n k >  
     < T B L i n k >  
         < V e r s i o n > 4 < / V e r s i o n >  
         < C o l u m n F i l t e r s / >  
         < D A L i n k I D > 3 4 f 1 5 1 d 1 - 2 8 3 3 - 4 5 0 6 - b b 1 1 - 1 2 7 d 0 d 2 4 8 5 6 5 < / D A L i n k I D >  
         < L i n k T y p e > 0 < / L i n k T y p e >  
         < P a r a m e t e r s / >  
         < I n c l u d e A l l I t e m s > f a l s e < / I n c l u d e A l l I t e m s >  
         < A c t i v e > t r u e < / A c t i v e >  
         < P r o t e c t e d L i n k > f a l s e < / P r o t e c t e d L i n k >  
         < N a m e > 2 8 1 0 1   T B   @   3 1 . 1 2 . 2 0 2 0   5 6 2 b   F i n a l < / N a m e >  
         < E n t i t y E n u m > 9 < / E n t i t y E n u m >  
         < I t e m O r d e r L i s t / >  
         < S e l e c t e d I t e m L i s t / >  
         < S e l e c t e d C o l u m n L i s t / >  
         < H a s V a l u e > t r u e < / H a s V a l u e >  
         < T B C h a r t I D > 3 0 0 1 4 7 8 6 4 3 4 0 0 0 0 0 4 9 4 < / T B C h a r t I D >  
         < C o n s o l i d a t e d C o m p a n y I D   x s i : n i l = " t r u e " / >  
         < T B D o c u m e n t I D > 3 0 0 1 4 7 8 6 4 3 4 0 0 0 0 0 0 9 9 < / T B D o c u m e n t I D >  
         < N u m e r i c V a l u e > 1 6 8 5 6 1 . 0 0 0 0 < / N u m e r i c V a l u e >  
         < V a l u e > 1 6 8 5 6 1 , 0 0 0 0 < / V a l u e >  
         < C h a r t T y p e > c t D e t a i l < / C h a r t T y p e >  
         < R e f e r e n c e > 2 8 1 0 1 < / R e f e r e n c e >  
         < T B D o c N a m e > T B   @   3 1 . 1 2 . 2 0 2 0 < / T B D o c N a m e >  
         < T B C h a r t N a m e > D e t a i l < / T B C h a r t N a m e >  
         < C o l u m n N a m e > F i n a l B a l a n c e < / C o l u m n N a m e >  
         < U s e r F r i e n d l y C o l u m n N a m e > F i n a l < / U s e r F r i e n d l y C o l u m n N a m e >  
         < A c c o u n t N u m b e r > 5 6 2 b < / A c c o u n t N u m b e r >  
         < R o u n d e d > f a l s e < / R o u n d e d >  
     < / T B L i n k >  
     < T B L i n k >  
         < V e r s i o n > 4 < / V e r s i o n >  
         < C o l u m n F i l t e r s / >  
         < D A L i n k I D > 1 a 8 e f 6 e 5 - f f f 3 - 4 b e c - b b 8 3 - 9 c 2 7 d c 6 0 9 a e 5 < / D A L i n k I D >  
         < L i n k T y p e > 0 < / L i n k T y p e >  
         < P a r a m e t e r s / >  
         < I n c l u d e A l l I t e m s > f a l s e < / I n c l u d e A l l I t e m s >  
         < A c t i v e > t r u e < / A c t i v e >  
         < P r o t e c t e d L i n k > f a l s e < / P r o t e c t e d L i n k >  
         < N a m e > 2 8 1 0 1   T B   @   3 1 . 1 2 . 2 0 2 0   5 6 3 x   F i n a l < / N a m e >  
         < E n t i t y E n u m > 9 < / E n t i t y E n u m >  
         < I t e m O r d e r L i s t / >  
         < S e l e c t e d I t e m L i s t / >  
         < S e l e c t e d C o l u m n L i s t / >  
         < H a s V a l u e > t r u e < / H a s V a l u e >  
         < T B C h a r t I D > 3 0 0 1 4 7 8 6 4 3 4 0 0 0 0 0 4 9 4 < / T B C h a r t I D >  
         < C o n s o l i d a t e d C o m p a n y I D   x s i : n i l = " t r u e " / >  
         < T B D o c u m e n t I D > 3 0 0 1 4 7 8 6 4 3 4 0 0 0 0 0 0 9 9 < / T B D o c u m e n t I D >  
         < N u m e r i c V a l u e > 6 6 3 7 . 0 0 0 0 < / N u m e r i c V a l u e >  
         < V a l u e > 6 6 3 7 , 0 0 0 0 < / V a l u e >  
         < C h a r t T y p e > c t D e t a i l < / C h a r t T y p e >  
         < R e f e r e n c e > 2 8 1 0 1 < / R e f e r e n c e >  
         < T B D o c N a m e > T B   @   3 1 . 1 2 . 2 0 2 0 < / T B D o c N a m e >  
         < T B C h a r t N a m e > D e t a i l < / T B C h a r t N a m e >  
         < C o l u m n N a m e > F i n a l B a l a n c e < / C o l u m n N a m e >  
         < U s e r F r i e n d l y C o l u m n N a m e > F i n a l < / U s e r F r i e n d l y C o l u m n N a m e >  
         < A c c o u n t N u m b e r > 5 6 3 x < / A c c o u n t N u m b e r >  
         < R o u n d e d > f a l s e < / R o u n d e d >  
     < / T B L i n k >  
     < T B L i n k >  
         < V e r s i o n > 4 < / V e r s i o n >  
         < C o l u m n F i l t e r s / >  
         < D A L i n k I D > f 8 3 6 b 2 f 2 - 2 e c 6 - 4 e c 1 - 8 7 7 2 - e 6 9 1 b 0 1 d 8 4 5 5 < / D A L i n k I D >  
         < L i n k T y p e > 0 < / L i n k T y p e >  
         < P a r a m e t e r s / >  
         < I n c l u d e A l l I t e m s > f a l s e < / I n c l u d e A l l I t e m s >  
         < A c t i v e > t r u e < / A c t i v e >  
         < P r o t e c t e d L i n k > f a l s e < / P r o t e c t e d L i n k >  
         < N a m e > 2 8 1 0 1   T B   @   3 1 . 1 2 . 2 0 2 0   5 6 4 x 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 5 6 4 x < / A c c o u n t N u m b e r >  
         < R o u n d e d > f a l s e < / R o u n d e d >  
     < / T B L i n k >  
     < T B L i n k >  
         < V e r s i o n > 4 < / V e r s i o n >  
         < C o l u m n F i l t e r s / >  
         < D A L i n k I D > 3 0 4 0 a d 5 3 - a e b 7 - 4 1 4 0 - b 5 e 5 - a b 6 9 5 b 8 d 0 d c b < / D A L i n k I D >  
         < L i n k T y p e > 0 < / L i n k T y p e >  
         < P a r a m e t e r s / >  
         < I n c l u d e A l l I t e m s > f a l s e < / I n c l u d e A l l I t e m s >  
         < A c t i v e > t r u e < / A c t i v e >  
         < P r o t e c t e d L i n k > f a l s e < / P r o t e c t e d L i n k >  
         < N a m e > 2 8 1 0 1   T B   @   3 1 . 1 2 . 2 0 2 0   5 6 5 x 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 5 6 5 x < / A c c o u n t N u m b e r >  
         < R o u n d e d > f a l s e < / R o u n d e d >  
     < / T B L i n k >  
     < T B L i n k >  
         < V e r s i o n > 4 < / V e r s i o n >  
         < C o l u m n F i l t e r s / >  
         < D A L i n k I D > 7 b 4 1 6 a c c - 0 0 f 3 - 4 6 3 b - 9 6 5 c - 9 9 b e 4 6 c b 4 f 2 a < / D A L i n k I D >  
         < L i n k T y p e > 0 < / L i n k T y p e >  
         < P a r a m e t e r s / >  
         < I n c l u d e A l l I t e m s > f a l s e < / I n c l u d e A l l I t e m s >  
         < A c t i v e > t r u e < / A c t i v e >  
         < P r o t e c t e d L i n k > f a l s e < / P r o t e c t e d L i n k >  
         < N a m e > 2 8 1 0 1   T B   @   3 1 . 1 2 . 2 0 2 0   5 6 6 x 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 5 6 6 x < / A c c o u n t N u m b e r >  
         < R o u n d e d > f a l s e < / R o u n d e d >  
     < / T B L i n k >  
     < T B L i n k >  
         < V e r s i o n > 4 < / V e r s i o n >  
         < C o l u m n F i l t e r s / >  
         < D A L i n k I D > 1 7 e 9 2 e a 1 - 2 3 3 7 - 4 8 d e - b d 4 7 - 1 3 c 0 6 d b 7 7 b e d < / D A L i n k I D >  
         < L i n k T y p e > 0 < / L i n k T y p e >  
         < P a r a m e t e r s / >  
         < I n c l u d e A l l I t e m s > f a l s e < / I n c l u d e A l l I t e m s >  
         < A c t i v e > t r u e < / A c t i v e >  
         < P r o t e c t e d L i n k > f a l s e < / P r o t e c t e d L i n k >  
         < N a m e > 2 8 1 0 1   T B   @   3 1 . 1 2 . 2 0 2 0   5 6 7 x 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 5 6 7 x < / A c c o u n t N u m b e r >  
         < R o u n d e d > f a l s e < / R o u n d e d >  
     < / T B L i n k >  
     < T B L i n k >  
         < V e r s i o n > 4 < / V e r s i o n >  
         < C o l u m n F i l t e r s / >  
         < D A L i n k I D > b e f 5 7 5 c c - 4 4 8 f - 4 c 0 7 - b 9 3 0 - 5 5 b 9 c 3 3 6 e 3 e 7 < / D A L i n k I D >  
         < L i n k T y p e > 0 < / L i n k T y p e >  
         < P a r a m e t e r s / >  
         < I n c l u d e A l l I t e m s > f a l s e < / I n c l u d e A l l I t e m s >  
         < A c t i v e > t r u e < / A c t i v e >  
         < P r o t e c t e d L i n k > f a l s e < / P r o t e c t e d L i n k >  
         < N a m e > 2 8 1 0 1   T B   @   3 1 . 1 2 . 2 0 2 0   5 6 8 x   F i n a l < / N a m e >  
         < E n t i t y E n u m > 9 < / E n t i t y E n u m >  
         < I t e m O r d e r L i s t / >  
         < S e l e c t e d I t e m L i s t / >  
         < S e l e c t e d C o l u m n L i s t / >  
         < H a s V a l u e > t r u e < / H a s V a l u e >  
         < T B C h a r t I D > 3 0 0 1 4 7 8 6 4 3 4 0 0 0 0 0 4 9 4 < / T B C h a r t I D >  
         < C o n s o l i d a t e d C o m p a n y I D   x s i : n i l = " t r u e " / >  
         < T B D o c u m e n t I D > 3 0 0 1 4 7 8 6 4 3 4 0 0 0 0 0 0 9 9 < / T B D o c u m e n t I D >  
         < N u m e r i c V a l u e > 1 7 2 4 3 . 0 0 0 0 < / N u m e r i c V a l u e >  
         < V a l u e > 1 7 2 4 3 , 0 0 0 0 < / V a l u e >  
         < C h a r t T y p e > c t D e t a i l < / C h a r t T y p e >  
         < R e f e r e n c e > 2 8 1 0 1 < / R e f e r e n c e >  
         < T B D o c N a m e > T B   @   3 1 . 1 2 . 2 0 2 0 < / T B D o c N a m e >  
         < T B C h a r t N a m e > D e t a i l < / T B C h a r t N a m e >  
         < C o l u m n N a m e > F i n a l B a l a n c e < / C o l u m n N a m e >  
         < U s e r F r i e n d l y C o l u m n N a m e > F i n a l < / U s e r F r i e n d l y C o l u m n N a m e >  
         < A c c o u n t N u m b e r > 5 6 8 x < / A c c o u n t N u m b e r >  
         < R o u n d e d > f a l s e < / R o u n d e d >  
     < / T B L i n k >  
     < T B L i n k >  
         < V e r s i o n > 4 < / V e r s i o n >  
         < C o l u m n F i l t e r s / >  
         < D A L i n k I D > c 8 0 2 5 1 a 9 - 6 0 0 5 - 4 3 f a - 8 c f 4 - 1 6 0 b 3 0 a 7 8 c e 2 < / D A L i n k I D >  
         < L i n k T y p e > 0 < / L i n k T y p e >  
         < P a r a m e t e r s / >  
         < I n c l u d e A l l I t e m s > f a l s e < / I n c l u d e A l l I t e m s >  
         < A c t i v e > t r u e < / A c t i v e >  
         < P r o t e c t e d L i n k > f a l s e < / P r o t e c t e d L i n k >  
         < N a m e > 2 8 1 0 1   T B   @   3 1 . 1 2 . 2 0 2 0   5 6 9 x 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 5 6 9 x < / A c c o u n t N u m b e r >  
         < R o u n d e d > f a l s e < / R o u n d e d >  
     < / T B L i n k >  
     < T B L i n k >  
         < V e r s i o n > 4 < / V e r s i o n >  
         < C o l u m n F i l t e r s / >  
         < D A L i n k I D > d 1 d 9 3 d d 8 - 8 4 2 8 - 4 5 f 9 - a a f 9 - b 8 e d 9 4 5 c 8 5 1 d < / D A L i n k I D >  
         < L i n k T y p e > 0 < / L i n k T y p e >  
         < P a r a m e t e r s / >  
         < I n c l u d e A l l I t e m s > f a l s e < / I n c l u d e A l l I t e m s >  
         < A c t i v e > t r u e < / A c t i v e >  
         < P r o t e c t e d L i n k > f a l s e < / P r o t e c t e d L i n k >  
         < N a m e > 2 8 1 0 1   T B   @   3 1 . 1 2 . 2 0 2 0   5 9 1 x   F i n a l < / N a m e >  
         < E n t i t y E n u m > 9 < / E n t i t y E n u m >  
         < I t e m O r d e r L i s t / >  
         < S e l e c t e d I t e m L i s t / >  
         < S e l e c t e d C o l u m n L i s t / >  
         < H a s V a l u e > t r u e < / H a s V a l u e >  
         < T B C h a r t I D > 3 0 0 1 4 7 8 6 4 3 4 0 0 0 0 0 4 9 4 < / T B C h a r t I D >  
         < C o n s o l i d a t e d C o m p a n y I D   x s i : n i l = " t r u e " / >  
         < T B D o c u m e n t I D > 3 0 0 1 4 7 8 6 4 3 4 0 0 0 0 0 0 9 9 < / T B D o c u m e n t I D >  
         < N u m e r i c V a l u e > 3 0 8 7 . 0 0 0 0 < / N u m e r i c V a l u e >  
         < V a l u e > 3 0 8 7 , 0 0 0 0 < / V a l u e >  
         < C h a r t T y p e > c t D e t a i l < / C h a r t T y p e >  
         < R e f e r e n c e > 2 8 1 0 1 < / R e f e r e n c e >  
         < T B D o c N a m e > T B   @   3 1 . 1 2 . 2 0 2 0 < / T B D o c N a m e >  
         < T B C h a r t N a m e > D e t a i l < / T B C h a r t N a m e >  
         < C o l u m n N a m e > F i n a l B a l a n c e < / C o l u m n N a m e >  
         < U s e r F r i e n d l y C o l u m n N a m e > F i n a l < / U s e r F r i e n d l y C o l u m n N a m e >  
         < A c c o u n t N u m b e r > 5 9 1 x < / A c c o u n t N u m b e r >  
         < R o u n d e d > f a l s e < / R o u n d e d >  
     < / T B L i n k >  
     < T B L i n k >  
         < V e r s i o n > 4 < / V e r s i o n >  
         < C o l u m n F i l t e r s / >  
         < D A L i n k I D > f 6 e 8 8 c 5 d - 9 0 d 0 - 4 d a 4 - b 6 2 9 - a 5 e 0 c 5 1 b 5 e 8 b < / D A L i n k I D >  
         < L i n k T y p e > 0 < / L i n k T y p e >  
         < P a r a m e t e r s / >  
         < I n c l u d e A l l I t e m s > f a l s e < / I n c l u d e A l l I t e m s >  
         < A c t i v e > t r u e < / A c t i v e >  
         < P r o t e c t e d L i n k > f a l s e < / P r o t e c t e d L i n k >  
         < N a m e > 2 8 1 0 1   T B   @   3 1 . 1 2 . 2 0 2 0   5 9 2 x   F i n a l < / N a m e >  
         < E n t i t y E n u m > 9 < / E n t i t y E n u m >  
         < I t e m O r d e r L i s t / >  
         < S e l e c t e d I t e m L i s t / >  
         < S e l e c t e d C o l u m n L i s t / >  
         < H a s V a l u e > t r u e < / H a s V a l u e >  
         < T B C h a r t I D > 3 0 0 1 4 7 8 6 4 3 4 0 0 0 0 0 4 9 4 < / T B C h a r t I D >  
         < C o n s o l i d a t e d C o m p a n y I D   x s i : n i l = " t r u e " / >  
         < T B D o c u m e n t I D > 3 0 0 1 4 7 8 6 4 3 4 0 0 0 0 0 0 9 9 < / T B D o c u m e n t I D >  
         < N u m e r i c V a l u e > 2 8 0 6 5 . 0 0 0 0 < / N u m e r i c V a l u e >  
         < V a l u e > 2 8 0 6 5 , 0 0 0 0 < / V a l u e >  
         < C h a r t T y p e > c t D e t a i l < / C h a r t T y p e >  
         < R e f e r e n c e > 2 8 1 0 1 < / R e f e r e n c e >  
         < T B D o c N a m e > T B   @   3 1 . 1 2 . 2 0 2 0 < / T B D o c N a m e >  
         < T B C h a r t N a m e > D e t a i l < / T B C h a r t N a m e >  
         < C o l u m n N a m e > F i n a l B a l a n c e < / C o l u m n N a m e >  
         < U s e r F r i e n d l y C o l u m n N a m e > F i n a l < / U s e r F r i e n d l y C o l u m n N a m e >  
         < A c c o u n t N u m b e r > 5 9 2 x < / A c c o u n t N u m b e r >  
         < R o u n d e d > f a l s e < / R o u n d e d >  
     < / T B L i n k >  
     < T B L i n k >  
         < V e r s i o n > 4 < / V e r s i o n >  
         < C o l u m n F i l t e r s / >  
         < D A L i n k I D > a 6 e c 6 7 c e - 3 5 7 1 - 4 0 5 a - b 7 d 9 - 3 8 f a 7 a 9 9 f 6 6 8 < / D A L i n k I D >  
         < L i n k T y p e > 0 < / L i n k T y p e >  
         < P a r a m e t e r s / >  
         < I n c l u d e A l l I t e m s > f a l s e < / I n c l u d e A l l I t e m s >  
         < A c t i v e > t r u e < / A c t i v e >  
         < P r o t e c t e d L i n k > f a l s e < / P r o t e c t e d L i n k >  
         < N a m e > 2 8 1 0 1   T B   @   3 1 . 1 2 . 2 0 2 0   5 9 5 x 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 5 9 5 x < / A c c o u n t N u m b e r >  
         < R o u n d e d > f a l s e < / R o u n d e d >  
     < / T B L i n k >  
     < T B L i n k >  
         < V e r s i o n > 4 < / V e r s i o n >  
         < C o l u m n F i l t e r s / >  
         < D A L i n k I D > f 0 3 1 e 9 c 4 - b 6 d c - 4 3 1 1 - a 1 5 5 - 9 0 1 0 3 5 3 9 3 c c 4 < / D A L i n k I D >  
         < L i n k T y p e > 0 < / L i n k T y p e >  
         < P a r a m e t e r s / >  
         < I n c l u d e A l l I t e m s > f a l s e < / I n c l u d e A l l I t e m s >  
         < A c t i v e > t r u e < / A c t i v e >  
         < P r o t e c t e d L i n k > f a l s e < / P r o t e c t e d L i n k >  
         < N a m e > 2 8 1 0 1   T B   @   3 1 . 1 2 . 2 0 2 0   5 9 6 x 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 5 9 6 x < / A c c o u n t N u m b e r >  
         < R o u n d e d > f a l s e < / R o u n d e d >  
     < / T B L i n k >  
     < T B L i n k >  
         < V e r s i o n > 4 < / V e r s i o n >  
         < C o l u m n F i l t e r s / >  
         < D A L i n k I D > f 2 9 3 4 8 9 d - 8 4 a b - 4 2 2 1 - b 5 1 4 - 8 5 7 d a a d 9 9 9 0 c < / D A L i n k I D >  
         < L i n k T y p e > 0 < / L i n k T y p e >  
         < P a r a m e t e r s / >  
         < I n c l u d e A l l I t e m s > f a l s e < / I n c l u d e A l l I t e m s >  
         < A c t i v e > t r u e < / A c t i v e >  
         < P r o t e c t e d L i n k > f a l s e < / P r o t e c t e d L i n k >  
         < N a m e > 2 8 1 0 1   T B   @   3 1 . 1 2 . 2 0 2 0   6 0 1 a   F i n a l < / N a m e >  
         < E n t i t y E n u m > 9 < / E n t i t y E n u m >  
         < I t e m O r d e r L i s t / >  
         < S e l e c t e d I t e m L i s t / >  
         < S e l e c t e d C o l u m n L i s t / >  
         < H a s V a l u e > t r u e < / H a s V a l u e >  
         < T B C h a r t I D > 3 0 0 1 4 7 8 6 4 3 4 0 0 0 0 0 4 9 4 < / T B C h a r t I D >  
         < C o n s o l i d a t e d C o m p a n y I D   x s i : n i l = " t r u e " / >  
         < T B D o c u m e n t I D > 3 0 0 1 4 7 8 6 4 3 4 0 0 0 0 0 0 9 9 < / T B D o c u m e n t I D >  
         < N u m e r i c V a l u e > - 3 4 3 3 7 8 4 . 0 0 0 0 < / N u m e r i c V a l u e >  
         < V a l u e > - 3 4 3 3 7 8 4 , 0 0 0 0 < / V a l u e >  
         < C h a r t T y p e > c t D e t a i l < / C h a r t T y p e >  
         < R e f e r e n c e > 2 8 1 0 1 < / R e f e r e n c e >  
         < T B D o c N a m e > T B   @   3 1 . 1 2 . 2 0 2 0 < / T B D o c N a m e >  
         < T B C h a r t N a m e > D e t a i l < / T B C h a r t N a m e >  
         < C o l u m n N a m e > F i n a l B a l a n c e < / C o l u m n N a m e >  
         < U s e r F r i e n d l y C o l u m n N a m e > F i n a l < / U s e r F r i e n d l y C o l u m n N a m e >  
         < A c c o u n t N u m b e r > 6 0 1 a < / A c c o u n t N u m b e r >  
         < R o u n d e d > f a l s e < / R o u n d e d >  
     < / T B L i n k >  
     < T B L i n k >  
         < V e r s i o n > 4 < / V e r s i o n >  
         < C o l u m n F i l t e r s / >  
         < D A L i n k I D > 2 b d d c 8 8 7 - d 3 6 3 - 4 6 3 c - 8 5 c 0 - 0 8 2 7 d d 7 e 9 6 4 e < / D A L i n k I D >  
         < L i n k T y p e > 0 < / L i n k T y p e >  
         < P a r a m e t e r s / >  
         < I n c l u d e A l l I t e m s > f a l s e < / I n c l u d e A l l I t e m s >  
         < A c t i v e > t r u e < / A c t i v e >  
         < P r o t e c t e d L i n k > f a l s e < / P r o t e c t e d L i n k >  
         < N a m e > 2 8 1 0 1   T B   @   3 1 . 1 2 . 2 0 2 0   6 0 1 b   F i n a l < / N a m e >  
         < E n t i t y E n u m > 9 < / E n t i t y E n u m >  
         < I t e m O r d e r L i s t / >  
         < S e l e c t e d I t e m L i s t / >  
         < S e l e c t e d C o l u m n L i s t / >  
         < H a s V a l u e > t r u e < / H a s V a l u e >  
         < T B C h a r t I D > 3 0 0 1 4 7 8 6 4 3 4 0 0 0 0 0 4 9 4 < / T B C h a r t I D >  
         < C o n s o l i d a t e d C o m p a n y I D   x s i : n i l = " t r u e " / >  
         < T B D o c u m e n t I D > 3 0 0 1 4 7 8 6 4 3 4 0 0 0 0 0 0 9 9 < / T B D o c u m e n t I D >  
         < N u m e r i c V a l u e > - 1 2 2 0 0 8 . 0 0 0 0 < / N u m e r i c V a l u e >  
         < V a l u e > - 1 2 2 0 0 8 , 0 0 0 0 < / V a l u e >  
         < C h a r t T y p e > c t D e t a i l < / C h a r t T y p e >  
         < R e f e r e n c e > 2 8 1 0 1 < / R e f e r e n c e >  
         < T B D o c N a m e > T B   @   3 1 . 1 2 . 2 0 2 0 < / T B D o c N a m e >  
         < T B C h a r t N a m e > D e t a i l < / T B C h a r t N a m e >  
         < C o l u m n N a m e > F i n a l B a l a n c e < / C o l u m n N a m e >  
         < U s e r F r i e n d l y C o l u m n N a m e > F i n a l < / U s e r F r i e n d l y C o l u m n N a m e >  
         < A c c o u n t N u m b e r > 6 0 1 b < / A c c o u n t N u m b e r >  
         < R o u n d e d > f a l s e < / R o u n d e d >  
     < / T B L i n k >  
     < T B L i n k >  
         < V e r s i o n > 4 < / V e r s i o n >  
         < C o l u m n F i l t e r s / >  
         < D A L i n k I D > 8 6 3 0 c e 4 5 - c 0 e 2 - 4 d e 6 - 9 4 2 c - 3 1 a 0 9 a d b 8 2 0 1 < / D A L i n k I D >  
         < L i n k T y p e > 0 < / L i n k T y p e >  
         < P a r a m e t e r s / >  
         < I n c l u d e A l l I t e m s > f a l s e < / I n c l u d e A l l I t e m s >  
         < A c t i v e > t r u e < / A c t i v e >  
         < P r o t e c t e d L i n k > f a l s e < / P r o t e c t e d L i n k >  
         < N a m e > 2 8 1 0 1   T B   @   3 1 . 1 2 . 2 0 2 0   6 0 1 c   F i n a l < / N a m e >  
         < E n t i t y E n u m > 9 < / E n t i t y E n u m >  
         < I t e m O r d e r L i s t / >  
         < S e l e c t e d I t e m L i s t / >  
         < S e l e c t e d C o l u m n L i s t / >  
         < H a s V a l u e > t r u e < / H a s V a l u e >  
         < T B C h a r t I D > 3 0 0 1 4 7 8 6 4 3 4 0 0 0 0 0 4 9 4 < / T B C h a r t I D >  
         < C o n s o l i d a t e d C o m p a n y I D   x s i : n i l = " t r u e " / >  
         < T B D o c u m e n t I D > 3 0 0 1 4 7 8 6 4 3 4 0 0 0 0 0 0 9 9 < / T B D o c u m e n t I D >  
         < N u m e r i c V a l u e > - 4 0 2 6 6 . 0 0 0 0 < / N u m e r i c V a l u e >  
         < V a l u e > - 4 0 2 6 6 , 0 0 0 0 < / V a l u e >  
         < C h a r t T y p e > c t D e t a i l < / C h a r t T y p e >  
         < R e f e r e n c e > 2 8 1 0 1 < / R e f e r e n c e >  
         < T B D o c N a m e > T B   @   3 1 . 1 2 . 2 0 2 0 < / T B D o c N a m e >  
         < T B C h a r t N a m e > D e t a i l < / T B C h a r t N a m e >  
         < C o l u m n N a m e > F i n a l B a l a n c e < / C o l u m n N a m e >  
         < U s e r F r i e n d l y C o l u m n N a m e > F i n a l < / U s e r F r i e n d l y C o l u m n N a m e >  
         < A c c o u n t N u m b e r > 6 0 1 c < / A c c o u n t N u m b e r >  
         < R o u n d e d > f a l s e < / R o u n d e d >  
     < / T B L i n k >  
     < T B L i n k >  
         < V e r s i o n > 4 < / V e r s i o n >  
         < C o l u m n F i l t e r s / >  
         < D A L i n k I D > 3 e c 2 3 4 0 5 - 5 5 b a - 4 7 5 0 - a 9 6 9 - d 7 8 7 7 7 2 1 d 2 1 d < / D A L i n k I D >  
         < L i n k T y p e > 0 < / L i n k T y p e >  
         < P a r a m e t e r s / >  
         < I n c l u d e A l l I t e m s > f a l s e < / I n c l u d e A l l I t e m s >  
         < A c t i v e > t r u e < / A c t i v e >  
         < P r o t e c t e d L i n k > f a l s e < / P r o t e c t e d L i n k >  
         < N a m e > 2 8 1 0 1   T B   @   3 1 . 1 2 . 2 0 2 0   6 0 1 d 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 6 0 1 d < / A c c o u n t N u m b e r >  
         < R o u n d e d > f a l s e < / R o u n d e d >  
     < / T B L i n k >  
     < T B L i n k >  
         < V e r s i o n > 4 < / V e r s i o n >  
         < C o l u m n F i l t e r s / >  
         < D A L i n k I D > d 5 b b d 3 e 9 - 0 7 1 2 - 4 4 6 e - 8 b 4 2 - 6 c f 9 3 0 6 1 d 1 9 5 < / D A L i n k I D >  
         < L i n k T y p e > 0 < / L i n k T y p e >  
         < P a r a m e t e r s / >  
         < I n c l u d e A l l I t e m s > f a l s e < / I n c l u d e A l l I t e m s >  
         < A c t i v e > t r u e < / A c t i v e >  
         < P r o t e c t e d L i n k > f a l s e < / P r o t e c t e d L i n k >  
         < N a m e > 2 8 1 0 1   T B   @   3 1 . 1 2 . 2 0 2 0   6 0 1 e 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 6 0 1 e < / A c c o u n t N u m b e r >  
         < R o u n d e d > f a l s e < / R o u n d e d >  
     < / T B L i n k >  
     < T B L i n k >  
         < V e r s i o n > 4 < / V e r s i o n >  
         < C o l u m n F i l t e r s / >  
         < D A L i n k I D > c d f 4 8 0 2 d - a d 0 4 - 4 3 4 8 - a b 7 c - 7 8 0 c c b e 6 4 c 0 2 < / D A L i n k I D >  
         < L i n k T y p e > 0 < / L i n k T y p e >  
         < P a r a m e t e r s / >  
         < I n c l u d e A l l I t e m s > f a l s e < / I n c l u d e A l l I t e m s >  
         < A c t i v e > t r u e < / A c t i v e >  
         < P r o t e c t e d L i n k > f a l s e < / P r o t e c t e d L i n k >  
         < N a m e > 2 8 1 0 1   T B   @   3 1 . 1 2 . 2 0 2 0   6 0 2 a   F i n a l < / N a m e >  
         < E n t i t y E n u m > 9 < / E n t i t y E n u m >  
         < I t e m O r d e r L i s t / >  
         < S e l e c t e d I t e m L i s t / >  
         < S e l e c t e d C o l u m n L i s t / >  
         < H a s V a l u e > t r u e < / H a s V a l u e >  
         < T B C h a r t I D > 3 0 0 1 4 7 8 6 4 3 4 0 0 0 0 0 4 9 4 < / T B C h a r t I D >  
         < C o n s o l i d a t e d C o m p a n y I D   x s i : n i l = " t r u e " / >  
         < T B D o c u m e n t I D > 3 0 0 1 4 7 8 6 4 3 4 0 0 0 0 0 0 9 9 < / T B D o c u m e n t I D >  
         < N u m e r i c V a l u e > - 2 0 4 7 9 9 . 0 0 0 0 < / N u m e r i c V a l u e >  
         < V a l u e > - 2 0 4 7 9 9 , 0 0 0 0 < / V a l u e >  
         < C h a r t T y p e > c t D e t a i l < / C h a r t T y p e >  
         < R e f e r e n c e > 2 8 1 0 1 < / R e f e r e n c e >  
         < T B D o c N a m e > T B   @   3 1 . 1 2 . 2 0 2 0 < / T B D o c N a m e >  
         < T B C h a r t N a m e > D e t a i l < / T B C h a r t N a m e >  
         < C o l u m n N a m e > F i n a l B a l a n c e < / C o l u m n N a m e >  
         < U s e r F r i e n d l y C o l u m n N a m e > F i n a l < / U s e r F r i e n d l y C o l u m n N a m e >  
         < A c c o u n t N u m b e r > 6 0 2 a < / A c c o u n t N u m b e r >  
         < R o u n d e d > f a l s e < / R o u n d e d >  
     < / T B L i n k >  
     < T B L i n k >  
         < V e r s i o n > 4 < / V e r s i o n >  
         < C o l u m n F i l t e r s / >  
         < D A L i n k I D > 7 6 3 2 7 5 7 5 - 6 e 7 a - 4 0 9 4 - 9 d 7 a - 1 c 0 2 b 8 8 3 1 e 0 0 < / D A L i n k I D >  
         < L i n k T y p e > 0 < / L i n k T y p e >  
         < P a r a m e t e r s / >  
         < I n c l u d e A l l I t e m s > f a l s e < / I n c l u d e A l l I t e m s >  
         < A c t i v e > t r u e < / A c t i v e >  
         < P r o t e c t e d L i n k > f a l s e < / P r o t e c t e d L i n k >  
         < N a m e > 2 8 1 0 1   T B   @   3 1 . 1 2 . 2 0 2 0   6 0 2 b   F i n a l < / N a m e >  
         < E n t i t y E n u m > 9 < / E n t i t y E n u m >  
         < I t e m O r d e r L i s t / >  
         < S e l e c t e d I t e m L i s t / >  
         < S e l e c t e d C o l u m n L i s t / >  
         < H a s V a l u e > t r u e < / H a s V a l u e >  
         < T B C h a r t I D > 3 0 0 1 4 7 8 6 4 3 4 0 0 0 0 0 4 9 4 < / T B C h a r t I D >  
         < C o n s o l i d a t e d C o m p a n y I D   x s i : n i l = " t r u e " / >  
         < T B D o c u m e n t I D > 3 0 0 1 4 7 8 6 4 3 4 0 0 0 0 0 0 9 9 < / T B D o c u m e n t I D >  
         < N u m e r i c V a l u e > - 1 0 4 2 8 7 . 0 0 0 0 < / N u m e r i c V a l u e >  
         < V a l u e > - 1 0 4 2 8 7 , 0 0 0 0 < / V a l u e >  
         < C h a r t T y p e > c t D e t a i l < / C h a r t T y p e >  
         < R e f e r e n c e > 2 8 1 0 1 < / R e f e r e n c e >  
         < T B D o c N a m e > T B   @   3 1 . 1 2 . 2 0 2 0 < / T B D o c N a m e >  
         < T B C h a r t N a m e > D e t a i l < / T B C h a r t N a m e >  
         < C o l u m n N a m e > F i n a l B a l a n c e < / C o l u m n N a m e >  
         < U s e r F r i e n d l y C o l u m n N a m e > F i n a l < / U s e r F r i e n d l y C o l u m n N a m e >  
         < A c c o u n t N u m b e r > 6 0 2 b < / A c c o u n t N u m b e r >  
         < R o u n d e d > f a l s e < / R o u n d e d >  
     < / T B L i n k >  
     < T B L i n k >  
         < V e r s i o n > 4 < / V e r s i o n >  
         < C o l u m n F i l t e r s / >  
         < D A L i n k I D > f e 3 9 e 6 a 9 - 3 c e 6 - 4 0 7 5 - 9 8 f 3 - 9 2 b d 1 f 7 a 0 0 c 9 < / D A L i n k I D >  
         < L i n k T y p e > 0 < / L i n k T y p e >  
         < P a r a m e t e r s / >  
         < I n c l u d e A l l I t e m s > f a l s e < / I n c l u d e A l l I t e m s >  
         < A c t i v e > t r u e < / A c t i v e >  
         < P r o t e c t e d L i n k > f a l s e < / P r o t e c t e d L i n k >  
         < N a m e > 2 8 1 0 1   T B   @   3 1 . 1 2 . 2 0 2 0   6 0 2 c   F i n a l < / N a m e >  
         < E n t i t y E n u m > 9 < / E n t i t y E n u m >  
         < I t e m O r d e r L i s t / >  
         < S e l e c t e d I t e m L i s t / >  
         < S e l e c t e d C o l u m n L i s t / >  
         < H a s V a l u e > t r u e < / H a s V a l u e >  
         < T B C h a r t I D > 3 0 0 1 4 7 8 6 4 3 4 0 0 0 0 0 4 9 4 < / T B C h a r t I D >  
         < C o n s o l i d a t e d C o m p a n y I D   x s i : n i l = " t r u e " / >  
         < T B D o c u m e n t I D > 3 0 0 1 4 7 8 6 4 3 4 0 0 0 0 0 0 9 9 < / T B D o c u m e n t I D >  
         < N u m e r i c V a l u e > - 7 9 3 8 . 0 0 0 0 < / N u m e r i c V a l u e >  
         < V a l u e > - 7 9 3 8 , 0 0 0 0 < / V a l u e >  
         < C h a r t T y p e > c t D e t a i l < / C h a r t T y p e >  
         < R e f e r e n c e > 2 8 1 0 1 < / R e f e r e n c e >  
         < T B D o c N a m e > T B   @   3 1 . 1 2 . 2 0 2 0 < / T B D o c N a m e >  
         < T B C h a r t N a m e > D e t a i l < / T B C h a r t N a m e >  
         < C o l u m n N a m e > F i n a l B a l a n c e < / C o l u m n N a m e >  
         < U s e r F r i e n d l y C o l u m n N a m e > F i n a l < / U s e r F r i e n d l y C o l u m n N a m e >  
         < A c c o u n t N u m b e r > 6 0 2 c < / A c c o u n t N u m b e r >  
         < R o u n d e d > f a l s e < / R o u n d e d >  
     < / T B L i n k >  
     < T B L i n k >  
         < V e r s i o n > 4 < / V e r s i o n >  
         < C o l u m n F i l t e r s / >  
         < D A L i n k I D > 6 4 b d d 4 e 9 - 8 5 5 f - 4 7 d d - a 4 0 a - 2 0 b d 2 c 0 4 9 5 4 3 < / D A L i n k I D >  
         < L i n k T y p e > 0 < / L i n k T y p e >  
         < P a r a m e t e r s / >  
         < I n c l u d e A l l I t e m s > f a l s e < / I n c l u d e A l l I t e m s >  
         < A c t i v e > t r u e < / A c t i v e >  
         < P r o t e c t e d L i n k > f a l s e < / P r o t e c t e d L i n k >  
         < N a m e > 2 8 1 0 1   T B   @   3 1 . 1 2 . 2 0 2 0   6 0 2 d 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 6 0 2 d < / A c c o u n t N u m b e r >  
         < R o u n d e d > f a l s e < / R o u n d e d >  
     < / T B L i n k >  
     < T B L i n k >  
         < V e r s i o n > 4 < / V e r s i o n >  
         < C o l u m n F i l t e r s / >  
         < D A L i n k I D > 4 d 9 f 5 1 2 9 - c c e 8 - 4 8 2 b - a 7 e 7 - f 3 a 9 4 c 8 5 5 6 e d < / D A L i n k I D >  
         < L i n k T y p e > 0 < / L i n k T y p e >  
         < P a r a m e t e r s / >  
         < I n c l u d e A l l I t e m s > f a l s e < / I n c l u d e A l l I t e m s >  
         < A c t i v e > t r u e < / A c t i v e >  
         < P r o t e c t e d L i n k > f a l s e < / P r o t e c t e d L i n k >  
         < N a m e > 2 8 1 0 1   T B   @   3 1 . 1 2 . 2 0 2 0   6 0 2 e 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 6 0 2 e < / A c c o u n t N u m b e r >  
         < R o u n d e d > f a l s e < / R o u n d e d >  
     < / T B L i n k >  
     < T B L i n k >  
         < V e r s i o n > 4 < / V e r s i o n >  
         < C o l u m n F i l t e r s / >  
         < D A L i n k I D > d 6 d 5 e 4 8 7 - b 6 a e - 4 4 9 9 - 8 2 b 1 - 1 3 8 e a 9 8 6 7 6 1 0 < / D A L i n k I D >  
         < L i n k T y p e > 0 < / L i n k T y p e >  
         < P a r a m e t e r s / >  
         < I n c l u d e A l l I t e m s > f a l s e < / I n c l u d e A l l I t e m s >  
         < A c t i v e > t r u e < / A c t i v e >  
         < P r o t e c t e d L i n k > f a l s e < / P r o t e c t e d L i n k >  
         < N a m e > 2 8 1 0 1   T B   @   3 1 . 1 2 . 2 0 2 0   6 0 4 a   F i n a l < / N a m e >  
         < E n t i t y E n u m > 9 < / E n t i t y E n u m >  
         < I t e m O r d e r L i s t / >  
         < S e l e c t e d I t e m L i s t / >  
         < S e l e c t e d C o l u m n L i s t / >  
         < H a s V a l u e > t r u e < / H a s V a l u e >  
         < T B C h a r t I D > 3 0 0 1 4 7 8 6 4 3 4 0 0 0 0 0 4 9 4 < / T B C h a r t I D >  
         < C o n s o l i d a t e d C o m p a n y I D   x s i : n i l = " t r u e " / >  
         < T B D o c u m e n t I D > 3 0 0 1 4 7 8 6 4 3 4 0 0 0 0 0 0 9 9 < / T B D o c u m e n t I D >  
         < N u m e r i c V a l u e > - 2 5 8 0 . 0 0 0 0 < / N u m e r i c V a l u e >  
         < V a l u e > - 2 5 8 0 , 0 0 0 0 < / V a l u e >  
         < C h a r t T y p e > c t D e t a i l < / C h a r t T y p e >  
         < R e f e r e n c e > 2 8 1 0 1 < / R e f e r e n c e >  
         < T B D o c N a m e > T B   @   3 1 . 1 2 . 2 0 2 0 < / T B D o c N a m e >  
         < T B C h a r t N a m e > D e t a i l < / T B C h a r t N a m e >  
         < C o l u m n N a m e > F i n a l B a l a n c e < / C o l u m n N a m e >  
         < U s e r F r i e n d l y C o l u m n N a m e > F i n a l < / U s e r F r i e n d l y C o l u m n N a m e >  
         < A c c o u n t N u m b e r > 6 0 4 a < / A c c o u n t N u m b e r >  
         < R o u n d e d > f a l s e < / R o u n d e d >  
     < / T B L i n k >  
     < T B L i n k >  
         < V e r s i o n > 4 < / V e r s i o n >  
         < C o l u m n F i l t e r s / >  
         < D A L i n k I D > 7 8 7 2 d a b d - 3 b 5 0 - 4 6 8 1 - b 7 0 a - 1 c 3 4 8 f c 2 0 4 0 d < / D A L i n k I D >  
         < L i n k T y p e > 0 < / L i n k T y p e >  
         < P a r a m e t e r s / >  
         < I n c l u d e A l l I t e m s > f a l s e < / I n c l u d e A l l I t e m s >  
         < A c t i v e > t r u e < / A c t i v e >  
         < P r o t e c t e d L i n k > f a l s e < / P r o t e c t e d L i n k >  
         < N a m e > 2 8 1 0 1   T B   @   3 1 . 1 2 . 2 0 2 0   6 0 4 b   F i n a l < / N a m e >  
         < E n t i t y E n u m > 9 < / E n t i t y E n u m >  
         < I t e m O r d e r L i s t / >  
         < S e l e c t e d I t e m L i s t / >  
         < S e l e c t e d C o l u m n L i s t / >  
         < H a s V a l u e > t r u e < / H a s V a l u e >  
         < T B C h a r t I D > 3 0 0 1 4 7 8 6 4 3 4 0 0 0 0 0 4 9 4 < / T B C h a r t I D >  
         < C o n s o l i d a t e d C o m p a n y I D   x s i : n i l = " t r u e " / >  
         < T B D o c u m e n t I D > 3 0 0 1 4 7 8 6 4 3 4 0 0 0 0 0 0 9 9 < / T B D o c u m e n t I D >  
         < N u m e r i c V a l u e > - 1 0 3 5 1 7 . 0 0 0 0 < / N u m e r i c V a l u e >  
         < V a l u e > - 1 0 3 5 1 7 , 0 0 0 0 < / V a l u e >  
         < C h a r t T y p e > c t D e t a i l < / C h a r t T y p e >  
         < R e f e r e n c e > 2 8 1 0 1 < / R e f e r e n c e >  
         < T B D o c N a m e > T B   @   3 1 . 1 2 . 2 0 2 0 < / T B D o c N a m e >  
         < T B C h a r t N a m e > D e t a i l < / T B C h a r t N a m e >  
         < C o l u m n N a m e > F i n a l B a l a n c e < / C o l u m n N a m e >  
         < U s e r F r i e n d l y C o l u m n N a m e > F i n a l < / U s e r F r i e n d l y C o l u m n N a m e >  
         < A c c o u n t N u m b e r > 6 0 4 b < / A c c o u n t N u m b e r >  
         < R o u n d e d > f a l s e < / R o u n d e d >  
     < / T B L i n k >  
     < T B L i n k >  
         < V e r s i o n > 4 < / V e r s i o n >  
         < C o l u m n F i l t e r s / >  
         < D A L i n k I D > 9 9 1 4 1 a 8 8 - 7 8 9 6 - 4 6 7 e - a 3 c b - 6 9 4 3 3 4 b a 2 2 c 3 < / D A L i n k I D >  
         < L i n k T y p e > 0 < / L i n k T y p e >  
         < P a r a m e t e r s / >  
         < I n c l u d e A l l I t e m s > f a l s e < / I n c l u d e A l l I t e m s >  
         < A c t i v e > t r u e < / A c t i v e >  
         < P r o t e c t e d L i n k > f a l s e < / P r o t e c t e d L i n k >  
         < N a m e > 2 8 1 0 1   T B   @   3 1 . 1 2 . 2 0 2 0   6 0 4 c   F i n a l < / N a m e >  
         < E n t i t y E n u m > 9 < / E n t i t y E n u m >  
         < I t e m O r d e r L i s t / >  
         < S e l e c t e d I t e m L i s t / >  
         < S e l e c t e d C o l u m n L i s t / >  
         < H a s V a l u e > t r u e < / H a s V a l u e >  
         < T B C h a r t I D > 3 0 0 1 4 7 8 6 4 3 4 0 0 0 0 0 4 9 4 < / T B C h a r t I D >  
         < C o n s o l i d a t e d C o m p a n y I D   x s i : n i l = " t r u e " / >  
         < T B D o c u m e n t I D > 3 0 0 1 4 7 8 6 4 3 4 0 0 0 0 0 0 9 9 < / T B D o c u m e n t I D >  
         < N u m e r i c V a l u e > - 1 2 0 2 0 1 4 . 0 0 0 0 < / N u m e r i c V a l u e >  
         < V a l u e > - 1 2 0 2 0 1 4 , 0 0 0 0 < / V a l u e >  
         < C h a r t T y p e > c t D e t a i l < / C h a r t T y p e >  
         < R e f e r e n c e > 2 8 1 0 1 < / R e f e r e n c e >  
         < T B D o c N a m e > T B   @   3 1 . 1 2 . 2 0 2 0 < / T B D o c N a m e >  
         < T B C h a r t N a m e > D e t a i l < / T B C h a r t N a m e >  
         < C o l u m n N a m e > F i n a l B a l a n c e < / C o l u m n N a m e >  
         < U s e r F r i e n d l y C o l u m n N a m e > F i n a l < / U s e r F r i e n d l y C o l u m n N a m e >  
         < A c c o u n t N u m b e r > 6 0 4 c < / A c c o u n t N u m b e r >  
         < R o u n d e d > f a l s e < / R o u n d e d >  
     < / T B L i n k >  
     < T B L i n k >  
         < V e r s i o n > 4 < / V e r s i o n >  
         < C o l u m n F i l t e r s / >  
         < D A L i n k I D > 4 0 1 d 9 c 6 4 - 6 0 3 0 - 4 f 2 1 - b 1 6 8 - b 1 d 3 4 e 8 0 6 5 f d < / D A L i n k I D >  
         < L i n k T y p e > 0 < / L i n k T y p e >  
         < P a r a m e t e r s / >  
         < I n c l u d e A l l I t e m s > f a l s e < / I n c l u d e A l l I t e m s >  
         < A c t i v e > t r u e < / A c t i v e >  
         < P r o t e c t e d L i n k > f a l s e < / P r o t e c t e d L i n k >  
         < N a m e > 2 8 1 0 1   T B   @   3 1 . 1 2 . 2 0 2 0   6 0 4 d 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 6 0 4 d < / A c c o u n t N u m b e r >  
         < R o u n d e d > f a l s e < / R o u n d e d >  
     < / T B L i n k >  
     < T B L i n k >  
         < V e r s i o n > 4 < / V e r s i o n >  
         < C o l u m n F i l t e r s / >  
         < D A L i n k I D > 6 b 8 d 6 e 4 3 - 5 1 3 5 - 4 4 1 6 - b 4 f a - a 4 9 8 1 6 e 2 3 b 5 6 < / D A L i n k I D >  
         < L i n k T y p e > 0 < / L i n k T y p e >  
         < P a r a m e t e r s / >  
         < I n c l u d e A l l I t e m s > f a l s e < / I n c l u d e A l l I t e m s >  
         < A c t i v e > t r u e < / A c t i v e >  
         < P r o t e c t e d L i n k > f a l s e < / P r o t e c t e d L i n k >  
         < N a m e > 2 8 1 0 1   T B   @   3 1 . 1 2 . 2 0 2 0   6 0 4 e 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 6 0 4 e < / A c c o u n t N u m b e r >  
         < R o u n d e d > f a l s e < / R o u n d e d >  
     < / T B L i n k >  
     < T B L i n k >  
         < V e r s i o n > 4 < / V e r s i o n >  
         < C o l u m n F i l t e r s / >  
         < D A L i n k I D > 9 0 f 2 d 2 e 3 - 5 f 2 4 - 4 5 f 2 - a 3 9 a - 9 3 5 3 4 e 9 6 e d 9 2 < / D A L i n k I D >  
         < L i n k T y p e > 0 < / L i n k T y p e >  
         < P a r a m e t e r s / >  
         < I n c l u d e A l l I t e m s > f a l s e < / I n c l u d e A l l I t e m s >  
         < A c t i v e > t r u e < / A c t i v e >  
         < P r o t e c t e d L i n k > f a l s e < / P r o t e c t e d L i n k >  
         < N a m e > 2 8 1 0 1   T B   @   3 1 . 1 2 . 2 0 2 0   6 0 6 x 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 6 0 6 x < / A c c o u n t N u m b e r >  
         < R o u n d e d > f a l s e < / R o u n d e d >  
     < / T B L i n k >  
     < T B L i n k >  
         < V e r s i o n > 4 < / V e r s i o n >  
         < C o l u m n F i l t e r s / >  
         < D A L i n k I D > 5 d 1 0 4 f 0 1 - 1 6 8 6 - 4 1 a e - 9 7 1 0 - 7 3 1 6 c 3 6 9 c 6 9 7 < / D A L i n k I D >  
         < L i n k T y p e > 0 < / L i n k T y p e >  
         < P a r a m e t e r s / >  
         < I n c l u d e A l l I t e m s > f a l s e < / I n c l u d e A l l I t e m s >  
         < A c t i v e > t r u e < / A c t i v e >  
         < P r o t e c t e d L i n k > f a l s e < / P r o t e c t e d L i n k >  
         < N a m e > 2 8 1 0 1   T B   @   3 1 . 1 2 . 2 0 2 0   6 0 7 x 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 6 0 7 x < / A c c o u n t N u m b e r >  
         < R o u n d e d > f a l s e < / R o u n d e d >  
     < / T B L i n k >  
     < T B L i n k >  
         < V e r s i o n > 4 < / V e r s i o n >  
         < C o l u m n F i l t e r s / >  
         < D A L i n k I D > a e 6 5 4 9 6 2 - e 3 a e - 4 5 c 8 - 9 5 b 0 - 3 f 0 2 c 6 3 9 4 5 4 5 < / D A L i n k I D >  
         < L i n k T y p e > 0 < / L i n k T y p e >  
         < P a r a m e t e r s / >  
         < I n c l u d e A l l I t e m s > f a l s e < / I n c l u d e A l l I t e m s >  
         < A c t i v e > t r u e < / A c t i v e >  
         < P r o t e c t e d L i n k > f a l s e < / P r o t e c t e d L i n k >  
         < N a m e > 2 8 1 0 1   T B   @   3 1 . 1 2 . 2 0 2 0   6 1 1 x   F i n a l < / N a m e >  
         < E n t i t y E n u m > 9 < / E n t i t y E n u m >  
         < I t e m O r d e r L i s t / >  
         < S e l e c t e d I t e m L i s t / >  
         < S e l e c t e d C o l u m n L i s t / >  
         < H a s V a l u e > t r u e < / H a s V a l u e >  
         < T B C h a r t I D > 3 0 0 1 4 7 8 6 4 3 4 0 0 0 0 0 4 9 4 < / T B C h a r t I D >  
         < C o n s o l i d a t e d C o m p a n y I D   x s i : n i l = " t r u e " / >  
         < T B D o c u m e n t I D > 3 0 0 1 4 7 8 6 4 3 4 0 0 0 0 0 0 9 9 < / T B D o c u m e n t I D >  
         < N u m e r i c V a l u e > - 3 9 7 4 5 5 . 0 0 0 0 < / N u m e r i c V a l u e >  
         < V a l u e > - 3 9 7 4 5 5 , 0 0 0 0 < / V a l u e >  
         < C h a r t T y p e > c t D e t a i l < / C h a r t T y p e >  
         < R e f e r e n c e > 2 8 1 0 1 < / R e f e r e n c e >  
         < T B D o c N a m e > T B   @   3 1 . 1 2 . 2 0 2 0 < / T B D o c N a m e >  
         < T B C h a r t N a m e > D e t a i l < / T B C h a r t N a m e >  
         < C o l u m n N a m e > F i n a l B a l a n c e < / C o l u m n N a m e >  
         < U s e r F r i e n d l y C o l u m n N a m e > F i n a l < / U s e r F r i e n d l y C o l u m n N a m e >  
         < A c c o u n t N u m b e r > 6 1 1 x < / A c c o u n t N u m b e r >  
         < R o u n d e d > f a l s e < / R o u n d e d >  
     < / T B L i n k >  
     < T B L i n k >  
         < V e r s i o n > 4 < / V e r s i o n >  
         < C o l u m n F i l t e r s / >  
         < D A L i n k I D > 8 2 1 8 0 1 f 1 - f c 3 a - 4 7 0 e - 9 1 9 d - b f 4 2 2 9 3 3 e c 7 f < / D A L i n k I D >  
         < L i n k T y p e > 0 < / L i n k T y p e >  
         < P a r a m e t e r s / >  
         < I n c l u d e A l l I t e m s > f a l s e < / I n c l u d e A l l I t e m s >  
         < A c t i v e > t r u e < / A c t i v e >  
         < P r o t e c t e d L i n k > f a l s e < / P r o t e c t e d L i n k >  
         < N a m e > 2 8 1 0 1   T B   @   3 1 . 1 2 . 2 0 2 0   6 1 2 x   F i n a l < / N a m e >  
         < E n t i t y E n u m > 9 < / E n t i t y E n u m >  
         < I t e m O r d e r L i s t / >  
         < S e l e c t e d I t e m L i s t / >  
         < S e l e c t e d C o l u m n L i s t / >  
         < H a s V a l u e > t r u e < / H a s V a l u e >  
         < T B C h a r t I D > 3 0 0 1 4 7 8 6 4 3 4 0 0 0 0 0 4 9 4 < / T B C h a r t I D >  
         < C o n s o l i d a t e d C o m p a n y I D   x s i : n i l = " t r u e " / >  
         < T B D o c u m e n t I D > 3 0 0 1 4 7 8 6 4 3 4 0 0 0 0 0 0 9 9 < / T B D o c u m e n t I D >  
         < N u m e r i c V a l u e > - 1 2 5 0 8 0 . 0 0 0 0 < / N u m e r i c V a l u e >  
         < V a l u e > - 1 2 5 0 8 0 , 0 0 0 0 < / V a l u e >  
         < C h a r t T y p e > c t D e t a i l < / C h a r t T y p e >  
         < R e f e r e n c e > 2 8 1 0 1 < / R e f e r e n c e >  
         < T B D o c N a m e > T B   @   3 1 . 1 2 . 2 0 2 0 < / T B D o c N a m e >  
         < T B C h a r t N a m e > D e t a i l < / T B C h a r t N a m e >  
         < C o l u m n N a m e > F i n a l B a l a n c e < / C o l u m n N a m e >  
         < U s e r F r i e n d l y C o l u m n N a m e > F i n a l < / U s e r F r i e n d l y C o l u m n N a m e >  
         < A c c o u n t N u m b e r > 6 1 2 x < / A c c o u n t N u m b e r >  
         < R o u n d e d > f a l s e < / R o u n d e d >  
     < / T B L i n k >  
     < T B L i n k >  
         < V e r s i o n > 4 < / V e r s i o n >  
         < C o l u m n F i l t e r s / >  
         < D A L i n k I D > 4 a 0 3 a c c 2 - 5 8 4 f - 4 0 0 a - a 0 2 a - 1 a 2 6 4 7 6 9 9 6 b c < / D A L i n k I D >  
         < L i n k T y p e > 0 < / L i n k T y p e >  
         < P a r a m e t e r s / >  
         < I n c l u d e A l l I t e m s > f a l s e < / I n c l u d e A l l I t e m s >  
         < A c t i v e > t r u e < / A c t i v e >  
         < P r o t e c t e d L i n k > f a l s e < / P r o t e c t e d L i n k >  
         < N a m e > 2 8 1 0 1   T B   @   3 1 . 1 2 . 2 0 2 0   6 1 3 x   F i n a l < / N a m e >  
         < E n t i t y E n u m > 9 < / E n t i t y E n u m >  
         < I t e m O r d e r L i s t / >  
         < S e l e c t e d I t e m L i s t / >  
         < S e l e c t e d C o l u m n L i s t / >  
         < H a s V a l u e > t r u e < / H a s V a l u e >  
         < T B C h a r t I D > 3 0 0 1 4 7 8 6 4 3 4 0 0 0 0 0 4 9 4 < / T B C h a r t I D >  
         < C o n s o l i d a t e d C o m p a n y I D   x s i : n i l = " t r u e " / >  
         < T B D o c u m e n t I D > 3 0 0 1 4 7 8 6 4 3 4 0 0 0 0 0 0 9 9 < / T B D o c u m e n t I D >  
         < N u m e r i c V a l u e > 1 1 3 3 3 4 . 0 0 0 0 < / N u m e r i c V a l u e >  
         < V a l u e > 1 1 3 3 3 4 , 0 0 0 0 < / V a l u e >  
         < C h a r t T y p e > c t D e t a i l < / C h a r t T y p e >  
         < R e f e r e n c e > 2 8 1 0 1 < / R e f e r e n c e >  
         < T B D o c N a m e > T B   @   3 1 . 1 2 . 2 0 2 0 < / T B D o c N a m e >  
         < T B C h a r t N a m e > D e t a i l < / T B C h a r t N a m e >  
         < C o l u m n N a m e > F i n a l B a l a n c e < / C o l u m n N a m e >  
         < U s e r F r i e n d l y C o l u m n N a m e > F i n a l < / U s e r F r i e n d l y C o l u m n N a m e >  
         < A c c o u n t N u m b e r > 6 1 3 x < / A c c o u n t N u m b e r >  
         < R o u n d e d > f a l s e < / R o u n d e d >  
     < / T B L i n k >  
     < T B L i n k >  
         < V e r s i o n > 4 < / V e r s i o n >  
         < C o l u m n F i l t e r s / >  
         < D A L i n k I D > 3 2 9 7 f a 1 c - d 6 3 5 - 4 b d c - a 4 b a - a 6 5 7 9 f 8 7 e a c e < / D A L i n k I D >  
         < L i n k T y p e > 0 < / L i n k T y p e >  
         < P a r a m e t e r s / >  
         < I n c l u d e A l l I t e m s > f a l s e < / I n c l u d e A l l I t e m s >  
         < A c t i v e > t r u e < / A c t i v e >  
         < P r o t e c t e d L i n k > f a l s e < / P r o t e c t e d L i n k >  
         < N a m e > 2 8 1 0 1   T B   @   3 1 . 1 2 . 2 0 2 0   6 1 4 x 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 6 1 4 x < / A c c o u n t N u m b e r >  
         < R o u n d e d > f a l s e < / R o u n d e d >  
     < / T B L i n k >  
     < T B L i n k >  
         < V e r s i o n > 4 < / V e r s i o n >  
         < C o l u m n F i l t e r s / >  
         < D A L i n k I D > c 8 1 6 e e 8 9 - 1 9 3 6 - 4 7 2 e - 9 8 4 f - f f f 3 1 7 7 3 5 f 2 b < / D A L i n k I D >  
         < L i n k T y p e > 0 < / L i n k T y p e >  
         < P a r a m e t e r s / >  
         < I n c l u d e A l l I t e m s > f a l s e < / I n c l u d e A l l I t e m s >  
         < A c t i v e > t r u e < / A c t i v e >  
         < P r o t e c t e d L i n k > f a l s e < / P r o t e c t e d L i n k >  
         < N a m e > 2 8 1 0 1   T B   @   3 1 . 1 2 . 2 0 2 0   6 2 1 x   F i n a l < / N a m e >  
         < E n t i t y E n u m > 9 < / E n t i t y E n u m >  
         < I t e m O r d e r L i s t / >  
         < S e l e c t e d I t e m L i s t / >  
         < S e l e c t e d C o l u m n L i s t / >  
         < H a s V a l u e > t r u e < / H a s V a l u e >  
         < T B C h a r t I D > 3 0 0 1 4 7 8 6 4 3 4 0 0 0 0 0 4 9 4 < / T B C h a r t I D >  
         < C o n s o l i d a t e d C o m p a n y I D   x s i : n i l = " t r u e " / >  
         < T B D o c u m e n t I D > 3 0 0 1 4 7 8 6 4 3 4 0 0 0 0 0 0 9 9 < / T B D o c u m e n t I D >  
         < N u m e r i c V a l u e > - 3 9 . 0 0 0 0 < / N u m e r i c V a l u e >  
         < V a l u e > - 3 9 , 0 0 0 0 < / V a l u e >  
         < C h a r t T y p e > c t D e t a i l < / C h a r t T y p e >  
         < R e f e r e n c e > 2 8 1 0 1 < / R e f e r e n c e >  
         < T B D o c N a m e > T B   @   3 1 . 1 2 . 2 0 2 0 < / T B D o c N a m e >  
         < T B C h a r t N a m e > D e t a i l < / T B C h a r t N a m e >  
         < C o l u m n N a m e > F i n a l B a l a n c e < / C o l u m n N a m e >  
         < U s e r F r i e n d l y C o l u m n N a m e > F i n a l < / U s e r F r i e n d l y C o l u m n N a m e >  
         < A c c o u n t N u m b e r > 6 2 1 x < / A c c o u n t N u m b e r >  
         < R o u n d e d > f a l s e < / R o u n d e d >  
     < / T B L i n k >  
     < T B L i n k >  
         < V e r s i o n > 4 < / V e r s i o n >  
         < C o l u m n F i l t e r s / >  
         < D A L i n k I D > a 8 0 8 1 1 4 2 - b 2 1 7 - 4 5 5 c - 8 a a 0 - d b 3 e e f a 6 2 a b 3 < / D A L i n k I D >  
         < L i n k T y p e > 0 < / L i n k T y p e >  
         < P a r a m e t e r s / >  
         < I n c l u d e A l l I t e m s > f a l s e < / I n c l u d e A l l I t e m s >  
         < A c t i v e > t r u e < / A c t i v e >  
         < P r o t e c t e d L i n k > f a l s e < / P r o t e c t e d L i n k >  
         < N a m e > 2 8 1 0 1   T B   @   3 1 . 1 2 . 2 0 2 0   6 2 2 x 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 6 2 2 x < / A c c o u n t N u m b e r >  
         < R o u n d e d > f a l s e < / R o u n d e d >  
     < / T B L i n k >  
     < T B L i n k >  
         < V e r s i o n > 4 < / V e r s i o n >  
         < C o l u m n F i l t e r s / >  
         < D A L i n k I D > 4 b 3 8 9 5 7 5 - e a 2 b - 4 3 9 7 - 8 b 3 d - 6 6 d 8 b 8 9 b d f 9 1 < / D A L i n k I D >  
         < L i n k T y p e > 0 < / L i n k T y p e >  
         < P a r a m e t e r s / >  
         < I n c l u d e A l l I t e m s > f a l s e < / I n c l u d e A l l I t e m s >  
         < A c t i v e > t r u e < / A c t i v e >  
         < P r o t e c t e d L i n k > f a l s e < / P r o t e c t e d L i n k >  
         < N a m e > 2 8 1 0 1   T B   @   3 1 . 1 2 . 2 0 2 0   6 2 3 x 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 6 2 3 x < / A c c o u n t N u m b e r >  
         < R o u n d e d > f a l s e < / R o u n d e d >  
     < / T B L i n k >  
     < T B L i n k >  
         < V e r s i o n > 4 < / V e r s i o n >  
         < C o l u m n F i l t e r s / >  
         < D A L i n k I D > f 8 4 c b b 3 c - 6 c 6 b - 4 e f 9 - 9 1 1 0 - 8 5 1 2 3 a a c a 2 f 5 < / D A L i n k I D >  
         < L i n k T y p e > 0 < / L i n k T y p e >  
         < P a r a m e t e r s / >  
         < I n c l u d e A l l I t e m s > f a l s e < / I n c l u d e A l l I t e m s >  
         < A c t i v e > t r u e < / A c t i v e >  
         < P r o t e c t e d L i n k > f a l s e < / P r o t e c t e d L i n k >  
         < N a m e > 2 8 1 0 1   T B   @   3 1 . 1 2 . 2 0 2 0   6 2 4 x 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 6 2 4 x < / A c c o u n t N u m b e r >  
         < R o u n d e d > f a l s e < / R o u n d e d >  
     < / T B L i n k >  
     < T B L i n k >  
         < V e r s i o n > 4 < / V e r s i o n >  
         < C o l u m n F i l t e r s / >  
         < D A L i n k I D > 2 1 6 f 5 a b a - 8 9 c 0 - 4 0 1 f - 8 8 5 4 - 4 a 6 3 0 6 b e a 7 d 9 < / D A L i n k I D >  
         < L i n k T y p e > 0 < / L i n k T y p e >  
         < P a r a m e t e r s / >  
         < I n c l u d e A l l I t e m s > f a l s e < / I n c l u d e A l l I t e m s >  
         < A c t i v e > t r u e < / A c t i v e >  
         < P r o t e c t e d L i n k > f a l s e < / P r o t e c t e d L i n k >  
         < N a m e > 2 8 1 0 1   T B   @   3 1 . 1 2 . 2 0 2 0   6 4 1 x   F i n a l < / N a m e >  
         < E n t i t y E n u m > 9 < / E n t i t y E n u m >  
         < I t e m O r d e r L i s t / >  
         < S e l e c t e d I t e m L i s t / >  
         < S e l e c t e d C o l u m n L i s t / >  
         < H a s V a l u e > t r u e < / H a s V a l u e >  
         < T B C h a r t I D > 3 0 0 1 4 7 8 6 4 3 4 0 0 0 0 0 4 9 4 < / T B C h a r t I D >  
         < C o n s o l i d a t e d C o m p a n y I D   x s i : n i l = " t r u e " / >  
         < T B D o c u m e n t I D > 3 0 0 1 4 7 8 6 4 3 4 0 0 0 0 0 0 9 9 < / T B D o c u m e n t I D >  
         < N u m e r i c V a l u e > - 1 2 9 0 7 . 0 0 0 0 < / N u m e r i c V a l u e >  
         < V a l u e > - 1 2 9 0 7 , 0 0 0 0 < / V a l u e >  
         < C h a r t T y p e > c t D e t a i l < / C h a r t T y p e >  
         < R e f e r e n c e > 2 8 1 0 1 < / R e f e r e n c e >  
         < T B D o c N a m e > T B   @   3 1 . 1 2 . 2 0 2 0 < / T B D o c N a m e >  
         < T B C h a r t N a m e > D e t a i l < / T B C h a r t N a m e >  
         < C o l u m n N a m e > F i n a l B a l a n c e < / C o l u m n N a m e >  
         < U s e r F r i e n d l y C o l u m n N a m e > F i n a l < / U s e r F r i e n d l y C o l u m n N a m e >  
         < A c c o u n t N u m b e r > 6 4 1 x < / A c c o u n t N u m b e r >  
         < R o u n d e d > f a l s e < / R o u n d e d >  
     < / T B L i n k >  
     < T B L i n k >  
         < V e r s i o n > 4 < / V e r s i o n >  
         < C o l u m n F i l t e r s / >  
         < D A L i n k I D > 2 a 1 f 4 4 9 3 - b 1 d a - 4 3 d 1 - 9 2 4 2 - 2 4 7 c 4 f f 5 8 7 4 6 < / D A L i n k I D >  
         < L i n k T y p e > 0 < / L i n k T y p e >  
         < P a r a m e t e r s / >  
         < I n c l u d e A l l I t e m s > f a l s e < / I n c l u d e A l l I t e m s >  
         < A c t i v e > t r u e < / A c t i v e >  
         < P r o t e c t e d L i n k > f a l s e < / P r o t e c t e d L i n k >  
         < N a m e > 2 8 1 0 1   T B   @   3 1 . 1 2 . 2 0 2 0   6 4 2 x   F i n a l < / N a m e >  
         < E n t i t y E n u m > 9 < / E n t i t y E n u m >  
         < I t e m O r d e r L i s t / >  
         < S e l e c t e d I t e m L i s t / >  
         < S e l e c t e d C o l u m n L i s t / >  
         < H a s V a l u e > t r u e < / H a s V a l u e >  
         < T B C h a r t I D > 3 0 0 1 4 7 8 6 4 3 4 0 0 0 0 0 4 9 4 < / T B C h a r t I D >  
         < C o n s o l i d a t e d C o m p a n y I D   x s i : n i l = " t r u e " / >  
         < T B D o c u m e n t I D > 3 0 0 1 4 7 8 6 4 3 4 0 0 0 0 0 0 9 9 < / T B D o c u m e n t I D >  
         < N u m e r i c V a l u e > - 3 2 0 3 2 . 0 0 0 0 < / N u m e r i c V a l u e >  
         < V a l u e > - 3 2 0 3 2 , 0 0 0 0 < / V a l u e >  
         < C h a r t T y p e > c t D e t a i l < / C h a r t T y p e >  
         < R e f e r e n c e > 2 8 1 0 1 < / R e f e r e n c e >  
         < T B D o c N a m e > T B   @   3 1 . 1 2 . 2 0 2 0 < / T B D o c N a m e >  
         < T B C h a r t N a m e > D e t a i l < / T B C h a r t N a m e >  
         < C o l u m n N a m e > F i n a l B a l a n c e < / C o l u m n N a m e >  
         < U s e r F r i e n d l y C o l u m n N a m e > F i n a l < / U s e r F r i e n d l y C o l u m n N a m e >  
         < A c c o u n t N u m b e r > 6 4 2 x < / A c c o u n t N u m b e r >  
         < R o u n d e d > f a l s e < / R o u n d e d >  
     < / T B L i n k >  
     < T B L i n k >  
         < V e r s i o n > 4 < / V e r s i o n >  
         < C o l u m n F i l t e r s / >  
         < D A L i n k I D > 9 5 b f b c 8 0 - a 6 d f - 4 c b e - a 4 c 2 - e f f 0 3 2 c e d e a 4 < / D A L i n k I D >  
         < L i n k T y p e > 0 < / L i n k T y p e >  
         < P a r a m e t e r s / >  
         < I n c l u d e A l l I t e m s > f a l s e < / I n c l u d e A l l I t e m s >  
         < A c t i v e > t r u e < / A c t i v e >  
         < P r o t e c t e d L i n k > f a l s e < / P r o t e c t e d L i n k >  
         < N a m e > 2 8 1 0 1   T B   @   3 1 . 1 2 . 2 0 2 0   6 4 4 x 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 6 4 4 x < / A c c o u n t N u m b e r >  
         < R o u n d e d > f a l s e < / R o u n d e d >  
     < / T B L i n k >  
     < T B L i n k >  
         < V e r s i o n > 4 < / V e r s i o n >  
         < C o l u m n F i l t e r s / >  
         < D A L i n k I D > 2 8 5 c 8 6 b 2 - e 5 d 3 - 4 1 1 2 - b 1 e 5 - a e 8 6 3 9 a 1 b 4 3 8 < / D A L i n k I D >  
         < L i n k T y p e > 0 < / L i n k T y p e >  
         < P a r a m e t e r s / >  
         < I n c l u d e A l l I t e m s > f a l s e < / I n c l u d e A l l I t e m s >  
         < A c t i v e > t r u e < / A c t i v e >  
         < P r o t e c t e d L i n k > f a l s e < / P r o t e c t e d L i n k >  
         < N a m e > 2 8 1 0 1   T B   @   3 1 . 1 2 . 2 0 2 0   6 4 5 x 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 6 4 5 x < / A c c o u n t N u m b e r >  
         < R o u n d e d > f a l s e < / R o u n d e d >  
     < / T B L i n k >  
     < T B L i n k >  
         < V e r s i o n > 4 < / V e r s i o n >  
         < C o l u m n F i l t e r s / >  
         < D A L i n k I D > 0 8 0 7 0 3 b 6 - 9 e d 3 - 4 5 b 5 - 9 e 4 c - f f e 9 0 4 f 8 9 a 1 9 < / D A L i n k I D >  
         < L i n k T y p e > 0 < / L i n k T y p e >  
         < P a r a m e t e r s / >  
         < I n c l u d e A l l I t e m s > f a l s e < / I n c l u d e A l l I t e m s >  
         < A c t i v e > t r u e < / A c t i v e >  
         < P r o t e c t e d L i n k > f a l s e < / P r o t e c t e d L i n k >  
         < N a m e > 2 8 1 0 1   T B   @   3 1 . 1 2 . 2 0 2 0   6 4 6 x 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 6 4 6 x < / A c c o u n t N u m b e r >  
         < R o u n d e d > f a l s e < / R o u n d e d >  
     < / T B L i n k >  
     < T B L i n k >  
         < V e r s i o n > 4 < / V e r s i o n >  
         < C o l u m n F i l t e r s / >  
         < D A L i n k I D > a a a a c d 5 0 - 9 3 d 0 - 4 7 6 8 - 8 5 2 5 - 2 5 4 c 8 e 6 6 7 5 4 e < / D A L i n k I D >  
         < L i n k T y p e > 0 < / L i n k T y p e >  
         < P a r a m e t e r s / >  
         < I n c l u d e A l l I t e m s > f a l s e < / I n c l u d e A l l I t e m s >  
         < A c t i v e > t r u e < / A c t i v e >  
         < P r o t e c t e d L i n k > f a l s e < / P r o t e c t e d L i n k >  
         < N a m e > 2 8 1 0 1   T B   @   3 1 . 1 2 . 2 0 2 0   6 4 8 x   F i n a l < / N a m e >  
         < E n t i t y E n u m > 9 < / E n t i t y E n u m >  
         < I t e m O r d e r L i s t / >  
         < S e l e c t e d I t e m L i s t / >  
         < S e l e c t e d C o l u m n L i s t / >  
         < H a s V a l u e > t r u e < / H a s V a l u e >  
         < T B C h a r t I D > 3 0 0 1 4 7 8 6 4 3 4 0 0 0 0 0 4 9 4 < / T B C h a r t I D >  
         < C o n s o l i d a t e d C o m p a n y I D   x s i : n i l = " t r u e " / >  
         < T B D o c u m e n t I D > 3 0 0 1 4 7 8 6 4 3 4 0 0 0 0 0 0 9 9 < / T B D o c u m e n t I D >  
         < N u m e r i c V a l u e > - 1 2 4 2 5 7 . 0 0 0 0 < / N u m e r i c V a l u e >  
         < V a l u e > - 1 2 4 2 5 7 , 0 0 0 0 < / V a l u e >  
         < C h a r t T y p e > c t D e t a i l < / C h a r t T y p e >  
         < R e f e r e n c e > 2 8 1 0 1 < / R e f e r e n c e >  
         < T B D o c N a m e > T B   @   3 1 . 1 2 . 2 0 2 0 < / T B D o c N a m e >  
         < T B C h a r t N a m e > D e t a i l < / T B C h a r t N a m e >  
         < C o l u m n N a m e > F i n a l B a l a n c e < / C o l u m n N a m e >  
         < U s e r F r i e n d l y C o l u m n N a m e > F i n a l < / U s e r F r i e n d l y C o l u m n N a m e >  
         < A c c o u n t N u m b e r > 6 4 8 x < / A c c o u n t N u m b e r >  
         < R o u n d e d > f a l s e < / R o u n d e d >  
     < / T B L i n k >  
     < T B L i n k >  
         < V e r s i o n > 4 < / V e r s i o n >  
         < C o l u m n F i l t e r s / >  
         < D A L i n k I D > a e 5 4 2 3 b 8 - 5 c 4 3 - 4 1 b e - a 9 6 a - 0 b d 6 a a d 4 b 2 4 1 < / D A L i n k I D >  
         < L i n k T y p e > 0 < / L i n k T y p e >  
         < P a r a m e t e r s / >  
         < I n c l u d e A l l I t e m s > f a l s e < / I n c l u d e A l l I t e m s >  
         < A c t i v e > t r u e < / A c t i v e >  
         < P r o t e c t e d L i n k > f a l s e < / P r o t e c t e d L i n k >  
         < N a m e > 2 8 1 0 1   T B   @   3 1 . 1 2 . 2 0 2 0   6 5 5 x 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 6 5 5 x < / A c c o u n t N u m b e r >  
         < R o u n d e d > f a l s e < / R o u n d e d >  
     < / T B L i n k >  
     < T B L i n k >  
         < V e r s i o n > 4 < / V e r s i o n >  
         < C o l u m n F i l t e r s / >  
         < D A L i n k I D > 0 f 5 6 9 0 b f - 8 1 2 c - 4 3 9 a - b 3 a 2 - a c c 4 0 f d c a f 7 d < / D A L i n k I D >  
         < L i n k T y p e > 0 < / L i n k T y p e >  
         < P a r a m e t e r s / >  
         < I n c l u d e A l l I t e m s > f a l s e < / I n c l u d e A l l I t e m s >  
         < A c t i v e > t r u e < / A c t i v e >  
         < P r o t e c t e d L i n k > f a l s e < / P r o t e c t e d L i n k >  
         < N a m e > 2 8 1 0 1   T B   @   3 1 . 1 2 . 2 0 2 0   6 5 7 x 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 6 5 7 x < / A c c o u n t N u m b e r >  
         < R o u n d e d > f a l s e < / R o u n d e d >  
     < / T B L i n k >  
     < T B L i n k >  
         < V e r s i o n > 4 < / V e r s i o n >  
         < C o l u m n F i l t e r s / >  
         < D A L i n k I D > d 4 3 a 2 2 8 0 - a 0 4 c - 4 e 3 e - 9 2 a 1 - 8 7 5 2 f 8 2 c a 7 3 0 < / D A L i n k I D >  
         < L i n k T y p e > 0 < / L i n k T y p e >  
         < P a r a m e t e r s / >  
         < I n c l u d e A l l I t e m s > f a l s e < / I n c l u d e A l l I t e m s >  
         < A c t i v e > t r u e < / A c t i v e >  
         < P r o t e c t e d L i n k > f a l s e < / P r o t e c t e d L i n k >  
         < N a m e > 2 8 1 0 1   T B   @   3 1 . 1 2 . 2 0 2 0   6 6 1 x 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 6 6 1 x < / A c c o u n t N u m b e r >  
         < R o u n d e d > f a l s e < / R o u n d e d >  
     < / T B L i n k >  
     < T B L i n k >  
         < V e r s i o n > 4 < / V e r s i o n >  
         < C o l u m n F i l t e r s / >  
         < D A L i n k I D > f c 5 f 6 8 1 8 - 7 0 2 8 - 4 e b f - a 6 0 d - c b c 6 2 0 d 0 2 f c 7 < / D A L i n k I D >  
         < L i n k T y p e > 0 < / L i n k T y p e >  
         < P a r a m e t e r s / >  
         < I n c l u d e A l l I t e m s > f a l s e < / I n c l u d e A l l I t e m s >  
         < A c t i v e > t r u e < / A c t i v e >  
         < P r o t e c t e d L i n k > f a l s e < / P r o t e c t e d L i n k >  
         < N a m e > 2 8 1 0 1   T B   @   3 1 . 1 2 . 2 0 2 0   6 6 2 a   F i n a l < / N a m e >  
         < E n t i t y E n u m > 9 < / E n t i t y E n u m >  
         < I t e m O r d e r L i s t / >  
         < S e l e c t e d I t e m L i s t / >  
         < S e l e c t e d C o l u m n L i s t / >  
         < H a s V a l u e > t r u e < / H a s V a l u e >  
         < T B C h a r t I D > 3 0 0 1 4 7 8 6 4 3 4 0 0 0 0 0 4 9 4 < / T B C h a r t I D >  
         < C o n s o l i d a t e d C o m p a n y I D   x s i : n i l = " t r u e " / >  
         < T B D o c u m e n t I D > 3 0 0 1 4 7 8 6 4 3 4 0 0 0 0 0 0 9 9 < / T B D o c u m e n t I D >  
         < N u m e r i c V a l u e > - 1 3 4 0 7 . 0 0 0 0 < / N u m e r i c V a l u e >  
         < V a l u e > - 1 3 4 0 7 , 0 0 0 0 < / V a l u e >  
         < C h a r t T y p e > c t D e t a i l < / C h a r t T y p e >  
         < R e f e r e n c e > 2 8 1 0 1 < / R e f e r e n c e >  
         < T B D o c N a m e > T B   @   3 1 . 1 2 . 2 0 2 0 < / T B D o c N a m e >  
         < T B C h a r t N a m e > D e t a i l < / T B C h a r t N a m e >  
         < C o l u m n N a m e > F i n a l B a l a n c e < / C o l u m n N a m e >  
         < U s e r F r i e n d l y C o l u m n N a m e > F i n a l < / U s e r F r i e n d l y C o l u m n N a m e >  
         < A c c o u n t N u m b e r > 6 6 2 a < / A c c o u n t N u m b e r >  
         < R o u n d e d > f a l s e < / R o u n d e d >  
     < / T B L i n k >  
     < T B L i n k >  
         < V e r s i o n > 4 < / V e r s i o n >  
         < C o l u m n F i l t e r s / >  
         < D A L i n k I D > 6 1 2 1 e 4 5 8 - 3 c c b - 4 3 9 3 - 8 f 4 d - 8 d 8 6 9 f 4 2 e 2 5 6 < / D A L i n k I D >  
         < L i n k T y p e > 0 < / L i n k T y p e >  
         < P a r a m e t e r s / >  
         < I n c l u d e A l l I t e m s > f a l s e < / I n c l u d e A l l I t e m s >  
         < A c t i v e > t r u e < / A c t i v e >  
         < P r o t e c t e d L i n k > f a l s e < / P r o t e c t e d L i n k >  
         < N a m e > 2 8 1 0 1   T B   @   3 1 . 1 2 . 2 0 2 0   6 6 2 b   F i n a l < / N a m e >  
         < E n t i t y E n u m > 9 < / E n t i t y E n u m >  
         < I t e m O r d e r L i s t / >  
         < S e l e c t e d I t e m L i s t / >  
         < S e l e c t e d C o l u m n L i s t / >  
         < H a s V a l u e > t r u e < / H a s V a l u e >  
         < T B C h a r t I D > 3 0 0 1 4 7 8 6 4 3 4 0 0 0 0 0 4 9 4 < / T B C h a r t I D >  
         < C o n s o l i d a t e d C o m p a n y I D   x s i : n i l = " t r u e " / >  
         < T B D o c u m e n t I D > 3 0 0 1 4 7 8 6 4 3 4 0 0 0 0 0 0 9 9 < / T B D o c u m e n t I D >  
         < N u m e r i c V a l u e > - 1 . 0 0 0 0 < / N u m e r i c V a l u e >  
         < V a l u e > - 1 , 0 0 0 0 < / V a l u e >  
         < C h a r t T y p e > c t D e t a i l < / C h a r t T y p e >  
         < R e f e r e n c e > 2 8 1 0 1 < / R e f e r e n c e >  
         < T B D o c N a m e > T B   @   3 1 . 1 2 . 2 0 2 0 < / T B D o c N a m e >  
         < T B C h a r t N a m e > D e t a i l < / T B C h a r t N a m e >  
         < C o l u m n N a m e > F i n a l B a l a n c e < / C o l u m n N a m e >  
         < U s e r F r i e n d l y C o l u m n N a m e > F i n a l < / U s e r F r i e n d l y C o l u m n N a m e >  
         < A c c o u n t N u m b e r > 6 6 2 b < / A c c o u n t N u m b e r >  
         < R o u n d e d > f a l s e < / R o u n d e d >  
     < / T B L i n k >  
     < T B L i n k >  
         < V e r s i o n > 4 < / V e r s i o n >  
         < C o l u m n F i l t e r s / >  
         < D A L i n k I D > d d 9 1 b 3 7 5 - f d 1 9 - 4 2 0 9 - 9 3 8 2 - 2 b 1 f d 0 f 7 9 a 6 a < / D A L i n k I D >  
         < L i n k T y p e > 0 < / L i n k T y p e >  
         < P a r a m e t e r s / >  
         < I n c l u d e A l l I t e m s > f a l s e < / I n c l u d e A l l I t e m s >  
         < A c t i v e > t r u e < / A c t i v e >  
         < P r o t e c t e d L i n k > f a l s e < / P r o t e c t e d L i n k >  
         < N a m e > 2 8 1 0 1   T B   @   3 1 . 1 2 . 2 0 2 0   6 6 3 x   F i n a l < / N a m e >  
         < E n t i t y E n u m > 9 < / E n t i t y E n u m >  
         < I t e m O r d e r L i s t / >  
         < S e l e c t e d I t e m L i s t / >  
         < S e l e c t e d C o l u m n L i s t / >  
         < H a s V a l u e > t r u e < / H a s V a l u e >  
         < T B C h a r t I D > 3 0 0 1 4 7 8 6 4 3 4 0 0 0 0 0 4 9 4 < / T B C h a r t I D >  
         < C o n s o l i d a t e d C o m p a n y I D   x s i : n i l = " t r u e " / >  
         < T B D o c u m e n t I D > 3 0 0 1 4 7 8 6 4 3 4 0 0 0 0 0 0 9 9 < / T B D o c u m e n t I D >  
         < N u m e r i c V a l u e > - 8 8 1 . 0 0 0 0 < / N u m e r i c V a l u e >  
         < V a l u e > - 8 8 1 , 0 0 0 0 < / V a l u e >  
         < C h a r t T y p e > c t D e t a i l < / C h a r t T y p e >  
         < R e f e r e n c e > 2 8 1 0 1 < / R e f e r e n c e >  
         < T B D o c N a m e > T B   @   3 1 . 1 2 . 2 0 2 0 < / T B D o c N a m e >  
         < T B C h a r t N a m e > D e t a i l < / T B C h a r t N a m e >  
         < C o l u m n N a m e > F i n a l B a l a n c e < / C o l u m n N a m e >  
         < U s e r F r i e n d l y C o l u m n N a m e > F i n a l < / U s e r F r i e n d l y C o l u m n N a m e >  
         < A c c o u n t N u m b e r > 6 6 3 x < / A c c o u n t N u m b e r >  
         < R o u n d e d > f a l s e < / R o u n d e d >  
     < / T B L i n k >  
     < T B L i n k >  
         < V e r s i o n > 4 < / V e r s i o n >  
         < C o l u m n F i l t e r s / >  
         < D A L i n k I D > 2 3 d e 8 0 c 6 - c 3 6 0 - 4 f 4 9 - 8 5 b 7 - 5 a 4 6 4 4 0 d 5 f 4 7 < / D A L i n k I D >  
         < L i n k T y p e > 0 < / L i n k T y p e >  
         < P a r a m e t e r s / >  
         < I n c l u d e A l l I t e m s > f a l s e < / I n c l u d e A l l I t e m s >  
         < A c t i v e > t r u e < / A c t i v e >  
         < P r o t e c t e d L i n k > f a l s e < / P r o t e c t e d L i n k >  
         < N a m e > 2 8 1 0 1   T B   @   3 1 . 1 2 . 2 0 2 0   6 6 4 x 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 6 6 4 x < / A c c o u n t N u m b e r >  
         < R o u n d e d > f a l s e < / R o u n d e d >  
     < / T B L i n k >  
     < T B L i n k >  
         < V e r s i o n > 4 < / V e r s i o n >  
         < C o l u m n F i l t e r s / >  
         < D A L i n k I D > d 4 c 8 e a c a - 5 f a e - 4 7 b 1 - 8 6 d d - 4 4 b 6 5 5 0 6 8 8 4 8 < / D A L i n k I D >  
         < L i n k T y p e > 0 < / L i n k T y p e >  
         < P a r a m e t e r s / >  
         < I n c l u d e A l l I t e m s > f a l s e < / I n c l u d e A l l I t e m s >  
         < A c t i v e > t r u e < / A c t i v e >  
         < P r o t e c t e d L i n k > f a l s e < / P r o t e c t e d L i n k >  
         < N a m e > 2 8 1 0 1   T B   @   3 1 . 1 2 . 2 0 2 0   6 6 5 a 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 6 6 5 a < / A c c o u n t N u m b e r >  
         < R o u n d e d > f a l s e < / R o u n d e d >  
     < / T B L i n k >  
     < T B L i n k >  
         < V e r s i o n > 4 < / V e r s i o n >  
         < C o l u m n F i l t e r s / >  
         < D A L i n k I D > 0 2 7 a 4 9 2 0 - a 4 4 d - 4 7 b f - 8 f 8 a - f 4 6 5 7 5 a 1 1 7 2 0 < / D A L i n k I D >  
         < L i n k T y p e > 0 < / L i n k T y p e >  
         < P a r a m e t e r s / >  
         < I n c l u d e A l l I t e m s > f a l s e < / I n c l u d e A l l I t e m s >  
         < A c t i v e > t r u e < / A c t i v e >  
         < P r o t e c t e d L i n k > f a l s e < / P r o t e c t e d L i n k >  
         < N a m e > 2 8 1 0 1   T B   @   3 1 . 1 2 . 2 0 2 0   6 6 5 b 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 6 6 5 b < / A c c o u n t N u m b e r >  
         < R o u n d e d > f a l s e < / R o u n d e d >  
     < / T B L i n k >  
     < T B L i n k >  
         < V e r s i o n > 4 < / V e r s i o n >  
         < C o l u m n F i l t e r s / >  
         < D A L i n k I D > 9 2 0 a 7 c a 2 - e e 1 0 - 4 1 a d - 9 2 2 8 - 0 d a f 1 7 c 4 5 f f 4 < / D A L i n k I D >  
         < L i n k T y p e > 0 < / L i n k T y p e >  
         < P a r a m e t e r s / >  
         < I n c l u d e A l l I t e m s > f a l s e < / I n c l u d e A l l I t e m s >  
         < A c t i v e > t r u e < / A c t i v e >  
         < P r o t e c t e d L i n k > f a l s e < / P r o t e c t e d L i n k >  
         < N a m e > 2 8 1 0 1   T B   @   3 1 . 1 2 . 2 0 2 0   6 6 5 c 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 6 6 5 c < / A c c o u n t N u m b e r >  
         < R o u n d e d > f a l s e < / R o u n d e d >  
     < / T B L i n k >  
     < T B L i n k >  
         < V e r s i o n > 4 < / V e r s i o n >  
         < C o l u m n F i l t e r s / >  
         < D A L i n k I D > 1 8 2 3 5 1 3 8 - 8 1 d d - 4 9 6 7 - 8 9 6 d - 2 a d 1 d a 5 9 5 8 b a < / D A L i n k I D >  
         < L i n k T y p e > 0 < / L i n k T y p e >  
         < P a r a m e t e r s / >  
         < I n c l u d e A l l I t e m s > f a l s e < / I n c l u d e A l l I t e m s >  
         < A c t i v e > t r u e < / A c t i v e >  
         < P r o t e c t e d L i n k > f a l s e < / P r o t e c t e d L i n k >  
         < N a m e > 2 8 1 0 1   T B   @   3 1 . 1 2 . 2 0 2 0   6 6 6 a 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 6 6 6 a < / A c c o u n t N u m b e r >  
         < R o u n d e d > f a l s e < / R o u n d e d >  
     < / T B L i n k >  
     < T B L i n k >  
         < V e r s i o n > 4 < / V e r s i o n >  
         < C o l u m n F i l t e r s / >  
         < D A L i n k I D > a 0 d 0 6 a f 5 - c a 2 7 - 4 3 3 4 - a 0 e f - d 3 a 1 1 9 6 7 6 6 e 1 < / D A L i n k I D >  
         < L i n k T y p e > 0 < / L i n k T y p e >  
         < P a r a m e t e r s / >  
         < I n c l u d e A l l I t e m s > f a l s e < / I n c l u d e A l l I t e m s >  
         < A c t i v e > t r u e < / A c t i v e >  
         < P r o t e c t e d L i n k > f a l s e < / P r o t e c t e d L i n k >  
         < N a m e > 2 8 1 0 1   T B   @   3 1 . 1 2 . 2 0 2 0   6 6 6 b 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 6 6 6 b < / A c c o u n t N u m b e r >  
         < R o u n d e d > f a l s e < / R o u n d e d >  
     < / T B L i n k >  
     < T B L i n k >  
         < V e r s i o n > 4 < / V e r s i o n >  
         < C o l u m n F i l t e r s / >  
         < D A L i n k I D > e 7 6 c 2 a 4 b - 7 3 e 4 - 4 d b d - a d 6 b - 1 a f 5 4 0 3 4 2 a 1 d < / D A L i n k I D >  
         < L i n k T y p e > 0 < / L i n k T y p e >  
         < P a r a m e t e r s / >  
         < I n c l u d e A l l I t e m s > f a l s e < / I n c l u d e A l l I t e m s >  
         < A c t i v e > t r u e < / A c t i v e >  
         < P r o t e c t e d L i n k > f a l s e < / P r o t e c t e d L i n k >  
         < N a m e > 2 8 1 0 1   T B   @   3 1 . 1 2 . 2 0 2 0   6 6 6 c 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 6 6 6 c < / A c c o u n t N u m b e r >  
         < R o u n d e d > f a l s e < / R o u n d e d >  
     < / T B L i n k >  
     < T B L i n k >  
         < V e r s i o n > 4 < / V e r s i o n >  
         < C o l u m n F i l t e r s / >  
         < D A L i n k I D > 1 3 f 9 e d b 2 - a 0 d c - 4 1 2 f - b b 6 9 - e 5 a 5 3 a b a 8 6 f d < / D A L i n k I D >  
         < L i n k T y p e > 0 < / L i n k T y p e >  
         < P a r a m e t e r s / >  
         < I n c l u d e A l l I t e m s > f a l s e < / I n c l u d e A l l I t e m s >  
         < A c t i v e > t r u e < / A c t i v e >  
         < P r o t e c t e d L i n k > f a l s e < / P r o t e c t e d L i n k >  
         < N a m e > 2 8 1 0 1   T B   @   3 1 . 1 2 . 2 0 2 0   6 6 7 x 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 6 6 7 x < / A c c o u n t N u m b e r >  
         < R o u n d e d > f a l s e < / R o u n d e d >  
     < / T B L i n k >  
     < T B L i n k >  
         < V e r s i o n > 4 < / V e r s i o n >  
         < C o l u m n F i l t e r s / >  
         < D A L i n k I D > b e 0 d 8 8 7 b - 4 8 5 7 - 4 5 c 1 - 9 0 f f - 1 9 2 e 7 8 1 3 a 4 9 7 < / D A L i n k I D >  
         < L i n k T y p e > 0 < / L i n k T y p e >  
         < P a r a m e t e r s / >  
         < I n c l u d e A l l I t e m s > f a l s e < / I n c l u d e A l l I t e m s >  
         < A c t i v e > t r u e < / A c t i v e >  
         < P r o t e c t e d L i n k > f a l s e < / P r o t e c t e d L i n k >  
         < N a m e > 2 8 1 0 1   T B   @   3 1 . 1 2 . 2 0 2 0   6 6 8 x   F i n a l < / N a m e >  
         < E n t i t y E n u m > 9 < / E n t i t y E n u m >  
         < I t e m O r d e r L i s t / >  
         < S e l e c t e d I t e m L i s t / >  
         < S e l e c t e d C o l u m n L i s t / >  
         < H a s V a l u e > t r u e < / H a s V a l u e >  
         < T B C h a r t I D > 3 0 0 1 4 7 8 6 4 3 4 0 0 0 0 0 4 9 4 < / T B C h a r t I D >  
         < C o n s o l i d a t e d C o m p a n y I D   x s i : n i l = " t r u e " / >  
         < T B D o c u m e n t I D > 3 0 0 1 4 7 8 6 4 3 4 0 0 0 0 0 0 9 9 < / T B D o c u m e n t I D >  
         < N u m e r i c V a l u e > 0 . 0 0 0 0 < / N u m e r i c V a l u e >  
         < V a l u e > 0 , 0 0 0 0 < / V a l u e >  
         < C h a r t T y p e > c t D e t a i l < / C h a r t T y p e >  
         < R e f e r e n c e > 2 8 1 0 1 < / R e f e r e n c e >  
         < T B D o c N a m e > T B   @   3 1 . 1 2 . 2 0 2 0 < / T B D o c N a m e >  
         < T B C h a r t N a m e > D e t a i l < / T B C h a r t N a m e >  
         < C o l u m n N a m e > F i n a l B a l a n c e < / C o l u m n N a m e >  
         < U s e r F r i e n d l y C o l u m n N a m e > F i n a l < / U s e r F r i e n d l y C o l u m n N a m e >  
         < A c c o u n t N u m b e r > 6 6 8 x < / A c c o u n t N u m b e r >  
         < R o u n d e d > f a l s e < / R o u n d e d >  
     < / T B L i n k >  
 < / A r r a y O f T B L i n k > 
</file>

<file path=customXml/item3.xml>��< ? x m l   v e r s i o n = " 1 . 0 "   e n c o d i n g = " u t f - 1 6 " ? > < P a r t M a p   x m l n s : x s d = " h t t p : / / w w w . w 3 . o r g / 2 0 0 1 / X M L S c h e m a "   x m l n s : x s i = " h t t p : / / w w w . w 3 . o r g / 2 0 0 1 / X M L S c h e m a - i n s t a n c e " >  
     < P a r t s >  
         < P a r t I t e m >  
             < P r o p e r t y N a m e > T B L i n k L i s t K e y < / P r o p e r t y N a m e >  
             < V a l u e > { 2 E 3 8 E C 9 E - 4 9 4 0 - 4 1 9 4 - B E E 7 - E 3 7 2 9 7 C B 6 3 C 0 } < / V a l u e >  
         < / P a r t I t e m >  
         < P a r t I t e m >  
             < P r o p e r t y N a m e > D A L i n k L i s t K e y < / P r o p e r t y N a m e >  
             < V a l u e > { 9 0 6 C A 1 5 4 - 6 2 8 0 - 4 7 8 0 - B E 6 A - 9 A A C 8 A 5 A D F 6 E } < / V a l u e >  
         < / P a r t I t e m >  
     < / P a r t s >  
 < / P a r t M a p > 
</file>

<file path=customXml/item4.xml>��< ? x m l   v e r s i o n = " 1 . 0 "   e n c o d i n g = " u t f - 1 6 " ? > < A r r a y O f D A L i n k   x m l n s : x s d = " h t t p : / / w w w . w 3 . o r g / 2 0 0 1 / X M L S c h e m a "   x m l n s : x s i = " h t t p : / / w w w . w 3 . o r g / 2 0 0 1 / X M L S c h e m a - i n s t a n c e " / > 
</file>

<file path=customXml/itemProps1.xml><?xml version="1.0" encoding="utf-8"?>
<ds:datastoreItem xmlns:ds="http://schemas.openxmlformats.org/officeDocument/2006/customXml" ds:itemID="{396EBD57-FE91-4DF6-9CCF-80A57379856D}">
  <ds:schemaRefs>
    <ds:schemaRef ds:uri="http://schemas.microsoft.com/DAEMSEngagementItemInfoXML"/>
  </ds:schemaRefs>
</ds:datastoreItem>
</file>

<file path=customXml/itemProps2.xml><?xml version="1.0" encoding="utf-8"?>
<ds:datastoreItem xmlns:ds="http://schemas.openxmlformats.org/officeDocument/2006/customXml" ds:itemID="{2E38EC9E-4940-4194-BEE7-E37297CB63C0}">
  <ds:schemaRefs>
    <ds:schemaRef ds:uri="http://www.w3.org/2001/XMLSchema"/>
  </ds:schemaRefs>
</ds:datastoreItem>
</file>

<file path=customXml/itemProps3.xml><?xml version="1.0" encoding="utf-8"?>
<ds:datastoreItem xmlns:ds="http://schemas.openxmlformats.org/officeDocument/2006/customXml" ds:itemID="{4B71CF22-87BF-443C-A264-EF0AFFC84E00}">
  <ds:schemaRefs>
    <ds:schemaRef ds:uri="http://www.w3.org/2001/XMLSchema"/>
  </ds:schemaRefs>
</ds:datastoreItem>
</file>

<file path=customXml/itemProps4.xml><?xml version="1.0" encoding="utf-8"?>
<ds:datastoreItem xmlns:ds="http://schemas.openxmlformats.org/officeDocument/2006/customXml" ds:itemID="{906CA154-6280-4780-BE6A-9AAC8A5ADF6E}">
  <ds:schemaRefs>
    <ds:schemaRef ds:uri="http://www.w3.org/2001/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22</vt:i4>
      </vt:variant>
      <vt:variant>
        <vt:lpstr>Pomenované rozsahy</vt:lpstr>
      </vt:variant>
      <vt:variant>
        <vt:i4>23</vt:i4>
      </vt:variant>
    </vt:vector>
  </HeadingPairs>
  <TitlesOfParts>
    <vt:vector size="45" baseType="lpstr">
      <vt:lpstr>CF</vt:lpstr>
      <vt:lpstr>Cover</vt:lpstr>
      <vt:lpstr>suvaha</vt:lpstr>
      <vt:lpstr>vysledovka</vt:lpstr>
      <vt:lpstr>CF calculation</vt:lpstr>
      <vt:lpstr>GL</vt:lpstr>
      <vt:lpstr>GL VLOOKUP</vt:lpstr>
      <vt:lpstr>GL @ 31.12.2022</vt:lpstr>
      <vt:lpstr>Index</vt:lpstr>
      <vt:lpstr>Check_Empty</vt:lpstr>
      <vt:lpstr>Závierka titulka</vt:lpstr>
      <vt:lpstr>Súvaha Strana 2</vt:lpstr>
      <vt:lpstr>Súvaha Strana 3</vt:lpstr>
      <vt:lpstr>Súvaha Strana 4</vt:lpstr>
      <vt:lpstr>Súvaha Strana 5</vt:lpstr>
      <vt:lpstr>Súvaha Strana 6</vt:lpstr>
      <vt:lpstr>Súvaha Strana 7</vt:lpstr>
      <vt:lpstr>Súvaha Strana 8</vt:lpstr>
      <vt:lpstr>Súvaha Strana 9</vt:lpstr>
      <vt:lpstr>VZaS - Strana 10</vt:lpstr>
      <vt:lpstr>VZaS - Strana 11</vt:lpstr>
      <vt:lpstr>VZaS - Strana 12 </vt:lpstr>
      <vt:lpstr>Business_name</vt:lpstr>
      <vt:lpstr>CY</vt:lpstr>
      <vt:lpstr>CY_beginning</vt:lpstr>
      <vt:lpstr>CY_END</vt:lpstr>
      <vt:lpstr>Language</vt:lpstr>
      <vt:lpstr>Cover!Oblasť_tlače</vt:lpstr>
      <vt:lpstr>suvaha!Oblasť_tlače</vt:lpstr>
      <vt:lpstr>'Súvaha Strana 2'!Oblasť_tlače</vt:lpstr>
      <vt:lpstr>'Súvaha Strana 3'!Oblasť_tlače</vt:lpstr>
      <vt:lpstr>'Súvaha Strana 4'!Oblasť_tlače</vt:lpstr>
      <vt:lpstr>'Súvaha Strana 5'!Oblasť_tlače</vt:lpstr>
      <vt:lpstr>'Súvaha Strana 6'!Oblasť_tlače</vt:lpstr>
      <vt:lpstr>'Súvaha Strana 7'!Oblasť_tlače</vt:lpstr>
      <vt:lpstr>'Súvaha Strana 8'!Oblasť_tlače</vt:lpstr>
      <vt:lpstr>'Súvaha Strana 9'!Oblasť_tlače</vt:lpstr>
      <vt:lpstr>vysledovka!Oblasť_tlače</vt:lpstr>
      <vt:lpstr>'VZaS - Strana 10'!Oblasť_tlače</vt:lpstr>
      <vt:lpstr>'VZaS - Strana 11'!Oblasť_tlače</vt:lpstr>
      <vt:lpstr>'VZaS - Strana 12 '!Oblasť_tlače</vt:lpstr>
      <vt:lpstr>'Závierka titulka'!Oblasť_tlače</vt:lpstr>
      <vt:lpstr>PY</vt:lpstr>
      <vt:lpstr>PY_beginning</vt:lpstr>
      <vt:lpstr>PY_END</vt:lpstr>
    </vt:vector>
  </TitlesOfParts>
  <Company>Deloitte Touche Tohmatsu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Deloitte Touche Tohmatsu</dc:creator>
  <cp:lastModifiedBy>Pravdová Jana</cp:lastModifiedBy>
  <cp:lastPrinted>2021-06-09T06:53:42Z</cp:lastPrinted>
  <dcterms:created xsi:type="dcterms:W3CDTF">2013-09-11T16:02:48Z</dcterms:created>
  <dcterms:modified xsi:type="dcterms:W3CDTF">2023-06-20T12:40:23Z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2021-05-24T15:34:43Z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80a5ab26-608b-4725-b49f-d90f4c067b8d</vt:lpwstr>
  </property>
  <property fmtid="{D5CDD505-2E9C-101B-9397-08002B2CF9AE}" pid="8" name="MSIP_Label_ea60d57e-af5b-4752-ac57-3e4f28ca11dc_ContentBits">
    <vt:lpwstr>0</vt:lpwstr>
  </property>
  <property fmtid="{D5CDD505-2E9C-101B-9397-08002B2CF9AE}" pid="9" name="STCat_76131ba9-77c4-47e5-8c99-eec1d5c6683b_Version">
    <vt:lpwstr>1</vt:lpwstr>
  </property>
  <property fmtid="{D5CDD505-2E9C-101B-9397-08002B2CF9AE}" pid="10" name="STCat_76131ba9-77c4-47e5-8c99-eec1d5c6683b_Id">
    <vt:lpwstr>76131ba9-77c4-47e5-8c99-eec1d5c6683b</vt:lpwstr>
  </property>
  <property fmtid="{D5CDD505-2E9C-101B-9397-08002B2CF9AE}" pid="11" name="STCat_76131ba9-77c4-47e5-8c99-eec1d5c6683b_Name">
    <vt:lpwstr>Interné</vt:lpwstr>
  </property>
  <property fmtid="{D5CDD505-2E9C-101B-9397-08002B2CF9AE}" pid="12" name="STCat_76131ba9-77c4-47e5-8c99-eec1d5c6683b_Origin">
    <vt:lpwstr>Application</vt:lpwstr>
  </property>
</Properties>
</file>